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Raw_Data" sheetId="2" state="visible" r:id="rId4"/>
    <sheet name="Clean_Data" sheetId="3" state="visible" r:id="rId5"/>
    <sheet name="Obj1_Value" sheetId="4" state="visible" r:id="rId6"/>
    <sheet name="Obj2_Volatility" sheetId="5" state="visible" r:id="rId7"/>
    <sheet name="Obj3_Risk" sheetId="6" state="visible" r:id="rId8"/>
    <sheet name="Summary" sheetId="7" state="visible" r:id="rId9"/>
    <sheet name="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<sst xmlns="http://schemas.openxmlformats.org/spreadsheetml/2006/main" count="482" uniqueCount="416">
  <si>
    <t xml:space="preserve">Volatility, Value and Risk: A Data-Driven Analysis of Bitcoin's Price Behaviour (2014-2026)</t>
  </si>
  <si>
    <t xml:space="preserve">and Its Implications for Financial Institutions and Businesses - Excel data analysis workbook</t>
  </si>
  <si>
    <t xml:space="preserve">Dataset</t>
  </si>
  <si>
    <t xml:space="preserve">Source</t>
  </si>
  <si>
    <t xml:space="preserve">Federal Reserve Bank of St. Louis, FRED (Federal Reserve Economic Data)</t>
  </si>
  <si>
    <t xml:space="preserve">Series</t>
  </si>
  <si>
    <t xml:space="preserve">CBBTCUSD - Coinbase Bitcoin price in US dollars, daily, not seasonally adjusted</t>
  </si>
  <si>
    <t xml:space="preserve">Coverage</t>
  </si>
  <si>
    <t xml:space="preserve">01-Dec-2014 to 26-Oct-2026 (4,348 calendar days; 4,313 reported prices; 35 missing)</t>
  </si>
  <si>
    <t xml:space="preserve">URL</t>
  </si>
  <si>
    <t xml:space="preserve">https://fred.stlouisfed.org/series/CBBTCUSD</t>
  </si>
  <si>
    <t xml:space="preserve">Harvard reference</t>
  </si>
  <si>
    <t xml:space="preserve">Federal Reserve Bank of St. Louis (2026) Coinbase Bitcoin [CBBTCUSD]. Available at: https://fred.stlouisfed.org/series/CBBTCUSD (Accessed: 27 October 2026).</t>
  </si>
  <si>
    <t xml:space="preserve">Research objectives and statistical tools</t>
  </si>
  <si>
    <t xml:space="preserve">Objective</t>
  </si>
  <si>
    <t xml:space="preserve">Research objective</t>
  </si>
  <si>
    <t xml:space="preserve">Statistical tools (Excel functions)</t>
  </si>
  <si>
    <t xml:space="preserve">Outputs</t>
  </si>
  <si>
    <t xml:space="preserve">RO1 Value</t>
  </si>
  <si>
    <t xml:space="preserve">To examine Bitcoin's long-run price trajectory, annual returns and compound growth to evaluate its value proposition for institutions and businesses.</t>
  </si>
  <si>
    <t xml:space="preserve">Descriptive statistics (SUM, AVERAGE, MIN, MAX, MEDIAN, COUNTIF, AVERAGEIFS, MINIFS, MAXIFS); annual returns; CAGR; log-linear trend regression (SLOPE, RSQ); 200-day moving average</t>
  </si>
  <si>
    <t xml:space="preserve">Tables 1-2; Figures 1-3</t>
  </si>
  <si>
    <t xml:space="preserve">RO2 Volatility</t>
  </si>
  <si>
    <t xml:space="preserve">To measure the scale and distribution of Bitcoin's return volatility and test whether volatility has declined as the market has matured.</t>
  </si>
  <si>
    <t xml:space="preserve">Log returns; STDEV.S; annualised volatility (x SQRT(365)); SKEW; KURT; Jarque-Bera normality test (CHISQ.DIST.RT); frequency distribution vs NORM.DIST; 30-day rolling volatility; F-test (F.DIST.RT); SLOPE/CORREL</t>
  </si>
  <si>
    <t xml:space="preserve">Tables 3-6; Figures 4-6</t>
  </si>
  <si>
    <t xml:space="preserve">RO3 Risk</t>
  </si>
  <si>
    <t xml:space="preserve">To quantify Bitcoin's downside risk using measures applied by financial institutions and assess implications for treasury, payments and capital planning.</t>
  </si>
  <si>
    <t xml:space="preserve">Historical and parametric Value at Risk (PERCENTILE.INC, NORM.S.INV); Expected Shortfall (AVERAGEIF); VaR backtesting; square-root-of-time scaling; horizon loss probabilities (COUNTIF); maximum drawdown</t>
  </si>
  <si>
    <t xml:space="preserve">Tables 7-11; Figures 7-10</t>
  </si>
  <si>
    <t xml:space="preserve">Worksheet guide</t>
  </si>
  <si>
    <t xml:space="preserve">Worksheet</t>
  </si>
  <si>
    <t xml:space="preserve">Contents</t>
  </si>
  <si>
    <t xml:space="preserve">Raw_Data</t>
  </si>
  <si>
    <t xml:space="preserve">Unedited FRED download (with blanks) and completeness check (Table A1)</t>
  </si>
  <si>
    <t xml:space="preserve">Clean_Data</t>
  </si>
  <si>
    <t xml:space="preserve">Cleaned daily prices with formula-derived returns, moving average, drawdown, rolling volatility, horizon returns</t>
  </si>
  <si>
    <t xml:space="preserve">Obj1_Value</t>
  </si>
  <si>
    <t xml:space="preserve">Objective 1: growth summary, annual statistics, Figures 1-3</t>
  </si>
  <si>
    <t xml:space="preserve">Obj2_Volatility</t>
  </si>
  <si>
    <t xml:space="preserve">Objective 2: return distribution, annual volatility, regime test, histogram, Figures 4-6</t>
  </si>
  <si>
    <t xml:space="preserve">Obj3_Risk</t>
  </si>
  <si>
    <t xml:space="preserve">Objective 3: VaR, Expected Shortfall, horizon loss probabilities, drawdowns, Figures 7-10</t>
  </si>
  <si>
    <t xml:space="preserve">Summary</t>
  </si>
  <si>
    <t xml:space="preserve">Key empirical findings for the report conclusion (Table 12)</t>
  </si>
  <si>
    <t xml:space="preserve">Checks</t>
  </si>
  <si>
    <t xml:space="preserve">Formula integrity checks (independent calculation routes reconciled)</t>
  </si>
  <si>
    <t xml:space="preserve">Method notes and assumptions</t>
  </si>
  <si>
    <t xml:space="preserve">1. Missing prices (35 days, mostly Dec 2014 - Jan 2015) are removed rather than interpolated, so no values are invented.</t>
  </si>
  <si>
    <t xml:space="preserve">2. Return statistics start on 20-Jan-2015, when the series becomes continuous; returns spanning gaps of more than one day are excluded.</t>
  </si>
  <si>
    <t xml:space="preserve">3. Log returns are used for volatility (time-additive); simple returns are used for VaR/ES (direct loss interpretation).</t>
  </si>
  <si>
    <t xml:space="preserve">4. Bitcoin trades 24 hours a day, 7 days a week, so annualisation uses 365 days rather than 252 trading days.</t>
  </si>
  <si>
    <t xml:space="preserve">5. The 14-Jan-2015 price of US$120 reflects thin early trading; it is retained in price levels but falls outside the return sample.</t>
  </si>
  <si>
    <t xml:space="preserve">6. 2014 (December only) and 2026 (to 26 October) are partial years and are labelled as such.</t>
  </si>
  <si>
    <t xml:space="preserve">7. All results are calculated with live Excel formulas; changing a blue input cell updates every dependent table and figure.</t>
  </si>
  <si>
    <t xml:space="preserve">Formatting legend</t>
  </si>
  <si>
    <t xml:space="preserve">Blue text</t>
  </si>
  <si>
    <t xml:space="preserve">Hard-coded input or assumption (may be changed)</t>
  </si>
  <si>
    <t xml:space="preserve">Black text</t>
  </si>
  <si>
    <t xml:space="preserve">Formula calculated on the same worksheet</t>
  </si>
  <si>
    <t xml:space="preserve">Green text</t>
  </si>
  <si>
    <t xml:space="preserve">Formula linking to another worksheet</t>
  </si>
  <si>
    <t xml:space="preserve">Methodological references (Harvard)</t>
  </si>
  <si>
    <t xml:space="preserve">Artzner, P., Delbaen, F., Eber, J.-M. and Heath, D. (1999) 'Coherent measures of risk', Mathematical Finance, 9(3), pp. 203-228.</t>
  </si>
  <si>
    <t xml:space="preserve">Basel Committee on Banking Supervision (2022) Prudential treatment of cryptoasset exposures. Basel: Bank for International Settlements.</t>
  </si>
  <si>
    <t xml:space="preserve">Cont, R. (2001) 'Empirical properties of asset returns: stylized facts and statistical issues', Quantitative Finance, 1(2), pp. 223-236.</t>
  </si>
  <si>
    <t xml:space="preserve">Hull, J.C. (2023) Risk Management and Financial Institutions. 6th edn. Hoboken, NJ: Wiley.</t>
  </si>
  <si>
    <t xml:space="preserve">Jarque, C.M. and Bera, A.K. (1980) 'Efficient tests for normality, homoscedasticity and serial independence of regression residuals', Economics Letters, 6(3), pp. 255-259.</t>
  </si>
  <si>
    <t xml:space="preserve">Jorion, P. (2007) Value at Risk: The New Benchmark for Managing Financial Risk. 3rd edn. New York: McGraw-Hill.</t>
  </si>
  <si>
    <t xml:space="preserve">observation_date</t>
  </si>
  <si>
    <t xml:space="preserve">CBBTCUSD (US$)</t>
  </si>
  <si>
    <t xml:space="preserve">Table A1: Raw data completeness (FRED series CBBTCUSD)</t>
  </si>
  <si>
    <t xml:space="preserve">Measure</t>
  </si>
  <si>
    <t xml:space="preserve">Value</t>
  </si>
  <si>
    <t xml:space="preserve">Calendar days in download</t>
  </si>
  <si>
    <t xml:space="preserve">Days with a reported price</t>
  </si>
  <si>
    <t xml:space="preserve">Days with missing price (blank)</t>
  </si>
  <si>
    <t xml:space="preserve">Missing values (% of days)</t>
  </si>
  <si>
    <t xml:space="preserve">First date</t>
  </si>
  <si>
    <t xml:space="preserve">Last date</t>
  </si>
  <si>
    <t xml:space="preserve">Source: Federal Reserve Bank of St. Louis (2026) FRED series CBBTCUSD, downloaded unedited.</t>
  </si>
  <si>
    <t xml:space="preserve">Missing values are concentrated in Dec 2014 - Jan 2015, before Coinbase's exchange launch (Jan 2015).</t>
  </si>
  <si>
    <t xml:space="preserve">Date</t>
  </si>
  <si>
    <t xml:space="preserve">Year</t>
  </si>
  <si>
    <t xml:space="preserve">Price (US$)</t>
  </si>
  <si>
    <t xml:space="preserve">Days since previous obs.</t>
  </si>
  <si>
    <t xml:space="preserve">Ln(price)</t>
  </si>
  <si>
    <t xml:space="preserve">Log return between obs.</t>
  </si>
  <si>
    <t xml:space="preserve">Daily log return (analysis sample)</t>
  </si>
  <si>
    <t xml:space="preserve">Squared daily log return</t>
  </si>
  <si>
    <t xml:space="preserve">Daily simple return (analysis sample)</t>
  </si>
  <si>
    <t xml:space="preserve">200-day moving average (US$)</t>
  </si>
  <si>
    <t xml:space="preserve">Running peak (US$)</t>
  </si>
  <si>
    <t xml:space="preserve">Drawdown from running peak</t>
  </si>
  <si>
    <t xml:space="preserve">30-day rolling volatility (annualised)</t>
  </si>
  <si>
    <t xml:space="preserve">7-day return</t>
  </si>
  <si>
    <t xml:space="preserve">30-day return</t>
  </si>
  <si>
    <t xml:space="preserve">Analysis parameters (inputs)</t>
  </si>
  <si>
    <t xml:space="preserve">Return-statistics start date</t>
  </si>
  <si>
    <t xml:space="preserve">Annualisation factor (days per year)</t>
  </si>
  <si>
    <t xml:space="preserve">Notes:</t>
  </si>
  <si>
    <t xml:space="preserve">1. 35 blank days in Raw_Data removed; prices are unchanged FRED values.</t>
  </si>
  <si>
    <t xml:space="preserve">2. Return statistics start 20-Jan-2015, the first day of continuous daily</t>
  </si>
  <si>
    <t xml:space="preserve">   pricing (earlier data are sparse and include an anomalous $120 print).</t>
  </si>
  <si>
    <t xml:space="preserve">3. Returns spanning more than one calendar day are excluded (col. G, I).</t>
  </si>
  <si>
    <t xml:space="preserve">4. Bitcoin trades 24/7, so volatility is annualised with sqrt(365).</t>
  </si>
  <si>
    <t xml:space="preserve">5. 7- and 30-day returns are overlapping windows (calendar-day lookback).</t>
  </si>
  <si>
    <t xml:space="preserve">Objective 1: Long-term value trajectory and growth of Bitcoin (Dec 2014 - Oct 2026)</t>
  </si>
  <si>
    <t xml:space="preserve">RO1: To examine Bitcoin's long-run price trajectory, annual returns and compound growth in order to evaluate its value proposition for financial institutions and businesses.</t>
  </si>
  <si>
    <t xml:space="preserve">Table 1: Overall price growth and trend summary</t>
  </si>
  <si>
    <t xml:space="preserve">Method (Excel formula logic)</t>
  </si>
  <si>
    <t xml:space="preserve">First observation date</t>
  </si>
  <si>
    <t xml:space="preserve">MIN of dates</t>
  </si>
  <si>
    <t xml:space="preserve">Opening price (US$)</t>
  </si>
  <si>
    <t xml:space="preserve">INDEX/MATCH on first date</t>
  </si>
  <si>
    <t xml:space="preserve">Latest observation date</t>
  </si>
  <si>
    <t xml:space="preserve">MAX of dates</t>
  </si>
  <si>
    <t xml:space="preserve">Latest price (US$)</t>
  </si>
  <si>
    <t xml:space="preserve">INDEX/MATCH on last date</t>
  </si>
  <si>
    <t xml:space="preserve">Holding period (years)</t>
  </si>
  <si>
    <t xml:space="preserve">(Last date - first date) / 365.25</t>
  </si>
  <si>
    <t xml:space="preserve">Total return</t>
  </si>
  <si>
    <t xml:space="preserve">Latest / opening - 1</t>
  </si>
  <si>
    <t xml:space="preserve">Price multiple (x)</t>
  </si>
  <si>
    <t xml:space="preserve">Latest / opening</t>
  </si>
  <si>
    <t xml:space="preserve">Compound annual growth rate (CAGR)</t>
  </si>
  <si>
    <t xml:space="preserve">(Latest / opening)^(1/years) - 1</t>
  </si>
  <si>
    <t xml:space="preserve">Cumulative log return</t>
  </si>
  <si>
    <t xml:space="preserve">SUM of all log returns = LN(latest/opening)</t>
  </si>
  <si>
    <t xml:space="preserve">Average daily price, full period (US$)</t>
  </si>
  <si>
    <t xml:space="preserve">AVERAGE of all daily prices</t>
  </si>
  <si>
    <t xml:space="preserve">All-time high, daily close (US$)</t>
  </si>
  <si>
    <t xml:space="preserve">MAX of prices</t>
  </si>
  <si>
    <t xml:space="preserve">Date of all-time high</t>
  </si>
  <si>
    <t xml:space="preserve">INDEX/MATCH</t>
  </si>
  <si>
    <t xml:space="preserve">Lowest daily price (US$)</t>
  </si>
  <si>
    <t xml:space="preserve">MIN of prices (14-Jan-2015 thin-market print)</t>
  </si>
  <si>
    <t xml:space="preserve">Date of lowest price</t>
  </si>
  <si>
    <t xml:space="preserve">Latest price vs all-time high</t>
  </si>
  <si>
    <t xml:space="preserve">Latest / ATH - 1</t>
  </si>
  <si>
    <t xml:space="preserve">Log-linear trend slope (per day)</t>
  </si>
  <si>
    <t xml:space="preserve">SLOPE of LN(price) on date</t>
  </si>
  <si>
    <t xml:space="preserve">Implied annual trend growth rate</t>
  </si>
  <si>
    <t xml:space="preserve">EXP(slope x 365.25) - 1</t>
  </si>
  <si>
    <t xml:space="preserve">R-squared of log-linear trend</t>
  </si>
  <si>
    <t xml:space="preserve">RSQ of LN(price) on date</t>
  </si>
  <si>
    <t xml:space="preserve">Source: Author's calculations in Microsoft Excel using FRED (2026) series CBBTCUSD.</t>
  </si>
  <si>
    <t xml:space="preserve">Source: Author's calculations using FRED (2026) series CBBTCUSD (Coinbase, daily close).</t>
  </si>
  <si>
    <t xml:space="preserve">Table 2: Annual price statistics, 2014-2026</t>
  </si>
  <si>
    <t xml:space="preserve">Observations</t>
  </si>
  <si>
    <t xml:space="preserve">Closing price (US$)</t>
  </si>
  <si>
    <t xml:space="preserve">Average price (US$)</t>
  </si>
  <si>
    <t xml:space="preserve">Minimum price (US$)</t>
  </si>
  <si>
    <t xml:space="preserve">Maximum price (US$)</t>
  </si>
  <si>
    <t xml:space="preserve">High / low ratio (x)</t>
  </si>
  <si>
    <t xml:space="preserve">Annual return</t>
  </si>
  <si>
    <t xml:space="preserve">Sum of log returns</t>
  </si>
  <si>
    <t xml:space="preserve">Note</t>
  </si>
  <si>
    <t xml:space="preserve">n/a</t>
  </si>
  <si>
    <t xml:space="preserve">Partial year: December only</t>
  </si>
  <si>
    <t xml:space="preserve">Partial year: to 26-Oct (YTD)</t>
  </si>
  <si>
    <t xml:space="preserve">Total / overall</t>
  </si>
  <si>
    <t xml:space="preserve">Mean annual return, 2015-2025 (full years)</t>
  </si>
  <si>
    <t xml:space="preserve">Median annual return, 2015-2025</t>
  </si>
  <si>
    <t xml:space="preserve">Best calendar year return</t>
  </si>
  <si>
    <t xml:space="preserve">Worst calendar year return</t>
  </si>
  <si>
    <t xml:space="preserve">Note: 2014 = December only; 2026 = year to 26 October. Source: Table 2.</t>
  </si>
  <si>
    <t xml:space="preserve">Number of positive years (of 11)</t>
  </si>
  <si>
    <t xml:space="preserve">Number of negative years (of 11)</t>
  </si>
  <si>
    <t xml:space="preserve">Note: Annual return = closing price / previous year's closing price - 1. Source: Author's calculations using FRED (2026).</t>
  </si>
  <si>
    <t xml:space="preserve">Source: Table 2 (closing price / previous closing price - 1).</t>
  </si>
  <si>
    <t xml:space="preserve">Objective 2: Magnitude, distribution and evolution of Bitcoin's price volatility</t>
  </si>
  <si>
    <t xml:space="preserve">RO2: To measure the scale and distribution of Bitcoin's daily return volatility and test whether volatility has declined as the market has matured and institutional access has expanded.</t>
  </si>
  <si>
    <t xml:space="preserve">Table 3: Descriptive statistics of daily log returns (20-Jan-2015 to 26-Oct-2026)</t>
  </si>
  <si>
    <t xml:space="preserve">Statistic</t>
  </si>
  <si>
    <t xml:space="preserve">Sample start</t>
  </si>
  <si>
    <t xml:space="preserve">Input on Clean_Data</t>
  </si>
  <si>
    <t xml:space="preserve">Sample end</t>
  </si>
  <si>
    <t xml:space="preserve">Number of daily returns (N)</t>
  </si>
  <si>
    <t xml:space="preserve">COUNT</t>
  </si>
  <si>
    <t xml:space="preserve">Mean daily log return</t>
  </si>
  <si>
    <t xml:space="preserve">AVERAGE</t>
  </si>
  <si>
    <t xml:space="preserve">Median daily log return</t>
  </si>
  <si>
    <t xml:space="preserve">MEDIAN</t>
  </si>
  <si>
    <t xml:space="preserve">Standard deviation (daily)</t>
  </si>
  <si>
    <t xml:space="preserve">STDEV.S (sample)</t>
  </si>
  <si>
    <t xml:space="preserve">Minimum daily return</t>
  </si>
  <si>
    <t xml:space="preserve">MIN</t>
  </si>
  <si>
    <t xml:space="preserve">Maximum daily return</t>
  </si>
  <si>
    <t xml:space="preserve">MAX</t>
  </si>
  <si>
    <t xml:space="preserve">Annualised mean return</t>
  </si>
  <si>
    <t xml:space="preserve">Mean x 365</t>
  </si>
  <si>
    <t xml:space="preserve">Annualised volatility</t>
  </si>
  <si>
    <t xml:space="preserve">SD x SQRT(365)</t>
  </si>
  <si>
    <t xml:space="preserve">Coefficient of variation</t>
  </si>
  <si>
    <t xml:space="preserve">SD / mean</t>
  </si>
  <si>
    <t xml:space="preserve">Skewness</t>
  </si>
  <si>
    <t xml:space="preserve">SKEW</t>
  </si>
  <si>
    <t xml:space="preserve">Excess kurtosis</t>
  </si>
  <si>
    <t xml:space="preserve">KURT (normal = 0)</t>
  </si>
  <si>
    <t xml:space="preserve">Jarque-Bera statistic</t>
  </si>
  <si>
    <t xml:space="preserve">N/6 x (S^2 + K^2/4)</t>
  </si>
  <si>
    <t xml:space="preserve">JB critical value (5%, 2 df)</t>
  </si>
  <si>
    <t xml:space="preserve">CHISQ.INV.RT(0.05, 2)</t>
  </si>
  <si>
    <t xml:space="preserve">JB p-value</t>
  </si>
  <si>
    <t xml:space="preserve">CHISQ.DIST.RT(JB, 2)</t>
  </si>
  <si>
    <t xml:space="preserve">Normality decision (5% level)</t>
  </si>
  <si>
    <t xml:space="preserve">IF p &lt; 0.05</t>
  </si>
  <si>
    <t xml:space="preserve">Share of positive days</t>
  </si>
  <si>
    <t xml:space="preserve">COUNTIF(&gt;0) / N</t>
  </si>
  <si>
    <t xml:space="preserve">Extreme-move threshold (absolute daily return)</t>
  </si>
  <si>
    <t xml:space="preserve">Input</t>
  </si>
  <si>
    <t xml:space="preserve">Source: Table 4 (daily SD x SQRT(365)); 2026 to 26 October.</t>
  </si>
  <si>
    <t xml:space="preserve">Days beyond threshold: observed</t>
  </si>
  <si>
    <t xml:space="preserve">COUNTIF(&gt;x) + COUNTIF(&lt;-x)</t>
  </si>
  <si>
    <t xml:space="preserve">Days beyond threshold: expected if normal</t>
  </si>
  <si>
    <t xml:space="preserve">N x tail probability of NORM.DIST</t>
  </si>
  <si>
    <t xml:space="preserve">Fat-tail ratio (observed / normal)</t>
  </si>
  <si>
    <t xml:space="preserve">Observed / expected</t>
  </si>
  <si>
    <t xml:space="preserve">Second threshold (absolute daily return)</t>
  </si>
  <si>
    <t xml:space="preserve">Source: Author's calculations using FRED (2026). Log return = LN(Pt / Pt-1); consecutive calendar days only.</t>
  </si>
  <si>
    <t xml:space="preserve">Table 4: Annual volatility profile of daily log returns, 2015-2026</t>
  </si>
  <si>
    <t xml:space="preserve">N (days)</t>
  </si>
  <si>
    <t xml:space="preserve">Daily standard deviation</t>
  </si>
  <si>
    <t xml:space="preserve">Largest daily gain</t>
  </si>
  <si>
    <t xml:space="preserve">Largest daily loss</t>
  </si>
  <si>
    <t xml:space="preserve">Days with |return| &gt; 5%</t>
  </si>
  <si>
    <t xml:space="preserve">% of days with |return| &gt; 5%</t>
  </si>
  <si>
    <t xml:space="preserve">Share of up days</t>
  </si>
  <si>
    <t xml:space="preserve">Source: Clean_Data column M (STDEV.S of 30 daily log returns x SQRT(365)).</t>
  </si>
  <si>
    <t xml:space="preserve">Full sample</t>
  </si>
  <si>
    <t xml:space="preserve">Note: Daily SD = SQRT((SUMIFS of squared returns - N x mean^2)/(N-1)), the sample standard deviation by year; annualised = daily SD x SQRT(365). 2026 = to 26 October.</t>
  </si>
  <si>
    <t xml:space="preserve">Table 5: Has volatility declined? Variance-ratio (F) test and volatility trend</t>
  </si>
  <si>
    <t xml:space="preserve">Period 1</t>
  </si>
  <si>
    <t xml:space="preserve">Period 2</t>
  </si>
  <si>
    <t xml:space="preserve">First year of period</t>
  </si>
  <si>
    <t xml:space="preserve">Last year of period</t>
  </si>
  <si>
    <t xml:space="preserve">Variance of daily returns</t>
  </si>
  <si>
    <t xml:space="preserve">Change in annualised volatility (Period 2 vs Period 1)</t>
  </si>
  <si>
    <t xml:space="preserve">pp change | % change</t>
  </si>
  <si>
    <t xml:space="preserve">F statistic (larger variance / smaller variance)</t>
  </si>
  <si>
    <t xml:space="preserve">Degrees of freedom (numerator, denominator)</t>
  </si>
  <si>
    <t xml:space="preserve">p-value (two-tailed)</t>
  </si>
  <si>
    <t xml:space="preserve">Decision (5% level)</t>
  </si>
  <si>
    <t xml:space="preserve">Trend in annual volatility, 2015-2025 (pp per year)</t>
  </si>
  <si>
    <t xml:space="preserve">SLOPE of Table 4 annualised volatility on year</t>
  </si>
  <si>
    <t xml:space="preserve">Correlation of annual volatility with year</t>
  </si>
  <si>
    <t xml:space="preserve">CORREL (Pearson r)</t>
  </si>
  <si>
    <t xml:space="preserve">R-squared of volatility trend</t>
  </si>
  <si>
    <t xml:space="preserve">Annualised volatility, latest 365 days</t>
  </si>
  <si>
    <t xml:space="preserve">STDEV.S of last 365 daily returns x SQRT(365)</t>
  </si>
  <si>
    <t xml:space="preserve">Source: Table 6. The observed distribution is more peaked with fatter tails than the normal curve.</t>
  </si>
  <si>
    <t xml:space="preserve">Note: The F-test assumes normality; given the non-normality in Table 3 the p-value is indicative. Period-year inputs (blue) can be changed.</t>
  </si>
  <si>
    <t xml:space="preserve">Table 6: Frequency distribution of daily log returns vs the normal distribution</t>
  </si>
  <si>
    <t xml:space="preserve">Bin label (lower bound, %)</t>
  </si>
  <si>
    <t xml:space="preserve">Lower bound</t>
  </si>
  <si>
    <t xml:space="preserve">Upper bound</t>
  </si>
  <si>
    <t xml:space="preserve">Observed frequency</t>
  </si>
  <si>
    <t xml:space="preserve">Observed %</t>
  </si>
  <si>
    <t xml:space="preserve">Expected frequency (normal)</t>
  </si>
  <si>
    <t xml:space="preserve">Expected % (normal)</t>
  </si>
  <si>
    <t xml:space="preserve">Total</t>
  </si>
  <si>
    <t xml:space="preserve">Note: Bins are 1 percentage point wide (lower bound inclusive); outer bins (bounds +/-100%) capture all returns beyond +/-15%. Expected frequency = N x [NORM.DIST(upper) - NORM.DIST(lower)] using the Table 3 mean and SD.</t>
  </si>
  <si>
    <t xml:space="preserve">Objective 3: Downside risk - Value at Risk, Expected Shortfall and drawdowns</t>
  </si>
  <si>
    <t xml:space="preserve">RO3: To quantify Bitcoin's downside risk using measures applied by financial institutions and assess the implications for treasury holdings, crypto payment acceptance and capital planning.</t>
  </si>
  <si>
    <t xml:space="preserve">Table 7: One-day Value at Risk (VaR) and Expected Shortfall (ES), daily simple returns</t>
  </si>
  <si>
    <t xml:space="preserve">95% confidence</t>
  </si>
  <si>
    <t xml:space="preserve">99% confidence</t>
  </si>
  <si>
    <t xml:space="preserve">Confidence level</t>
  </si>
  <si>
    <t xml:space="preserve">Tail probability</t>
  </si>
  <si>
    <t xml:space="preserve">1 - confidence</t>
  </si>
  <si>
    <t xml:space="preserve">Mean daily return</t>
  </si>
  <si>
    <t xml:space="preserve">STDEV.S</t>
  </si>
  <si>
    <t xml:space="preserve">Historical VaR (loss)</t>
  </si>
  <si>
    <t xml:space="preserve">-PERCENTILE.INC(returns, tail)</t>
  </si>
  <si>
    <t xml:space="preserve">Parametric (normal) VaR (loss)</t>
  </si>
  <si>
    <t xml:space="preserve">-(mean + NORM.S.INV(tail) x SD)</t>
  </si>
  <si>
    <t xml:space="preserve">Historical Expected Shortfall (loss)</t>
  </si>
  <si>
    <t xml:space="preserve">-AVERAGEIF(returns &lt;= -VaR)</t>
  </si>
  <si>
    <t xml:space="preserve">Parametric (normal) Expected Shortfall</t>
  </si>
  <si>
    <t xml:space="preserve">-(mean - SD x pdf(z)/tail)</t>
  </si>
  <si>
    <t xml:space="preserve">Historical / normal VaR ratio</t>
  </si>
  <si>
    <t xml:space="preserve">Model under/over-statement</t>
  </si>
  <si>
    <t xml:space="preserve">Backtest: days with loss &gt; normal VaR</t>
  </si>
  <si>
    <t xml:space="preserve">COUNTIF(returns &lt; -normal VaR)</t>
  </si>
  <si>
    <t xml:space="preserve">Backtest: expected exceedances</t>
  </si>
  <si>
    <t xml:space="preserve">N x tail probability</t>
  </si>
  <si>
    <t xml:space="preserve">Exceedance ratio (actual / expected)</t>
  </si>
  <si>
    <t xml:space="preserve">&gt;1 = normal model understates risk</t>
  </si>
  <si>
    <t xml:space="preserve">Note: VaR and ES are reported as positive loss percentages of position value over one day. Simple return = Pt / Pt-1 - 1 (consecutive days from 20-Jan-2015).</t>
  </si>
  <si>
    <t xml:space="preserve">Table 8: Illustrative loss exposure for a US$1 million Bitcoin position</t>
  </si>
  <si>
    <t xml:space="preserve">Position value (US$)</t>
  </si>
  <si>
    <t xml:space="preserve">Input (e.g. corporate treasury or bank exposure)</t>
  </si>
  <si>
    <t xml:space="preserve">Holding period for regulatory-style VaR (days)</t>
  </si>
  <si>
    <t xml:space="preserve">Input (Basel market-risk convention)</t>
  </si>
  <si>
    <t xml:space="preserve">Source: Clean_Data column L (price / running peak - 1).</t>
  </si>
  <si>
    <t xml:space="preserve">1-day historical VaR (US$)</t>
  </si>
  <si>
    <t xml:space="preserve">Position x historical VaR</t>
  </si>
  <si>
    <t xml:space="preserve">1-day historical Expected Shortfall (US$)</t>
  </si>
  <si>
    <t xml:space="preserve">Position x historical ES</t>
  </si>
  <si>
    <t xml:space="preserve">10-day VaR, square-root-of-time (US$)</t>
  </si>
  <si>
    <t xml:space="preserve">1-day VaR x SQRT(10)</t>
  </si>
  <si>
    <t xml:space="preserve">Basel risk weight, Group 2 cryptoassets</t>
  </si>
  <si>
    <t xml:space="preserve">Input: BCBS (2022) - 1250% risk weight</t>
  </si>
  <si>
    <t xml:space="preserve">Minimum total capital ratio</t>
  </si>
  <si>
    <t xml:space="preserve">Input: Basel III minimum (8%)</t>
  </si>
  <si>
    <t xml:space="preserve">Capital required under Basel treatment (US$)</t>
  </si>
  <si>
    <t xml:space="preserve">Position x risk weight x 8%</t>
  </si>
  <si>
    <t xml:space="preserve">Capital / 10-day 99% VaR (x)</t>
  </si>
  <si>
    <t xml:space="preserve">Prudential buffer relative to statistical VaR</t>
  </si>
  <si>
    <t xml:space="preserve">Note: Blue cells are inputs. Square-root-of-time scaling assumes independent returns and understates risk when tails are fat (see Table 7).</t>
  </si>
  <si>
    <t xml:space="preserve">Table 9: Probability of loss by holding horizon (settlement / treasury risk)</t>
  </si>
  <si>
    <t xml:space="preserve">Holding horizon</t>
  </si>
  <si>
    <t xml:space="preserve">N (windows)</t>
  </si>
  <si>
    <t xml:space="preserve">P(any loss)</t>
  </si>
  <si>
    <t xml:space="preserve">P(loss &gt; 5%)</t>
  </si>
  <si>
    <t xml:space="preserve">P(loss &gt; 10%)</t>
  </si>
  <si>
    <t xml:space="preserve">P(loss &gt; 20%)</t>
  </si>
  <si>
    <t xml:space="preserve">5th percentile return</t>
  </si>
  <si>
    <t xml:space="preserve">Worst return</t>
  </si>
  <si>
    <t xml:space="preserve">Best return</t>
  </si>
  <si>
    <t xml:space="preserve">Loss threshold (input)</t>
  </si>
  <si>
    <t xml:space="preserve">1 day</t>
  </si>
  <si>
    <t xml:space="preserve">7 days</t>
  </si>
  <si>
    <t xml:space="preserve">30 days</t>
  </si>
  <si>
    <t xml:space="preserve">Note: 7- and 30-day returns use overlapping daily windows (Clean_Data columns N and O). Relevant to businesses holding crypto receipts before conversion to fiat.</t>
  </si>
  <si>
    <t xml:space="preserve">Table 10: Maximum drawdown and major drawdown episodes</t>
  </si>
  <si>
    <t xml:space="preserve">Episode</t>
  </si>
  <si>
    <t xml:space="preserve">Window start</t>
  </si>
  <si>
    <t xml:space="preserve">Window end</t>
  </si>
  <si>
    <t xml:space="preserve">Peak date</t>
  </si>
  <si>
    <t xml:space="preserve">Peak price (US$)</t>
  </si>
  <si>
    <t xml:space="preserve">Trough date</t>
  </si>
  <si>
    <t xml:space="preserve">Trough price (US$)</t>
  </si>
  <si>
    <t xml:space="preserve">Drawdown</t>
  </si>
  <si>
    <t xml:space="preserve">Days peak to trough</t>
  </si>
  <si>
    <t xml:space="preserve">Recovery date (new high)</t>
  </si>
  <si>
    <t xml:space="preserve">Days trough to recovery</t>
  </si>
  <si>
    <t xml:space="preserve">2017-18: post-ICO boom correction</t>
  </si>
  <si>
    <t xml:space="preserve">2019-20: incl. COVID-19 crash (Mar 2020)</t>
  </si>
  <si>
    <t xml:space="preserve">2021-22: Terra-Luna and FTX failures</t>
  </si>
  <si>
    <t xml:space="preserve">Source: Table 7. Historical tail losses exceed normal-model estimates at 99% confidence.</t>
  </si>
  <si>
    <t xml:space="preserve">2025-26: correction from Oct 2025 high</t>
  </si>
  <si>
    <t xml:space="preserve">Full-sample maximum drawdown</t>
  </si>
  <si>
    <t xml:space="preserve">Current drawdown from all-time high</t>
  </si>
  <si>
    <t xml:space="preserve">Share of days more than 50% below running peak</t>
  </si>
  <si>
    <t xml:space="preserve">Note: Peak = MAXIFS within window; trough = MINIFS after the peak; recovery = first later date with price &gt;= peak. Window dates (blue) are analyst inputs.</t>
  </si>
  <si>
    <t xml:space="preserve">Table 11: Risk-adjusted performance by year, 2015-2026</t>
  </si>
  <si>
    <t xml:space="preserve">Return / volatility ratio</t>
  </si>
  <si>
    <t xml:space="preserve">Deepest drawdown from all-time high</t>
  </si>
  <si>
    <t xml:space="preserve">Days with loss &gt; 5%</t>
  </si>
  <si>
    <t xml:space="preserve">Days with gain &gt; 5%</t>
  </si>
  <si>
    <t xml:space="preserve">Average 2015-2025</t>
  </si>
  <si>
    <t xml:space="preserve">Note: Green cells link to Obj1_Value and Obj2_Volatility. Ratio uses a zero risk-free rate. F and G totals cover 2015-2026. 2026 = year to date.</t>
  </si>
  <si>
    <t xml:space="preserve">Source: Table 9.</t>
  </si>
  <si>
    <t xml:space="preserve">Source: Table 11. Each point is one full calendar year.</t>
  </si>
  <si>
    <t xml:space="preserve">Summary of key empirical findings</t>
  </si>
  <si>
    <t xml:space="preserve">All values link to the objective worksheets (green = cross-sheet link).</t>
  </si>
  <si>
    <t xml:space="preserve">Table 12: Key findings by research objective</t>
  </si>
  <si>
    <t xml:space="preserve">Key metric</t>
  </si>
  <si>
    <t xml:space="preserve">Analytical reading</t>
  </si>
  <si>
    <t xml:space="preserve">Price multiple, Dec 2014 - Oct 2026</t>
  </si>
  <si>
    <t xml:space="preserve">Exceptional long-run value creation for early holders</t>
  </si>
  <si>
    <t xml:space="preserve">Growth far above traditional asset classes over the period</t>
  </si>
  <si>
    <t xml:space="preserve">Implied annual trend growth (log-linear)</t>
  </si>
  <si>
    <t xml:space="preserve">Strong upward trend, but growth rate is uneven across cycles</t>
  </si>
  <si>
    <t xml:space="preserve">Trend explains most of the variation in log price</t>
  </si>
  <si>
    <t xml:space="preserve">Negative calendar years (2015-2025)</t>
  </si>
  <si>
    <t xml:space="preserve">Value gains are interrupted by deep bear markets</t>
  </si>
  <si>
    <t xml:space="preserve">Market currently trades below its 2025 peak</t>
  </si>
  <si>
    <t xml:space="preserve">Annualised volatility, full sample</t>
  </si>
  <si>
    <t xml:space="preserve">Very high relative to traditional financial assets</t>
  </si>
  <si>
    <t xml:space="preserve">Excess kurtosis of daily returns</t>
  </si>
  <si>
    <t xml:space="preserve">Fat tails: extreme moves far more frequent than normal</t>
  </si>
  <si>
    <t xml:space="preserve">Jarque-Bera p-value</t>
  </si>
  <si>
    <t xml:space="preserve">Normality rejected - normal-based models are unreliable</t>
  </si>
  <si>
    <t xml:space="preserve">Fat-tail ratio, |daily move| &gt; 10%</t>
  </si>
  <si>
    <t xml:space="preserve">Very large moves occur far more often than a normal model predicts</t>
  </si>
  <si>
    <t xml:space="preserve">Annualised volatility, Period 1 (2015-2020)</t>
  </si>
  <si>
    <t xml:space="preserve">Earlier, less mature market</t>
  </si>
  <si>
    <t xml:space="preserve">Annualised volatility, Period 2 (2021-2026)</t>
  </si>
  <si>
    <t xml:space="preserve">Lower volatility in the institutional era</t>
  </si>
  <si>
    <t xml:space="preserve">F-test p-value (Period 1 vs 2)</t>
  </si>
  <si>
    <t xml:space="preserve">Tests whether the decline is statistically significant</t>
  </si>
  <si>
    <t xml:space="preserve">Current volatility regime</t>
  </si>
  <si>
    <t xml:space="preserve">1-day historical VaR (99%)</t>
  </si>
  <si>
    <t xml:space="preserve">Loss exceeded on about 1 day in 100</t>
  </si>
  <si>
    <t xml:space="preserve">1-day historical Expected Shortfall (99%)</t>
  </si>
  <si>
    <t xml:space="preserve">Average loss on the worst 1% of days</t>
  </si>
  <si>
    <t xml:space="preserve">Normal-VaR exceedance ratio (99%)</t>
  </si>
  <si>
    <t xml:space="preserve">Normal model understates tail risk</t>
  </si>
  <si>
    <t xml:space="preserve">10-day 99% VaR on US$1m position</t>
  </si>
  <si>
    <t xml:space="preserve">Regulatory-horizon loss estimate</t>
  </si>
  <si>
    <t xml:space="preserve">Probability of &gt;10% loss over 30 days</t>
  </si>
  <si>
    <t xml:space="preserve">Settlement / treasury risk for businesses</t>
  </si>
  <si>
    <t xml:space="preserve">Worst peak-to-trough loss in the sample</t>
  </si>
  <si>
    <t xml:space="preserve">Unrealised loss for buyers at the 2025 peak</t>
  </si>
  <si>
    <t xml:space="preserve">Source: Author's calculations using FRED (2026) series CBBTCUSD.</t>
  </si>
  <si>
    <t xml:space="preserve">Formula integrity checks</t>
  </si>
  <si>
    <t xml:space="preserve">Independent formula routes should give identical results; status shows OK when |difference| &lt; 0.000001.</t>
  </si>
  <si>
    <t xml:space="preserve">Check</t>
  </si>
  <si>
    <t xml:space="preserve">Route 1</t>
  </si>
  <si>
    <t xml:space="preserve">Route 2</t>
  </si>
  <si>
    <t xml:space="preserve">Difference</t>
  </si>
  <si>
    <t xml:space="preserve">Status</t>
  </si>
  <si>
    <t xml:space="preserve">Raw observations = clean observations</t>
  </si>
  <si>
    <t xml:space="preserve">Sum of annual observations = total observations</t>
  </si>
  <si>
    <t xml:space="preserve">Cumulative log return: SUM of returns = LN(latest/opening)</t>
  </si>
  <si>
    <t xml:space="preserve">Sum of annual log returns = cumulative log return</t>
  </si>
  <si>
    <t xml:space="preserve">Max of annual maxima = all-time high</t>
  </si>
  <si>
    <t xml:space="preserve">Full-sample SD: SUMIFS route = STDEV.S</t>
  </si>
  <si>
    <t xml:space="preserve">Annual N in Table 4 sums to N in Table 3</t>
  </si>
  <si>
    <t xml:space="preserve">Histogram frequencies sum to N</t>
  </si>
  <si>
    <t xml:space="preserve">Analysis-sample returns = consecutive days from start date</t>
  </si>
  <si>
    <t xml:space="preserve">Simple-return count = log-return count</t>
  </si>
  <si>
    <t xml:space="preserve">All checks passed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</si>
</sst>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dd\-mmm\-yyyy"/>
    <numFmt numFmtId="166" formatCode="\$#,##0.00"/>
    <numFmt numFmtId="167" formatCode="#,##0"/>
    <numFmt numFmtId="168" formatCode="0.00%"/>
    <numFmt numFmtId="169" formatCode="0"/>
    <numFmt numFmtId="170" formatCode="0.0000"/>
    <numFmt numFmtId="171" formatCode="0.000000"/>
    <numFmt numFmtId="172" formatCode="0.00"/>
    <numFmt numFmtId="173" formatCode="0.0%"/>
    <numFmt numFmtId="174" formatCode="0.0\x"/>
    <numFmt numFmtId="175" formatCode="0.000"/>
    <numFmt numFmtId="176" formatCode="yyyy"/>
    <numFmt numFmtId="177" formatCode="\$#,##0"/>
    <numFmt numFmtId="178" formatCode="0%"/>
    <numFmt numFmtId="179" formatCode="0.000%"/>
    <numFmt numFmtId="180" formatCode="#,##0.0"/>
    <numFmt numFmtId="181" formatCode="0.00\x"/>
    <numFmt numFmtId="182" formatCode="#,##0.00"/>
    <numFmt numFmtId="183" formatCode="#,##0.0\x"/>
    <numFmt numFmtId="184" formatCode="0.0000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.5"/>
      <color rgb="FF000000"/>
      <name val="Arial"/>
      <family val="2"/>
    </font>
    <font>
      <sz val="8"/>
      <color rgb="FF000000"/>
      <name val="Arial"/>
      <family val="2"/>
    </font>
    <font>
      <b val="true"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9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3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50" spc="-1" strike="noStrike">
                <a:solidFill>
                  <a:srgbClr val="000000"/>
                </a:solidFill>
                <a:latin typeface="Arial"/>
              </a:defRPr>
            </a:pPr>
            <a:r>
              <a:rPr b="1" sz="1050" spc="-1" strike="noStrike">
                <a:solidFill>
                  <a:srgbClr val="000000"/>
                </a:solidFill>
                <a:latin typeface="Arial"/>
              </a:rPr>
              <a:t>Figure 1: Bitcoin daily price and 200-day moving average, Dec 2014 - Oct 2026 (log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"Daily price (US$)"</c:f>
              <c:strCache>
                <c:ptCount val="1"/>
                <c:pt idx="0">
                  <c:v>Daily price (US$)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Clean_Data!$A$2:$A$4314</c:f>
              <c:numCache>
                <c:formatCode>dd\-mmm\-yyyy</c:formatCode>
                <c:ptCount val="4313"/>
                <c:pt idx="0">
                  <c:v>41974</c:v>
                </c:pt>
                <c:pt idx="1">
                  <c:v>41975</c:v>
                </c:pt>
                <c:pt idx="2">
                  <c:v>41976</c:v>
                </c:pt>
                <c:pt idx="3">
                  <c:v>41977</c:v>
                </c:pt>
                <c:pt idx="4">
                  <c:v>41979</c:v>
                </c:pt>
                <c:pt idx="5">
                  <c:v>41981</c:v>
                </c:pt>
                <c:pt idx="6">
                  <c:v>41983</c:v>
                </c:pt>
                <c:pt idx="7">
                  <c:v>41985</c:v>
                </c:pt>
                <c:pt idx="8">
                  <c:v>41991</c:v>
                </c:pt>
                <c:pt idx="9">
                  <c:v>42012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42023</c:v>
                </c:pt>
                <c:pt idx="16">
                  <c:v>42024</c:v>
                </c:pt>
                <c:pt idx="17">
                  <c:v>42025</c:v>
                </c:pt>
                <c:pt idx="18">
                  <c:v>42026</c:v>
                </c:pt>
                <c:pt idx="19">
                  <c:v>42027</c:v>
                </c:pt>
                <c:pt idx="20">
                  <c:v>42028</c:v>
                </c:pt>
                <c:pt idx="21">
                  <c:v>42029</c:v>
                </c:pt>
                <c:pt idx="22">
                  <c:v>42030</c:v>
                </c:pt>
                <c:pt idx="23">
                  <c:v>42031</c:v>
                </c:pt>
                <c:pt idx="24">
                  <c:v>42032</c:v>
                </c:pt>
                <c:pt idx="25">
                  <c:v>42033</c:v>
                </c:pt>
                <c:pt idx="26">
                  <c:v>42034</c:v>
                </c:pt>
                <c:pt idx="27">
                  <c:v>42035</c:v>
                </c:pt>
                <c:pt idx="28">
                  <c:v>42036</c:v>
                </c:pt>
                <c:pt idx="29">
                  <c:v>42037</c:v>
                </c:pt>
                <c:pt idx="30">
                  <c:v>42038</c:v>
                </c:pt>
                <c:pt idx="31">
                  <c:v>42039</c:v>
                </c:pt>
                <c:pt idx="32">
                  <c:v>42040</c:v>
                </c:pt>
                <c:pt idx="33">
                  <c:v>42041</c:v>
                </c:pt>
                <c:pt idx="34">
                  <c:v>42042</c:v>
                </c:pt>
                <c:pt idx="35">
                  <c:v>42043</c:v>
                </c:pt>
                <c:pt idx="36">
                  <c:v>42044</c:v>
                </c:pt>
                <c:pt idx="37">
                  <c:v>42045</c:v>
                </c:pt>
                <c:pt idx="38">
                  <c:v>42046</c:v>
                </c:pt>
                <c:pt idx="39">
                  <c:v>42047</c:v>
                </c:pt>
                <c:pt idx="40">
                  <c:v>42048</c:v>
                </c:pt>
                <c:pt idx="41">
                  <c:v>42049</c:v>
                </c:pt>
                <c:pt idx="42">
                  <c:v>42050</c:v>
                </c:pt>
                <c:pt idx="43">
                  <c:v>42051</c:v>
                </c:pt>
                <c:pt idx="44">
                  <c:v>42052</c:v>
                </c:pt>
                <c:pt idx="45">
                  <c:v>42053</c:v>
                </c:pt>
                <c:pt idx="46">
                  <c:v>42054</c:v>
                </c:pt>
                <c:pt idx="47">
                  <c:v>42055</c:v>
                </c:pt>
                <c:pt idx="48">
                  <c:v>42056</c:v>
                </c:pt>
                <c:pt idx="49">
                  <c:v>42057</c:v>
                </c:pt>
                <c:pt idx="50">
                  <c:v>42058</c:v>
                </c:pt>
                <c:pt idx="51">
                  <c:v>42059</c:v>
                </c:pt>
                <c:pt idx="52">
                  <c:v>42060</c:v>
                </c:pt>
                <c:pt idx="53">
                  <c:v>42061</c:v>
                </c:pt>
                <c:pt idx="54">
                  <c:v>42062</c:v>
                </c:pt>
                <c:pt idx="55">
                  <c:v>42063</c:v>
                </c:pt>
                <c:pt idx="56">
                  <c:v>42064</c:v>
                </c:pt>
                <c:pt idx="57">
                  <c:v>42065</c:v>
                </c:pt>
                <c:pt idx="58">
                  <c:v>42066</c:v>
                </c:pt>
                <c:pt idx="59">
                  <c:v>42067</c:v>
                </c:pt>
                <c:pt idx="60">
                  <c:v>42068</c:v>
                </c:pt>
                <c:pt idx="61">
                  <c:v>42069</c:v>
                </c:pt>
                <c:pt idx="62">
                  <c:v>42070</c:v>
                </c:pt>
                <c:pt idx="63">
                  <c:v>42071</c:v>
                </c:pt>
                <c:pt idx="64">
                  <c:v>42072</c:v>
                </c:pt>
                <c:pt idx="65">
                  <c:v>42073</c:v>
                </c:pt>
                <c:pt idx="66">
                  <c:v>42074</c:v>
                </c:pt>
                <c:pt idx="67">
                  <c:v>42075</c:v>
                </c:pt>
                <c:pt idx="68">
                  <c:v>42076</c:v>
                </c:pt>
                <c:pt idx="69">
                  <c:v>42077</c:v>
                </c:pt>
                <c:pt idx="70">
                  <c:v>42078</c:v>
                </c:pt>
                <c:pt idx="71">
                  <c:v>42079</c:v>
                </c:pt>
                <c:pt idx="72">
                  <c:v>42080</c:v>
                </c:pt>
                <c:pt idx="73">
                  <c:v>42081</c:v>
                </c:pt>
                <c:pt idx="74">
                  <c:v>42082</c:v>
                </c:pt>
                <c:pt idx="75">
                  <c:v>42083</c:v>
                </c:pt>
                <c:pt idx="76">
                  <c:v>42084</c:v>
                </c:pt>
                <c:pt idx="77">
                  <c:v>42085</c:v>
                </c:pt>
                <c:pt idx="78">
                  <c:v>42086</c:v>
                </c:pt>
                <c:pt idx="79">
                  <c:v>42087</c:v>
                </c:pt>
                <c:pt idx="80">
                  <c:v>42088</c:v>
                </c:pt>
                <c:pt idx="81">
                  <c:v>42089</c:v>
                </c:pt>
                <c:pt idx="82">
                  <c:v>42090</c:v>
                </c:pt>
                <c:pt idx="83">
                  <c:v>42091</c:v>
                </c:pt>
                <c:pt idx="84">
                  <c:v>42092</c:v>
                </c:pt>
                <c:pt idx="85">
                  <c:v>42093</c:v>
                </c:pt>
                <c:pt idx="86">
                  <c:v>42094</c:v>
                </c:pt>
                <c:pt idx="87">
                  <c:v>42095</c:v>
                </c:pt>
                <c:pt idx="88">
                  <c:v>42096</c:v>
                </c:pt>
                <c:pt idx="89">
                  <c:v>42097</c:v>
                </c:pt>
                <c:pt idx="90">
                  <c:v>42098</c:v>
                </c:pt>
                <c:pt idx="91">
                  <c:v>42099</c:v>
                </c:pt>
                <c:pt idx="92">
                  <c:v>42100</c:v>
                </c:pt>
                <c:pt idx="93">
                  <c:v>42101</c:v>
                </c:pt>
                <c:pt idx="94">
                  <c:v>42102</c:v>
                </c:pt>
                <c:pt idx="95">
                  <c:v>42103</c:v>
                </c:pt>
                <c:pt idx="96">
                  <c:v>42104</c:v>
                </c:pt>
                <c:pt idx="97">
                  <c:v>42105</c:v>
                </c:pt>
                <c:pt idx="98">
                  <c:v>42106</c:v>
                </c:pt>
                <c:pt idx="99">
                  <c:v>42107</c:v>
                </c:pt>
                <c:pt idx="100">
                  <c:v>42108</c:v>
                </c:pt>
                <c:pt idx="101">
                  <c:v>42109</c:v>
                </c:pt>
                <c:pt idx="102">
                  <c:v>42110</c:v>
                </c:pt>
                <c:pt idx="103">
                  <c:v>42111</c:v>
                </c:pt>
                <c:pt idx="104">
                  <c:v>42112</c:v>
                </c:pt>
                <c:pt idx="105">
                  <c:v>42113</c:v>
                </c:pt>
                <c:pt idx="106">
                  <c:v>42114</c:v>
                </c:pt>
                <c:pt idx="107">
                  <c:v>42115</c:v>
                </c:pt>
                <c:pt idx="108">
                  <c:v>42116</c:v>
                </c:pt>
                <c:pt idx="109">
                  <c:v>42117</c:v>
                </c:pt>
                <c:pt idx="110">
                  <c:v>42118</c:v>
                </c:pt>
                <c:pt idx="111">
                  <c:v>42119</c:v>
                </c:pt>
                <c:pt idx="112">
                  <c:v>42120</c:v>
                </c:pt>
                <c:pt idx="113">
                  <c:v>42121</c:v>
                </c:pt>
                <c:pt idx="114">
                  <c:v>42122</c:v>
                </c:pt>
                <c:pt idx="115">
                  <c:v>42123</c:v>
                </c:pt>
                <c:pt idx="116">
                  <c:v>42124</c:v>
                </c:pt>
                <c:pt idx="117">
                  <c:v>42125</c:v>
                </c:pt>
                <c:pt idx="118">
                  <c:v>42126</c:v>
                </c:pt>
                <c:pt idx="119">
                  <c:v>42127</c:v>
                </c:pt>
                <c:pt idx="120">
                  <c:v>42128</c:v>
                </c:pt>
                <c:pt idx="121">
                  <c:v>42129</c:v>
                </c:pt>
                <c:pt idx="122">
                  <c:v>42130</c:v>
                </c:pt>
                <c:pt idx="123">
                  <c:v>42131</c:v>
                </c:pt>
                <c:pt idx="124">
                  <c:v>42132</c:v>
                </c:pt>
                <c:pt idx="125">
                  <c:v>42133</c:v>
                </c:pt>
                <c:pt idx="126">
                  <c:v>42134</c:v>
                </c:pt>
                <c:pt idx="127">
                  <c:v>42135</c:v>
                </c:pt>
                <c:pt idx="128">
                  <c:v>42136</c:v>
                </c:pt>
                <c:pt idx="129">
                  <c:v>42137</c:v>
                </c:pt>
                <c:pt idx="130">
                  <c:v>42138</c:v>
                </c:pt>
                <c:pt idx="131">
                  <c:v>42139</c:v>
                </c:pt>
                <c:pt idx="132">
                  <c:v>42140</c:v>
                </c:pt>
                <c:pt idx="133">
                  <c:v>42141</c:v>
                </c:pt>
                <c:pt idx="134">
                  <c:v>42142</c:v>
                </c:pt>
                <c:pt idx="135">
                  <c:v>42143</c:v>
                </c:pt>
                <c:pt idx="136">
                  <c:v>42144</c:v>
                </c:pt>
                <c:pt idx="137">
                  <c:v>42145</c:v>
                </c:pt>
                <c:pt idx="138">
                  <c:v>42146</c:v>
                </c:pt>
                <c:pt idx="139">
                  <c:v>42147</c:v>
                </c:pt>
                <c:pt idx="140">
                  <c:v>42148</c:v>
                </c:pt>
                <c:pt idx="141">
                  <c:v>42149</c:v>
                </c:pt>
                <c:pt idx="142">
                  <c:v>42150</c:v>
                </c:pt>
                <c:pt idx="143">
                  <c:v>42151</c:v>
                </c:pt>
                <c:pt idx="144">
                  <c:v>42152</c:v>
                </c:pt>
                <c:pt idx="145">
                  <c:v>42153</c:v>
                </c:pt>
                <c:pt idx="146">
                  <c:v>42154</c:v>
                </c:pt>
                <c:pt idx="147">
                  <c:v>42155</c:v>
                </c:pt>
                <c:pt idx="148">
                  <c:v>42156</c:v>
                </c:pt>
                <c:pt idx="149">
                  <c:v>42157</c:v>
                </c:pt>
                <c:pt idx="150">
                  <c:v>42158</c:v>
                </c:pt>
                <c:pt idx="151">
                  <c:v>42159</c:v>
                </c:pt>
                <c:pt idx="152">
                  <c:v>42160</c:v>
                </c:pt>
                <c:pt idx="153">
                  <c:v>42161</c:v>
                </c:pt>
                <c:pt idx="154">
                  <c:v>42162</c:v>
                </c:pt>
                <c:pt idx="155">
                  <c:v>42163</c:v>
                </c:pt>
                <c:pt idx="156">
                  <c:v>42164</c:v>
                </c:pt>
                <c:pt idx="157">
                  <c:v>42165</c:v>
                </c:pt>
                <c:pt idx="158">
                  <c:v>42166</c:v>
                </c:pt>
                <c:pt idx="159">
                  <c:v>42167</c:v>
                </c:pt>
                <c:pt idx="160">
                  <c:v>42168</c:v>
                </c:pt>
                <c:pt idx="161">
                  <c:v>42169</c:v>
                </c:pt>
                <c:pt idx="162">
                  <c:v>42170</c:v>
                </c:pt>
                <c:pt idx="163">
                  <c:v>42171</c:v>
                </c:pt>
                <c:pt idx="164">
                  <c:v>42172</c:v>
                </c:pt>
                <c:pt idx="165">
                  <c:v>42173</c:v>
                </c:pt>
                <c:pt idx="166">
                  <c:v>42174</c:v>
                </c:pt>
                <c:pt idx="167">
                  <c:v>42175</c:v>
                </c:pt>
                <c:pt idx="168">
                  <c:v>42176</c:v>
                </c:pt>
                <c:pt idx="169">
                  <c:v>42177</c:v>
                </c:pt>
                <c:pt idx="170">
                  <c:v>42178</c:v>
                </c:pt>
                <c:pt idx="171">
                  <c:v>42179</c:v>
                </c:pt>
                <c:pt idx="172">
                  <c:v>42180</c:v>
                </c:pt>
                <c:pt idx="173">
                  <c:v>42181</c:v>
                </c:pt>
                <c:pt idx="174">
                  <c:v>42182</c:v>
                </c:pt>
                <c:pt idx="175">
                  <c:v>42183</c:v>
                </c:pt>
                <c:pt idx="176">
                  <c:v>42184</c:v>
                </c:pt>
                <c:pt idx="177">
                  <c:v>42185</c:v>
                </c:pt>
                <c:pt idx="178">
                  <c:v>42186</c:v>
                </c:pt>
                <c:pt idx="179">
                  <c:v>42187</c:v>
                </c:pt>
                <c:pt idx="180">
                  <c:v>42188</c:v>
                </c:pt>
                <c:pt idx="181">
                  <c:v>42189</c:v>
                </c:pt>
                <c:pt idx="182">
                  <c:v>42190</c:v>
                </c:pt>
                <c:pt idx="183">
                  <c:v>42191</c:v>
                </c:pt>
                <c:pt idx="184">
                  <c:v>42192</c:v>
                </c:pt>
                <c:pt idx="185">
                  <c:v>42193</c:v>
                </c:pt>
                <c:pt idx="186">
                  <c:v>42194</c:v>
                </c:pt>
                <c:pt idx="187">
                  <c:v>42195</c:v>
                </c:pt>
                <c:pt idx="188">
                  <c:v>42196</c:v>
                </c:pt>
                <c:pt idx="189">
                  <c:v>42197</c:v>
                </c:pt>
                <c:pt idx="190">
                  <c:v>42198</c:v>
                </c:pt>
                <c:pt idx="191">
                  <c:v>42199</c:v>
                </c:pt>
                <c:pt idx="192">
                  <c:v>42200</c:v>
                </c:pt>
                <c:pt idx="193">
                  <c:v>42201</c:v>
                </c:pt>
                <c:pt idx="194">
                  <c:v>42202</c:v>
                </c:pt>
                <c:pt idx="195">
                  <c:v>42203</c:v>
                </c:pt>
                <c:pt idx="196">
                  <c:v>42204</c:v>
                </c:pt>
                <c:pt idx="197">
                  <c:v>42205</c:v>
                </c:pt>
                <c:pt idx="198">
                  <c:v>42206</c:v>
                </c:pt>
                <c:pt idx="199">
                  <c:v>42207</c:v>
                </c:pt>
                <c:pt idx="200">
                  <c:v>42208</c:v>
                </c:pt>
                <c:pt idx="201">
                  <c:v>42209</c:v>
                </c:pt>
                <c:pt idx="202">
                  <c:v>42210</c:v>
                </c:pt>
                <c:pt idx="203">
                  <c:v>42211</c:v>
                </c:pt>
                <c:pt idx="204">
                  <c:v>42212</c:v>
                </c:pt>
                <c:pt idx="205">
                  <c:v>42213</c:v>
                </c:pt>
                <c:pt idx="206">
                  <c:v>42214</c:v>
                </c:pt>
                <c:pt idx="207">
                  <c:v>42215</c:v>
                </c:pt>
                <c:pt idx="208">
                  <c:v>42216</c:v>
                </c:pt>
                <c:pt idx="209">
                  <c:v>42217</c:v>
                </c:pt>
                <c:pt idx="210">
                  <c:v>42218</c:v>
                </c:pt>
                <c:pt idx="211">
                  <c:v>42219</c:v>
                </c:pt>
                <c:pt idx="212">
                  <c:v>42220</c:v>
                </c:pt>
                <c:pt idx="213">
                  <c:v>42221</c:v>
                </c:pt>
                <c:pt idx="214">
                  <c:v>42222</c:v>
                </c:pt>
                <c:pt idx="215">
                  <c:v>42223</c:v>
                </c:pt>
                <c:pt idx="216">
                  <c:v>42224</c:v>
                </c:pt>
                <c:pt idx="217">
                  <c:v>42225</c:v>
                </c:pt>
                <c:pt idx="218">
                  <c:v>42226</c:v>
                </c:pt>
                <c:pt idx="219">
                  <c:v>42227</c:v>
                </c:pt>
                <c:pt idx="220">
                  <c:v>42228</c:v>
                </c:pt>
                <c:pt idx="221">
                  <c:v>42229</c:v>
                </c:pt>
                <c:pt idx="222">
                  <c:v>42230</c:v>
                </c:pt>
                <c:pt idx="223">
                  <c:v>42231</c:v>
                </c:pt>
                <c:pt idx="224">
                  <c:v>42232</c:v>
                </c:pt>
                <c:pt idx="225">
                  <c:v>42233</c:v>
                </c:pt>
                <c:pt idx="226">
                  <c:v>42234</c:v>
                </c:pt>
                <c:pt idx="227">
                  <c:v>42235</c:v>
                </c:pt>
                <c:pt idx="228">
                  <c:v>42236</c:v>
                </c:pt>
                <c:pt idx="229">
                  <c:v>42237</c:v>
                </c:pt>
                <c:pt idx="230">
                  <c:v>42238</c:v>
                </c:pt>
                <c:pt idx="231">
                  <c:v>42239</c:v>
                </c:pt>
                <c:pt idx="232">
                  <c:v>42240</c:v>
                </c:pt>
                <c:pt idx="233">
                  <c:v>42241</c:v>
                </c:pt>
                <c:pt idx="234">
                  <c:v>42242</c:v>
                </c:pt>
                <c:pt idx="235">
                  <c:v>42243</c:v>
                </c:pt>
                <c:pt idx="236">
                  <c:v>42244</c:v>
                </c:pt>
                <c:pt idx="237">
                  <c:v>42245</c:v>
                </c:pt>
                <c:pt idx="238">
                  <c:v>42246</c:v>
                </c:pt>
                <c:pt idx="239">
                  <c:v>42247</c:v>
                </c:pt>
                <c:pt idx="240">
                  <c:v>42248</c:v>
                </c:pt>
                <c:pt idx="241">
                  <c:v>42249</c:v>
                </c:pt>
                <c:pt idx="242">
                  <c:v>42250</c:v>
                </c:pt>
                <c:pt idx="243">
                  <c:v>42251</c:v>
                </c:pt>
                <c:pt idx="244">
                  <c:v>42252</c:v>
                </c:pt>
                <c:pt idx="245">
                  <c:v>42253</c:v>
                </c:pt>
                <c:pt idx="246">
                  <c:v>42254</c:v>
                </c:pt>
                <c:pt idx="247">
                  <c:v>42255</c:v>
                </c:pt>
                <c:pt idx="248">
                  <c:v>42256</c:v>
                </c:pt>
                <c:pt idx="249">
                  <c:v>42257</c:v>
                </c:pt>
                <c:pt idx="250">
                  <c:v>42258</c:v>
                </c:pt>
                <c:pt idx="251">
                  <c:v>42259</c:v>
                </c:pt>
                <c:pt idx="252">
                  <c:v>42260</c:v>
                </c:pt>
                <c:pt idx="253">
                  <c:v>42261</c:v>
                </c:pt>
                <c:pt idx="254">
                  <c:v>42262</c:v>
                </c:pt>
                <c:pt idx="255">
                  <c:v>42263</c:v>
                </c:pt>
                <c:pt idx="256">
                  <c:v>42264</c:v>
                </c:pt>
                <c:pt idx="257">
                  <c:v>42265</c:v>
                </c:pt>
                <c:pt idx="258">
                  <c:v>42266</c:v>
                </c:pt>
                <c:pt idx="259">
                  <c:v>42267</c:v>
                </c:pt>
                <c:pt idx="260">
                  <c:v>42268</c:v>
                </c:pt>
                <c:pt idx="261">
                  <c:v>42269</c:v>
                </c:pt>
                <c:pt idx="262">
                  <c:v>42270</c:v>
                </c:pt>
                <c:pt idx="263">
                  <c:v>42271</c:v>
                </c:pt>
                <c:pt idx="264">
                  <c:v>42272</c:v>
                </c:pt>
                <c:pt idx="265">
                  <c:v>42273</c:v>
                </c:pt>
                <c:pt idx="266">
                  <c:v>42274</c:v>
                </c:pt>
                <c:pt idx="267">
                  <c:v>42275</c:v>
                </c:pt>
                <c:pt idx="268">
                  <c:v>42276</c:v>
                </c:pt>
                <c:pt idx="269">
                  <c:v>42277</c:v>
                </c:pt>
                <c:pt idx="270">
                  <c:v>42278</c:v>
                </c:pt>
                <c:pt idx="271">
                  <c:v>42279</c:v>
                </c:pt>
                <c:pt idx="272">
                  <c:v>42280</c:v>
                </c:pt>
                <c:pt idx="273">
                  <c:v>42281</c:v>
                </c:pt>
                <c:pt idx="274">
                  <c:v>42282</c:v>
                </c:pt>
                <c:pt idx="275">
                  <c:v>42283</c:v>
                </c:pt>
                <c:pt idx="276">
                  <c:v>42284</c:v>
                </c:pt>
                <c:pt idx="277">
                  <c:v>42285</c:v>
                </c:pt>
                <c:pt idx="278">
                  <c:v>42286</c:v>
                </c:pt>
                <c:pt idx="279">
                  <c:v>42287</c:v>
                </c:pt>
                <c:pt idx="280">
                  <c:v>42288</c:v>
                </c:pt>
                <c:pt idx="281">
                  <c:v>42289</c:v>
                </c:pt>
                <c:pt idx="282">
                  <c:v>42290</c:v>
                </c:pt>
                <c:pt idx="283">
                  <c:v>42291</c:v>
                </c:pt>
                <c:pt idx="284">
                  <c:v>42292</c:v>
                </c:pt>
                <c:pt idx="285">
                  <c:v>42293</c:v>
                </c:pt>
                <c:pt idx="286">
                  <c:v>42294</c:v>
                </c:pt>
                <c:pt idx="287">
                  <c:v>42295</c:v>
                </c:pt>
                <c:pt idx="288">
                  <c:v>42296</c:v>
                </c:pt>
                <c:pt idx="289">
                  <c:v>42297</c:v>
                </c:pt>
                <c:pt idx="290">
                  <c:v>42298</c:v>
                </c:pt>
                <c:pt idx="291">
                  <c:v>42299</c:v>
                </c:pt>
                <c:pt idx="292">
                  <c:v>42300</c:v>
                </c:pt>
                <c:pt idx="293">
                  <c:v>42301</c:v>
                </c:pt>
                <c:pt idx="294">
                  <c:v>42302</c:v>
                </c:pt>
                <c:pt idx="295">
                  <c:v>42303</c:v>
                </c:pt>
                <c:pt idx="296">
                  <c:v>42304</c:v>
                </c:pt>
                <c:pt idx="297">
                  <c:v>42305</c:v>
                </c:pt>
                <c:pt idx="298">
                  <c:v>42306</c:v>
                </c:pt>
                <c:pt idx="299">
                  <c:v>42307</c:v>
                </c:pt>
                <c:pt idx="300">
                  <c:v>42308</c:v>
                </c:pt>
                <c:pt idx="301">
                  <c:v>42309</c:v>
                </c:pt>
                <c:pt idx="302">
                  <c:v>42310</c:v>
                </c:pt>
                <c:pt idx="303">
                  <c:v>42311</c:v>
                </c:pt>
                <c:pt idx="304">
                  <c:v>42312</c:v>
                </c:pt>
                <c:pt idx="305">
                  <c:v>42313</c:v>
                </c:pt>
                <c:pt idx="306">
                  <c:v>42314</c:v>
                </c:pt>
                <c:pt idx="307">
                  <c:v>42315</c:v>
                </c:pt>
                <c:pt idx="308">
                  <c:v>42316</c:v>
                </c:pt>
                <c:pt idx="309">
                  <c:v>42317</c:v>
                </c:pt>
                <c:pt idx="310">
                  <c:v>42318</c:v>
                </c:pt>
                <c:pt idx="311">
                  <c:v>42319</c:v>
                </c:pt>
                <c:pt idx="312">
                  <c:v>42320</c:v>
                </c:pt>
                <c:pt idx="313">
                  <c:v>42321</c:v>
                </c:pt>
                <c:pt idx="314">
                  <c:v>42322</c:v>
                </c:pt>
                <c:pt idx="315">
                  <c:v>42323</c:v>
                </c:pt>
                <c:pt idx="316">
                  <c:v>42324</c:v>
                </c:pt>
                <c:pt idx="317">
                  <c:v>42325</c:v>
                </c:pt>
                <c:pt idx="318">
                  <c:v>42326</c:v>
                </c:pt>
                <c:pt idx="319">
                  <c:v>42327</c:v>
                </c:pt>
                <c:pt idx="320">
                  <c:v>42328</c:v>
                </c:pt>
                <c:pt idx="321">
                  <c:v>42329</c:v>
                </c:pt>
                <c:pt idx="322">
                  <c:v>42330</c:v>
                </c:pt>
                <c:pt idx="323">
                  <c:v>42331</c:v>
                </c:pt>
                <c:pt idx="324">
                  <c:v>42332</c:v>
                </c:pt>
                <c:pt idx="325">
                  <c:v>42333</c:v>
                </c:pt>
                <c:pt idx="326">
                  <c:v>42334</c:v>
                </c:pt>
                <c:pt idx="327">
                  <c:v>42335</c:v>
                </c:pt>
                <c:pt idx="328">
                  <c:v>42336</c:v>
                </c:pt>
                <c:pt idx="329">
                  <c:v>42337</c:v>
                </c:pt>
                <c:pt idx="330">
                  <c:v>42338</c:v>
                </c:pt>
                <c:pt idx="331">
                  <c:v>42339</c:v>
                </c:pt>
                <c:pt idx="332">
                  <c:v>42340</c:v>
                </c:pt>
                <c:pt idx="333">
                  <c:v>42341</c:v>
                </c:pt>
                <c:pt idx="334">
                  <c:v>42342</c:v>
                </c:pt>
                <c:pt idx="335">
                  <c:v>42343</c:v>
                </c:pt>
                <c:pt idx="336">
                  <c:v>42344</c:v>
                </c:pt>
                <c:pt idx="337">
                  <c:v>42345</c:v>
                </c:pt>
                <c:pt idx="338">
                  <c:v>42346</c:v>
                </c:pt>
                <c:pt idx="339">
                  <c:v>42347</c:v>
                </c:pt>
                <c:pt idx="340">
                  <c:v>42348</c:v>
                </c:pt>
                <c:pt idx="341">
                  <c:v>42349</c:v>
                </c:pt>
                <c:pt idx="342">
                  <c:v>42350</c:v>
                </c:pt>
                <c:pt idx="343">
                  <c:v>42351</c:v>
                </c:pt>
                <c:pt idx="344">
                  <c:v>42352</c:v>
                </c:pt>
                <c:pt idx="345">
                  <c:v>42353</c:v>
                </c:pt>
                <c:pt idx="346">
                  <c:v>42354</c:v>
                </c:pt>
                <c:pt idx="347">
                  <c:v>42355</c:v>
                </c:pt>
                <c:pt idx="348">
                  <c:v>42356</c:v>
                </c:pt>
                <c:pt idx="349">
                  <c:v>42357</c:v>
                </c:pt>
                <c:pt idx="350">
                  <c:v>42358</c:v>
                </c:pt>
                <c:pt idx="351">
                  <c:v>42359</c:v>
                </c:pt>
                <c:pt idx="352">
                  <c:v>42360</c:v>
                </c:pt>
                <c:pt idx="353">
                  <c:v>42361</c:v>
                </c:pt>
                <c:pt idx="354">
                  <c:v>42362</c:v>
                </c:pt>
                <c:pt idx="355">
                  <c:v>42363</c:v>
                </c:pt>
                <c:pt idx="356">
                  <c:v>42364</c:v>
                </c:pt>
                <c:pt idx="357">
                  <c:v>42365</c:v>
                </c:pt>
                <c:pt idx="358">
                  <c:v>42366</c:v>
                </c:pt>
                <c:pt idx="359">
                  <c:v>42367</c:v>
                </c:pt>
                <c:pt idx="360">
                  <c:v>42368</c:v>
                </c:pt>
                <c:pt idx="361">
                  <c:v>42369</c:v>
                </c:pt>
                <c:pt idx="362">
                  <c:v>42370</c:v>
                </c:pt>
                <c:pt idx="363">
                  <c:v>42371</c:v>
                </c:pt>
                <c:pt idx="364">
                  <c:v>42372</c:v>
                </c:pt>
                <c:pt idx="365">
                  <c:v>42373</c:v>
                </c:pt>
                <c:pt idx="366">
                  <c:v>42374</c:v>
                </c:pt>
                <c:pt idx="367">
                  <c:v>42375</c:v>
                </c:pt>
                <c:pt idx="368">
                  <c:v>42376</c:v>
                </c:pt>
                <c:pt idx="369">
                  <c:v>42377</c:v>
                </c:pt>
                <c:pt idx="370">
                  <c:v>42378</c:v>
                </c:pt>
                <c:pt idx="371">
                  <c:v>42379</c:v>
                </c:pt>
                <c:pt idx="372">
                  <c:v>42380</c:v>
                </c:pt>
                <c:pt idx="373">
                  <c:v>42381</c:v>
                </c:pt>
                <c:pt idx="374">
                  <c:v>42382</c:v>
                </c:pt>
                <c:pt idx="375">
                  <c:v>42383</c:v>
                </c:pt>
                <c:pt idx="376">
                  <c:v>42384</c:v>
                </c:pt>
                <c:pt idx="377">
                  <c:v>42385</c:v>
                </c:pt>
                <c:pt idx="378">
                  <c:v>42386</c:v>
                </c:pt>
                <c:pt idx="379">
                  <c:v>42387</c:v>
                </c:pt>
                <c:pt idx="380">
                  <c:v>42388</c:v>
                </c:pt>
                <c:pt idx="381">
                  <c:v>42389</c:v>
                </c:pt>
                <c:pt idx="382">
                  <c:v>42390</c:v>
                </c:pt>
                <c:pt idx="383">
                  <c:v>42391</c:v>
                </c:pt>
                <c:pt idx="384">
                  <c:v>42392</c:v>
                </c:pt>
                <c:pt idx="385">
                  <c:v>42393</c:v>
                </c:pt>
                <c:pt idx="386">
                  <c:v>42394</c:v>
                </c:pt>
                <c:pt idx="387">
                  <c:v>42395</c:v>
                </c:pt>
                <c:pt idx="388">
                  <c:v>42396</c:v>
                </c:pt>
                <c:pt idx="389">
                  <c:v>42397</c:v>
                </c:pt>
                <c:pt idx="390">
                  <c:v>42398</c:v>
                </c:pt>
                <c:pt idx="391">
                  <c:v>42399</c:v>
                </c:pt>
                <c:pt idx="392">
                  <c:v>42400</c:v>
                </c:pt>
                <c:pt idx="393">
                  <c:v>42401</c:v>
                </c:pt>
                <c:pt idx="394">
                  <c:v>42402</c:v>
                </c:pt>
                <c:pt idx="395">
                  <c:v>42403</c:v>
                </c:pt>
                <c:pt idx="396">
                  <c:v>42404</c:v>
                </c:pt>
                <c:pt idx="397">
                  <c:v>42405</c:v>
                </c:pt>
                <c:pt idx="398">
                  <c:v>42406</c:v>
                </c:pt>
                <c:pt idx="399">
                  <c:v>42407</c:v>
                </c:pt>
                <c:pt idx="400">
                  <c:v>42408</c:v>
                </c:pt>
                <c:pt idx="401">
                  <c:v>42409</c:v>
                </c:pt>
                <c:pt idx="402">
                  <c:v>42410</c:v>
                </c:pt>
                <c:pt idx="403">
                  <c:v>42411</c:v>
                </c:pt>
                <c:pt idx="404">
                  <c:v>42412</c:v>
                </c:pt>
                <c:pt idx="405">
                  <c:v>42413</c:v>
                </c:pt>
                <c:pt idx="406">
                  <c:v>42414</c:v>
                </c:pt>
                <c:pt idx="407">
                  <c:v>42415</c:v>
                </c:pt>
                <c:pt idx="408">
                  <c:v>42416</c:v>
                </c:pt>
                <c:pt idx="409">
                  <c:v>42417</c:v>
                </c:pt>
                <c:pt idx="410">
                  <c:v>42418</c:v>
                </c:pt>
                <c:pt idx="411">
                  <c:v>42419</c:v>
                </c:pt>
                <c:pt idx="412">
                  <c:v>42420</c:v>
                </c:pt>
                <c:pt idx="413">
                  <c:v>42421</c:v>
                </c:pt>
                <c:pt idx="414">
                  <c:v>42422</c:v>
                </c:pt>
                <c:pt idx="415">
                  <c:v>42423</c:v>
                </c:pt>
                <c:pt idx="416">
                  <c:v>42424</c:v>
                </c:pt>
                <c:pt idx="417">
                  <c:v>42425</c:v>
                </c:pt>
                <c:pt idx="418">
                  <c:v>42426</c:v>
                </c:pt>
                <c:pt idx="419">
                  <c:v>42427</c:v>
                </c:pt>
                <c:pt idx="420">
                  <c:v>42428</c:v>
                </c:pt>
                <c:pt idx="421">
                  <c:v>42429</c:v>
                </c:pt>
                <c:pt idx="422">
                  <c:v>42430</c:v>
                </c:pt>
                <c:pt idx="423">
                  <c:v>42431</c:v>
                </c:pt>
                <c:pt idx="424">
                  <c:v>42432</c:v>
                </c:pt>
                <c:pt idx="425">
                  <c:v>42433</c:v>
                </c:pt>
                <c:pt idx="426">
                  <c:v>42434</c:v>
                </c:pt>
                <c:pt idx="427">
                  <c:v>42435</c:v>
                </c:pt>
                <c:pt idx="428">
                  <c:v>42436</c:v>
                </c:pt>
                <c:pt idx="429">
                  <c:v>42437</c:v>
                </c:pt>
                <c:pt idx="430">
                  <c:v>42438</c:v>
                </c:pt>
                <c:pt idx="431">
                  <c:v>42439</c:v>
                </c:pt>
                <c:pt idx="432">
                  <c:v>42440</c:v>
                </c:pt>
                <c:pt idx="433">
                  <c:v>42441</c:v>
                </c:pt>
                <c:pt idx="434">
                  <c:v>42442</c:v>
                </c:pt>
                <c:pt idx="435">
                  <c:v>42443</c:v>
                </c:pt>
                <c:pt idx="436">
                  <c:v>42444</c:v>
                </c:pt>
                <c:pt idx="437">
                  <c:v>42445</c:v>
                </c:pt>
                <c:pt idx="438">
                  <c:v>42446</c:v>
                </c:pt>
                <c:pt idx="439">
                  <c:v>42447</c:v>
                </c:pt>
                <c:pt idx="440">
                  <c:v>42448</c:v>
                </c:pt>
                <c:pt idx="441">
                  <c:v>42449</c:v>
                </c:pt>
                <c:pt idx="442">
                  <c:v>42450</c:v>
                </c:pt>
                <c:pt idx="443">
                  <c:v>42451</c:v>
                </c:pt>
                <c:pt idx="444">
                  <c:v>42452</c:v>
                </c:pt>
                <c:pt idx="445">
                  <c:v>42453</c:v>
                </c:pt>
                <c:pt idx="446">
                  <c:v>42454</c:v>
                </c:pt>
                <c:pt idx="447">
                  <c:v>42455</c:v>
                </c:pt>
                <c:pt idx="448">
                  <c:v>42456</c:v>
                </c:pt>
                <c:pt idx="449">
                  <c:v>42457</c:v>
                </c:pt>
                <c:pt idx="450">
                  <c:v>42458</c:v>
                </c:pt>
                <c:pt idx="451">
                  <c:v>42459</c:v>
                </c:pt>
                <c:pt idx="452">
                  <c:v>42460</c:v>
                </c:pt>
                <c:pt idx="453">
                  <c:v>42461</c:v>
                </c:pt>
                <c:pt idx="454">
                  <c:v>42462</c:v>
                </c:pt>
                <c:pt idx="455">
                  <c:v>42463</c:v>
                </c:pt>
                <c:pt idx="456">
                  <c:v>42464</c:v>
                </c:pt>
                <c:pt idx="457">
                  <c:v>42465</c:v>
                </c:pt>
                <c:pt idx="458">
                  <c:v>42466</c:v>
                </c:pt>
                <c:pt idx="459">
                  <c:v>42467</c:v>
                </c:pt>
                <c:pt idx="460">
                  <c:v>42468</c:v>
                </c:pt>
                <c:pt idx="461">
                  <c:v>42469</c:v>
                </c:pt>
                <c:pt idx="462">
                  <c:v>42470</c:v>
                </c:pt>
                <c:pt idx="463">
                  <c:v>42471</c:v>
                </c:pt>
                <c:pt idx="464">
                  <c:v>42472</c:v>
                </c:pt>
                <c:pt idx="465">
                  <c:v>42473</c:v>
                </c:pt>
                <c:pt idx="466">
                  <c:v>42474</c:v>
                </c:pt>
                <c:pt idx="467">
                  <c:v>42475</c:v>
                </c:pt>
                <c:pt idx="468">
                  <c:v>42476</c:v>
                </c:pt>
                <c:pt idx="469">
                  <c:v>42477</c:v>
                </c:pt>
                <c:pt idx="470">
                  <c:v>42478</c:v>
                </c:pt>
                <c:pt idx="471">
                  <c:v>42479</c:v>
                </c:pt>
                <c:pt idx="472">
                  <c:v>42480</c:v>
                </c:pt>
                <c:pt idx="473">
                  <c:v>42481</c:v>
                </c:pt>
                <c:pt idx="474">
                  <c:v>42482</c:v>
                </c:pt>
                <c:pt idx="475">
                  <c:v>42483</c:v>
                </c:pt>
                <c:pt idx="476">
                  <c:v>42484</c:v>
                </c:pt>
                <c:pt idx="477">
                  <c:v>42485</c:v>
                </c:pt>
                <c:pt idx="478">
                  <c:v>42486</c:v>
                </c:pt>
                <c:pt idx="479">
                  <c:v>42487</c:v>
                </c:pt>
                <c:pt idx="480">
                  <c:v>42488</c:v>
                </c:pt>
                <c:pt idx="481">
                  <c:v>42489</c:v>
                </c:pt>
                <c:pt idx="482">
                  <c:v>42490</c:v>
                </c:pt>
                <c:pt idx="483">
                  <c:v>42491</c:v>
                </c:pt>
                <c:pt idx="484">
                  <c:v>42492</c:v>
                </c:pt>
                <c:pt idx="485">
                  <c:v>42493</c:v>
                </c:pt>
                <c:pt idx="486">
                  <c:v>42494</c:v>
                </c:pt>
                <c:pt idx="487">
                  <c:v>42495</c:v>
                </c:pt>
                <c:pt idx="488">
                  <c:v>42496</c:v>
                </c:pt>
                <c:pt idx="489">
                  <c:v>42497</c:v>
                </c:pt>
                <c:pt idx="490">
                  <c:v>42498</c:v>
                </c:pt>
                <c:pt idx="491">
                  <c:v>42499</c:v>
                </c:pt>
                <c:pt idx="492">
                  <c:v>42500</c:v>
                </c:pt>
                <c:pt idx="493">
                  <c:v>42501</c:v>
                </c:pt>
                <c:pt idx="494">
                  <c:v>42502</c:v>
                </c:pt>
                <c:pt idx="495">
                  <c:v>42503</c:v>
                </c:pt>
                <c:pt idx="496">
                  <c:v>42504</c:v>
                </c:pt>
                <c:pt idx="497">
                  <c:v>42505</c:v>
                </c:pt>
                <c:pt idx="498">
                  <c:v>42506</c:v>
                </c:pt>
                <c:pt idx="499">
                  <c:v>42507</c:v>
                </c:pt>
                <c:pt idx="500">
                  <c:v>42508</c:v>
                </c:pt>
                <c:pt idx="501">
                  <c:v>42509</c:v>
                </c:pt>
                <c:pt idx="502">
                  <c:v>42510</c:v>
                </c:pt>
                <c:pt idx="503">
                  <c:v>42511</c:v>
                </c:pt>
                <c:pt idx="504">
                  <c:v>42512</c:v>
                </c:pt>
                <c:pt idx="505">
                  <c:v>42513</c:v>
                </c:pt>
                <c:pt idx="506">
                  <c:v>42514</c:v>
                </c:pt>
                <c:pt idx="507">
                  <c:v>42515</c:v>
                </c:pt>
                <c:pt idx="508">
                  <c:v>42516</c:v>
                </c:pt>
                <c:pt idx="509">
                  <c:v>42517</c:v>
                </c:pt>
                <c:pt idx="510">
                  <c:v>42518</c:v>
                </c:pt>
                <c:pt idx="511">
                  <c:v>42519</c:v>
                </c:pt>
                <c:pt idx="512">
                  <c:v>42520</c:v>
                </c:pt>
                <c:pt idx="513">
                  <c:v>42521</c:v>
                </c:pt>
                <c:pt idx="514">
                  <c:v>42522</c:v>
                </c:pt>
                <c:pt idx="515">
                  <c:v>42523</c:v>
                </c:pt>
                <c:pt idx="516">
                  <c:v>42524</c:v>
                </c:pt>
                <c:pt idx="517">
                  <c:v>42525</c:v>
                </c:pt>
                <c:pt idx="518">
                  <c:v>42526</c:v>
                </c:pt>
                <c:pt idx="519">
                  <c:v>42527</c:v>
                </c:pt>
                <c:pt idx="520">
                  <c:v>42528</c:v>
                </c:pt>
                <c:pt idx="521">
                  <c:v>42529</c:v>
                </c:pt>
                <c:pt idx="522">
                  <c:v>42530</c:v>
                </c:pt>
                <c:pt idx="523">
                  <c:v>42531</c:v>
                </c:pt>
                <c:pt idx="524">
                  <c:v>42532</c:v>
                </c:pt>
                <c:pt idx="525">
                  <c:v>42533</c:v>
                </c:pt>
                <c:pt idx="526">
                  <c:v>42534</c:v>
                </c:pt>
                <c:pt idx="527">
                  <c:v>42535</c:v>
                </c:pt>
                <c:pt idx="528">
                  <c:v>42536</c:v>
                </c:pt>
                <c:pt idx="529">
                  <c:v>42537</c:v>
                </c:pt>
                <c:pt idx="530">
                  <c:v>42538</c:v>
                </c:pt>
                <c:pt idx="531">
                  <c:v>42539</c:v>
                </c:pt>
                <c:pt idx="532">
                  <c:v>42540</c:v>
                </c:pt>
                <c:pt idx="533">
                  <c:v>42541</c:v>
                </c:pt>
                <c:pt idx="534">
                  <c:v>42542</c:v>
                </c:pt>
                <c:pt idx="535">
                  <c:v>42543</c:v>
                </c:pt>
                <c:pt idx="536">
                  <c:v>42544</c:v>
                </c:pt>
                <c:pt idx="537">
                  <c:v>42545</c:v>
                </c:pt>
                <c:pt idx="538">
                  <c:v>42546</c:v>
                </c:pt>
                <c:pt idx="539">
                  <c:v>42547</c:v>
                </c:pt>
                <c:pt idx="540">
                  <c:v>42548</c:v>
                </c:pt>
                <c:pt idx="541">
                  <c:v>42549</c:v>
                </c:pt>
                <c:pt idx="542">
                  <c:v>42550</c:v>
                </c:pt>
                <c:pt idx="543">
                  <c:v>42551</c:v>
                </c:pt>
                <c:pt idx="544">
                  <c:v>42552</c:v>
                </c:pt>
                <c:pt idx="545">
                  <c:v>42553</c:v>
                </c:pt>
                <c:pt idx="546">
                  <c:v>42554</c:v>
                </c:pt>
                <c:pt idx="547">
                  <c:v>42555</c:v>
                </c:pt>
                <c:pt idx="548">
                  <c:v>42556</c:v>
                </c:pt>
                <c:pt idx="549">
                  <c:v>42557</c:v>
                </c:pt>
                <c:pt idx="550">
                  <c:v>42558</c:v>
                </c:pt>
                <c:pt idx="551">
                  <c:v>42559</c:v>
                </c:pt>
                <c:pt idx="552">
                  <c:v>42560</c:v>
                </c:pt>
                <c:pt idx="553">
                  <c:v>42561</c:v>
                </c:pt>
                <c:pt idx="554">
                  <c:v>42562</c:v>
                </c:pt>
                <c:pt idx="555">
                  <c:v>42563</c:v>
                </c:pt>
                <c:pt idx="556">
                  <c:v>42564</c:v>
                </c:pt>
                <c:pt idx="557">
                  <c:v>42565</c:v>
                </c:pt>
                <c:pt idx="558">
                  <c:v>42566</c:v>
                </c:pt>
                <c:pt idx="559">
                  <c:v>42567</c:v>
                </c:pt>
                <c:pt idx="560">
                  <c:v>42568</c:v>
                </c:pt>
                <c:pt idx="561">
                  <c:v>42569</c:v>
                </c:pt>
                <c:pt idx="562">
                  <c:v>42570</c:v>
                </c:pt>
                <c:pt idx="563">
                  <c:v>42571</c:v>
                </c:pt>
                <c:pt idx="564">
                  <c:v>42572</c:v>
                </c:pt>
                <c:pt idx="565">
                  <c:v>42573</c:v>
                </c:pt>
                <c:pt idx="566">
                  <c:v>42574</c:v>
                </c:pt>
                <c:pt idx="567">
                  <c:v>42575</c:v>
                </c:pt>
                <c:pt idx="568">
                  <c:v>42576</c:v>
                </c:pt>
                <c:pt idx="569">
                  <c:v>42577</c:v>
                </c:pt>
                <c:pt idx="570">
                  <c:v>42578</c:v>
                </c:pt>
                <c:pt idx="571">
                  <c:v>42579</c:v>
                </c:pt>
                <c:pt idx="572">
                  <c:v>42580</c:v>
                </c:pt>
                <c:pt idx="573">
                  <c:v>42581</c:v>
                </c:pt>
                <c:pt idx="574">
                  <c:v>42582</c:v>
                </c:pt>
                <c:pt idx="575">
                  <c:v>42583</c:v>
                </c:pt>
                <c:pt idx="576">
                  <c:v>42584</c:v>
                </c:pt>
                <c:pt idx="577">
                  <c:v>42585</c:v>
                </c:pt>
                <c:pt idx="578">
                  <c:v>42586</c:v>
                </c:pt>
                <c:pt idx="579">
                  <c:v>42587</c:v>
                </c:pt>
                <c:pt idx="580">
                  <c:v>42588</c:v>
                </c:pt>
                <c:pt idx="581">
                  <c:v>42589</c:v>
                </c:pt>
                <c:pt idx="582">
                  <c:v>42590</c:v>
                </c:pt>
                <c:pt idx="583">
                  <c:v>42591</c:v>
                </c:pt>
                <c:pt idx="584">
                  <c:v>42592</c:v>
                </c:pt>
                <c:pt idx="585">
                  <c:v>42593</c:v>
                </c:pt>
                <c:pt idx="586">
                  <c:v>42594</c:v>
                </c:pt>
                <c:pt idx="587">
                  <c:v>42595</c:v>
                </c:pt>
                <c:pt idx="588">
                  <c:v>42596</c:v>
                </c:pt>
                <c:pt idx="589">
                  <c:v>42597</c:v>
                </c:pt>
                <c:pt idx="590">
                  <c:v>42598</c:v>
                </c:pt>
                <c:pt idx="591">
                  <c:v>42599</c:v>
                </c:pt>
                <c:pt idx="592">
                  <c:v>42600</c:v>
                </c:pt>
                <c:pt idx="593">
                  <c:v>42601</c:v>
                </c:pt>
                <c:pt idx="594">
                  <c:v>42602</c:v>
                </c:pt>
                <c:pt idx="595">
                  <c:v>42603</c:v>
                </c:pt>
                <c:pt idx="596">
                  <c:v>42604</c:v>
                </c:pt>
                <c:pt idx="597">
                  <c:v>42605</c:v>
                </c:pt>
                <c:pt idx="598">
                  <c:v>42606</c:v>
                </c:pt>
                <c:pt idx="599">
                  <c:v>42607</c:v>
                </c:pt>
                <c:pt idx="600">
                  <c:v>42608</c:v>
                </c:pt>
                <c:pt idx="601">
                  <c:v>42609</c:v>
                </c:pt>
                <c:pt idx="602">
                  <c:v>42610</c:v>
                </c:pt>
                <c:pt idx="603">
                  <c:v>42611</c:v>
                </c:pt>
                <c:pt idx="604">
                  <c:v>42612</c:v>
                </c:pt>
                <c:pt idx="605">
                  <c:v>42613</c:v>
                </c:pt>
                <c:pt idx="606">
                  <c:v>42614</c:v>
                </c:pt>
                <c:pt idx="607">
                  <c:v>42615</c:v>
                </c:pt>
                <c:pt idx="608">
                  <c:v>42616</c:v>
                </c:pt>
                <c:pt idx="609">
                  <c:v>42617</c:v>
                </c:pt>
                <c:pt idx="610">
                  <c:v>42618</c:v>
                </c:pt>
                <c:pt idx="611">
                  <c:v>42619</c:v>
                </c:pt>
                <c:pt idx="612">
                  <c:v>42620</c:v>
                </c:pt>
                <c:pt idx="613">
                  <c:v>42621</c:v>
                </c:pt>
                <c:pt idx="614">
                  <c:v>42622</c:v>
                </c:pt>
                <c:pt idx="615">
                  <c:v>42623</c:v>
                </c:pt>
                <c:pt idx="616">
                  <c:v>42624</c:v>
                </c:pt>
                <c:pt idx="617">
                  <c:v>42625</c:v>
                </c:pt>
                <c:pt idx="618">
                  <c:v>42626</c:v>
                </c:pt>
                <c:pt idx="619">
                  <c:v>42627</c:v>
                </c:pt>
                <c:pt idx="620">
                  <c:v>42628</c:v>
                </c:pt>
                <c:pt idx="621">
                  <c:v>42629</c:v>
                </c:pt>
                <c:pt idx="622">
                  <c:v>42630</c:v>
                </c:pt>
                <c:pt idx="623">
                  <c:v>42631</c:v>
                </c:pt>
                <c:pt idx="624">
                  <c:v>42632</c:v>
                </c:pt>
                <c:pt idx="625">
                  <c:v>42633</c:v>
                </c:pt>
                <c:pt idx="626">
                  <c:v>42634</c:v>
                </c:pt>
                <c:pt idx="627">
                  <c:v>42635</c:v>
                </c:pt>
                <c:pt idx="628">
                  <c:v>42636</c:v>
                </c:pt>
                <c:pt idx="629">
                  <c:v>42637</c:v>
                </c:pt>
                <c:pt idx="630">
                  <c:v>42638</c:v>
                </c:pt>
                <c:pt idx="631">
                  <c:v>42639</c:v>
                </c:pt>
                <c:pt idx="632">
                  <c:v>42640</c:v>
                </c:pt>
                <c:pt idx="633">
                  <c:v>42641</c:v>
                </c:pt>
                <c:pt idx="634">
                  <c:v>42642</c:v>
                </c:pt>
                <c:pt idx="635">
                  <c:v>42643</c:v>
                </c:pt>
                <c:pt idx="636">
                  <c:v>42644</c:v>
                </c:pt>
                <c:pt idx="637">
                  <c:v>42645</c:v>
                </c:pt>
                <c:pt idx="638">
                  <c:v>42646</c:v>
                </c:pt>
                <c:pt idx="639">
                  <c:v>42647</c:v>
                </c:pt>
                <c:pt idx="640">
                  <c:v>42648</c:v>
                </c:pt>
                <c:pt idx="641">
                  <c:v>42649</c:v>
                </c:pt>
                <c:pt idx="642">
                  <c:v>42650</c:v>
                </c:pt>
                <c:pt idx="643">
                  <c:v>42651</c:v>
                </c:pt>
                <c:pt idx="644">
                  <c:v>42652</c:v>
                </c:pt>
                <c:pt idx="645">
                  <c:v>42653</c:v>
                </c:pt>
                <c:pt idx="646">
                  <c:v>42654</c:v>
                </c:pt>
                <c:pt idx="647">
                  <c:v>42655</c:v>
                </c:pt>
                <c:pt idx="648">
                  <c:v>42656</c:v>
                </c:pt>
                <c:pt idx="649">
                  <c:v>42657</c:v>
                </c:pt>
                <c:pt idx="650">
                  <c:v>42658</c:v>
                </c:pt>
                <c:pt idx="651">
                  <c:v>42659</c:v>
                </c:pt>
                <c:pt idx="652">
                  <c:v>42660</c:v>
                </c:pt>
                <c:pt idx="653">
                  <c:v>42661</c:v>
                </c:pt>
                <c:pt idx="654">
                  <c:v>42662</c:v>
                </c:pt>
                <c:pt idx="655">
                  <c:v>42663</c:v>
                </c:pt>
                <c:pt idx="656">
                  <c:v>42664</c:v>
                </c:pt>
                <c:pt idx="657">
                  <c:v>42665</c:v>
                </c:pt>
                <c:pt idx="658">
                  <c:v>42666</c:v>
                </c:pt>
                <c:pt idx="659">
                  <c:v>42667</c:v>
                </c:pt>
                <c:pt idx="660">
                  <c:v>42668</c:v>
                </c:pt>
                <c:pt idx="661">
                  <c:v>42669</c:v>
                </c:pt>
                <c:pt idx="662">
                  <c:v>42670</c:v>
                </c:pt>
                <c:pt idx="663">
                  <c:v>42671</c:v>
                </c:pt>
                <c:pt idx="664">
                  <c:v>42672</c:v>
                </c:pt>
                <c:pt idx="665">
                  <c:v>42673</c:v>
                </c:pt>
                <c:pt idx="666">
                  <c:v>42674</c:v>
                </c:pt>
                <c:pt idx="667">
                  <c:v>42675</c:v>
                </c:pt>
                <c:pt idx="668">
                  <c:v>42676</c:v>
                </c:pt>
                <c:pt idx="669">
                  <c:v>42677</c:v>
                </c:pt>
                <c:pt idx="670">
                  <c:v>42678</c:v>
                </c:pt>
                <c:pt idx="671">
                  <c:v>42679</c:v>
                </c:pt>
                <c:pt idx="672">
                  <c:v>42680</c:v>
                </c:pt>
                <c:pt idx="673">
                  <c:v>42681</c:v>
                </c:pt>
                <c:pt idx="674">
                  <c:v>42682</c:v>
                </c:pt>
                <c:pt idx="675">
                  <c:v>42683</c:v>
                </c:pt>
                <c:pt idx="676">
                  <c:v>42684</c:v>
                </c:pt>
                <c:pt idx="677">
                  <c:v>42685</c:v>
                </c:pt>
                <c:pt idx="678">
                  <c:v>42686</c:v>
                </c:pt>
                <c:pt idx="679">
                  <c:v>42687</c:v>
                </c:pt>
                <c:pt idx="680">
                  <c:v>42688</c:v>
                </c:pt>
                <c:pt idx="681">
                  <c:v>42689</c:v>
                </c:pt>
                <c:pt idx="682">
                  <c:v>42690</c:v>
                </c:pt>
                <c:pt idx="683">
                  <c:v>42691</c:v>
                </c:pt>
                <c:pt idx="684">
                  <c:v>42692</c:v>
                </c:pt>
                <c:pt idx="685">
                  <c:v>42693</c:v>
                </c:pt>
                <c:pt idx="686">
                  <c:v>42694</c:v>
                </c:pt>
                <c:pt idx="687">
                  <c:v>42695</c:v>
                </c:pt>
                <c:pt idx="688">
                  <c:v>42696</c:v>
                </c:pt>
                <c:pt idx="689">
                  <c:v>42697</c:v>
                </c:pt>
                <c:pt idx="690">
                  <c:v>42698</c:v>
                </c:pt>
                <c:pt idx="691">
                  <c:v>42699</c:v>
                </c:pt>
                <c:pt idx="692">
                  <c:v>42700</c:v>
                </c:pt>
                <c:pt idx="693">
                  <c:v>42701</c:v>
                </c:pt>
                <c:pt idx="694">
                  <c:v>42702</c:v>
                </c:pt>
                <c:pt idx="695">
                  <c:v>42703</c:v>
                </c:pt>
                <c:pt idx="696">
                  <c:v>42704</c:v>
                </c:pt>
                <c:pt idx="697">
                  <c:v>42705</c:v>
                </c:pt>
                <c:pt idx="698">
                  <c:v>42706</c:v>
                </c:pt>
                <c:pt idx="699">
                  <c:v>42707</c:v>
                </c:pt>
                <c:pt idx="700">
                  <c:v>42708</c:v>
                </c:pt>
                <c:pt idx="701">
                  <c:v>42709</c:v>
                </c:pt>
                <c:pt idx="702">
                  <c:v>42710</c:v>
                </c:pt>
                <c:pt idx="703">
                  <c:v>42711</c:v>
                </c:pt>
                <c:pt idx="704">
                  <c:v>42712</c:v>
                </c:pt>
                <c:pt idx="705">
                  <c:v>42713</c:v>
                </c:pt>
                <c:pt idx="706">
                  <c:v>42714</c:v>
                </c:pt>
                <c:pt idx="707">
                  <c:v>42715</c:v>
                </c:pt>
                <c:pt idx="708">
                  <c:v>42716</c:v>
                </c:pt>
                <c:pt idx="709">
                  <c:v>42717</c:v>
                </c:pt>
                <c:pt idx="710">
                  <c:v>42718</c:v>
                </c:pt>
                <c:pt idx="711">
                  <c:v>42719</c:v>
                </c:pt>
                <c:pt idx="712">
                  <c:v>42720</c:v>
                </c:pt>
                <c:pt idx="713">
                  <c:v>42721</c:v>
                </c:pt>
                <c:pt idx="714">
                  <c:v>42722</c:v>
                </c:pt>
                <c:pt idx="715">
                  <c:v>42723</c:v>
                </c:pt>
                <c:pt idx="716">
                  <c:v>42724</c:v>
                </c:pt>
                <c:pt idx="717">
                  <c:v>42725</c:v>
                </c:pt>
                <c:pt idx="718">
                  <c:v>42726</c:v>
                </c:pt>
                <c:pt idx="719">
                  <c:v>42727</c:v>
                </c:pt>
                <c:pt idx="720">
                  <c:v>42728</c:v>
                </c:pt>
                <c:pt idx="721">
                  <c:v>42729</c:v>
                </c:pt>
                <c:pt idx="722">
                  <c:v>42730</c:v>
                </c:pt>
                <c:pt idx="723">
                  <c:v>42731</c:v>
                </c:pt>
                <c:pt idx="724">
                  <c:v>42732</c:v>
                </c:pt>
                <c:pt idx="725">
                  <c:v>42733</c:v>
                </c:pt>
                <c:pt idx="726">
                  <c:v>42734</c:v>
                </c:pt>
                <c:pt idx="727">
                  <c:v>42735</c:v>
                </c:pt>
                <c:pt idx="728">
                  <c:v>42736</c:v>
                </c:pt>
                <c:pt idx="729">
                  <c:v>42737</c:v>
                </c:pt>
                <c:pt idx="730">
                  <c:v>42738</c:v>
                </c:pt>
                <c:pt idx="731">
                  <c:v>42739</c:v>
                </c:pt>
                <c:pt idx="732">
                  <c:v>42740</c:v>
                </c:pt>
                <c:pt idx="733">
                  <c:v>42741</c:v>
                </c:pt>
                <c:pt idx="734">
                  <c:v>42742</c:v>
                </c:pt>
                <c:pt idx="735">
                  <c:v>42743</c:v>
                </c:pt>
                <c:pt idx="736">
                  <c:v>42744</c:v>
                </c:pt>
                <c:pt idx="737">
                  <c:v>42745</c:v>
                </c:pt>
                <c:pt idx="738">
                  <c:v>42746</c:v>
                </c:pt>
                <c:pt idx="739">
                  <c:v>42747</c:v>
                </c:pt>
                <c:pt idx="740">
                  <c:v>42748</c:v>
                </c:pt>
                <c:pt idx="741">
                  <c:v>42749</c:v>
                </c:pt>
                <c:pt idx="742">
                  <c:v>42750</c:v>
                </c:pt>
                <c:pt idx="743">
                  <c:v>42751</c:v>
                </c:pt>
                <c:pt idx="744">
                  <c:v>42752</c:v>
                </c:pt>
                <c:pt idx="745">
                  <c:v>42753</c:v>
                </c:pt>
                <c:pt idx="746">
                  <c:v>42754</c:v>
                </c:pt>
                <c:pt idx="747">
                  <c:v>42755</c:v>
                </c:pt>
                <c:pt idx="748">
                  <c:v>42756</c:v>
                </c:pt>
                <c:pt idx="749">
                  <c:v>42757</c:v>
                </c:pt>
                <c:pt idx="750">
                  <c:v>42758</c:v>
                </c:pt>
                <c:pt idx="751">
                  <c:v>42759</c:v>
                </c:pt>
                <c:pt idx="752">
                  <c:v>42760</c:v>
                </c:pt>
                <c:pt idx="753">
                  <c:v>42761</c:v>
                </c:pt>
                <c:pt idx="754">
                  <c:v>42762</c:v>
                </c:pt>
                <c:pt idx="755">
                  <c:v>42763</c:v>
                </c:pt>
                <c:pt idx="756">
                  <c:v>42764</c:v>
                </c:pt>
                <c:pt idx="757">
                  <c:v>42765</c:v>
                </c:pt>
                <c:pt idx="758">
                  <c:v>42766</c:v>
                </c:pt>
                <c:pt idx="759">
                  <c:v>42767</c:v>
                </c:pt>
                <c:pt idx="760">
                  <c:v>42768</c:v>
                </c:pt>
                <c:pt idx="761">
                  <c:v>42769</c:v>
                </c:pt>
                <c:pt idx="762">
                  <c:v>42770</c:v>
                </c:pt>
                <c:pt idx="763">
                  <c:v>42771</c:v>
                </c:pt>
                <c:pt idx="764">
                  <c:v>42772</c:v>
                </c:pt>
                <c:pt idx="765">
                  <c:v>42773</c:v>
                </c:pt>
                <c:pt idx="766">
                  <c:v>42774</c:v>
                </c:pt>
                <c:pt idx="767">
                  <c:v>42775</c:v>
                </c:pt>
                <c:pt idx="768">
                  <c:v>42776</c:v>
                </c:pt>
                <c:pt idx="769">
                  <c:v>42777</c:v>
                </c:pt>
                <c:pt idx="770">
                  <c:v>42778</c:v>
                </c:pt>
                <c:pt idx="771">
                  <c:v>42779</c:v>
                </c:pt>
                <c:pt idx="772">
                  <c:v>42780</c:v>
                </c:pt>
                <c:pt idx="773">
                  <c:v>42781</c:v>
                </c:pt>
                <c:pt idx="774">
                  <c:v>42782</c:v>
                </c:pt>
                <c:pt idx="775">
                  <c:v>42783</c:v>
                </c:pt>
                <c:pt idx="776">
                  <c:v>42784</c:v>
                </c:pt>
                <c:pt idx="777">
                  <c:v>42785</c:v>
                </c:pt>
                <c:pt idx="778">
                  <c:v>42786</c:v>
                </c:pt>
                <c:pt idx="779">
                  <c:v>42787</c:v>
                </c:pt>
                <c:pt idx="780">
                  <c:v>42788</c:v>
                </c:pt>
                <c:pt idx="781">
                  <c:v>42789</c:v>
                </c:pt>
                <c:pt idx="782">
                  <c:v>42790</c:v>
                </c:pt>
                <c:pt idx="783">
                  <c:v>42791</c:v>
                </c:pt>
                <c:pt idx="784">
                  <c:v>42792</c:v>
                </c:pt>
                <c:pt idx="785">
                  <c:v>42793</c:v>
                </c:pt>
                <c:pt idx="786">
                  <c:v>42794</c:v>
                </c:pt>
                <c:pt idx="787">
                  <c:v>42795</c:v>
                </c:pt>
                <c:pt idx="788">
                  <c:v>42796</c:v>
                </c:pt>
                <c:pt idx="789">
                  <c:v>42797</c:v>
                </c:pt>
                <c:pt idx="790">
                  <c:v>42798</c:v>
                </c:pt>
                <c:pt idx="791">
                  <c:v>42799</c:v>
                </c:pt>
                <c:pt idx="792">
                  <c:v>42800</c:v>
                </c:pt>
                <c:pt idx="793">
                  <c:v>42801</c:v>
                </c:pt>
                <c:pt idx="794">
                  <c:v>42802</c:v>
                </c:pt>
                <c:pt idx="795">
                  <c:v>42803</c:v>
                </c:pt>
                <c:pt idx="796">
                  <c:v>42804</c:v>
                </c:pt>
                <c:pt idx="797">
                  <c:v>42805</c:v>
                </c:pt>
                <c:pt idx="798">
                  <c:v>42806</c:v>
                </c:pt>
                <c:pt idx="799">
                  <c:v>42807</c:v>
                </c:pt>
                <c:pt idx="800">
                  <c:v>42808</c:v>
                </c:pt>
                <c:pt idx="801">
                  <c:v>42809</c:v>
                </c:pt>
                <c:pt idx="802">
                  <c:v>42810</c:v>
                </c:pt>
                <c:pt idx="803">
                  <c:v>42811</c:v>
                </c:pt>
                <c:pt idx="804">
                  <c:v>42812</c:v>
                </c:pt>
                <c:pt idx="805">
                  <c:v>42813</c:v>
                </c:pt>
                <c:pt idx="806">
                  <c:v>42814</c:v>
                </c:pt>
                <c:pt idx="807">
                  <c:v>42815</c:v>
                </c:pt>
                <c:pt idx="808">
                  <c:v>42816</c:v>
                </c:pt>
                <c:pt idx="809">
                  <c:v>42817</c:v>
                </c:pt>
                <c:pt idx="810">
                  <c:v>42818</c:v>
                </c:pt>
                <c:pt idx="811">
                  <c:v>42819</c:v>
                </c:pt>
                <c:pt idx="812">
                  <c:v>42820</c:v>
                </c:pt>
                <c:pt idx="813">
                  <c:v>42821</c:v>
                </c:pt>
                <c:pt idx="814">
                  <c:v>42822</c:v>
                </c:pt>
                <c:pt idx="815">
                  <c:v>42823</c:v>
                </c:pt>
                <c:pt idx="816">
                  <c:v>42824</c:v>
                </c:pt>
                <c:pt idx="817">
                  <c:v>42825</c:v>
                </c:pt>
                <c:pt idx="818">
                  <c:v>42826</c:v>
                </c:pt>
                <c:pt idx="819">
                  <c:v>42827</c:v>
                </c:pt>
                <c:pt idx="820">
                  <c:v>42828</c:v>
                </c:pt>
                <c:pt idx="821">
                  <c:v>42829</c:v>
                </c:pt>
                <c:pt idx="822">
                  <c:v>42830</c:v>
                </c:pt>
                <c:pt idx="823">
                  <c:v>42831</c:v>
                </c:pt>
                <c:pt idx="824">
                  <c:v>42832</c:v>
                </c:pt>
                <c:pt idx="825">
                  <c:v>42833</c:v>
                </c:pt>
                <c:pt idx="826">
                  <c:v>42834</c:v>
                </c:pt>
                <c:pt idx="827">
                  <c:v>42835</c:v>
                </c:pt>
                <c:pt idx="828">
                  <c:v>42836</c:v>
                </c:pt>
                <c:pt idx="829">
                  <c:v>42837</c:v>
                </c:pt>
                <c:pt idx="830">
                  <c:v>42838</c:v>
                </c:pt>
                <c:pt idx="831">
                  <c:v>42839</c:v>
                </c:pt>
                <c:pt idx="832">
                  <c:v>42840</c:v>
                </c:pt>
                <c:pt idx="833">
                  <c:v>42841</c:v>
                </c:pt>
                <c:pt idx="834">
                  <c:v>42842</c:v>
                </c:pt>
                <c:pt idx="835">
                  <c:v>42843</c:v>
                </c:pt>
                <c:pt idx="836">
                  <c:v>42844</c:v>
                </c:pt>
                <c:pt idx="837">
                  <c:v>42845</c:v>
                </c:pt>
                <c:pt idx="838">
                  <c:v>42846</c:v>
                </c:pt>
                <c:pt idx="839">
                  <c:v>42847</c:v>
                </c:pt>
                <c:pt idx="840">
                  <c:v>42848</c:v>
                </c:pt>
                <c:pt idx="841">
                  <c:v>42849</c:v>
                </c:pt>
                <c:pt idx="842">
                  <c:v>42850</c:v>
                </c:pt>
                <c:pt idx="843">
                  <c:v>42851</c:v>
                </c:pt>
                <c:pt idx="844">
                  <c:v>42852</c:v>
                </c:pt>
                <c:pt idx="845">
                  <c:v>42853</c:v>
                </c:pt>
                <c:pt idx="846">
                  <c:v>42854</c:v>
                </c:pt>
                <c:pt idx="847">
                  <c:v>42855</c:v>
                </c:pt>
                <c:pt idx="848">
                  <c:v>42856</c:v>
                </c:pt>
                <c:pt idx="849">
                  <c:v>42857</c:v>
                </c:pt>
                <c:pt idx="850">
                  <c:v>42858</c:v>
                </c:pt>
                <c:pt idx="851">
                  <c:v>42859</c:v>
                </c:pt>
                <c:pt idx="852">
                  <c:v>42860</c:v>
                </c:pt>
                <c:pt idx="853">
                  <c:v>42861</c:v>
                </c:pt>
                <c:pt idx="854">
                  <c:v>42862</c:v>
                </c:pt>
                <c:pt idx="855">
                  <c:v>42863</c:v>
                </c:pt>
                <c:pt idx="856">
                  <c:v>42864</c:v>
                </c:pt>
                <c:pt idx="857">
                  <c:v>42865</c:v>
                </c:pt>
                <c:pt idx="858">
                  <c:v>42866</c:v>
                </c:pt>
                <c:pt idx="859">
                  <c:v>42867</c:v>
                </c:pt>
                <c:pt idx="860">
                  <c:v>42868</c:v>
                </c:pt>
                <c:pt idx="861">
                  <c:v>42869</c:v>
                </c:pt>
                <c:pt idx="862">
                  <c:v>42870</c:v>
                </c:pt>
                <c:pt idx="863">
                  <c:v>42871</c:v>
                </c:pt>
                <c:pt idx="864">
                  <c:v>42872</c:v>
                </c:pt>
                <c:pt idx="865">
                  <c:v>42873</c:v>
                </c:pt>
                <c:pt idx="866">
                  <c:v>42874</c:v>
                </c:pt>
                <c:pt idx="867">
                  <c:v>42875</c:v>
                </c:pt>
                <c:pt idx="868">
                  <c:v>42876</c:v>
                </c:pt>
                <c:pt idx="869">
                  <c:v>42877</c:v>
                </c:pt>
                <c:pt idx="870">
                  <c:v>42878</c:v>
                </c:pt>
                <c:pt idx="871">
                  <c:v>42879</c:v>
                </c:pt>
                <c:pt idx="872">
                  <c:v>42880</c:v>
                </c:pt>
                <c:pt idx="873">
                  <c:v>42881</c:v>
                </c:pt>
                <c:pt idx="874">
                  <c:v>42882</c:v>
                </c:pt>
                <c:pt idx="875">
                  <c:v>42883</c:v>
                </c:pt>
                <c:pt idx="876">
                  <c:v>42884</c:v>
                </c:pt>
                <c:pt idx="877">
                  <c:v>42885</c:v>
                </c:pt>
                <c:pt idx="878">
                  <c:v>42886</c:v>
                </c:pt>
                <c:pt idx="879">
                  <c:v>42887</c:v>
                </c:pt>
                <c:pt idx="880">
                  <c:v>42888</c:v>
                </c:pt>
                <c:pt idx="881">
                  <c:v>42889</c:v>
                </c:pt>
                <c:pt idx="882">
                  <c:v>42890</c:v>
                </c:pt>
                <c:pt idx="883">
                  <c:v>42891</c:v>
                </c:pt>
                <c:pt idx="884">
                  <c:v>42892</c:v>
                </c:pt>
                <c:pt idx="885">
                  <c:v>42893</c:v>
                </c:pt>
                <c:pt idx="886">
                  <c:v>42894</c:v>
                </c:pt>
                <c:pt idx="887">
                  <c:v>42895</c:v>
                </c:pt>
                <c:pt idx="888">
                  <c:v>42896</c:v>
                </c:pt>
                <c:pt idx="889">
                  <c:v>42897</c:v>
                </c:pt>
                <c:pt idx="890">
                  <c:v>42898</c:v>
                </c:pt>
                <c:pt idx="891">
                  <c:v>42899</c:v>
                </c:pt>
                <c:pt idx="892">
                  <c:v>42900</c:v>
                </c:pt>
                <c:pt idx="893">
                  <c:v>42901</c:v>
                </c:pt>
                <c:pt idx="894">
                  <c:v>42902</c:v>
                </c:pt>
                <c:pt idx="895">
                  <c:v>42903</c:v>
                </c:pt>
                <c:pt idx="896">
                  <c:v>42904</c:v>
                </c:pt>
                <c:pt idx="897">
                  <c:v>42905</c:v>
                </c:pt>
                <c:pt idx="898">
                  <c:v>42906</c:v>
                </c:pt>
                <c:pt idx="899">
                  <c:v>42907</c:v>
                </c:pt>
                <c:pt idx="900">
                  <c:v>42908</c:v>
                </c:pt>
                <c:pt idx="901">
                  <c:v>42909</c:v>
                </c:pt>
                <c:pt idx="902">
                  <c:v>42910</c:v>
                </c:pt>
                <c:pt idx="903">
                  <c:v>42911</c:v>
                </c:pt>
                <c:pt idx="904">
                  <c:v>42912</c:v>
                </c:pt>
                <c:pt idx="905">
                  <c:v>42913</c:v>
                </c:pt>
                <c:pt idx="906">
                  <c:v>42914</c:v>
                </c:pt>
                <c:pt idx="907">
                  <c:v>42915</c:v>
                </c:pt>
                <c:pt idx="908">
                  <c:v>42916</c:v>
                </c:pt>
                <c:pt idx="909">
                  <c:v>42917</c:v>
                </c:pt>
                <c:pt idx="910">
                  <c:v>42918</c:v>
                </c:pt>
                <c:pt idx="911">
                  <c:v>42919</c:v>
                </c:pt>
                <c:pt idx="912">
                  <c:v>42920</c:v>
                </c:pt>
                <c:pt idx="913">
                  <c:v>42921</c:v>
                </c:pt>
                <c:pt idx="914">
                  <c:v>42922</c:v>
                </c:pt>
                <c:pt idx="915">
                  <c:v>42923</c:v>
                </c:pt>
                <c:pt idx="916">
                  <c:v>42924</c:v>
                </c:pt>
                <c:pt idx="917">
                  <c:v>42925</c:v>
                </c:pt>
                <c:pt idx="918">
                  <c:v>42926</c:v>
                </c:pt>
                <c:pt idx="919">
                  <c:v>42927</c:v>
                </c:pt>
                <c:pt idx="920">
                  <c:v>42928</c:v>
                </c:pt>
                <c:pt idx="921">
                  <c:v>42929</c:v>
                </c:pt>
                <c:pt idx="922">
                  <c:v>42930</c:v>
                </c:pt>
                <c:pt idx="923">
                  <c:v>42931</c:v>
                </c:pt>
                <c:pt idx="924">
                  <c:v>42932</c:v>
                </c:pt>
                <c:pt idx="925">
                  <c:v>42933</c:v>
                </c:pt>
                <c:pt idx="926">
                  <c:v>42934</c:v>
                </c:pt>
                <c:pt idx="927">
                  <c:v>42935</c:v>
                </c:pt>
                <c:pt idx="928">
                  <c:v>42936</c:v>
                </c:pt>
                <c:pt idx="929">
                  <c:v>42937</c:v>
                </c:pt>
                <c:pt idx="930">
                  <c:v>42938</c:v>
                </c:pt>
                <c:pt idx="931">
                  <c:v>42939</c:v>
                </c:pt>
                <c:pt idx="932">
                  <c:v>42940</c:v>
                </c:pt>
                <c:pt idx="933">
                  <c:v>42941</c:v>
                </c:pt>
                <c:pt idx="934">
                  <c:v>42942</c:v>
                </c:pt>
                <c:pt idx="935">
                  <c:v>42943</c:v>
                </c:pt>
                <c:pt idx="936">
                  <c:v>42944</c:v>
                </c:pt>
                <c:pt idx="937">
                  <c:v>42945</c:v>
                </c:pt>
                <c:pt idx="938">
                  <c:v>42946</c:v>
                </c:pt>
                <c:pt idx="939">
                  <c:v>42947</c:v>
                </c:pt>
                <c:pt idx="940">
                  <c:v>42948</c:v>
                </c:pt>
                <c:pt idx="941">
                  <c:v>42949</c:v>
                </c:pt>
                <c:pt idx="942">
                  <c:v>42950</c:v>
                </c:pt>
                <c:pt idx="943">
                  <c:v>42951</c:v>
                </c:pt>
                <c:pt idx="944">
                  <c:v>42952</c:v>
                </c:pt>
                <c:pt idx="945">
                  <c:v>42953</c:v>
                </c:pt>
                <c:pt idx="946">
                  <c:v>42954</c:v>
                </c:pt>
                <c:pt idx="947">
                  <c:v>42955</c:v>
                </c:pt>
                <c:pt idx="948">
                  <c:v>42956</c:v>
                </c:pt>
                <c:pt idx="949">
                  <c:v>42957</c:v>
                </c:pt>
                <c:pt idx="950">
                  <c:v>42958</c:v>
                </c:pt>
                <c:pt idx="951">
                  <c:v>42959</c:v>
                </c:pt>
                <c:pt idx="952">
                  <c:v>42960</c:v>
                </c:pt>
                <c:pt idx="953">
                  <c:v>42961</c:v>
                </c:pt>
                <c:pt idx="954">
                  <c:v>42962</c:v>
                </c:pt>
                <c:pt idx="955">
                  <c:v>42963</c:v>
                </c:pt>
                <c:pt idx="956">
                  <c:v>42964</c:v>
                </c:pt>
                <c:pt idx="957">
                  <c:v>42965</c:v>
                </c:pt>
                <c:pt idx="958">
                  <c:v>42966</c:v>
                </c:pt>
                <c:pt idx="959">
                  <c:v>42967</c:v>
                </c:pt>
                <c:pt idx="960">
                  <c:v>42968</c:v>
                </c:pt>
                <c:pt idx="961">
                  <c:v>42969</c:v>
                </c:pt>
                <c:pt idx="962">
                  <c:v>42970</c:v>
                </c:pt>
                <c:pt idx="963">
                  <c:v>42971</c:v>
                </c:pt>
                <c:pt idx="964">
                  <c:v>42972</c:v>
                </c:pt>
                <c:pt idx="965">
                  <c:v>42973</c:v>
                </c:pt>
                <c:pt idx="966">
                  <c:v>42974</c:v>
                </c:pt>
                <c:pt idx="967">
                  <c:v>42975</c:v>
                </c:pt>
                <c:pt idx="968">
                  <c:v>42976</c:v>
                </c:pt>
                <c:pt idx="969">
                  <c:v>42977</c:v>
                </c:pt>
                <c:pt idx="970">
                  <c:v>42978</c:v>
                </c:pt>
                <c:pt idx="971">
                  <c:v>42979</c:v>
                </c:pt>
                <c:pt idx="972">
                  <c:v>42980</c:v>
                </c:pt>
                <c:pt idx="973">
                  <c:v>42981</c:v>
                </c:pt>
                <c:pt idx="974">
                  <c:v>42982</c:v>
                </c:pt>
                <c:pt idx="975">
                  <c:v>42983</c:v>
                </c:pt>
                <c:pt idx="976">
                  <c:v>42984</c:v>
                </c:pt>
                <c:pt idx="977">
                  <c:v>42985</c:v>
                </c:pt>
                <c:pt idx="978">
                  <c:v>42986</c:v>
                </c:pt>
                <c:pt idx="979">
                  <c:v>42987</c:v>
                </c:pt>
                <c:pt idx="980">
                  <c:v>42988</c:v>
                </c:pt>
                <c:pt idx="981">
                  <c:v>42989</c:v>
                </c:pt>
                <c:pt idx="982">
                  <c:v>42990</c:v>
                </c:pt>
                <c:pt idx="983">
                  <c:v>42991</c:v>
                </c:pt>
                <c:pt idx="984">
                  <c:v>42992</c:v>
                </c:pt>
                <c:pt idx="985">
                  <c:v>42993</c:v>
                </c:pt>
                <c:pt idx="986">
                  <c:v>42994</c:v>
                </c:pt>
                <c:pt idx="987">
                  <c:v>42995</c:v>
                </c:pt>
                <c:pt idx="988">
                  <c:v>42996</c:v>
                </c:pt>
                <c:pt idx="989">
                  <c:v>42997</c:v>
                </c:pt>
                <c:pt idx="990">
                  <c:v>42998</c:v>
                </c:pt>
                <c:pt idx="991">
                  <c:v>42999</c:v>
                </c:pt>
                <c:pt idx="992">
                  <c:v>43000</c:v>
                </c:pt>
                <c:pt idx="993">
                  <c:v>43001</c:v>
                </c:pt>
                <c:pt idx="994">
                  <c:v>43002</c:v>
                </c:pt>
                <c:pt idx="995">
                  <c:v>43003</c:v>
                </c:pt>
                <c:pt idx="996">
                  <c:v>43004</c:v>
                </c:pt>
                <c:pt idx="997">
                  <c:v>43005</c:v>
                </c:pt>
                <c:pt idx="998">
                  <c:v>43006</c:v>
                </c:pt>
                <c:pt idx="999">
                  <c:v>43007</c:v>
                </c:pt>
                <c:pt idx="1000">
                  <c:v>43008</c:v>
                </c:pt>
                <c:pt idx="1001">
                  <c:v>43009</c:v>
                </c:pt>
                <c:pt idx="1002">
                  <c:v>43010</c:v>
                </c:pt>
                <c:pt idx="1003">
                  <c:v>43011</c:v>
                </c:pt>
                <c:pt idx="1004">
                  <c:v>43012</c:v>
                </c:pt>
                <c:pt idx="1005">
                  <c:v>43013</c:v>
                </c:pt>
                <c:pt idx="1006">
                  <c:v>43014</c:v>
                </c:pt>
                <c:pt idx="1007">
                  <c:v>43015</c:v>
                </c:pt>
                <c:pt idx="1008">
                  <c:v>43016</c:v>
                </c:pt>
                <c:pt idx="1009">
                  <c:v>43017</c:v>
                </c:pt>
                <c:pt idx="1010">
                  <c:v>43018</c:v>
                </c:pt>
                <c:pt idx="1011">
                  <c:v>43019</c:v>
                </c:pt>
                <c:pt idx="1012">
                  <c:v>43020</c:v>
                </c:pt>
                <c:pt idx="1013">
                  <c:v>43021</c:v>
                </c:pt>
                <c:pt idx="1014">
                  <c:v>43022</c:v>
                </c:pt>
                <c:pt idx="1015">
                  <c:v>43023</c:v>
                </c:pt>
                <c:pt idx="1016">
                  <c:v>43024</c:v>
                </c:pt>
                <c:pt idx="1017">
                  <c:v>43025</c:v>
                </c:pt>
                <c:pt idx="1018">
                  <c:v>43026</c:v>
                </c:pt>
                <c:pt idx="1019">
                  <c:v>43027</c:v>
                </c:pt>
                <c:pt idx="1020">
                  <c:v>43028</c:v>
                </c:pt>
                <c:pt idx="1021">
                  <c:v>43029</c:v>
                </c:pt>
                <c:pt idx="1022">
                  <c:v>43030</c:v>
                </c:pt>
                <c:pt idx="1023">
                  <c:v>43031</c:v>
                </c:pt>
                <c:pt idx="1024">
                  <c:v>43032</c:v>
                </c:pt>
                <c:pt idx="1025">
                  <c:v>43033</c:v>
                </c:pt>
                <c:pt idx="1026">
                  <c:v>43034</c:v>
                </c:pt>
                <c:pt idx="1027">
                  <c:v>43035</c:v>
                </c:pt>
                <c:pt idx="1028">
                  <c:v>43036</c:v>
                </c:pt>
                <c:pt idx="1029">
                  <c:v>43037</c:v>
                </c:pt>
                <c:pt idx="1030">
                  <c:v>43038</c:v>
                </c:pt>
                <c:pt idx="1031">
                  <c:v>43039</c:v>
                </c:pt>
                <c:pt idx="1032">
                  <c:v>43040</c:v>
                </c:pt>
                <c:pt idx="1033">
                  <c:v>43041</c:v>
                </c:pt>
                <c:pt idx="1034">
                  <c:v>43042</c:v>
                </c:pt>
                <c:pt idx="1035">
                  <c:v>43043</c:v>
                </c:pt>
                <c:pt idx="1036">
                  <c:v>43044</c:v>
                </c:pt>
                <c:pt idx="1037">
                  <c:v>43045</c:v>
                </c:pt>
                <c:pt idx="1038">
                  <c:v>43046</c:v>
                </c:pt>
                <c:pt idx="1039">
                  <c:v>43047</c:v>
                </c:pt>
                <c:pt idx="1040">
                  <c:v>43048</c:v>
                </c:pt>
                <c:pt idx="1041">
                  <c:v>43049</c:v>
                </c:pt>
                <c:pt idx="1042">
                  <c:v>43050</c:v>
                </c:pt>
                <c:pt idx="1043">
                  <c:v>43051</c:v>
                </c:pt>
                <c:pt idx="1044">
                  <c:v>43052</c:v>
                </c:pt>
                <c:pt idx="1045">
                  <c:v>43053</c:v>
                </c:pt>
                <c:pt idx="1046">
                  <c:v>43054</c:v>
                </c:pt>
                <c:pt idx="1047">
                  <c:v>43055</c:v>
                </c:pt>
                <c:pt idx="1048">
                  <c:v>43056</c:v>
                </c:pt>
                <c:pt idx="1049">
                  <c:v>43057</c:v>
                </c:pt>
                <c:pt idx="1050">
                  <c:v>43058</c:v>
                </c:pt>
                <c:pt idx="1051">
                  <c:v>43059</c:v>
                </c:pt>
                <c:pt idx="1052">
                  <c:v>43060</c:v>
                </c:pt>
                <c:pt idx="1053">
                  <c:v>43061</c:v>
                </c:pt>
                <c:pt idx="1054">
                  <c:v>43062</c:v>
                </c:pt>
                <c:pt idx="1055">
                  <c:v>43063</c:v>
                </c:pt>
                <c:pt idx="1056">
                  <c:v>43064</c:v>
                </c:pt>
                <c:pt idx="1057">
                  <c:v>43065</c:v>
                </c:pt>
                <c:pt idx="1058">
                  <c:v>43066</c:v>
                </c:pt>
                <c:pt idx="1059">
                  <c:v>43067</c:v>
                </c:pt>
                <c:pt idx="1060">
                  <c:v>43068</c:v>
                </c:pt>
                <c:pt idx="1061">
                  <c:v>43069</c:v>
                </c:pt>
                <c:pt idx="1062">
                  <c:v>43070</c:v>
                </c:pt>
                <c:pt idx="1063">
                  <c:v>43071</c:v>
                </c:pt>
                <c:pt idx="1064">
                  <c:v>43072</c:v>
                </c:pt>
                <c:pt idx="1065">
                  <c:v>43073</c:v>
                </c:pt>
                <c:pt idx="1066">
                  <c:v>43074</c:v>
                </c:pt>
                <c:pt idx="1067">
                  <c:v>43075</c:v>
                </c:pt>
                <c:pt idx="1068">
                  <c:v>43076</c:v>
                </c:pt>
                <c:pt idx="1069">
                  <c:v>43077</c:v>
                </c:pt>
                <c:pt idx="1070">
                  <c:v>43078</c:v>
                </c:pt>
                <c:pt idx="1071">
                  <c:v>43079</c:v>
                </c:pt>
                <c:pt idx="1072">
                  <c:v>43080</c:v>
                </c:pt>
                <c:pt idx="1073">
                  <c:v>43081</c:v>
                </c:pt>
                <c:pt idx="1074">
                  <c:v>43082</c:v>
                </c:pt>
                <c:pt idx="1075">
                  <c:v>43083</c:v>
                </c:pt>
                <c:pt idx="1076">
                  <c:v>43084</c:v>
                </c:pt>
                <c:pt idx="1077">
                  <c:v>43085</c:v>
                </c:pt>
                <c:pt idx="1078">
                  <c:v>43086</c:v>
                </c:pt>
                <c:pt idx="1079">
                  <c:v>43087</c:v>
                </c:pt>
                <c:pt idx="1080">
                  <c:v>43088</c:v>
                </c:pt>
                <c:pt idx="1081">
                  <c:v>43089</c:v>
                </c:pt>
                <c:pt idx="1082">
                  <c:v>43090</c:v>
                </c:pt>
                <c:pt idx="1083">
                  <c:v>43091</c:v>
                </c:pt>
                <c:pt idx="1084">
                  <c:v>43092</c:v>
                </c:pt>
                <c:pt idx="1085">
                  <c:v>43093</c:v>
                </c:pt>
                <c:pt idx="1086">
                  <c:v>43094</c:v>
                </c:pt>
                <c:pt idx="1087">
                  <c:v>43095</c:v>
                </c:pt>
                <c:pt idx="1088">
                  <c:v>43096</c:v>
                </c:pt>
                <c:pt idx="1089">
                  <c:v>43097</c:v>
                </c:pt>
                <c:pt idx="1090">
                  <c:v>43098</c:v>
                </c:pt>
                <c:pt idx="1091">
                  <c:v>43099</c:v>
                </c:pt>
                <c:pt idx="1092">
                  <c:v>43100</c:v>
                </c:pt>
                <c:pt idx="1093">
                  <c:v>43101</c:v>
                </c:pt>
                <c:pt idx="1094">
                  <c:v>43102</c:v>
                </c:pt>
                <c:pt idx="1095">
                  <c:v>43103</c:v>
                </c:pt>
                <c:pt idx="1096">
                  <c:v>43104</c:v>
                </c:pt>
                <c:pt idx="1097">
                  <c:v>43105</c:v>
                </c:pt>
                <c:pt idx="1098">
                  <c:v>43106</c:v>
                </c:pt>
                <c:pt idx="1099">
                  <c:v>43107</c:v>
                </c:pt>
                <c:pt idx="1100">
                  <c:v>43108</c:v>
                </c:pt>
                <c:pt idx="1101">
                  <c:v>43109</c:v>
                </c:pt>
                <c:pt idx="1102">
                  <c:v>43110</c:v>
                </c:pt>
                <c:pt idx="1103">
                  <c:v>43111</c:v>
                </c:pt>
                <c:pt idx="1104">
                  <c:v>43112</c:v>
                </c:pt>
                <c:pt idx="1105">
                  <c:v>43113</c:v>
                </c:pt>
                <c:pt idx="1106">
                  <c:v>43114</c:v>
                </c:pt>
                <c:pt idx="1107">
                  <c:v>43115</c:v>
                </c:pt>
                <c:pt idx="1108">
                  <c:v>43116</c:v>
                </c:pt>
                <c:pt idx="1109">
                  <c:v>43117</c:v>
                </c:pt>
                <c:pt idx="1110">
                  <c:v>43118</c:v>
                </c:pt>
                <c:pt idx="1111">
                  <c:v>43119</c:v>
                </c:pt>
                <c:pt idx="1112">
                  <c:v>43120</c:v>
                </c:pt>
                <c:pt idx="1113">
                  <c:v>43121</c:v>
                </c:pt>
                <c:pt idx="1114">
                  <c:v>43122</c:v>
                </c:pt>
                <c:pt idx="1115">
                  <c:v>43123</c:v>
                </c:pt>
                <c:pt idx="1116">
                  <c:v>43124</c:v>
                </c:pt>
                <c:pt idx="1117">
                  <c:v>43125</c:v>
                </c:pt>
                <c:pt idx="1118">
                  <c:v>43126</c:v>
                </c:pt>
                <c:pt idx="1119">
                  <c:v>43127</c:v>
                </c:pt>
                <c:pt idx="1120">
                  <c:v>43128</c:v>
                </c:pt>
                <c:pt idx="1121">
                  <c:v>43129</c:v>
                </c:pt>
                <c:pt idx="1122">
                  <c:v>43130</c:v>
                </c:pt>
                <c:pt idx="1123">
                  <c:v>43131</c:v>
                </c:pt>
                <c:pt idx="1124">
                  <c:v>43132</c:v>
                </c:pt>
                <c:pt idx="1125">
                  <c:v>43133</c:v>
                </c:pt>
                <c:pt idx="1126">
                  <c:v>43134</c:v>
                </c:pt>
                <c:pt idx="1127">
                  <c:v>43135</c:v>
                </c:pt>
                <c:pt idx="1128">
                  <c:v>43136</c:v>
                </c:pt>
                <c:pt idx="1129">
                  <c:v>43137</c:v>
                </c:pt>
                <c:pt idx="1130">
                  <c:v>43138</c:v>
                </c:pt>
                <c:pt idx="1131">
                  <c:v>43139</c:v>
                </c:pt>
                <c:pt idx="1132">
                  <c:v>43140</c:v>
                </c:pt>
                <c:pt idx="1133">
                  <c:v>43141</c:v>
                </c:pt>
                <c:pt idx="1134">
                  <c:v>43142</c:v>
                </c:pt>
                <c:pt idx="1135">
                  <c:v>43143</c:v>
                </c:pt>
                <c:pt idx="1136">
                  <c:v>43144</c:v>
                </c:pt>
                <c:pt idx="1137">
                  <c:v>43145</c:v>
                </c:pt>
                <c:pt idx="1138">
                  <c:v>43146</c:v>
                </c:pt>
                <c:pt idx="1139">
                  <c:v>43147</c:v>
                </c:pt>
                <c:pt idx="1140">
                  <c:v>43148</c:v>
                </c:pt>
                <c:pt idx="1141">
                  <c:v>43149</c:v>
                </c:pt>
                <c:pt idx="1142">
                  <c:v>43150</c:v>
                </c:pt>
                <c:pt idx="1143">
                  <c:v>43151</c:v>
                </c:pt>
                <c:pt idx="1144">
                  <c:v>43152</c:v>
                </c:pt>
                <c:pt idx="1145">
                  <c:v>43153</c:v>
                </c:pt>
                <c:pt idx="1146">
                  <c:v>43154</c:v>
                </c:pt>
                <c:pt idx="1147">
                  <c:v>43155</c:v>
                </c:pt>
                <c:pt idx="1148">
                  <c:v>43156</c:v>
                </c:pt>
                <c:pt idx="1149">
                  <c:v>43157</c:v>
                </c:pt>
                <c:pt idx="1150">
                  <c:v>43158</c:v>
                </c:pt>
                <c:pt idx="1151">
                  <c:v>43159</c:v>
                </c:pt>
                <c:pt idx="1152">
                  <c:v>43160</c:v>
                </c:pt>
                <c:pt idx="1153">
                  <c:v>43161</c:v>
                </c:pt>
                <c:pt idx="1154">
                  <c:v>43162</c:v>
                </c:pt>
                <c:pt idx="1155">
                  <c:v>43163</c:v>
                </c:pt>
                <c:pt idx="1156">
                  <c:v>43164</c:v>
                </c:pt>
                <c:pt idx="1157">
                  <c:v>43165</c:v>
                </c:pt>
                <c:pt idx="1158">
                  <c:v>43166</c:v>
                </c:pt>
                <c:pt idx="1159">
                  <c:v>43167</c:v>
                </c:pt>
                <c:pt idx="1160">
                  <c:v>43168</c:v>
                </c:pt>
                <c:pt idx="1161">
                  <c:v>43169</c:v>
                </c:pt>
                <c:pt idx="1162">
                  <c:v>43170</c:v>
                </c:pt>
                <c:pt idx="1163">
                  <c:v>43171</c:v>
                </c:pt>
                <c:pt idx="1164">
                  <c:v>43172</c:v>
                </c:pt>
                <c:pt idx="1165">
                  <c:v>43173</c:v>
                </c:pt>
                <c:pt idx="1166">
                  <c:v>43174</c:v>
                </c:pt>
                <c:pt idx="1167">
                  <c:v>43175</c:v>
                </c:pt>
                <c:pt idx="1168">
                  <c:v>43176</c:v>
                </c:pt>
                <c:pt idx="1169">
                  <c:v>43177</c:v>
                </c:pt>
                <c:pt idx="1170">
                  <c:v>43178</c:v>
                </c:pt>
                <c:pt idx="1171">
                  <c:v>43179</c:v>
                </c:pt>
                <c:pt idx="1172">
                  <c:v>43180</c:v>
                </c:pt>
                <c:pt idx="1173">
                  <c:v>43181</c:v>
                </c:pt>
                <c:pt idx="1174">
                  <c:v>43182</c:v>
                </c:pt>
                <c:pt idx="1175">
                  <c:v>43183</c:v>
                </c:pt>
                <c:pt idx="1176">
                  <c:v>43184</c:v>
                </c:pt>
                <c:pt idx="1177">
                  <c:v>43185</c:v>
                </c:pt>
                <c:pt idx="1178">
                  <c:v>43186</c:v>
                </c:pt>
                <c:pt idx="1179">
                  <c:v>43187</c:v>
                </c:pt>
                <c:pt idx="1180">
                  <c:v>43188</c:v>
                </c:pt>
                <c:pt idx="1181">
                  <c:v>43189</c:v>
                </c:pt>
                <c:pt idx="1182">
                  <c:v>43190</c:v>
                </c:pt>
                <c:pt idx="1183">
                  <c:v>43191</c:v>
                </c:pt>
                <c:pt idx="1184">
                  <c:v>43192</c:v>
                </c:pt>
                <c:pt idx="1185">
                  <c:v>43193</c:v>
                </c:pt>
                <c:pt idx="1186">
                  <c:v>43194</c:v>
                </c:pt>
                <c:pt idx="1187">
                  <c:v>43195</c:v>
                </c:pt>
                <c:pt idx="1188">
                  <c:v>43196</c:v>
                </c:pt>
                <c:pt idx="1189">
                  <c:v>43197</c:v>
                </c:pt>
                <c:pt idx="1190">
                  <c:v>43198</c:v>
                </c:pt>
                <c:pt idx="1191">
                  <c:v>43199</c:v>
                </c:pt>
                <c:pt idx="1192">
                  <c:v>43200</c:v>
                </c:pt>
                <c:pt idx="1193">
                  <c:v>43201</c:v>
                </c:pt>
                <c:pt idx="1194">
                  <c:v>43202</c:v>
                </c:pt>
                <c:pt idx="1195">
                  <c:v>43203</c:v>
                </c:pt>
                <c:pt idx="1196">
                  <c:v>43204</c:v>
                </c:pt>
                <c:pt idx="1197">
                  <c:v>43205</c:v>
                </c:pt>
                <c:pt idx="1198">
                  <c:v>43206</c:v>
                </c:pt>
                <c:pt idx="1199">
                  <c:v>43207</c:v>
                </c:pt>
                <c:pt idx="1200">
                  <c:v>43208</c:v>
                </c:pt>
                <c:pt idx="1201">
                  <c:v>43209</c:v>
                </c:pt>
                <c:pt idx="1202">
                  <c:v>43210</c:v>
                </c:pt>
                <c:pt idx="1203">
                  <c:v>43211</c:v>
                </c:pt>
                <c:pt idx="1204">
                  <c:v>43212</c:v>
                </c:pt>
                <c:pt idx="1205">
                  <c:v>43213</c:v>
                </c:pt>
                <c:pt idx="1206">
                  <c:v>43214</c:v>
                </c:pt>
                <c:pt idx="1207">
                  <c:v>43215</c:v>
                </c:pt>
                <c:pt idx="1208">
                  <c:v>43216</c:v>
                </c:pt>
                <c:pt idx="1209">
                  <c:v>43217</c:v>
                </c:pt>
                <c:pt idx="1210">
                  <c:v>43218</c:v>
                </c:pt>
                <c:pt idx="1211">
                  <c:v>43219</c:v>
                </c:pt>
                <c:pt idx="1212">
                  <c:v>43220</c:v>
                </c:pt>
                <c:pt idx="1213">
                  <c:v>43221</c:v>
                </c:pt>
                <c:pt idx="1214">
                  <c:v>43222</c:v>
                </c:pt>
                <c:pt idx="1215">
                  <c:v>43223</c:v>
                </c:pt>
                <c:pt idx="1216">
                  <c:v>43224</c:v>
                </c:pt>
                <c:pt idx="1217">
                  <c:v>43225</c:v>
                </c:pt>
                <c:pt idx="1218">
                  <c:v>43226</c:v>
                </c:pt>
                <c:pt idx="1219">
                  <c:v>43227</c:v>
                </c:pt>
                <c:pt idx="1220">
                  <c:v>43228</c:v>
                </c:pt>
                <c:pt idx="1221">
                  <c:v>43229</c:v>
                </c:pt>
                <c:pt idx="1222">
                  <c:v>43230</c:v>
                </c:pt>
                <c:pt idx="1223">
                  <c:v>43231</c:v>
                </c:pt>
                <c:pt idx="1224">
                  <c:v>43232</c:v>
                </c:pt>
                <c:pt idx="1225">
                  <c:v>43233</c:v>
                </c:pt>
                <c:pt idx="1226">
                  <c:v>43234</c:v>
                </c:pt>
                <c:pt idx="1227">
                  <c:v>43235</c:v>
                </c:pt>
                <c:pt idx="1228">
                  <c:v>43236</c:v>
                </c:pt>
                <c:pt idx="1229">
                  <c:v>43237</c:v>
                </c:pt>
                <c:pt idx="1230">
                  <c:v>43238</c:v>
                </c:pt>
                <c:pt idx="1231">
                  <c:v>43239</c:v>
                </c:pt>
                <c:pt idx="1232">
                  <c:v>43240</c:v>
                </c:pt>
                <c:pt idx="1233">
                  <c:v>43241</c:v>
                </c:pt>
                <c:pt idx="1234">
                  <c:v>43242</c:v>
                </c:pt>
                <c:pt idx="1235">
                  <c:v>43243</c:v>
                </c:pt>
                <c:pt idx="1236">
                  <c:v>43244</c:v>
                </c:pt>
                <c:pt idx="1237">
                  <c:v>43245</c:v>
                </c:pt>
                <c:pt idx="1238">
                  <c:v>43246</c:v>
                </c:pt>
                <c:pt idx="1239">
                  <c:v>43247</c:v>
                </c:pt>
                <c:pt idx="1240">
                  <c:v>43248</c:v>
                </c:pt>
                <c:pt idx="1241">
                  <c:v>43249</c:v>
                </c:pt>
                <c:pt idx="1242">
                  <c:v>43250</c:v>
                </c:pt>
                <c:pt idx="1243">
                  <c:v>43251</c:v>
                </c:pt>
                <c:pt idx="1244">
                  <c:v>43252</c:v>
                </c:pt>
                <c:pt idx="1245">
                  <c:v>43253</c:v>
                </c:pt>
                <c:pt idx="1246">
                  <c:v>43254</c:v>
                </c:pt>
                <c:pt idx="1247">
                  <c:v>43255</c:v>
                </c:pt>
                <c:pt idx="1248">
                  <c:v>43256</c:v>
                </c:pt>
                <c:pt idx="1249">
                  <c:v>43257</c:v>
                </c:pt>
                <c:pt idx="1250">
                  <c:v>43258</c:v>
                </c:pt>
                <c:pt idx="1251">
                  <c:v>43259</c:v>
                </c:pt>
                <c:pt idx="1252">
                  <c:v>43260</c:v>
                </c:pt>
                <c:pt idx="1253">
                  <c:v>43261</c:v>
                </c:pt>
                <c:pt idx="1254">
                  <c:v>43262</c:v>
                </c:pt>
                <c:pt idx="1255">
                  <c:v>43263</c:v>
                </c:pt>
                <c:pt idx="1256">
                  <c:v>43264</c:v>
                </c:pt>
                <c:pt idx="1257">
                  <c:v>43265</c:v>
                </c:pt>
                <c:pt idx="1258">
                  <c:v>43266</c:v>
                </c:pt>
                <c:pt idx="1259">
                  <c:v>43267</c:v>
                </c:pt>
                <c:pt idx="1260">
                  <c:v>43268</c:v>
                </c:pt>
                <c:pt idx="1261">
                  <c:v>43269</c:v>
                </c:pt>
                <c:pt idx="1262">
                  <c:v>43270</c:v>
                </c:pt>
                <c:pt idx="1263">
                  <c:v>43271</c:v>
                </c:pt>
                <c:pt idx="1264">
                  <c:v>43272</c:v>
                </c:pt>
                <c:pt idx="1265">
                  <c:v>43273</c:v>
                </c:pt>
                <c:pt idx="1266">
                  <c:v>43274</c:v>
                </c:pt>
                <c:pt idx="1267">
                  <c:v>43275</c:v>
                </c:pt>
                <c:pt idx="1268">
                  <c:v>43276</c:v>
                </c:pt>
                <c:pt idx="1269">
                  <c:v>43277</c:v>
                </c:pt>
                <c:pt idx="1270">
                  <c:v>43278</c:v>
                </c:pt>
                <c:pt idx="1271">
                  <c:v>43279</c:v>
                </c:pt>
                <c:pt idx="1272">
                  <c:v>43280</c:v>
                </c:pt>
                <c:pt idx="1273">
                  <c:v>43281</c:v>
                </c:pt>
                <c:pt idx="1274">
                  <c:v>43282</c:v>
                </c:pt>
                <c:pt idx="1275">
                  <c:v>43283</c:v>
                </c:pt>
                <c:pt idx="1276">
                  <c:v>43284</c:v>
                </c:pt>
                <c:pt idx="1277">
                  <c:v>43285</c:v>
                </c:pt>
                <c:pt idx="1278">
                  <c:v>43286</c:v>
                </c:pt>
                <c:pt idx="1279">
                  <c:v>43287</c:v>
                </c:pt>
                <c:pt idx="1280">
                  <c:v>43288</c:v>
                </c:pt>
                <c:pt idx="1281">
                  <c:v>43289</c:v>
                </c:pt>
                <c:pt idx="1282">
                  <c:v>43290</c:v>
                </c:pt>
                <c:pt idx="1283">
                  <c:v>43291</c:v>
                </c:pt>
                <c:pt idx="1284">
                  <c:v>43292</c:v>
                </c:pt>
                <c:pt idx="1285">
                  <c:v>43293</c:v>
                </c:pt>
                <c:pt idx="1286">
                  <c:v>43294</c:v>
                </c:pt>
                <c:pt idx="1287">
                  <c:v>43295</c:v>
                </c:pt>
                <c:pt idx="1288">
                  <c:v>43296</c:v>
                </c:pt>
                <c:pt idx="1289">
                  <c:v>43297</c:v>
                </c:pt>
                <c:pt idx="1290">
                  <c:v>43298</c:v>
                </c:pt>
                <c:pt idx="1291">
                  <c:v>43299</c:v>
                </c:pt>
                <c:pt idx="1292">
                  <c:v>43300</c:v>
                </c:pt>
                <c:pt idx="1293">
                  <c:v>43301</c:v>
                </c:pt>
                <c:pt idx="1294">
                  <c:v>43302</c:v>
                </c:pt>
                <c:pt idx="1295">
                  <c:v>43303</c:v>
                </c:pt>
                <c:pt idx="1296">
                  <c:v>43304</c:v>
                </c:pt>
                <c:pt idx="1297">
                  <c:v>43305</c:v>
                </c:pt>
                <c:pt idx="1298">
                  <c:v>43306</c:v>
                </c:pt>
                <c:pt idx="1299">
                  <c:v>43307</c:v>
                </c:pt>
                <c:pt idx="1300">
                  <c:v>43308</c:v>
                </c:pt>
                <c:pt idx="1301">
                  <c:v>43309</c:v>
                </c:pt>
                <c:pt idx="1302">
                  <c:v>43310</c:v>
                </c:pt>
                <c:pt idx="1303">
                  <c:v>43311</c:v>
                </c:pt>
                <c:pt idx="1304">
                  <c:v>43312</c:v>
                </c:pt>
                <c:pt idx="1305">
                  <c:v>43313</c:v>
                </c:pt>
                <c:pt idx="1306">
                  <c:v>43314</c:v>
                </c:pt>
                <c:pt idx="1307">
                  <c:v>43315</c:v>
                </c:pt>
                <c:pt idx="1308">
                  <c:v>43316</c:v>
                </c:pt>
                <c:pt idx="1309">
                  <c:v>43317</c:v>
                </c:pt>
                <c:pt idx="1310">
                  <c:v>43318</c:v>
                </c:pt>
                <c:pt idx="1311">
                  <c:v>43319</c:v>
                </c:pt>
                <c:pt idx="1312">
                  <c:v>43320</c:v>
                </c:pt>
                <c:pt idx="1313">
                  <c:v>43321</c:v>
                </c:pt>
                <c:pt idx="1314">
                  <c:v>43322</c:v>
                </c:pt>
                <c:pt idx="1315">
                  <c:v>43323</c:v>
                </c:pt>
                <c:pt idx="1316">
                  <c:v>43324</c:v>
                </c:pt>
                <c:pt idx="1317">
                  <c:v>43325</c:v>
                </c:pt>
                <c:pt idx="1318">
                  <c:v>43326</c:v>
                </c:pt>
                <c:pt idx="1319">
                  <c:v>43327</c:v>
                </c:pt>
                <c:pt idx="1320">
                  <c:v>43328</c:v>
                </c:pt>
                <c:pt idx="1321">
                  <c:v>43329</c:v>
                </c:pt>
                <c:pt idx="1322">
                  <c:v>43330</c:v>
                </c:pt>
                <c:pt idx="1323">
                  <c:v>43331</c:v>
                </c:pt>
                <c:pt idx="1324">
                  <c:v>43332</c:v>
                </c:pt>
                <c:pt idx="1325">
                  <c:v>43333</c:v>
                </c:pt>
                <c:pt idx="1326">
                  <c:v>43334</c:v>
                </c:pt>
                <c:pt idx="1327">
                  <c:v>43335</c:v>
                </c:pt>
                <c:pt idx="1328">
                  <c:v>43336</c:v>
                </c:pt>
                <c:pt idx="1329">
                  <c:v>43337</c:v>
                </c:pt>
                <c:pt idx="1330">
                  <c:v>43338</c:v>
                </c:pt>
                <c:pt idx="1331">
                  <c:v>43339</c:v>
                </c:pt>
                <c:pt idx="1332">
                  <c:v>43340</c:v>
                </c:pt>
                <c:pt idx="1333">
                  <c:v>43341</c:v>
                </c:pt>
                <c:pt idx="1334">
                  <c:v>43342</c:v>
                </c:pt>
                <c:pt idx="1335">
                  <c:v>43343</c:v>
                </c:pt>
                <c:pt idx="1336">
                  <c:v>43344</c:v>
                </c:pt>
                <c:pt idx="1337">
                  <c:v>43345</c:v>
                </c:pt>
                <c:pt idx="1338">
                  <c:v>43346</c:v>
                </c:pt>
                <c:pt idx="1339">
                  <c:v>43347</c:v>
                </c:pt>
                <c:pt idx="1340">
                  <c:v>43348</c:v>
                </c:pt>
                <c:pt idx="1341">
                  <c:v>43349</c:v>
                </c:pt>
                <c:pt idx="1342">
                  <c:v>43350</c:v>
                </c:pt>
                <c:pt idx="1343">
                  <c:v>43351</c:v>
                </c:pt>
                <c:pt idx="1344">
                  <c:v>43352</c:v>
                </c:pt>
                <c:pt idx="1345">
                  <c:v>43353</c:v>
                </c:pt>
                <c:pt idx="1346">
                  <c:v>43354</c:v>
                </c:pt>
                <c:pt idx="1347">
                  <c:v>43355</c:v>
                </c:pt>
                <c:pt idx="1348">
                  <c:v>43356</c:v>
                </c:pt>
                <c:pt idx="1349">
                  <c:v>43357</c:v>
                </c:pt>
                <c:pt idx="1350">
                  <c:v>43358</c:v>
                </c:pt>
                <c:pt idx="1351">
                  <c:v>43359</c:v>
                </c:pt>
                <c:pt idx="1352">
                  <c:v>43360</c:v>
                </c:pt>
                <c:pt idx="1353">
                  <c:v>43361</c:v>
                </c:pt>
                <c:pt idx="1354">
                  <c:v>43362</c:v>
                </c:pt>
                <c:pt idx="1355">
                  <c:v>43363</c:v>
                </c:pt>
                <c:pt idx="1356">
                  <c:v>43364</c:v>
                </c:pt>
                <c:pt idx="1357">
                  <c:v>43365</c:v>
                </c:pt>
                <c:pt idx="1358">
                  <c:v>43366</c:v>
                </c:pt>
                <c:pt idx="1359">
                  <c:v>43367</c:v>
                </c:pt>
                <c:pt idx="1360">
                  <c:v>43368</c:v>
                </c:pt>
                <c:pt idx="1361">
                  <c:v>43369</c:v>
                </c:pt>
                <c:pt idx="1362">
                  <c:v>43370</c:v>
                </c:pt>
                <c:pt idx="1363">
                  <c:v>43371</c:v>
                </c:pt>
                <c:pt idx="1364">
                  <c:v>43372</c:v>
                </c:pt>
                <c:pt idx="1365">
                  <c:v>43373</c:v>
                </c:pt>
                <c:pt idx="1366">
                  <c:v>43374</c:v>
                </c:pt>
                <c:pt idx="1367">
                  <c:v>43375</c:v>
                </c:pt>
                <c:pt idx="1368">
                  <c:v>43376</c:v>
                </c:pt>
                <c:pt idx="1369">
                  <c:v>43377</c:v>
                </c:pt>
                <c:pt idx="1370">
                  <c:v>43378</c:v>
                </c:pt>
                <c:pt idx="1371">
                  <c:v>43379</c:v>
                </c:pt>
                <c:pt idx="1372">
                  <c:v>43380</c:v>
                </c:pt>
                <c:pt idx="1373">
                  <c:v>43381</c:v>
                </c:pt>
                <c:pt idx="1374">
                  <c:v>43382</c:v>
                </c:pt>
                <c:pt idx="1375">
                  <c:v>43383</c:v>
                </c:pt>
                <c:pt idx="1376">
                  <c:v>43384</c:v>
                </c:pt>
                <c:pt idx="1377">
                  <c:v>43385</c:v>
                </c:pt>
                <c:pt idx="1378">
                  <c:v>43386</c:v>
                </c:pt>
                <c:pt idx="1379">
                  <c:v>43387</c:v>
                </c:pt>
                <c:pt idx="1380">
                  <c:v>43388</c:v>
                </c:pt>
                <c:pt idx="1381">
                  <c:v>43389</c:v>
                </c:pt>
                <c:pt idx="1382">
                  <c:v>43390</c:v>
                </c:pt>
                <c:pt idx="1383">
                  <c:v>43391</c:v>
                </c:pt>
                <c:pt idx="1384">
                  <c:v>43392</c:v>
                </c:pt>
                <c:pt idx="1385">
                  <c:v>43393</c:v>
                </c:pt>
                <c:pt idx="1386">
                  <c:v>43394</c:v>
                </c:pt>
                <c:pt idx="1387">
                  <c:v>43395</c:v>
                </c:pt>
                <c:pt idx="1388">
                  <c:v>43396</c:v>
                </c:pt>
                <c:pt idx="1389">
                  <c:v>43397</c:v>
                </c:pt>
                <c:pt idx="1390">
                  <c:v>43398</c:v>
                </c:pt>
                <c:pt idx="1391">
                  <c:v>43399</c:v>
                </c:pt>
                <c:pt idx="1392">
                  <c:v>43400</c:v>
                </c:pt>
                <c:pt idx="1393">
                  <c:v>43401</c:v>
                </c:pt>
                <c:pt idx="1394">
                  <c:v>43402</c:v>
                </c:pt>
                <c:pt idx="1395">
                  <c:v>43403</c:v>
                </c:pt>
                <c:pt idx="1396">
                  <c:v>43404</c:v>
                </c:pt>
                <c:pt idx="1397">
                  <c:v>43405</c:v>
                </c:pt>
                <c:pt idx="1398">
                  <c:v>43406</c:v>
                </c:pt>
                <c:pt idx="1399">
                  <c:v>43407</c:v>
                </c:pt>
                <c:pt idx="1400">
                  <c:v>43408</c:v>
                </c:pt>
                <c:pt idx="1401">
                  <c:v>43409</c:v>
                </c:pt>
                <c:pt idx="1402">
                  <c:v>43410</c:v>
                </c:pt>
                <c:pt idx="1403">
                  <c:v>43411</c:v>
                </c:pt>
                <c:pt idx="1404">
                  <c:v>43412</c:v>
                </c:pt>
                <c:pt idx="1405">
                  <c:v>43413</c:v>
                </c:pt>
                <c:pt idx="1406">
                  <c:v>43414</c:v>
                </c:pt>
                <c:pt idx="1407">
                  <c:v>43415</c:v>
                </c:pt>
                <c:pt idx="1408">
                  <c:v>43416</c:v>
                </c:pt>
                <c:pt idx="1409">
                  <c:v>43417</c:v>
                </c:pt>
                <c:pt idx="1410">
                  <c:v>43418</c:v>
                </c:pt>
                <c:pt idx="1411">
                  <c:v>43419</c:v>
                </c:pt>
                <c:pt idx="1412">
                  <c:v>43420</c:v>
                </c:pt>
                <c:pt idx="1413">
                  <c:v>43421</c:v>
                </c:pt>
                <c:pt idx="1414">
                  <c:v>43422</c:v>
                </c:pt>
                <c:pt idx="1415">
                  <c:v>43423</c:v>
                </c:pt>
                <c:pt idx="1416">
                  <c:v>43424</c:v>
                </c:pt>
                <c:pt idx="1417">
                  <c:v>43425</c:v>
                </c:pt>
                <c:pt idx="1418">
                  <c:v>43426</c:v>
                </c:pt>
                <c:pt idx="1419">
                  <c:v>43427</c:v>
                </c:pt>
                <c:pt idx="1420">
                  <c:v>43428</c:v>
                </c:pt>
                <c:pt idx="1421">
                  <c:v>43429</c:v>
                </c:pt>
                <c:pt idx="1422">
                  <c:v>43430</c:v>
                </c:pt>
                <c:pt idx="1423">
                  <c:v>43431</c:v>
                </c:pt>
                <c:pt idx="1424">
                  <c:v>43432</c:v>
                </c:pt>
                <c:pt idx="1425">
                  <c:v>43433</c:v>
                </c:pt>
                <c:pt idx="1426">
                  <c:v>43434</c:v>
                </c:pt>
                <c:pt idx="1427">
                  <c:v>43435</c:v>
                </c:pt>
                <c:pt idx="1428">
                  <c:v>43436</c:v>
                </c:pt>
                <c:pt idx="1429">
                  <c:v>43437</c:v>
                </c:pt>
                <c:pt idx="1430">
                  <c:v>43438</c:v>
                </c:pt>
                <c:pt idx="1431">
                  <c:v>43439</c:v>
                </c:pt>
                <c:pt idx="1432">
                  <c:v>43440</c:v>
                </c:pt>
                <c:pt idx="1433">
                  <c:v>43441</c:v>
                </c:pt>
                <c:pt idx="1434">
                  <c:v>43442</c:v>
                </c:pt>
                <c:pt idx="1435">
                  <c:v>43443</c:v>
                </c:pt>
                <c:pt idx="1436">
                  <c:v>43444</c:v>
                </c:pt>
                <c:pt idx="1437">
                  <c:v>43445</c:v>
                </c:pt>
                <c:pt idx="1438">
                  <c:v>43446</c:v>
                </c:pt>
                <c:pt idx="1439">
                  <c:v>43447</c:v>
                </c:pt>
                <c:pt idx="1440">
                  <c:v>43448</c:v>
                </c:pt>
                <c:pt idx="1441">
                  <c:v>43449</c:v>
                </c:pt>
                <c:pt idx="1442">
                  <c:v>43450</c:v>
                </c:pt>
                <c:pt idx="1443">
                  <c:v>43451</c:v>
                </c:pt>
                <c:pt idx="1444">
                  <c:v>43452</c:v>
                </c:pt>
                <c:pt idx="1445">
                  <c:v>43453</c:v>
                </c:pt>
                <c:pt idx="1446">
                  <c:v>43454</c:v>
                </c:pt>
                <c:pt idx="1447">
                  <c:v>43455</c:v>
                </c:pt>
                <c:pt idx="1448">
                  <c:v>43456</c:v>
                </c:pt>
                <c:pt idx="1449">
                  <c:v>43457</c:v>
                </c:pt>
                <c:pt idx="1450">
                  <c:v>43458</c:v>
                </c:pt>
                <c:pt idx="1451">
                  <c:v>43459</c:v>
                </c:pt>
                <c:pt idx="1452">
                  <c:v>43460</c:v>
                </c:pt>
                <c:pt idx="1453">
                  <c:v>43461</c:v>
                </c:pt>
                <c:pt idx="1454">
                  <c:v>43462</c:v>
                </c:pt>
                <c:pt idx="1455">
                  <c:v>43463</c:v>
                </c:pt>
                <c:pt idx="1456">
                  <c:v>43464</c:v>
                </c:pt>
                <c:pt idx="1457">
                  <c:v>43465</c:v>
                </c:pt>
                <c:pt idx="1458">
                  <c:v>43466</c:v>
                </c:pt>
                <c:pt idx="1459">
                  <c:v>43467</c:v>
                </c:pt>
                <c:pt idx="1460">
                  <c:v>43468</c:v>
                </c:pt>
                <c:pt idx="1461">
                  <c:v>43469</c:v>
                </c:pt>
                <c:pt idx="1462">
                  <c:v>43470</c:v>
                </c:pt>
                <c:pt idx="1463">
                  <c:v>43471</c:v>
                </c:pt>
                <c:pt idx="1464">
                  <c:v>43472</c:v>
                </c:pt>
                <c:pt idx="1465">
                  <c:v>43473</c:v>
                </c:pt>
                <c:pt idx="1466">
                  <c:v>43474</c:v>
                </c:pt>
                <c:pt idx="1467">
                  <c:v>43475</c:v>
                </c:pt>
                <c:pt idx="1468">
                  <c:v>43476</c:v>
                </c:pt>
                <c:pt idx="1469">
                  <c:v>43477</c:v>
                </c:pt>
                <c:pt idx="1470">
                  <c:v>43478</c:v>
                </c:pt>
                <c:pt idx="1471">
                  <c:v>43479</c:v>
                </c:pt>
                <c:pt idx="1472">
                  <c:v>43480</c:v>
                </c:pt>
                <c:pt idx="1473">
                  <c:v>43481</c:v>
                </c:pt>
                <c:pt idx="1474">
                  <c:v>43482</c:v>
                </c:pt>
                <c:pt idx="1475">
                  <c:v>43483</c:v>
                </c:pt>
                <c:pt idx="1476">
                  <c:v>43484</c:v>
                </c:pt>
                <c:pt idx="1477">
                  <c:v>43485</c:v>
                </c:pt>
                <c:pt idx="1478">
                  <c:v>43486</c:v>
                </c:pt>
                <c:pt idx="1479">
                  <c:v>43487</c:v>
                </c:pt>
                <c:pt idx="1480">
                  <c:v>43488</c:v>
                </c:pt>
                <c:pt idx="1481">
                  <c:v>43489</c:v>
                </c:pt>
                <c:pt idx="1482">
                  <c:v>43490</c:v>
                </c:pt>
                <c:pt idx="1483">
                  <c:v>43491</c:v>
                </c:pt>
                <c:pt idx="1484">
                  <c:v>43492</c:v>
                </c:pt>
                <c:pt idx="1485">
                  <c:v>43493</c:v>
                </c:pt>
                <c:pt idx="1486">
                  <c:v>43494</c:v>
                </c:pt>
                <c:pt idx="1487">
                  <c:v>43495</c:v>
                </c:pt>
                <c:pt idx="1488">
                  <c:v>43496</c:v>
                </c:pt>
                <c:pt idx="1489">
                  <c:v>43497</c:v>
                </c:pt>
                <c:pt idx="1490">
                  <c:v>43498</c:v>
                </c:pt>
                <c:pt idx="1491">
                  <c:v>43499</c:v>
                </c:pt>
                <c:pt idx="1492">
                  <c:v>43500</c:v>
                </c:pt>
                <c:pt idx="1493">
                  <c:v>43501</c:v>
                </c:pt>
                <c:pt idx="1494">
                  <c:v>43502</c:v>
                </c:pt>
                <c:pt idx="1495">
                  <c:v>43503</c:v>
                </c:pt>
                <c:pt idx="1496">
                  <c:v>43504</c:v>
                </c:pt>
                <c:pt idx="1497">
                  <c:v>43505</c:v>
                </c:pt>
                <c:pt idx="1498">
                  <c:v>43506</c:v>
                </c:pt>
                <c:pt idx="1499">
                  <c:v>43507</c:v>
                </c:pt>
                <c:pt idx="1500">
                  <c:v>43508</c:v>
                </c:pt>
                <c:pt idx="1501">
                  <c:v>43509</c:v>
                </c:pt>
                <c:pt idx="1502">
                  <c:v>43510</c:v>
                </c:pt>
                <c:pt idx="1503">
                  <c:v>43511</c:v>
                </c:pt>
                <c:pt idx="1504">
                  <c:v>43512</c:v>
                </c:pt>
                <c:pt idx="1505">
                  <c:v>43513</c:v>
                </c:pt>
                <c:pt idx="1506">
                  <c:v>43514</c:v>
                </c:pt>
                <c:pt idx="1507">
                  <c:v>43515</c:v>
                </c:pt>
                <c:pt idx="1508">
                  <c:v>43516</c:v>
                </c:pt>
                <c:pt idx="1509">
                  <c:v>43517</c:v>
                </c:pt>
                <c:pt idx="1510">
                  <c:v>43518</c:v>
                </c:pt>
                <c:pt idx="1511">
                  <c:v>43519</c:v>
                </c:pt>
                <c:pt idx="1512">
                  <c:v>43520</c:v>
                </c:pt>
                <c:pt idx="1513">
                  <c:v>43521</c:v>
                </c:pt>
                <c:pt idx="1514">
                  <c:v>43522</c:v>
                </c:pt>
                <c:pt idx="1515">
                  <c:v>43523</c:v>
                </c:pt>
                <c:pt idx="1516">
                  <c:v>43524</c:v>
                </c:pt>
                <c:pt idx="1517">
                  <c:v>43525</c:v>
                </c:pt>
                <c:pt idx="1518">
                  <c:v>43526</c:v>
                </c:pt>
                <c:pt idx="1519">
                  <c:v>43527</c:v>
                </c:pt>
                <c:pt idx="1520">
                  <c:v>43528</c:v>
                </c:pt>
                <c:pt idx="1521">
                  <c:v>43529</c:v>
                </c:pt>
                <c:pt idx="1522">
                  <c:v>43530</c:v>
                </c:pt>
                <c:pt idx="1523">
                  <c:v>43531</c:v>
                </c:pt>
                <c:pt idx="1524">
                  <c:v>43532</c:v>
                </c:pt>
                <c:pt idx="1525">
                  <c:v>43533</c:v>
                </c:pt>
                <c:pt idx="1526">
                  <c:v>43534</c:v>
                </c:pt>
                <c:pt idx="1527">
                  <c:v>43535</c:v>
                </c:pt>
                <c:pt idx="1528">
                  <c:v>43536</c:v>
                </c:pt>
                <c:pt idx="1529">
                  <c:v>43537</c:v>
                </c:pt>
                <c:pt idx="1530">
                  <c:v>43538</c:v>
                </c:pt>
                <c:pt idx="1531">
                  <c:v>43539</c:v>
                </c:pt>
                <c:pt idx="1532">
                  <c:v>43540</c:v>
                </c:pt>
                <c:pt idx="1533">
                  <c:v>43541</c:v>
                </c:pt>
                <c:pt idx="1534">
                  <c:v>43542</c:v>
                </c:pt>
                <c:pt idx="1535">
                  <c:v>43543</c:v>
                </c:pt>
                <c:pt idx="1536">
                  <c:v>43544</c:v>
                </c:pt>
                <c:pt idx="1537">
                  <c:v>43545</c:v>
                </c:pt>
                <c:pt idx="1538">
                  <c:v>43546</c:v>
                </c:pt>
                <c:pt idx="1539">
                  <c:v>43547</c:v>
                </c:pt>
                <c:pt idx="1540">
                  <c:v>43548</c:v>
                </c:pt>
                <c:pt idx="1541">
                  <c:v>43549</c:v>
                </c:pt>
                <c:pt idx="1542">
                  <c:v>43550</c:v>
                </c:pt>
                <c:pt idx="1543">
                  <c:v>43551</c:v>
                </c:pt>
                <c:pt idx="1544">
                  <c:v>43552</c:v>
                </c:pt>
                <c:pt idx="1545">
                  <c:v>43553</c:v>
                </c:pt>
                <c:pt idx="1546">
                  <c:v>43554</c:v>
                </c:pt>
                <c:pt idx="1547">
                  <c:v>43555</c:v>
                </c:pt>
                <c:pt idx="1548">
                  <c:v>43556</c:v>
                </c:pt>
                <c:pt idx="1549">
                  <c:v>43557</c:v>
                </c:pt>
                <c:pt idx="1550">
                  <c:v>43558</c:v>
                </c:pt>
                <c:pt idx="1551">
                  <c:v>43559</c:v>
                </c:pt>
                <c:pt idx="1552">
                  <c:v>43560</c:v>
                </c:pt>
                <c:pt idx="1553">
                  <c:v>43561</c:v>
                </c:pt>
                <c:pt idx="1554">
                  <c:v>43562</c:v>
                </c:pt>
                <c:pt idx="1555">
                  <c:v>43563</c:v>
                </c:pt>
                <c:pt idx="1556">
                  <c:v>43564</c:v>
                </c:pt>
                <c:pt idx="1557">
                  <c:v>43565</c:v>
                </c:pt>
                <c:pt idx="1558">
                  <c:v>43566</c:v>
                </c:pt>
                <c:pt idx="1559">
                  <c:v>43567</c:v>
                </c:pt>
                <c:pt idx="1560">
                  <c:v>43568</c:v>
                </c:pt>
                <c:pt idx="1561">
                  <c:v>43569</c:v>
                </c:pt>
                <c:pt idx="1562">
                  <c:v>43570</c:v>
                </c:pt>
                <c:pt idx="1563">
                  <c:v>43571</c:v>
                </c:pt>
                <c:pt idx="1564">
                  <c:v>43572</c:v>
                </c:pt>
                <c:pt idx="1565">
                  <c:v>43573</c:v>
                </c:pt>
                <c:pt idx="1566">
                  <c:v>43574</c:v>
                </c:pt>
                <c:pt idx="1567">
                  <c:v>43575</c:v>
                </c:pt>
                <c:pt idx="1568">
                  <c:v>43576</c:v>
                </c:pt>
                <c:pt idx="1569">
                  <c:v>43577</c:v>
                </c:pt>
                <c:pt idx="1570">
                  <c:v>43578</c:v>
                </c:pt>
                <c:pt idx="1571">
                  <c:v>43579</c:v>
                </c:pt>
                <c:pt idx="1572">
                  <c:v>43580</c:v>
                </c:pt>
                <c:pt idx="1573">
                  <c:v>43581</c:v>
                </c:pt>
                <c:pt idx="1574">
                  <c:v>43582</c:v>
                </c:pt>
                <c:pt idx="1575">
                  <c:v>43583</c:v>
                </c:pt>
                <c:pt idx="1576">
                  <c:v>43584</c:v>
                </c:pt>
                <c:pt idx="1577">
                  <c:v>43585</c:v>
                </c:pt>
                <c:pt idx="1578">
                  <c:v>43586</c:v>
                </c:pt>
                <c:pt idx="1579">
                  <c:v>43587</c:v>
                </c:pt>
                <c:pt idx="1580">
                  <c:v>43588</c:v>
                </c:pt>
                <c:pt idx="1581">
                  <c:v>43589</c:v>
                </c:pt>
                <c:pt idx="1582">
                  <c:v>43590</c:v>
                </c:pt>
                <c:pt idx="1583">
                  <c:v>43591</c:v>
                </c:pt>
                <c:pt idx="1584">
                  <c:v>43592</c:v>
                </c:pt>
                <c:pt idx="1585">
                  <c:v>43593</c:v>
                </c:pt>
                <c:pt idx="1586">
                  <c:v>43594</c:v>
                </c:pt>
                <c:pt idx="1587">
                  <c:v>43595</c:v>
                </c:pt>
                <c:pt idx="1588">
                  <c:v>43596</c:v>
                </c:pt>
                <c:pt idx="1589">
                  <c:v>43597</c:v>
                </c:pt>
                <c:pt idx="1590">
                  <c:v>43598</c:v>
                </c:pt>
                <c:pt idx="1591">
                  <c:v>43599</c:v>
                </c:pt>
                <c:pt idx="1592">
                  <c:v>43600</c:v>
                </c:pt>
                <c:pt idx="1593">
                  <c:v>43601</c:v>
                </c:pt>
                <c:pt idx="1594">
                  <c:v>43602</c:v>
                </c:pt>
                <c:pt idx="1595">
                  <c:v>43603</c:v>
                </c:pt>
                <c:pt idx="1596">
                  <c:v>43604</c:v>
                </c:pt>
                <c:pt idx="1597">
                  <c:v>43605</c:v>
                </c:pt>
                <c:pt idx="1598">
                  <c:v>43606</c:v>
                </c:pt>
                <c:pt idx="1599">
                  <c:v>43607</c:v>
                </c:pt>
                <c:pt idx="1600">
                  <c:v>43608</c:v>
                </c:pt>
                <c:pt idx="1601">
                  <c:v>43609</c:v>
                </c:pt>
                <c:pt idx="1602">
                  <c:v>43610</c:v>
                </c:pt>
                <c:pt idx="1603">
                  <c:v>43611</c:v>
                </c:pt>
                <c:pt idx="1604">
                  <c:v>43612</c:v>
                </c:pt>
                <c:pt idx="1605">
                  <c:v>43613</c:v>
                </c:pt>
                <c:pt idx="1606">
                  <c:v>43614</c:v>
                </c:pt>
                <c:pt idx="1607">
                  <c:v>43615</c:v>
                </c:pt>
                <c:pt idx="1608">
                  <c:v>43616</c:v>
                </c:pt>
                <c:pt idx="1609">
                  <c:v>43617</c:v>
                </c:pt>
                <c:pt idx="1610">
                  <c:v>43618</c:v>
                </c:pt>
                <c:pt idx="1611">
                  <c:v>43619</c:v>
                </c:pt>
                <c:pt idx="1612">
                  <c:v>43620</c:v>
                </c:pt>
                <c:pt idx="1613">
                  <c:v>43621</c:v>
                </c:pt>
                <c:pt idx="1614">
                  <c:v>43622</c:v>
                </c:pt>
                <c:pt idx="1615">
                  <c:v>43623</c:v>
                </c:pt>
                <c:pt idx="1616">
                  <c:v>43624</c:v>
                </c:pt>
                <c:pt idx="1617">
                  <c:v>43625</c:v>
                </c:pt>
                <c:pt idx="1618">
                  <c:v>43626</c:v>
                </c:pt>
                <c:pt idx="1619">
                  <c:v>43627</c:v>
                </c:pt>
                <c:pt idx="1620">
                  <c:v>43628</c:v>
                </c:pt>
                <c:pt idx="1621">
                  <c:v>43629</c:v>
                </c:pt>
                <c:pt idx="1622">
                  <c:v>43630</c:v>
                </c:pt>
                <c:pt idx="1623">
                  <c:v>43631</c:v>
                </c:pt>
                <c:pt idx="1624">
                  <c:v>43632</c:v>
                </c:pt>
                <c:pt idx="1625">
                  <c:v>43633</c:v>
                </c:pt>
                <c:pt idx="1626">
                  <c:v>43634</c:v>
                </c:pt>
                <c:pt idx="1627">
                  <c:v>43635</c:v>
                </c:pt>
                <c:pt idx="1628">
                  <c:v>43636</c:v>
                </c:pt>
                <c:pt idx="1629">
                  <c:v>43637</c:v>
                </c:pt>
                <c:pt idx="1630">
                  <c:v>43638</c:v>
                </c:pt>
                <c:pt idx="1631">
                  <c:v>43639</c:v>
                </c:pt>
                <c:pt idx="1632">
                  <c:v>43640</c:v>
                </c:pt>
                <c:pt idx="1633">
                  <c:v>43641</c:v>
                </c:pt>
                <c:pt idx="1634">
                  <c:v>43642</c:v>
                </c:pt>
                <c:pt idx="1635">
                  <c:v>43643</c:v>
                </c:pt>
                <c:pt idx="1636">
                  <c:v>43644</c:v>
                </c:pt>
                <c:pt idx="1637">
                  <c:v>43645</c:v>
                </c:pt>
                <c:pt idx="1638">
                  <c:v>43646</c:v>
                </c:pt>
                <c:pt idx="1639">
                  <c:v>43647</c:v>
                </c:pt>
                <c:pt idx="1640">
                  <c:v>43648</c:v>
                </c:pt>
                <c:pt idx="1641">
                  <c:v>43649</c:v>
                </c:pt>
                <c:pt idx="1642">
                  <c:v>43650</c:v>
                </c:pt>
                <c:pt idx="1643">
                  <c:v>43651</c:v>
                </c:pt>
                <c:pt idx="1644">
                  <c:v>43652</c:v>
                </c:pt>
                <c:pt idx="1645">
                  <c:v>43653</c:v>
                </c:pt>
                <c:pt idx="1646">
                  <c:v>43654</c:v>
                </c:pt>
                <c:pt idx="1647">
                  <c:v>43655</c:v>
                </c:pt>
                <c:pt idx="1648">
                  <c:v>43656</c:v>
                </c:pt>
                <c:pt idx="1649">
                  <c:v>43657</c:v>
                </c:pt>
                <c:pt idx="1650">
                  <c:v>43658</c:v>
                </c:pt>
                <c:pt idx="1651">
                  <c:v>43659</c:v>
                </c:pt>
                <c:pt idx="1652">
                  <c:v>43660</c:v>
                </c:pt>
                <c:pt idx="1653">
                  <c:v>43661</c:v>
                </c:pt>
                <c:pt idx="1654">
                  <c:v>43662</c:v>
                </c:pt>
                <c:pt idx="1655">
                  <c:v>43663</c:v>
                </c:pt>
                <c:pt idx="1656">
                  <c:v>43664</c:v>
                </c:pt>
                <c:pt idx="1657">
                  <c:v>43665</c:v>
                </c:pt>
                <c:pt idx="1658">
                  <c:v>43666</c:v>
                </c:pt>
                <c:pt idx="1659">
                  <c:v>43667</c:v>
                </c:pt>
                <c:pt idx="1660">
                  <c:v>43668</c:v>
                </c:pt>
                <c:pt idx="1661">
                  <c:v>43669</c:v>
                </c:pt>
                <c:pt idx="1662">
                  <c:v>43670</c:v>
                </c:pt>
                <c:pt idx="1663">
                  <c:v>43671</c:v>
                </c:pt>
                <c:pt idx="1664">
                  <c:v>43672</c:v>
                </c:pt>
                <c:pt idx="1665">
                  <c:v>43673</c:v>
                </c:pt>
                <c:pt idx="1666">
                  <c:v>43674</c:v>
                </c:pt>
                <c:pt idx="1667">
                  <c:v>43675</c:v>
                </c:pt>
                <c:pt idx="1668">
                  <c:v>43676</c:v>
                </c:pt>
                <c:pt idx="1669">
                  <c:v>43677</c:v>
                </c:pt>
                <c:pt idx="1670">
                  <c:v>43678</c:v>
                </c:pt>
                <c:pt idx="1671">
                  <c:v>43679</c:v>
                </c:pt>
                <c:pt idx="1672">
                  <c:v>43680</c:v>
                </c:pt>
                <c:pt idx="1673">
                  <c:v>43681</c:v>
                </c:pt>
                <c:pt idx="1674">
                  <c:v>43682</c:v>
                </c:pt>
                <c:pt idx="1675">
                  <c:v>43683</c:v>
                </c:pt>
                <c:pt idx="1676">
                  <c:v>43684</c:v>
                </c:pt>
                <c:pt idx="1677">
                  <c:v>43685</c:v>
                </c:pt>
                <c:pt idx="1678">
                  <c:v>43686</c:v>
                </c:pt>
                <c:pt idx="1679">
                  <c:v>43687</c:v>
                </c:pt>
                <c:pt idx="1680">
                  <c:v>43688</c:v>
                </c:pt>
                <c:pt idx="1681">
                  <c:v>43689</c:v>
                </c:pt>
                <c:pt idx="1682">
                  <c:v>43690</c:v>
                </c:pt>
                <c:pt idx="1683">
                  <c:v>43691</c:v>
                </c:pt>
                <c:pt idx="1684">
                  <c:v>43692</c:v>
                </c:pt>
                <c:pt idx="1685">
                  <c:v>43693</c:v>
                </c:pt>
                <c:pt idx="1686">
                  <c:v>43694</c:v>
                </c:pt>
                <c:pt idx="1687">
                  <c:v>43695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43701</c:v>
                </c:pt>
                <c:pt idx="1694">
                  <c:v>43702</c:v>
                </c:pt>
                <c:pt idx="1695">
                  <c:v>43703</c:v>
                </c:pt>
                <c:pt idx="1696">
                  <c:v>43704</c:v>
                </c:pt>
                <c:pt idx="1697">
                  <c:v>43705</c:v>
                </c:pt>
                <c:pt idx="1698">
                  <c:v>43706</c:v>
                </c:pt>
                <c:pt idx="1699">
                  <c:v>43707</c:v>
                </c:pt>
                <c:pt idx="1700">
                  <c:v>43708</c:v>
                </c:pt>
                <c:pt idx="1701">
                  <c:v>43709</c:v>
                </c:pt>
                <c:pt idx="1702">
                  <c:v>43710</c:v>
                </c:pt>
                <c:pt idx="1703">
                  <c:v>43711</c:v>
                </c:pt>
                <c:pt idx="1704">
                  <c:v>43712</c:v>
                </c:pt>
                <c:pt idx="1705">
                  <c:v>43713</c:v>
                </c:pt>
                <c:pt idx="1706">
                  <c:v>43714</c:v>
                </c:pt>
                <c:pt idx="1707">
                  <c:v>43715</c:v>
                </c:pt>
                <c:pt idx="1708">
                  <c:v>43716</c:v>
                </c:pt>
                <c:pt idx="1709">
                  <c:v>43717</c:v>
                </c:pt>
                <c:pt idx="1710">
                  <c:v>43718</c:v>
                </c:pt>
                <c:pt idx="1711">
                  <c:v>43719</c:v>
                </c:pt>
                <c:pt idx="1712">
                  <c:v>43720</c:v>
                </c:pt>
                <c:pt idx="1713">
                  <c:v>43721</c:v>
                </c:pt>
                <c:pt idx="1714">
                  <c:v>43722</c:v>
                </c:pt>
                <c:pt idx="1715">
                  <c:v>43723</c:v>
                </c:pt>
                <c:pt idx="1716">
                  <c:v>43724</c:v>
                </c:pt>
                <c:pt idx="1717">
                  <c:v>43725</c:v>
                </c:pt>
                <c:pt idx="1718">
                  <c:v>43726</c:v>
                </c:pt>
                <c:pt idx="1719">
                  <c:v>43727</c:v>
                </c:pt>
                <c:pt idx="1720">
                  <c:v>43728</c:v>
                </c:pt>
                <c:pt idx="1721">
                  <c:v>43729</c:v>
                </c:pt>
                <c:pt idx="1722">
                  <c:v>43730</c:v>
                </c:pt>
                <c:pt idx="1723">
                  <c:v>43731</c:v>
                </c:pt>
                <c:pt idx="1724">
                  <c:v>43732</c:v>
                </c:pt>
                <c:pt idx="1725">
                  <c:v>43733</c:v>
                </c:pt>
                <c:pt idx="1726">
                  <c:v>43734</c:v>
                </c:pt>
                <c:pt idx="1727">
                  <c:v>43735</c:v>
                </c:pt>
                <c:pt idx="1728">
                  <c:v>43736</c:v>
                </c:pt>
                <c:pt idx="1729">
                  <c:v>43737</c:v>
                </c:pt>
                <c:pt idx="1730">
                  <c:v>43738</c:v>
                </c:pt>
                <c:pt idx="1731">
                  <c:v>43739</c:v>
                </c:pt>
                <c:pt idx="1732">
                  <c:v>43740</c:v>
                </c:pt>
                <c:pt idx="1733">
                  <c:v>43741</c:v>
                </c:pt>
                <c:pt idx="1734">
                  <c:v>43742</c:v>
                </c:pt>
                <c:pt idx="1735">
                  <c:v>43743</c:v>
                </c:pt>
                <c:pt idx="1736">
                  <c:v>43744</c:v>
                </c:pt>
                <c:pt idx="1737">
                  <c:v>43745</c:v>
                </c:pt>
                <c:pt idx="1738">
                  <c:v>43746</c:v>
                </c:pt>
                <c:pt idx="1739">
                  <c:v>43747</c:v>
                </c:pt>
                <c:pt idx="1740">
                  <c:v>43748</c:v>
                </c:pt>
                <c:pt idx="1741">
                  <c:v>43749</c:v>
                </c:pt>
                <c:pt idx="1742">
                  <c:v>43750</c:v>
                </c:pt>
                <c:pt idx="1743">
                  <c:v>43751</c:v>
                </c:pt>
                <c:pt idx="1744">
                  <c:v>43752</c:v>
                </c:pt>
                <c:pt idx="1745">
                  <c:v>43753</c:v>
                </c:pt>
                <c:pt idx="1746">
                  <c:v>43754</c:v>
                </c:pt>
                <c:pt idx="1747">
                  <c:v>43755</c:v>
                </c:pt>
                <c:pt idx="1748">
                  <c:v>43756</c:v>
                </c:pt>
                <c:pt idx="1749">
                  <c:v>43757</c:v>
                </c:pt>
                <c:pt idx="1750">
                  <c:v>43758</c:v>
                </c:pt>
                <c:pt idx="1751">
                  <c:v>43759</c:v>
                </c:pt>
                <c:pt idx="1752">
                  <c:v>43760</c:v>
                </c:pt>
                <c:pt idx="1753">
                  <c:v>43761</c:v>
                </c:pt>
                <c:pt idx="1754">
                  <c:v>43762</c:v>
                </c:pt>
                <c:pt idx="1755">
                  <c:v>43763</c:v>
                </c:pt>
                <c:pt idx="1756">
                  <c:v>43764</c:v>
                </c:pt>
                <c:pt idx="1757">
                  <c:v>43765</c:v>
                </c:pt>
                <c:pt idx="1758">
                  <c:v>43766</c:v>
                </c:pt>
                <c:pt idx="1759">
                  <c:v>43767</c:v>
                </c:pt>
                <c:pt idx="1760">
                  <c:v>43768</c:v>
                </c:pt>
                <c:pt idx="1761">
                  <c:v>43769</c:v>
                </c:pt>
                <c:pt idx="1762">
                  <c:v>43770</c:v>
                </c:pt>
                <c:pt idx="1763">
                  <c:v>43771</c:v>
                </c:pt>
                <c:pt idx="1764">
                  <c:v>43772</c:v>
                </c:pt>
                <c:pt idx="1765">
                  <c:v>43773</c:v>
                </c:pt>
                <c:pt idx="1766">
                  <c:v>43774</c:v>
                </c:pt>
                <c:pt idx="1767">
                  <c:v>43775</c:v>
                </c:pt>
                <c:pt idx="1768">
                  <c:v>43776</c:v>
                </c:pt>
                <c:pt idx="1769">
                  <c:v>43777</c:v>
                </c:pt>
                <c:pt idx="1770">
                  <c:v>43778</c:v>
                </c:pt>
                <c:pt idx="1771">
                  <c:v>43779</c:v>
                </c:pt>
                <c:pt idx="1772">
                  <c:v>43780</c:v>
                </c:pt>
                <c:pt idx="1773">
                  <c:v>43781</c:v>
                </c:pt>
                <c:pt idx="1774">
                  <c:v>43782</c:v>
                </c:pt>
                <c:pt idx="1775">
                  <c:v>43783</c:v>
                </c:pt>
                <c:pt idx="1776">
                  <c:v>43784</c:v>
                </c:pt>
                <c:pt idx="1777">
                  <c:v>43785</c:v>
                </c:pt>
                <c:pt idx="1778">
                  <c:v>43786</c:v>
                </c:pt>
                <c:pt idx="1779">
                  <c:v>43787</c:v>
                </c:pt>
                <c:pt idx="1780">
                  <c:v>43788</c:v>
                </c:pt>
                <c:pt idx="1781">
                  <c:v>43789</c:v>
                </c:pt>
                <c:pt idx="1782">
                  <c:v>43790</c:v>
                </c:pt>
                <c:pt idx="1783">
                  <c:v>43791</c:v>
                </c:pt>
                <c:pt idx="1784">
                  <c:v>43792</c:v>
                </c:pt>
                <c:pt idx="1785">
                  <c:v>43793</c:v>
                </c:pt>
                <c:pt idx="1786">
                  <c:v>43794</c:v>
                </c:pt>
                <c:pt idx="1787">
                  <c:v>43795</c:v>
                </c:pt>
                <c:pt idx="1788">
                  <c:v>43796</c:v>
                </c:pt>
                <c:pt idx="1789">
                  <c:v>43797</c:v>
                </c:pt>
                <c:pt idx="1790">
                  <c:v>43798</c:v>
                </c:pt>
                <c:pt idx="1791">
                  <c:v>43799</c:v>
                </c:pt>
                <c:pt idx="1792">
                  <c:v>43800</c:v>
                </c:pt>
                <c:pt idx="1793">
                  <c:v>43801</c:v>
                </c:pt>
                <c:pt idx="1794">
                  <c:v>43802</c:v>
                </c:pt>
                <c:pt idx="1795">
                  <c:v>43803</c:v>
                </c:pt>
                <c:pt idx="1796">
                  <c:v>43804</c:v>
                </c:pt>
                <c:pt idx="1797">
                  <c:v>43805</c:v>
                </c:pt>
                <c:pt idx="1798">
                  <c:v>43806</c:v>
                </c:pt>
                <c:pt idx="1799">
                  <c:v>43807</c:v>
                </c:pt>
                <c:pt idx="1800">
                  <c:v>43808</c:v>
                </c:pt>
                <c:pt idx="1801">
                  <c:v>43809</c:v>
                </c:pt>
                <c:pt idx="1802">
                  <c:v>43810</c:v>
                </c:pt>
                <c:pt idx="1803">
                  <c:v>43811</c:v>
                </c:pt>
                <c:pt idx="1804">
                  <c:v>43812</c:v>
                </c:pt>
                <c:pt idx="1805">
                  <c:v>43813</c:v>
                </c:pt>
                <c:pt idx="1806">
                  <c:v>43814</c:v>
                </c:pt>
                <c:pt idx="1807">
                  <c:v>43815</c:v>
                </c:pt>
                <c:pt idx="1808">
                  <c:v>43816</c:v>
                </c:pt>
                <c:pt idx="1809">
                  <c:v>43817</c:v>
                </c:pt>
                <c:pt idx="1810">
                  <c:v>43818</c:v>
                </c:pt>
                <c:pt idx="1811">
                  <c:v>43819</c:v>
                </c:pt>
                <c:pt idx="1812">
                  <c:v>43820</c:v>
                </c:pt>
                <c:pt idx="1813">
                  <c:v>43821</c:v>
                </c:pt>
                <c:pt idx="1814">
                  <c:v>43822</c:v>
                </c:pt>
                <c:pt idx="1815">
                  <c:v>43823</c:v>
                </c:pt>
                <c:pt idx="1816">
                  <c:v>43824</c:v>
                </c:pt>
                <c:pt idx="1817">
                  <c:v>43825</c:v>
                </c:pt>
                <c:pt idx="1818">
                  <c:v>43826</c:v>
                </c:pt>
                <c:pt idx="1819">
                  <c:v>43827</c:v>
                </c:pt>
                <c:pt idx="1820">
                  <c:v>43828</c:v>
                </c:pt>
                <c:pt idx="1821">
                  <c:v>43829</c:v>
                </c:pt>
                <c:pt idx="1822">
                  <c:v>43830</c:v>
                </c:pt>
                <c:pt idx="1823">
                  <c:v>43831</c:v>
                </c:pt>
                <c:pt idx="1824">
                  <c:v>43832</c:v>
                </c:pt>
                <c:pt idx="1825">
                  <c:v>43833</c:v>
                </c:pt>
                <c:pt idx="1826">
                  <c:v>43834</c:v>
                </c:pt>
                <c:pt idx="1827">
                  <c:v>43835</c:v>
                </c:pt>
                <c:pt idx="1828">
                  <c:v>43836</c:v>
                </c:pt>
                <c:pt idx="1829">
                  <c:v>43837</c:v>
                </c:pt>
                <c:pt idx="1830">
                  <c:v>43838</c:v>
                </c:pt>
                <c:pt idx="1831">
                  <c:v>43839</c:v>
                </c:pt>
                <c:pt idx="1832">
                  <c:v>43840</c:v>
                </c:pt>
                <c:pt idx="1833">
                  <c:v>43841</c:v>
                </c:pt>
                <c:pt idx="1834">
                  <c:v>43842</c:v>
                </c:pt>
                <c:pt idx="1835">
                  <c:v>43843</c:v>
                </c:pt>
                <c:pt idx="1836">
                  <c:v>43844</c:v>
                </c:pt>
                <c:pt idx="1837">
                  <c:v>43845</c:v>
                </c:pt>
                <c:pt idx="1838">
                  <c:v>43846</c:v>
                </c:pt>
                <c:pt idx="1839">
                  <c:v>43847</c:v>
                </c:pt>
                <c:pt idx="1840">
                  <c:v>43848</c:v>
                </c:pt>
                <c:pt idx="1841">
                  <c:v>43849</c:v>
                </c:pt>
                <c:pt idx="1842">
                  <c:v>43850</c:v>
                </c:pt>
                <c:pt idx="1843">
                  <c:v>43851</c:v>
                </c:pt>
                <c:pt idx="1844">
                  <c:v>43852</c:v>
                </c:pt>
                <c:pt idx="1845">
                  <c:v>43853</c:v>
                </c:pt>
                <c:pt idx="1846">
                  <c:v>43854</c:v>
                </c:pt>
                <c:pt idx="1847">
                  <c:v>43855</c:v>
                </c:pt>
                <c:pt idx="1848">
                  <c:v>43856</c:v>
                </c:pt>
                <c:pt idx="1849">
                  <c:v>43857</c:v>
                </c:pt>
                <c:pt idx="1850">
                  <c:v>43858</c:v>
                </c:pt>
                <c:pt idx="1851">
                  <c:v>43859</c:v>
                </c:pt>
                <c:pt idx="1852">
                  <c:v>43860</c:v>
                </c:pt>
                <c:pt idx="1853">
                  <c:v>43861</c:v>
                </c:pt>
                <c:pt idx="1854">
                  <c:v>43862</c:v>
                </c:pt>
                <c:pt idx="1855">
                  <c:v>43863</c:v>
                </c:pt>
                <c:pt idx="1856">
                  <c:v>43864</c:v>
                </c:pt>
                <c:pt idx="1857">
                  <c:v>43865</c:v>
                </c:pt>
                <c:pt idx="1858">
                  <c:v>43866</c:v>
                </c:pt>
                <c:pt idx="1859">
                  <c:v>43867</c:v>
                </c:pt>
                <c:pt idx="1860">
                  <c:v>43868</c:v>
                </c:pt>
                <c:pt idx="1861">
                  <c:v>43869</c:v>
                </c:pt>
                <c:pt idx="1862">
                  <c:v>43870</c:v>
                </c:pt>
                <c:pt idx="1863">
                  <c:v>43871</c:v>
                </c:pt>
                <c:pt idx="1864">
                  <c:v>43872</c:v>
                </c:pt>
                <c:pt idx="1865">
                  <c:v>43873</c:v>
                </c:pt>
                <c:pt idx="1866">
                  <c:v>43874</c:v>
                </c:pt>
                <c:pt idx="1867">
                  <c:v>43875</c:v>
                </c:pt>
                <c:pt idx="1868">
                  <c:v>43876</c:v>
                </c:pt>
                <c:pt idx="1869">
                  <c:v>43877</c:v>
                </c:pt>
                <c:pt idx="1870">
                  <c:v>43878</c:v>
                </c:pt>
                <c:pt idx="1871">
                  <c:v>43879</c:v>
                </c:pt>
                <c:pt idx="1872">
                  <c:v>43880</c:v>
                </c:pt>
                <c:pt idx="1873">
                  <c:v>43881</c:v>
                </c:pt>
                <c:pt idx="1874">
                  <c:v>43882</c:v>
                </c:pt>
                <c:pt idx="1875">
                  <c:v>43883</c:v>
                </c:pt>
                <c:pt idx="1876">
                  <c:v>43884</c:v>
                </c:pt>
                <c:pt idx="1877">
                  <c:v>43885</c:v>
                </c:pt>
                <c:pt idx="1878">
                  <c:v>43886</c:v>
                </c:pt>
                <c:pt idx="1879">
                  <c:v>43887</c:v>
                </c:pt>
                <c:pt idx="1880">
                  <c:v>43888</c:v>
                </c:pt>
                <c:pt idx="1881">
                  <c:v>43889</c:v>
                </c:pt>
                <c:pt idx="1882">
                  <c:v>43890</c:v>
                </c:pt>
                <c:pt idx="1883">
                  <c:v>43891</c:v>
                </c:pt>
                <c:pt idx="1884">
                  <c:v>43892</c:v>
                </c:pt>
                <c:pt idx="1885">
                  <c:v>43893</c:v>
                </c:pt>
                <c:pt idx="1886">
                  <c:v>43894</c:v>
                </c:pt>
                <c:pt idx="1887">
                  <c:v>43895</c:v>
                </c:pt>
                <c:pt idx="1888">
                  <c:v>43896</c:v>
                </c:pt>
                <c:pt idx="1889">
                  <c:v>43897</c:v>
                </c:pt>
                <c:pt idx="1890">
                  <c:v>43898</c:v>
                </c:pt>
                <c:pt idx="1891">
                  <c:v>43899</c:v>
                </c:pt>
                <c:pt idx="1892">
                  <c:v>43900</c:v>
                </c:pt>
                <c:pt idx="1893">
                  <c:v>43901</c:v>
                </c:pt>
                <c:pt idx="1894">
                  <c:v>43902</c:v>
                </c:pt>
                <c:pt idx="1895">
                  <c:v>43903</c:v>
                </c:pt>
                <c:pt idx="1896">
                  <c:v>43904</c:v>
                </c:pt>
                <c:pt idx="1897">
                  <c:v>43905</c:v>
                </c:pt>
                <c:pt idx="1898">
                  <c:v>43906</c:v>
                </c:pt>
                <c:pt idx="1899">
                  <c:v>43907</c:v>
                </c:pt>
                <c:pt idx="1900">
                  <c:v>43908</c:v>
                </c:pt>
                <c:pt idx="1901">
                  <c:v>43909</c:v>
                </c:pt>
                <c:pt idx="1902">
                  <c:v>43910</c:v>
                </c:pt>
                <c:pt idx="1903">
                  <c:v>43911</c:v>
                </c:pt>
                <c:pt idx="1904">
                  <c:v>43912</c:v>
                </c:pt>
                <c:pt idx="1905">
                  <c:v>43913</c:v>
                </c:pt>
                <c:pt idx="1906">
                  <c:v>43914</c:v>
                </c:pt>
                <c:pt idx="1907">
                  <c:v>43915</c:v>
                </c:pt>
                <c:pt idx="1908">
                  <c:v>43916</c:v>
                </c:pt>
                <c:pt idx="1909">
                  <c:v>43917</c:v>
                </c:pt>
                <c:pt idx="1910">
                  <c:v>43918</c:v>
                </c:pt>
                <c:pt idx="1911">
                  <c:v>43919</c:v>
                </c:pt>
                <c:pt idx="1912">
                  <c:v>43920</c:v>
                </c:pt>
                <c:pt idx="1913">
                  <c:v>43921</c:v>
                </c:pt>
                <c:pt idx="1914">
                  <c:v>43922</c:v>
                </c:pt>
                <c:pt idx="1915">
                  <c:v>43923</c:v>
                </c:pt>
                <c:pt idx="1916">
                  <c:v>43924</c:v>
                </c:pt>
                <c:pt idx="1917">
                  <c:v>43925</c:v>
                </c:pt>
                <c:pt idx="1918">
                  <c:v>43926</c:v>
                </c:pt>
                <c:pt idx="1919">
                  <c:v>43927</c:v>
                </c:pt>
                <c:pt idx="1920">
                  <c:v>43928</c:v>
                </c:pt>
                <c:pt idx="1921">
                  <c:v>43929</c:v>
                </c:pt>
                <c:pt idx="1922">
                  <c:v>43930</c:v>
                </c:pt>
                <c:pt idx="1923">
                  <c:v>43931</c:v>
                </c:pt>
                <c:pt idx="1924">
                  <c:v>43932</c:v>
                </c:pt>
                <c:pt idx="1925">
                  <c:v>43933</c:v>
                </c:pt>
                <c:pt idx="1926">
                  <c:v>43934</c:v>
                </c:pt>
                <c:pt idx="1927">
                  <c:v>43935</c:v>
                </c:pt>
                <c:pt idx="1928">
                  <c:v>43936</c:v>
                </c:pt>
                <c:pt idx="1929">
                  <c:v>43937</c:v>
                </c:pt>
                <c:pt idx="1930">
                  <c:v>43938</c:v>
                </c:pt>
                <c:pt idx="1931">
                  <c:v>43939</c:v>
                </c:pt>
                <c:pt idx="1932">
                  <c:v>43940</c:v>
                </c:pt>
                <c:pt idx="1933">
                  <c:v>43941</c:v>
                </c:pt>
                <c:pt idx="1934">
                  <c:v>43942</c:v>
                </c:pt>
                <c:pt idx="1935">
                  <c:v>43943</c:v>
                </c:pt>
                <c:pt idx="1936">
                  <c:v>43944</c:v>
                </c:pt>
                <c:pt idx="1937">
                  <c:v>43945</c:v>
                </c:pt>
                <c:pt idx="1938">
                  <c:v>43946</c:v>
                </c:pt>
                <c:pt idx="1939">
                  <c:v>43947</c:v>
                </c:pt>
                <c:pt idx="1940">
                  <c:v>43948</c:v>
                </c:pt>
                <c:pt idx="1941">
                  <c:v>43949</c:v>
                </c:pt>
                <c:pt idx="1942">
                  <c:v>43950</c:v>
                </c:pt>
                <c:pt idx="1943">
                  <c:v>43951</c:v>
                </c:pt>
                <c:pt idx="1944">
                  <c:v>43952</c:v>
                </c:pt>
                <c:pt idx="1945">
                  <c:v>43953</c:v>
                </c:pt>
                <c:pt idx="1946">
                  <c:v>43954</c:v>
                </c:pt>
                <c:pt idx="1947">
                  <c:v>43955</c:v>
                </c:pt>
                <c:pt idx="1948">
                  <c:v>43956</c:v>
                </c:pt>
                <c:pt idx="1949">
                  <c:v>43957</c:v>
                </c:pt>
                <c:pt idx="1950">
                  <c:v>43958</c:v>
                </c:pt>
                <c:pt idx="1951">
                  <c:v>43959</c:v>
                </c:pt>
                <c:pt idx="1952">
                  <c:v>43960</c:v>
                </c:pt>
                <c:pt idx="1953">
                  <c:v>43961</c:v>
                </c:pt>
                <c:pt idx="1954">
                  <c:v>43962</c:v>
                </c:pt>
                <c:pt idx="1955">
                  <c:v>43963</c:v>
                </c:pt>
                <c:pt idx="1956">
                  <c:v>43964</c:v>
                </c:pt>
                <c:pt idx="1957">
                  <c:v>43965</c:v>
                </c:pt>
                <c:pt idx="1958">
                  <c:v>43966</c:v>
                </c:pt>
                <c:pt idx="1959">
                  <c:v>43967</c:v>
                </c:pt>
                <c:pt idx="1960">
                  <c:v>43968</c:v>
                </c:pt>
                <c:pt idx="1961">
                  <c:v>43969</c:v>
                </c:pt>
                <c:pt idx="1962">
                  <c:v>43970</c:v>
                </c:pt>
                <c:pt idx="1963">
                  <c:v>43971</c:v>
                </c:pt>
                <c:pt idx="1964">
                  <c:v>43972</c:v>
                </c:pt>
                <c:pt idx="1965">
                  <c:v>43973</c:v>
                </c:pt>
                <c:pt idx="1966">
                  <c:v>43974</c:v>
                </c:pt>
                <c:pt idx="1967">
                  <c:v>43975</c:v>
                </c:pt>
                <c:pt idx="1968">
                  <c:v>43976</c:v>
                </c:pt>
                <c:pt idx="1969">
                  <c:v>43977</c:v>
                </c:pt>
                <c:pt idx="1970">
                  <c:v>43978</c:v>
                </c:pt>
                <c:pt idx="1971">
                  <c:v>43979</c:v>
                </c:pt>
                <c:pt idx="1972">
                  <c:v>43980</c:v>
                </c:pt>
                <c:pt idx="1973">
                  <c:v>43981</c:v>
                </c:pt>
                <c:pt idx="1974">
                  <c:v>43982</c:v>
                </c:pt>
                <c:pt idx="1975">
                  <c:v>43983</c:v>
                </c:pt>
                <c:pt idx="1976">
                  <c:v>43984</c:v>
                </c:pt>
                <c:pt idx="1977">
                  <c:v>43985</c:v>
                </c:pt>
                <c:pt idx="1978">
                  <c:v>43986</c:v>
                </c:pt>
                <c:pt idx="1979">
                  <c:v>43987</c:v>
                </c:pt>
                <c:pt idx="1980">
                  <c:v>43988</c:v>
                </c:pt>
                <c:pt idx="1981">
                  <c:v>43989</c:v>
                </c:pt>
                <c:pt idx="1982">
                  <c:v>43990</c:v>
                </c:pt>
                <c:pt idx="1983">
                  <c:v>43991</c:v>
                </c:pt>
                <c:pt idx="1984">
                  <c:v>43992</c:v>
                </c:pt>
                <c:pt idx="1985">
                  <c:v>43993</c:v>
                </c:pt>
                <c:pt idx="1986">
                  <c:v>43994</c:v>
                </c:pt>
                <c:pt idx="1987">
                  <c:v>43995</c:v>
                </c:pt>
                <c:pt idx="1988">
                  <c:v>43996</c:v>
                </c:pt>
                <c:pt idx="1989">
                  <c:v>43997</c:v>
                </c:pt>
                <c:pt idx="1990">
                  <c:v>43998</c:v>
                </c:pt>
                <c:pt idx="1991">
                  <c:v>43999</c:v>
                </c:pt>
                <c:pt idx="1992">
                  <c:v>44000</c:v>
                </c:pt>
                <c:pt idx="1993">
                  <c:v>44001</c:v>
                </c:pt>
                <c:pt idx="1994">
                  <c:v>44002</c:v>
                </c:pt>
                <c:pt idx="1995">
                  <c:v>44003</c:v>
                </c:pt>
                <c:pt idx="1996">
                  <c:v>44004</c:v>
                </c:pt>
                <c:pt idx="1997">
                  <c:v>44005</c:v>
                </c:pt>
                <c:pt idx="1998">
                  <c:v>44006</c:v>
                </c:pt>
                <c:pt idx="1999">
                  <c:v>44007</c:v>
                </c:pt>
                <c:pt idx="2000">
                  <c:v>44008</c:v>
                </c:pt>
                <c:pt idx="2001">
                  <c:v>44009</c:v>
                </c:pt>
                <c:pt idx="2002">
                  <c:v>44010</c:v>
                </c:pt>
                <c:pt idx="2003">
                  <c:v>44011</c:v>
                </c:pt>
                <c:pt idx="2004">
                  <c:v>44012</c:v>
                </c:pt>
                <c:pt idx="2005">
                  <c:v>44013</c:v>
                </c:pt>
                <c:pt idx="2006">
                  <c:v>44014</c:v>
                </c:pt>
                <c:pt idx="2007">
                  <c:v>44015</c:v>
                </c:pt>
                <c:pt idx="2008">
                  <c:v>44016</c:v>
                </c:pt>
                <c:pt idx="2009">
                  <c:v>44017</c:v>
                </c:pt>
                <c:pt idx="2010">
                  <c:v>44018</c:v>
                </c:pt>
                <c:pt idx="2011">
                  <c:v>44019</c:v>
                </c:pt>
                <c:pt idx="2012">
                  <c:v>44020</c:v>
                </c:pt>
                <c:pt idx="2013">
                  <c:v>44021</c:v>
                </c:pt>
                <c:pt idx="2014">
                  <c:v>44022</c:v>
                </c:pt>
                <c:pt idx="2015">
                  <c:v>44023</c:v>
                </c:pt>
                <c:pt idx="2016">
                  <c:v>44024</c:v>
                </c:pt>
                <c:pt idx="2017">
                  <c:v>44025</c:v>
                </c:pt>
                <c:pt idx="2018">
                  <c:v>44026</c:v>
                </c:pt>
                <c:pt idx="2019">
                  <c:v>44027</c:v>
                </c:pt>
                <c:pt idx="2020">
                  <c:v>44028</c:v>
                </c:pt>
                <c:pt idx="2021">
                  <c:v>44029</c:v>
                </c:pt>
                <c:pt idx="2022">
                  <c:v>44030</c:v>
                </c:pt>
                <c:pt idx="2023">
                  <c:v>44031</c:v>
                </c:pt>
                <c:pt idx="2024">
                  <c:v>44032</c:v>
                </c:pt>
                <c:pt idx="2025">
                  <c:v>44033</c:v>
                </c:pt>
                <c:pt idx="2026">
                  <c:v>44034</c:v>
                </c:pt>
                <c:pt idx="2027">
                  <c:v>44035</c:v>
                </c:pt>
                <c:pt idx="2028">
                  <c:v>44036</c:v>
                </c:pt>
                <c:pt idx="2029">
                  <c:v>44037</c:v>
                </c:pt>
                <c:pt idx="2030">
                  <c:v>44038</c:v>
                </c:pt>
                <c:pt idx="2031">
                  <c:v>44039</c:v>
                </c:pt>
                <c:pt idx="2032">
                  <c:v>44040</c:v>
                </c:pt>
                <c:pt idx="2033">
                  <c:v>44041</c:v>
                </c:pt>
                <c:pt idx="2034">
                  <c:v>44042</c:v>
                </c:pt>
                <c:pt idx="2035">
                  <c:v>44043</c:v>
                </c:pt>
                <c:pt idx="2036">
                  <c:v>44044</c:v>
                </c:pt>
                <c:pt idx="2037">
                  <c:v>44045</c:v>
                </c:pt>
                <c:pt idx="2038">
                  <c:v>44046</c:v>
                </c:pt>
                <c:pt idx="2039">
                  <c:v>44047</c:v>
                </c:pt>
                <c:pt idx="2040">
                  <c:v>44048</c:v>
                </c:pt>
                <c:pt idx="2041">
                  <c:v>44049</c:v>
                </c:pt>
                <c:pt idx="2042">
                  <c:v>44050</c:v>
                </c:pt>
                <c:pt idx="2043">
                  <c:v>44051</c:v>
                </c:pt>
                <c:pt idx="2044">
                  <c:v>44052</c:v>
                </c:pt>
                <c:pt idx="2045">
                  <c:v>44053</c:v>
                </c:pt>
                <c:pt idx="2046">
                  <c:v>44054</c:v>
                </c:pt>
                <c:pt idx="2047">
                  <c:v>44055</c:v>
                </c:pt>
                <c:pt idx="2048">
                  <c:v>44056</c:v>
                </c:pt>
                <c:pt idx="2049">
                  <c:v>44057</c:v>
                </c:pt>
                <c:pt idx="2050">
                  <c:v>44058</c:v>
                </c:pt>
                <c:pt idx="2051">
                  <c:v>44059</c:v>
                </c:pt>
                <c:pt idx="2052">
                  <c:v>44060</c:v>
                </c:pt>
                <c:pt idx="2053">
                  <c:v>44061</c:v>
                </c:pt>
                <c:pt idx="2054">
                  <c:v>44062</c:v>
                </c:pt>
                <c:pt idx="2055">
                  <c:v>44063</c:v>
                </c:pt>
                <c:pt idx="2056">
                  <c:v>44064</c:v>
                </c:pt>
                <c:pt idx="2057">
                  <c:v>44065</c:v>
                </c:pt>
                <c:pt idx="2058">
                  <c:v>44066</c:v>
                </c:pt>
                <c:pt idx="2059">
                  <c:v>44067</c:v>
                </c:pt>
                <c:pt idx="2060">
                  <c:v>44068</c:v>
                </c:pt>
                <c:pt idx="2061">
                  <c:v>44069</c:v>
                </c:pt>
                <c:pt idx="2062">
                  <c:v>44070</c:v>
                </c:pt>
                <c:pt idx="2063">
                  <c:v>44071</c:v>
                </c:pt>
                <c:pt idx="2064">
                  <c:v>44072</c:v>
                </c:pt>
                <c:pt idx="2065">
                  <c:v>44073</c:v>
                </c:pt>
                <c:pt idx="2066">
                  <c:v>44074</c:v>
                </c:pt>
                <c:pt idx="2067">
                  <c:v>44075</c:v>
                </c:pt>
                <c:pt idx="2068">
                  <c:v>44076</c:v>
                </c:pt>
                <c:pt idx="2069">
                  <c:v>44077</c:v>
                </c:pt>
                <c:pt idx="2070">
                  <c:v>44079</c:v>
                </c:pt>
                <c:pt idx="2071">
                  <c:v>44080</c:v>
                </c:pt>
                <c:pt idx="2072">
                  <c:v>44081</c:v>
                </c:pt>
                <c:pt idx="2073">
                  <c:v>44082</c:v>
                </c:pt>
                <c:pt idx="2074">
                  <c:v>44083</c:v>
                </c:pt>
                <c:pt idx="2075">
                  <c:v>44084</c:v>
                </c:pt>
                <c:pt idx="2076">
                  <c:v>44085</c:v>
                </c:pt>
                <c:pt idx="2077">
                  <c:v>44086</c:v>
                </c:pt>
                <c:pt idx="2078">
                  <c:v>44087</c:v>
                </c:pt>
                <c:pt idx="2079">
                  <c:v>44088</c:v>
                </c:pt>
                <c:pt idx="2080">
                  <c:v>44089</c:v>
                </c:pt>
                <c:pt idx="2081">
                  <c:v>44090</c:v>
                </c:pt>
                <c:pt idx="2082">
                  <c:v>44091</c:v>
                </c:pt>
                <c:pt idx="2083">
                  <c:v>44092</c:v>
                </c:pt>
                <c:pt idx="2084">
                  <c:v>44093</c:v>
                </c:pt>
                <c:pt idx="2085">
                  <c:v>44094</c:v>
                </c:pt>
                <c:pt idx="2086">
                  <c:v>44095</c:v>
                </c:pt>
                <c:pt idx="2087">
                  <c:v>44096</c:v>
                </c:pt>
                <c:pt idx="2088">
                  <c:v>44097</c:v>
                </c:pt>
                <c:pt idx="2089">
                  <c:v>44098</c:v>
                </c:pt>
                <c:pt idx="2090">
                  <c:v>44099</c:v>
                </c:pt>
                <c:pt idx="2091">
                  <c:v>44100</c:v>
                </c:pt>
                <c:pt idx="2092">
                  <c:v>44101</c:v>
                </c:pt>
                <c:pt idx="2093">
                  <c:v>44102</c:v>
                </c:pt>
                <c:pt idx="2094">
                  <c:v>44103</c:v>
                </c:pt>
                <c:pt idx="2095">
                  <c:v>44104</c:v>
                </c:pt>
                <c:pt idx="2096">
                  <c:v>44105</c:v>
                </c:pt>
                <c:pt idx="2097">
                  <c:v>44106</c:v>
                </c:pt>
                <c:pt idx="2098">
                  <c:v>44107</c:v>
                </c:pt>
                <c:pt idx="2099">
                  <c:v>44108</c:v>
                </c:pt>
                <c:pt idx="2100">
                  <c:v>44109</c:v>
                </c:pt>
                <c:pt idx="2101">
                  <c:v>44110</c:v>
                </c:pt>
                <c:pt idx="2102">
                  <c:v>44111</c:v>
                </c:pt>
                <c:pt idx="2103">
                  <c:v>44112</c:v>
                </c:pt>
                <c:pt idx="2104">
                  <c:v>44113</c:v>
                </c:pt>
                <c:pt idx="2105">
                  <c:v>44114</c:v>
                </c:pt>
                <c:pt idx="2106">
                  <c:v>44115</c:v>
                </c:pt>
                <c:pt idx="2107">
                  <c:v>44116</c:v>
                </c:pt>
                <c:pt idx="2108">
                  <c:v>44117</c:v>
                </c:pt>
                <c:pt idx="2109">
                  <c:v>44118</c:v>
                </c:pt>
                <c:pt idx="2110">
                  <c:v>44119</c:v>
                </c:pt>
                <c:pt idx="2111">
                  <c:v>44120</c:v>
                </c:pt>
                <c:pt idx="2112">
                  <c:v>44121</c:v>
                </c:pt>
                <c:pt idx="2113">
                  <c:v>44122</c:v>
                </c:pt>
                <c:pt idx="2114">
                  <c:v>44123</c:v>
                </c:pt>
                <c:pt idx="2115">
                  <c:v>44124</c:v>
                </c:pt>
                <c:pt idx="2116">
                  <c:v>44125</c:v>
                </c:pt>
                <c:pt idx="2117">
                  <c:v>44126</c:v>
                </c:pt>
                <c:pt idx="2118">
                  <c:v>44127</c:v>
                </c:pt>
                <c:pt idx="2119">
                  <c:v>44128</c:v>
                </c:pt>
                <c:pt idx="2120">
                  <c:v>44129</c:v>
                </c:pt>
                <c:pt idx="2121">
                  <c:v>44130</c:v>
                </c:pt>
                <c:pt idx="2122">
                  <c:v>44131</c:v>
                </c:pt>
                <c:pt idx="2123">
                  <c:v>44132</c:v>
                </c:pt>
                <c:pt idx="2124">
                  <c:v>44133</c:v>
                </c:pt>
                <c:pt idx="2125">
                  <c:v>44134</c:v>
                </c:pt>
                <c:pt idx="2126">
                  <c:v>44135</c:v>
                </c:pt>
                <c:pt idx="2127">
                  <c:v>44136</c:v>
                </c:pt>
                <c:pt idx="2128">
                  <c:v>44137</c:v>
                </c:pt>
                <c:pt idx="2129">
                  <c:v>44138</c:v>
                </c:pt>
                <c:pt idx="2130">
                  <c:v>44139</c:v>
                </c:pt>
                <c:pt idx="2131">
                  <c:v>44140</c:v>
                </c:pt>
                <c:pt idx="2132">
                  <c:v>44141</c:v>
                </c:pt>
                <c:pt idx="2133">
                  <c:v>44142</c:v>
                </c:pt>
                <c:pt idx="2134">
                  <c:v>44143</c:v>
                </c:pt>
                <c:pt idx="2135">
                  <c:v>44144</c:v>
                </c:pt>
                <c:pt idx="2136">
                  <c:v>44145</c:v>
                </c:pt>
                <c:pt idx="2137">
                  <c:v>44146</c:v>
                </c:pt>
                <c:pt idx="2138">
                  <c:v>44147</c:v>
                </c:pt>
                <c:pt idx="2139">
                  <c:v>44148</c:v>
                </c:pt>
                <c:pt idx="2140">
                  <c:v>44149</c:v>
                </c:pt>
                <c:pt idx="2141">
                  <c:v>44150</c:v>
                </c:pt>
                <c:pt idx="2142">
                  <c:v>44151</c:v>
                </c:pt>
                <c:pt idx="2143">
                  <c:v>44152</c:v>
                </c:pt>
                <c:pt idx="2144">
                  <c:v>44153</c:v>
                </c:pt>
                <c:pt idx="2145">
                  <c:v>44154</c:v>
                </c:pt>
                <c:pt idx="2146">
                  <c:v>44155</c:v>
                </c:pt>
                <c:pt idx="2147">
                  <c:v>44156</c:v>
                </c:pt>
                <c:pt idx="2148">
                  <c:v>44157</c:v>
                </c:pt>
                <c:pt idx="2149">
                  <c:v>44158</c:v>
                </c:pt>
                <c:pt idx="2150">
                  <c:v>44159</c:v>
                </c:pt>
                <c:pt idx="2151">
                  <c:v>44160</c:v>
                </c:pt>
                <c:pt idx="2152">
                  <c:v>44161</c:v>
                </c:pt>
                <c:pt idx="2153">
                  <c:v>44162</c:v>
                </c:pt>
                <c:pt idx="2154">
                  <c:v>44163</c:v>
                </c:pt>
                <c:pt idx="2155">
                  <c:v>44164</c:v>
                </c:pt>
                <c:pt idx="2156">
                  <c:v>44165</c:v>
                </c:pt>
                <c:pt idx="2157">
                  <c:v>44166</c:v>
                </c:pt>
                <c:pt idx="2158">
                  <c:v>44167</c:v>
                </c:pt>
                <c:pt idx="2159">
                  <c:v>44168</c:v>
                </c:pt>
                <c:pt idx="2160">
                  <c:v>44169</c:v>
                </c:pt>
                <c:pt idx="2161">
                  <c:v>44170</c:v>
                </c:pt>
                <c:pt idx="2162">
                  <c:v>44171</c:v>
                </c:pt>
                <c:pt idx="2163">
                  <c:v>44172</c:v>
                </c:pt>
                <c:pt idx="2164">
                  <c:v>44173</c:v>
                </c:pt>
                <c:pt idx="2165">
                  <c:v>44174</c:v>
                </c:pt>
                <c:pt idx="2166">
                  <c:v>44175</c:v>
                </c:pt>
                <c:pt idx="2167">
                  <c:v>44176</c:v>
                </c:pt>
                <c:pt idx="2168">
                  <c:v>44177</c:v>
                </c:pt>
                <c:pt idx="2169">
                  <c:v>44178</c:v>
                </c:pt>
                <c:pt idx="2170">
                  <c:v>44179</c:v>
                </c:pt>
                <c:pt idx="2171">
                  <c:v>44180</c:v>
                </c:pt>
                <c:pt idx="2172">
                  <c:v>44181</c:v>
                </c:pt>
                <c:pt idx="2173">
                  <c:v>44182</c:v>
                </c:pt>
                <c:pt idx="2174">
                  <c:v>44183</c:v>
                </c:pt>
                <c:pt idx="2175">
                  <c:v>44184</c:v>
                </c:pt>
                <c:pt idx="2176">
                  <c:v>44185</c:v>
                </c:pt>
                <c:pt idx="2177">
                  <c:v>44186</c:v>
                </c:pt>
                <c:pt idx="2178">
                  <c:v>44187</c:v>
                </c:pt>
                <c:pt idx="2179">
                  <c:v>44188</c:v>
                </c:pt>
                <c:pt idx="2180">
                  <c:v>44189</c:v>
                </c:pt>
                <c:pt idx="2181">
                  <c:v>44190</c:v>
                </c:pt>
                <c:pt idx="2182">
                  <c:v>44191</c:v>
                </c:pt>
                <c:pt idx="2183">
                  <c:v>44192</c:v>
                </c:pt>
                <c:pt idx="2184">
                  <c:v>44193</c:v>
                </c:pt>
                <c:pt idx="2185">
                  <c:v>44194</c:v>
                </c:pt>
                <c:pt idx="2186">
                  <c:v>44195</c:v>
                </c:pt>
                <c:pt idx="2187">
                  <c:v>44196</c:v>
                </c:pt>
                <c:pt idx="2188">
                  <c:v>44197</c:v>
                </c:pt>
                <c:pt idx="2189">
                  <c:v>44198</c:v>
                </c:pt>
                <c:pt idx="2190">
                  <c:v>44199</c:v>
                </c:pt>
                <c:pt idx="2191">
                  <c:v>44200</c:v>
                </c:pt>
                <c:pt idx="2192">
                  <c:v>44201</c:v>
                </c:pt>
                <c:pt idx="2193">
                  <c:v>44202</c:v>
                </c:pt>
                <c:pt idx="2194">
                  <c:v>44203</c:v>
                </c:pt>
                <c:pt idx="2195">
                  <c:v>44204</c:v>
                </c:pt>
                <c:pt idx="2196">
                  <c:v>44205</c:v>
                </c:pt>
                <c:pt idx="2197">
                  <c:v>44206</c:v>
                </c:pt>
                <c:pt idx="2198">
                  <c:v>44207</c:v>
                </c:pt>
                <c:pt idx="2199">
                  <c:v>44208</c:v>
                </c:pt>
                <c:pt idx="2200">
                  <c:v>44209</c:v>
                </c:pt>
                <c:pt idx="2201">
                  <c:v>44210</c:v>
                </c:pt>
                <c:pt idx="2202">
                  <c:v>44211</c:v>
                </c:pt>
                <c:pt idx="2203">
                  <c:v>44212</c:v>
                </c:pt>
                <c:pt idx="2204">
                  <c:v>44213</c:v>
                </c:pt>
                <c:pt idx="2205">
                  <c:v>44214</c:v>
                </c:pt>
                <c:pt idx="2206">
                  <c:v>44215</c:v>
                </c:pt>
                <c:pt idx="2207">
                  <c:v>44216</c:v>
                </c:pt>
                <c:pt idx="2208">
                  <c:v>44217</c:v>
                </c:pt>
                <c:pt idx="2209">
                  <c:v>44218</c:v>
                </c:pt>
                <c:pt idx="2210">
                  <c:v>44219</c:v>
                </c:pt>
                <c:pt idx="2211">
                  <c:v>44220</c:v>
                </c:pt>
                <c:pt idx="2212">
                  <c:v>44221</c:v>
                </c:pt>
                <c:pt idx="2213">
                  <c:v>44222</c:v>
                </c:pt>
                <c:pt idx="2214">
                  <c:v>44223</c:v>
                </c:pt>
                <c:pt idx="2215">
                  <c:v>44224</c:v>
                </c:pt>
                <c:pt idx="2216">
                  <c:v>44225</c:v>
                </c:pt>
                <c:pt idx="2217">
                  <c:v>44226</c:v>
                </c:pt>
                <c:pt idx="2218">
                  <c:v>44227</c:v>
                </c:pt>
                <c:pt idx="2219">
                  <c:v>44228</c:v>
                </c:pt>
                <c:pt idx="2220">
                  <c:v>44229</c:v>
                </c:pt>
                <c:pt idx="2221">
                  <c:v>44230</c:v>
                </c:pt>
                <c:pt idx="2222">
                  <c:v>44231</c:v>
                </c:pt>
                <c:pt idx="2223">
                  <c:v>44232</c:v>
                </c:pt>
                <c:pt idx="2224">
                  <c:v>44233</c:v>
                </c:pt>
                <c:pt idx="2225">
                  <c:v>44234</c:v>
                </c:pt>
                <c:pt idx="2226">
                  <c:v>44235</c:v>
                </c:pt>
                <c:pt idx="2227">
                  <c:v>44236</c:v>
                </c:pt>
                <c:pt idx="2228">
                  <c:v>44237</c:v>
                </c:pt>
                <c:pt idx="2229">
                  <c:v>44238</c:v>
                </c:pt>
                <c:pt idx="2230">
                  <c:v>44239</c:v>
                </c:pt>
                <c:pt idx="2231">
                  <c:v>44240</c:v>
                </c:pt>
                <c:pt idx="2232">
                  <c:v>44241</c:v>
                </c:pt>
                <c:pt idx="2233">
                  <c:v>44242</c:v>
                </c:pt>
                <c:pt idx="2234">
                  <c:v>44243</c:v>
                </c:pt>
                <c:pt idx="2235">
                  <c:v>44244</c:v>
                </c:pt>
                <c:pt idx="2236">
                  <c:v>44245</c:v>
                </c:pt>
                <c:pt idx="2237">
                  <c:v>44246</c:v>
                </c:pt>
                <c:pt idx="2238">
                  <c:v>44247</c:v>
                </c:pt>
                <c:pt idx="2239">
                  <c:v>44248</c:v>
                </c:pt>
                <c:pt idx="2240">
                  <c:v>44249</c:v>
                </c:pt>
                <c:pt idx="2241">
                  <c:v>44250</c:v>
                </c:pt>
                <c:pt idx="2242">
                  <c:v>44251</c:v>
                </c:pt>
                <c:pt idx="2243">
                  <c:v>44252</c:v>
                </c:pt>
                <c:pt idx="2244">
                  <c:v>44253</c:v>
                </c:pt>
                <c:pt idx="2245">
                  <c:v>44254</c:v>
                </c:pt>
                <c:pt idx="2246">
                  <c:v>44255</c:v>
                </c:pt>
                <c:pt idx="2247">
                  <c:v>44256</c:v>
                </c:pt>
                <c:pt idx="2248">
                  <c:v>44257</c:v>
                </c:pt>
                <c:pt idx="2249">
                  <c:v>44258</c:v>
                </c:pt>
                <c:pt idx="2250">
                  <c:v>44259</c:v>
                </c:pt>
                <c:pt idx="2251">
                  <c:v>44260</c:v>
                </c:pt>
                <c:pt idx="2252">
                  <c:v>44261</c:v>
                </c:pt>
                <c:pt idx="2253">
                  <c:v>44262</c:v>
                </c:pt>
                <c:pt idx="2254">
                  <c:v>44263</c:v>
                </c:pt>
                <c:pt idx="2255">
                  <c:v>44264</c:v>
                </c:pt>
                <c:pt idx="2256">
                  <c:v>44265</c:v>
                </c:pt>
                <c:pt idx="2257">
                  <c:v>44266</c:v>
                </c:pt>
                <c:pt idx="2258">
                  <c:v>44267</c:v>
                </c:pt>
                <c:pt idx="2259">
                  <c:v>44268</c:v>
                </c:pt>
                <c:pt idx="2260">
                  <c:v>44269</c:v>
                </c:pt>
                <c:pt idx="2261">
                  <c:v>44270</c:v>
                </c:pt>
                <c:pt idx="2262">
                  <c:v>44271</c:v>
                </c:pt>
                <c:pt idx="2263">
                  <c:v>44272</c:v>
                </c:pt>
                <c:pt idx="2264">
                  <c:v>44273</c:v>
                </c:pt>
                <c:pt idx="2265">
                  <c:v>44274</c:v>
                </c:pt>
                <c:pt idx="2266">
                  <c:v>44275</c:v>
                </c:pt>
                <c:pt idx="2267">
                  <c:v>44276</c:v>
                </c:pt>
                <c:pt idx="2268">
                  <c:v>44277</c:v>
                </c:pt>
                <c:pt idx="2269">
                  <c:v>44278</c:v>
                </c:pt>
                <c:pt idx="2270">
                  <c:v>44279</c:v>
                </c:pt>
                <c:pt idx="2271">
                  <c:v>44280</c:v>
                </c:pt>
                <c:pt idx="2272">
                  <c:v>44281</c:v>
                </c:pt>
                <c:pt idx="2273">
                  <c:v>44282</c:v>
                </c:pt>
                <c:pt idx="2274">
                  <c:v>44283</c:v>
                </c:pt>
                <c:pt idx="2275">
                  <c:v>44284</c:v>
                </c:pt>
                <c:pt idx="2276">
                  <c:v>44285</c:v>
                </c:pt>
                <c:pt idx="2277">
                  <c:v>44286</c:v>
                </c:pt>
                <c:pt idx="2278">
                  <c:v>44287</c:v>
                </c:pt>
                <c:pt idx="2279">
                  <c:v>44288</c:v>
                </c:pt>
                <c:pt idx="2280">
                  <c:v>44289</c:v>
                </c:pt>
                <c:pt idx="2281">
                  <c:v>44290</c:v>
                </c:pt>
                <c:pt idx="2282">
                  <c:v>44291</c:v>
                </c:pt>
                <c:pt idx="2283">
                  <c:v>44292</c:v>
                </c:pt>
                <c:pt idx="2284">
                  <c:v>44293</c:v>
                </c:pt>
                <c:pt idx="2285">
                  <c:v>44294</c:v>
                </c:pt>
                <c:pt idx="2286">
                  <c:v>44295</c:v>
                </c:pt>
                <c:pt idx="2287">
                  <c:v>44296</c:v>
                </c:pt>
                <c:pt idx="2288">
                  <c:v>44297</c:v>
                </c:pt>
                <c:pt idx="2289">
                  <c:v>44298</c:v>
                </c:pt>
                <c:pt idx="2290">
                  <c:v>44299</c:v>
                </c:pt>
                <c:pt idx="2291">
                  <c:v>44300</c:v>
                </c:pt>
                <c:pt idx="2292">
                  <c:v>44301</c:v>
                </c:pt>
                <c:pt idx="2293">
                  <c:v>44302</c:v>
                </c:pt>
                <c:pt idx="2294">
                  <c:v>44303</c:v>
                </c:pt>
                <c:pt idx="2295">
                  <c:v>44304</c:v>
                </c:pt>
                <c:pt idx="2296">
                  <c:v>44305</c:v>
                </c:pt>
                <c:pt idx="2297">
                  <c:v>44306</c:v>
                </c:pt>
                <c:pt idx="2298">
                  <c:v>44307</c:v>
                </c:pt>
                <c:pt idx="2299">
                  <c:v>44308</c:v>
                </c:pt>
                <c:pt idx="2300">
                  <c:v>44309</c:v>
                </c:pt>
                <c:pt idx="2301">
                  <c:v>44310</c:v>
                </c:pt>
                <c:pt idx="2302">
                  <c:v>44311</c:v>
                </c:pt>
                <c:pt idx="2303">
                  <c:v>44312</c:v>
                </c:pt>
                <c:pt idx="2304">
                  <c:v>44313</c:v>
                </c:pt>
                <c:pt idx="2305">
                  <c:v>44314</c:v>
                </c:pt>
                <c:pt idx="2306">
                  <c:v>44315</c:v>
                </c:pt>
                <c:pt idx="2307">
                  <c:v>44316</c:v>
                </c:pt>
                <c:pt idx="2308">
                  <c:v>44317</c:v>
                </c:pt>
                <c:pt idx="2309">
                  <c:v>44318</c:v>
                </c:pt>
                <c:pt idx="2310">
                  <c:v>44319</c:v>
                </c:pt>
                <c:pt idx="2311">
                  <c:v>44320</c:v>
                </c:pt>
                <c:pt idx="2312">
                  <c:v>44321</c:v>
                </c:pt>
                <c:pt idx="2313">
                  <c:v>44322</c:v>
                </c:pt>
                <c:pt idx="2314">
                  <c:v>44323</c:v>
                </c:pt>
                <c:pt idx="2315">
                  <c:v>44324</c:v>
                </c:pt>
                <c:pt idx="2316">
                  <c:v>44325</c:v>
                </c:pt>
                <c:pt idx="2317">
                  <c:v>44326</c:v>
                </c:pt>
                <c:pt idx="2318">
                  <c:v>44327</c:v>
                </c:pt>
                <c:pt idx="2319">
                  <c:v>44328</c:v>
                </c:pt>
                <c:pt idx="2320">
                  <c:v>44329</c:v>
                </c:pt>
                <c:pt idx="2321">
                  <c:v>44330</c:v>
                </c:pt>
                <c:pt idx="2322">
                  <c:v>44331</c:v>
                </c:pt>
                <c:pt idx="2323">
                  <c:v>44332</c:v>
                </c:pt>
                <c:pt idx="2324">
                  <c:v>44333</c:v>
                </c:pt>
                <c:pt idx="2325">
                  <c:v>44334</c:v>
                </c:pt>
                <c:pt idx="2326">
                  <c:v>44335</c:v>
                </c:pt>
                <c:pt idx="2327">
                  <c:v>44336</c:v>
                </c:pt>
                <c:pt idx="2328">
                  <c:v>44337</c:v>
                </c:pt>
                <c:pt idx="2329">
                  <c:v>44338</c:v>
                </c:pt>
                <c:pt idx="2330">
                  <c:v>44339</c:v>
                </c:pt>
                <c:pt idx="2331">
                  <c:v>44340</c:v>
                </c:pt>
                <c:pt idx="2332">
                  <c:v>44341</c:v>
                </c:pt>
                <c:pt idx="2333">
                  <c:v>44342</c:v>
                </c:pt>
                <c:pt idx="2334">
                  <c:v>44343</c:v>
                </c:pt>
                <c:pt idx="2335">
                  <c:v>44344</c:v>
                </c:pt>
                <c:pt idx="2336">
                  <c:v>44345</c:v>
                </c:pt>
                <c:pt idx="2337">
                  <c:v>44346</c:v>
                </c:pt>
                <c:pt idx="2338">
                  <c:v>44347</c:v>
                </c:pt>
                <c:pt idx="2339">
                  <c:v>44348</c:v>
                </c:pt>
                <c:pt idx="2340">
                  <c:v>44349</c:v>
                </c:pt>
                <c:pt idx="2341">
                  <c:v>44350</c:v>
                </c:pt>
                <c:pt idx="2342">
                  <c:v>44351</c:v>
                </c:pt>
                <c:pt idx="2343">
                  <c:v>44352</c:v>
                </c:pt>
                <c:pt idx="2344">
                  <c:v>44353</c:v>
                </c:pt>
                <c:pt idx="2345">
                  <c:v>44354</c:v>
                </c:pt>
                <c:pt idx="2346">
                  <c:v>44355</c:v>
                </c:pt>
                <c:pt idx="2347">
                  <c:v>44356</c:v>
                </c:pt>
                <c:pt idx="2348">
                  <c:v>44357</c:v>
                </c:pt>
                <c:pt idx="2349">
                  <c:v>44358</c:v>
                </c:pt>
                <c:pt idx="2350">
                  <c:v>44359</c:v>
                </c:pt>
                <c:pt idx="2351">
                  <c:v>44360</c:v>
                </c:pt>
                <c:pt idx="2352">
                  <c:v>44361</c:v>
                </c:pt>
                <c:pt idx="2353">
                  <c:v>44362</c:v>
                </c:pt>
                <c:pt idx="2354">
                  <c:v>44363</c:v>
                </c:pt>
                <c:pt idx="2355">
                  <c:v>44364</c:v>
                </c:pt>
                <c:pt idx="2356">
                  <c:v>44365</c:v>
                </c:pt>
                <c:pt idx="2357">
                  <c:v>44366</c:v>
                </c:pt>
                <c:pt idx="2358">
                  <c:v>44367</c:v>
                </c:pt>
                <c:pt idx="2359">
                  <c:v>44368</c:v>
                </c:pt>
                <c:pt idx="2360">
                  <c:v>44369</c:v>
                </c:pt>
                <c:pt idx="2361">
                  <c:v>44370</c:v>
                </c:pt>
                <c:pt idx="2362">
                  <c:v>44371</c:v>
                </c:pt>
                <c:pt idx="2363">
                  <c:v>44372</c:v>
                </c:pt>
                <c:pt idx="2364">
                  <c:v>44373</c:v>
                </c:pt>
                <c:pt idx="2365">
                  <c:v>44374</c:v>
                </c:pt>
                <c:pt idx="2366">
                  <c:v>44375</c:v>
                </c:pt>
                <c:pt idx="2367">
                  <c:v>44376</c:v>
                </c:pt>
                <c:pt idx="2368">
                  <c:v>44377</c:v>
                </c:pt>
                <c:pt idx="2369">
                  <c:v>44378</c:v>
                </c:pt>
                <c:pt idx="2370">
                  <c:v>44379</c:v>
                </c:pt>
                <c:pt idx="2371">
                  <c:v>44380</c:v>
                </c:pt>
                <c:pt idx="2372">
                  <c:v>44381</c:v>
                </c:pt>
                <c:pt idx="2373">
                  <c:v>44382</c:v>
                </c:pt>
                <c:pt idx="2374">
                  <c:v>44383</c:v>
                </c:pt>
                <c:pt idx="2375">
                  <c:v>44384</c:v>
                </c:pt>
                <c:pt idx="2376">
                  <c:v>44385</c:v>
                </c:pt>
                <c:pt idx="2377">
                  <c:v>44386</c:v>
                </c:pt>
                <c:pt idx="2378">
                  <c:v>44387</c:v>
                </c:pt>
                <c:pt idx="2379">
                  <c:v>44388</c:v>
                </c:pt>
                <c:pt idx="2380">
                  <c:v>44389</c:v>
                </c:pt>
                <c:pt idx="2381">
                  <c:v>44390</c:v>
                </c:pt>
                <c:pt idx="2382">
                  <c:v>44391</c:v>
                </c:pt>
                <c:pt idx="2383">
                  <c:v>44392</c:v>
                </c:pt>
                <c:pt idx="2384">
                  <c:v>44393</c:v>
                </c:pt>
                <c:pt idx="2385">
                  <c:v>44394</c:v>
                </c:pt>
                <c:pt idx="2386">
                  <c:v>44395</c:v>
                </c:pt>
                <c:pt idx="2387">
                  <c:v>44396</c:v>
                </c:pt>
                <c:pt idx="2388">
                  <c:v>44397</c:v>
                </c:pt>
                <c:pt idx="2389">
                  <c:v>44398</c:v>
                </c:pt>
                <c:pt idx="2390">
                  <c:v>44399</c:v>
                </c:pt>
                <c:pt idx="2391">
                  <c:v>44400</c:v>
                </c:pt>
                <c:pt idx="2392">
                  <c:v>44401</c:v>
                </c:pt>
                <c:pt idx="2393">
                  <c:v>44402</c:v>
                </c:pt>
                <c:pt idx="2394">
                  <c:v>44403</c:v>
                </c:pt>
                <c:pt idx="2395">
                  <c:v>44404</c:v>
                </c:pt>
                <c:pt idx="2396">
                  <c:v>44405</c:v>
                </c:pt>
                <c:pt idx="2397">
                  <c:v>44406</c:v>
                </c:pt>
                <c:pt idx="2398">
                  <c:v>44407</c:v>
                </c:pt>
                <c:pt idx="2399">
                  <c:v>44408</c:v>
                </c:pt>
                <c:pt idx="2400">
                  <c:v>44409</c:v>
                </c:pt>
                <c:pt idx="2401">
                  <c:v>44410</c:v>
                </c:pt>
                <c:pt idx="2402">
                  <c:v>44411</c:v>
                </c:pt>
                <c:pt idx="2403">
                  <c:v>44412</c:v>
                </c:pt>
                <c:pt idx="2404">
                  <c:v>44413</c:v>
                </c:pt>
                <c:pt idx="2405">
                  <c:v>44414</c:v>
                </c:pt>
                <c:pt idx="2406">
                  <c:v>44415</c:v>
                </c:pt>
                <c:pt idx="2407">
                  <c:v>44416</c:v>
                </c:pt>
                <c:pt idx="2408">
                  <c:v>44417</c:v>
                </c:pt>
                <c:pt idx="2409">
                  <c:v>44418</c:v>
                </c:pt>
                <c:pt idx="2410">
                  <c:v>44419</c:v>
                </c:pt>
                <c:pt idx="2411">
                  <c:v>44420</c:v>
                </c:pt>
                <c:pt idx="2412">
                  <c:v>44421</c:v>
                </c:pt>
                <c:pt idx="2413">
                  <c:v>44422</c:v>
                </c:pt>
                <c:pt idx="2414">
                  <c:v>44423</c:v>
                </c:pt>
                <c:pt idx="2415">
                  <c:v>44424</c:v>
                </c:pt>
                <c:pt idx="2416">
                  <c:v>44425</c:v>
                </c:pt>
                <c:pt idx="2417">
                  <c:v>44426</c:v>
                </c:pt>
                <c:pt idx="2418">
                  <c:v>44427</c:v>
                </c:pt>
                <c:pt idx="2419">
                  <c:v>44428</c:v>
                </c:pt>
                <c:pt idx="2420">
                  <c:v>44429</c:v>
                </c:pt>
                <c:pt idx="2421">
                  <c:v>44430</c:v>
                </c:pt>
                <c:pt idx="2422">
                  <c:v>44431</c:v>
                </c:pt>
                <c:pt idx="2423">
                  <c:v>44432</c:v>
                </c:pt>
                <c:pt idx="2424">
                  <c:v>44433</c:v>
                </c:pt>
                <c:pt idx="2425">
                  <c:v>44434</c:v>
                </c:pt>
                <c:pt idx="2426">
                  <c:v>44435</c:v>
                </c:pt>
                <c:pt idx="2427">
                  <c:v>44436</c:v>
                </c:pt>
                <c:pt idx="2428">
                  <c:v>44437</c:v>
                </c:pt>
                <c:pt idx="2429">
                  <c:v>44438</c:v>
                </c:pt>
                <c:pt idx="2430">
                  <c:v>44439</c:v>
                </c:pt>
                <c:pt idx="2431">
                  <c:v>44440</c:v>
                </c:pt>
                <c:pt idx="2432">
                  <c:v>44441</c:v>
                </c:pt>
                <c:pt idx="2433">
                  <c:v>44442</c:v>
                </c:pt>
                <c:pt idx="2434">
                  <c:v>44443</c:v>
                </c:pt>
                <c:pt idx="2435">
                  <c:v>44444</c:v>
                </c:pt>
                <c:pt idx="2436">
                  <c:v>44445</c:v>
                </c:pt>
                <c:pt idx="2437">
                  <c:v>44446</c:v>
                </c:pt>
                <c:pt idx="2438">
                  <c:v>44447</c:v>
                </c:pt>
                <c:pt idx="2439">
                  <c:v>44448</c:v>
                </c:pt>
                <c:pt idx="2440">
                  <c:v>44449</c:v>
                </c:pt>
                <c:pt idx="2441">
                  <c:v>44450</c:v>
                </c:pt>
                <c:pt idx="2442">
                  <c:v>44451</c:v>
                </c:pt>
                <c:pt idx="2443">
                  <c:v>44452</c:v>
                </c:pt>
                <c:pt idx="2444">
                  <c:v>44453</c:v>
                </c:pt>
                <c:pt idx="2445">
                  <c:v>44454</c:v>
                </c:pt>
                <c:pt idx="2446">
                  <c:v>44455</c:v>
                </c:pt>
                <c:pt idx="2447">
                  <c:v>44456</c:v>
                </c:pt>
                <c:pt idx="2448">
                  <c:v>44457</c:v>
                </c:pt>
                <c:pt idx="2449">
                  <c:v>44458</c:v>
                </c:pt>
                <c:pt idx="2450">
                  <c:v>44459</c:v>
                </c:pt>
                <c:pt idx="2451">
                  <c:v>44460</c:v>
                </c:pt>
                <c:pt idx="2452">
                  <c:v>44461</c:v>
                </c:pt>
                <c:pt idx="2453">
                  <c:v>44462</c:v>
                </c:pt>
                <c:pt idx="2454">
                  <c:v>44463</c:v>
                </c:pt>
                <c:pt idx="2455">
                  <c:v>44464</c:v>
                </c:pt>
                <c:pt idx="2456">
                  <c:v>44465</c:v>
                </c:pt>
                <c:pt idx="2457">
                  <c:v>44466</c:v>
                </c:pt>
                <c:pt idx="2458">
                  <c:v>44467</c:v>
                </c:pt>
                <c:pt idx="2459">
                  <c:v>44468</c:v>
                </c:pt>
                <c:pt idx="2460">
                  <c:v>44469</c:v>
                </c:pt>
                <c:pt idx="2461">
                  <c:v>44470</c:v>
                </c:pt>
                <c:pt idx="2462">
                  <c:v>44471</c:v>
                </c:pt>
                <c:pt idx="2463">
                  <c:v>44472</c:v>
                </c:pt>
                <c:pt idx="2464">
                  <c:v>44473</c:v>
                </c:pt>
                <c:pt idx="2465">
                  <c:v>44474</c:v>
                </c:pt>
                <c:pt idx="2466">
                  <c:v>44475</c:v>
                </c:pt>
                <c:pt idx="2467">
                  <c:v>44476</c:v>
                </c:pt>
                <c:pt idx="2468">
                  <c:v>44477</c:v>
                </c:pt>
                <c:pt idx="2469">
                  <c:v>44478</c:v>
                </c:pt>
                <c:pt idx="2470">
                  <c:v>44479</c:v>
                </c:pt>
                <c:pt idx="2471">
                  <c:v>44480</c:v>
                </c:pt>
                <c:pt idx="2472">
                  <c:v>44481</c:v>
                </c:pt>
                <c:pt idx="2473">
                  <c:v>44482</c:v>
                </c:pt>
                <c:pt idx="2474">
                  <c:v>44483</c:v>
                </c:pt>
                <c:pt idx="2475">
                  <c:v>44484</c:v>
                </c:pt>
                <c:pt idx="2476">
                  <c:v>44485</c:v>
                </c:pt>
                <c:pt idx="2477">
                  <c:v>44486</c:v>
                </c:pt>
                <c:pt idx="2478">
                  <c:v>44487</c:v>
                </c:pt>
                <c:pt idx="2479">
                  <c:v>44488</c:v>
                </c:pt>
                <c:pt idx="2480">
                  <c:v>44489</c:v>
                </c:pt>
                <c:pt idx="2481">
                  <c:v>44490</c:v>
                </c:pt>
                <c:pt idx="2482">
                  <c:v>44491</c:v>
                </c:pt>
                <c:pt idx="2483">
                  <c:v>44492</c:v>
                </c:pt>
                <c:pt idx="2484">
                  <c:v>44493</c:v>
                </c:pt>
                <c:pt idx="2485">
                  <c:v>44494</c:v>
                </c:pt>
                <c:pt idx="2486">
                  <c:v>44495</c:v>
                </c:pt>
                <c:pt idx="2487">
                  <c:v>44496</c:v>
                </c:pt>
                <c:pt idx="2488">
                  <c:v>44497</c:v>
                </c:pt>
                <c:pt idx="2489">
                  <c:v>44498</c:v>
                </c:pt>
                <c:pt idx="2490">
                  <c:v>44499</c:v>
                </c:pt>
                <c:pt idx="2491">
                  <c:v>44500</c:v>
                </c:pt>
                <c:pt idx="2492">
                  <c:v>44501</c:v>
                </c:pt>
                <c:pt idx="2493">
                  <c:v>44502</c:v>
                </c:pt>
                <c:pt idx="2494">
                  <c:v>44503</c:v>
                </c:pt>
                <c:pt idx="2495">
                  <c:v>44504</c:v>
                </c:pt>
                <c:pt idx="2496">
                  <c:v>44505</c:v>
                </c:pt>
                <c:pt idx="2497">
                  <c:v>44506</c:v>
                </c:pt>
                <c:pt idx="2498">
                  <c:v>44507</c:v>
                </c:pt>
                <c:pt idx="2499">
                  <c:v>44508</c:v>
                </c:pt>
                <c:pt idx="2500">
                  <c:v>44509</c:v>
                </c:pt>
                <c:pt idx="2501">
                  <c:v>44510</c:v>
                </c:pt>
                <c:pt idx="2502">
                  <c:v>44511</c:v>
                </c:pt>
                <c:pt idx="2503">
                  <c:v>44512</c:v>
                </c:pt>
                <c:pt idx="2504">
                  <c:v>44513</c:v>
                </c:pt>
                <c:pt idx="2505">
                  <c:v>44514</c:v>
                </c:pt>
                <c:pt idx="2506">
                  <c:v>44515</c:v>
                </c:pt>
                <c:pt idx="2507">
                  <c:v>44516</c:v>
                </c:pt>
                <c:pt idx="2508">
                  <c:v>44517</c:v>
                </c:pt>
                <c:pt idx="2509">
                  <c:v>44518</c:v>
                </c:pt>
                <c:pt idx="2510">
                  <c:v>44519</c:v>
                </c:pt>
                <c:pt idx="2511">
                  <c:v>44520</c:v>
                </c:pt>
                <c:pt idx="2512">
                  <c:v>44521</c:v>
                </c:pt>
                <c:pt idx="2513">
                  <c:v>44522</c:v>
                </c:pt>
                <c:pt idx="2514">
                  <c:v>44523</c:v>
                </c:pt>
                <c:pt idx="2515">
                  <c:v>44524</c:v>
                </c:pt>
                <c:pt idx="2516">
                  <c:v>44525</c:v>
                </c:pt>
                <c:pt idx="2517">
                  <c:v>44526</c:v>
                </c:pt>
                <c:pt idx="2518">
                  <c:v>44527</c:v>
                </c:pt>
                <c:pt idx="2519">
                  <c:v>44528</c:v>
                </c:pt>
                <c:pt idx="2520">
                  <c:v>44529</c:v>
                </c:pt>
                <c:pt idx="2521">
                  <c:v>44530</c:v>
                </c:pt>
                <c:pt idx="2522">
                  <c:v>44531</c:v>
                </c:pt>
                <c:pt idx="2523">
                  <c:v>44532</c:v>
                </c:pt>
                <c:pt idx="2524">
                  <c:v>44533</c:v>
                </c:pt>
                <c:pt idx="2525">
                  <c:v>44534</c:v>
                </c:pt>
                <c:pt idx="2526">
                  <c:v>44535</c:v>
                </c:pt>
                <c:pt idx="2527">
                  <c:v>44536</c:v>
                </c:pt>
                <c:pt idx="2528">
                  <c:v>44537</c:v>
                </c:pt>
                <c:pt idx="2529">
                  <c:v>44538</c:v>
                </c:pt>
                <c:pt idx="2530">
                  <c:v>44539</c:v>
                </c:pt>
                <c:pt idx="2531">
                  <c:v>44540</c:v>
                </c:pt>
                <c:pt idx="2532">
                  <c:v>44541</c:v>
                </c:pt>
                <c:pt idx="2533">
                  <c:v>44542</c:v>
                </c:pt>
                <c:pt idx="2534">
                  <c:v>44543</c:v>
                </c:pt>
                <c:pt idx="2535">
                  <c:v>44544</c:v>
                </c:pt>
                <c:pt idx="2536">
                  <c:v>44545</c:v>
                </c:pt>
                <c:pt idx="2537">
                  <c:v>44546</c:v>
                </c:pt>
                <c:pt idx="2538">
                  <c:v>44547</c:v>
                </c:pt>
                <c:pt idx="2539">
                  <c:v>44548</c:v>
                </c:pt>
                <c:pt idx="2540">
                  <c:v>44549</c:v>
                </c:pt>
                <c:pt idx="2541">
                  <c:v>44550</c:v>
                </c:pt>
                <c:pt idx="2542">
                  <c:v>44551</c:v>
                </c:pt>
                <c:pt idx="2543">
                  <c:v>44552</c:v>
                </c:pt>
                <c:pt idx="2544">
                  <c:v>44553</c:v>
                </c:pt>
                <c:pt idx="2545">
                  <c:v>44554</c:v>
                </c:pt>
                <c:pt idx="2546">
                  <c:v>44555</c:v>
                </c:pt>
                <c:pt idx="2547">
                  <c:v>44556</c:v>
                </c:pt>
                <c:pt idx="2548">
                  <c:v>44557</c:v>
                </c:pt>
                <c:pt idx="2549">
                  <c:v>44558</c:v>
                </c:pt>
                <c:pt idx="2550">
                  <c:v>44559</c:v>
                </c:pt>
                <c:pt idx="2551">
                  <c:v>44560</c:v>
                </c:pt>
                <c:pt idx="2552">
                  <c:v>44561</c:v>
                </c:pt>
                <c:pt idx="2553">
                  <c:v>44562</c:v>
                </c:pt>
                <c:pt idx="2554">
                  <c:v>44563</c:v>
                </c:pt>
                <c:pt idx="2555">
                  <c:v>44564</c:v>
                </c:pt>
                <c:pt idx="2556">
                  <c:v>44565</c:v>
                </c:pt>
                <c:pt idx="2557">
                  <c:v>44566</c:v>
                </c:pt>
                <c:pt idx="2558">
                  <c:v>44567</c:v>
                </c:pt>
                <c:pt idx="2559">
                  <c:v>44568</c:v>
                </c:pt>
                <c:pt idx="2560">
                  <c:v>44569</c:v>
                </c:pt>
                <c:pt idx="2561">
                  <c:v>44570</c:v>
                </c:pt>
                <c:pt idx="2562">
                  <c:v>44571</c:v>
                </c:pt>
                <c:pt idx="2563">
                  <c:v>44572</c:v>
                </c:pt>
                <c:pt idx="2564">
                  <c:v>44573</c:v>
                </c:pt>
                <c:pt idx="2565">
                  <c:v>44574</c:v>
                </c:pt>
                <c:pt idx="2566">
                  <c:v>44575</c:v>
                </c:pt>
                <c:pt idx="2567">
                  <c:v>44576</c:v>
                </c:pt>
                <c:pt idx="2568">
                  <c:v>44577</c:v>
                </c:pt>
                <c:pt idx="2569">
                  <c:v>44578</c:v>
                </c:pt>
                <c:pt idx="2570">
                  <c:v>44579</c:v>
                </c:pt>
                <c:pt idx="2571">
                  <c:v>44580</c:v>
                </c:pt>
                <c:pt idx="2572">
                  <c:v>44581</c:v>
                </c:pt>
                <c:pt idx="2573">
                  <c:v>44582</c:v>
                </c:pt>
                <c:pt idx="2574">
                  <c:v>44583</c:v>
                </c:pt>
                <c:pt idx="2575">
                  <c:v>44584</c:v>
                </c:pt>
                <c:pt idx="2576">
                  <c:v>44585</c:v>
                </c:pt>
                <c:pt idx="2577">
                  <c:v>44586</c:v>
                </c:pt>
                <c:pt idx="2578">
                  <c:v>44587</c:v>
                </c:pt>
                <c:pt idx="2579">
                  <c:v>44588</c:v>
                </c:pt>
                <c:pt idx="2580">
                  <c:v>44589</c:v>
                </c:pt>
                <c:pt idx="2581">
                  <c:v>44590</c:v>
                </c:pt>
                <c:pt idx="2582">
                  <c:v>44591</c:v>
                </c:pt>
                <c:pt idx="2583">
                  <c:v>44592</c:v>
                </c:pt>
                <c:pt idx="2584">
                  <c:v>44593</c:v>
                </c:pt>
                <c:pt idx="2585">
                  <c:v>44594</c:v>
                </c:pt>
                <c:pt idx="2586">
                  <c:v>44595</c:v>
                </c:pt>
                <c:pt idx="2587">
                  <c:v>44596</c:v>
                </c:pt>
                <c:pt idx="2588">
                  <c:v>44597</c:v>
                </c:pt>
                <c:pt idx="2589">
                  <c:v>44598</c:v>
                </c:pt>
                <c:pt idx="2590">
                  <c:v>44599</c:v>
                </c:pt>
                <c:pt idx="2591">
                  <c:v>44600</c:v>
                </c:pt>
                <c:pt idx="2592">
                  <c:v>44601</c:v>
                </c:pt>
                <c:pt idx="2593">
                  <c:v>44602</c:v>
                </c:pt>
                <c:pt idx="2594">
                  <c:v>44603</c:v>
                </c:pt>
                <c:pt idx="2595">
                  <c:v>44604</c:v>
                </c:pt>
                <c:pt idx="2596">
                  <c:v>44605</c:v>
                </c:pt>
                <c:pt idx="2597">
                  <c:v>44606</c:v>
                </c:pt>
                <c:pt idx="2598">
                  <c:v>44607</c:v>
                </c:pt>
                <c:pt idx="2599">
                  <c:v>44608</c:v>
                </c:pt>
                <c:pt idx="2600">
                  <c:v>44609</c:v>
                </c:pt>
                <c:pt idx="2601">
                  <c:v>44610</c:v>
                </c:pt>
                <c:pt idx="2602">
                  <c:v>44611</c:v>
                </c:pt>
                <c:pt idx="2603">
                  <c:v>44612</c:v>
                </c:pt>
                <c:pt idx="2604">
                  <c:v>44613</c:v>
                </c:pt>
                <c:pt idx="2605">
                  <c:v>44614</c:v>
                </c:pt>
                <c:pt idx="2606">
                  <c:v>44615</c:v>
                </c:pt>
                <c:pt idx="2607">
                  <c:v>44616</c:v>
                </c:pt>
                <c:pt idx="2608">
                  <c:v>44617</c:v>
                </c:pt>
                <c:pt idx="2609">
                  <c:v>44618</c:v>
                </c:pt>
                <c:pt idx="2610">
                  <c:v>44619</c:v>
                </c:pt>
                <c:pt idx="2611">
                  <c:v>44620</c:v>
                </c:pt>
                <c:pt idx="2612">
                  <c:v>44621</c:v>
                </c:pt>
                <c:pt idx="2613">
                  <c:v>44622</c:v>
                </c:pt>
                <c:pt idx="2614">
                  <c:v>44623</c:v>
                </c:pt>
                <c:pt idx="2615">
                  <c:v>44624</c:v>
                </c:pt>
                <c:pt idx="2616">
                  <c:v>44625</c:v>
                </c:pt>
                <c:pt idx="2617">
                  <c:v>44626</c:v>
                </c:pt>
                <c:pt idx="2618">
                  <c:v>44627</c:v>
                </c:pt>
                <c:pt idx="2619">
                  <c:v>44628</c:v>
                </c:pt>
                <c:pt idx="2620">
                  <c:v>44629</c:v>
                </c:pt>
                <c:pt idx="2621">
                  <c:v>44630</c:v>
                </c:pt>
                <c:pt idx="2622">
                  <c:v>44631</c:v>
                </c:pt>
                <c:pt idx="2623">
                  <c:v>44632</c:v>
                </c:pt>
                <c:pt idx="2624">
                  <c:v>44633</c:v>
                </c:pt>
                <c:pt idx="2625">
                  <c:v>44634</c:v>
                </c:pt>
                <c:pt idx="2626">
                  <c:v>44635</c:v>
                </c:pt>
                <c:pt idx="2627">
                  <c:v>44636</c:v>
                </c:pt>
                <c:pt idx="2628">
                  <c:v>44637</c:v>
                </c:pt>
                <c:pt idx="2629">
                  <c:v>44638</c:v>
                </c:pt>
                <c:pt idx="2630">
                  <c:v>44639</c:v>
                </c:pt>
                <c:pt idx="2631">
                  <c:v>44640</c:v>
                </c:pt>
                <c:pt idx="2632">
                  <c:v>44641</c:v>
                </c:pt>
                <c:pt idx="2633">
                  <c:v>44642</c:v>
                </c:pt>
                <c:pt idx="2634">
                  <c:v>44643</c:v>
                </c:pt>
                <c:pt idx="2635">
                  <c:v>44644</c:v>
                </c:pt>
                <c:pt idx="2636">
                  <c:v>44645</c:v>
                </c:pt>
                <c:pt idx="2637">
                  <c:v>44646</c:v>
                </c:pt>
                <c:pt idx="2638">
                  <c:v>44647</c:v>
                </c:pt>
                <c:pt idx="2639">
                  <c:v>44648</c:v>
                </c:pt>
                <c:pt idx="2640">
                  <c:v>44649</c:v>
                </c:pt>
                <c:pt idx="2641">
                  <c:v>44650</c:v>
                </c:pt>
                <c:pt idx="2642">
                  <c:v>44651</c:v>
                </c:pt>
                <c:pt idx="2643">
                  <c:v>44652</c:v>
                </c:pt>
                <c:pt idx="2644">
                  <c:v>44653</c:v>
                </c:pt>
                <c:pt idx="2645">
                  <c:v>44654</c:v>
                </c:pt>
                <c:pt idx="2646">
                  <c:v>44655</c:v>
                </c:pt>
                <c:pt idx="2647">
                  <c:v>44656</c:v>
                </c:pt>
                <c:pt idx="2648">
                  <c:v>44657</c:v>
                </c:pt>
                <c:pt idx="2649">
                  <c:v>44658</c:v>
                </c:pt>
                <c:pt idx="2650">
                  <c:v>44659</c:v>
                </c:pt>
                <c:pt idx="2651">
                  <c:v>44660</c:v>
                </c:pt>
                <c:pt idx="2652">
                  <c:v>44661</c:v>
                </c:pt>
                <c:pt idx="2653">
                  <c:v>44662</c:v>
                </c:pt>
                <c:pt idx="2654">
                  <c:v>44663</c:v>
                </c:pt>
                <c:pt idx="2655">
                  <c:v>44664</c:v>
                </c:pt>
                <c:pt idx="2656">
                  <c:v>44665</c:v>
                </c:pt>
                <c:pt idx="2657">
                  <c:v>44666</c:v>
                </c:pt>
                <c:pt idx="2658">
                  <c:v>44667</c:v>
                </c:pt>
                <c:pt idx="2659">
                  <c:v>44668</c:v>
                </c:pt>
                <c:pt idx="2660">
                  <c:v>44669</c:v>
                </c:pt>
                <c:pt idx="2661">
                  <c:v>44670</c:v>
                </c:pt>
                <c:pt idx="2662">
                  <c:v>44671</c:v>
                </c:pt>
                <c:pt idx="2663">
                  <c:v>44672</c:v>
                </c:pt>
                <c:pt idx="2664">
                  <c:v>44673</c:v>
                </c:pt>
                <c:pt idx="2665">
                  <c:v>44674</c:v>
                </c:pt>
                <c:pt idx="2666">
                  <c:v>44675</c:v>
                </c:pt>
                <c:pt idx="2667">
                  <c:v>44676</c:v>
                </c:pt>
                <c:pt idx="2668">
                  <c:v>44677</c:v>
                </c:pt>
                <c:pt idx="2669">
                  <c:v>44678</c:v>
                </c:pt>
                <c:pt idx="2670">
                  <c:v>44679</c:v>
                </c:pt>
                <c:pt idx="2671">
                  <c:v>44680</c:v>
                </c:pt>
                <c:pt idx="2672">
                  <c:v>44681</c:v>
                </c:pt>
                <c:pt idx="2673">
                  <c:v>44682</c:v>
                </c:pt>
                <c:pt idx="2674">
                  <c:v>44683</c:v>
                </c:pt>
                <c:pt idx="2675">
                  <c:v>44684</c:v>
                </c:pt>
                <c:pt idx="2676">
                  <c:v>44685</c:v>
                </c:pt>
                <c:pt idx="2677">
                  <c:v>44686</c:v>
                </c:pt>
                <c:pt idx="2678">
                  <c:v>44687</c:v>
                </c:pt>
                <c:pt idx="2679">
                  <c:v>44688</c:v>
                </c:pt>
                <c:pt idx="2680">
                  <c:v>44689</c:v>
                </c:pt>
                <c:pt idx="2681">
                  <c:v>44690</c:v>
                </c:pt>
                <c:pt idx="2682">
                  <c:v>44691</c:v>
                </c:pt>
                <c:pt idx="2683">
                  <c:v>44692</c:v>
                </c:pt>
                <c:pt idx="2684">
                  <c:v>44693</c:v>
                </c:pt>
                <c:pt idx="2685">
                  <c:v>44694</c:v>
                </c:pt>
                <c:pt idx="2686">
                  <c:v>44695</c:v>
                </c:pt>
                <c:pt idx="2687">
                  <c:v>44696</c:v>
                </c:pt>
                <c:pt idx="2688">
                  <c:v>44697</c:v>
                </c:pt>
                <c:pt idx="2689">
                  <c:v>44698</c:v>
                </c:pt>
                <c:pt idx="2690">
                  <c:v>44699</c:v>
                </c:pt>
                <c:pt idx="2691">
                  <c:v>44700</c:v>
                </c:pt>
                <c:pt idx="2692">
                  <c:v>44701</c:v>
                </c:pt>
                <c:pt idx="2693">
                  <c:v>44702</c:v>
                </c:pt>
                <c:pt idx="2694">
                  <c:v>44703</c:v>
                </c:pt>
                <c:pt idx="2695">
                  <c:v>44704</c:v>
                </c:pt>
                <c:pt idx="2696">
                  <c:v>44705</c:v>
                </c:pt>
                <c:pt idx="2697">
                  <c:v>44706</c:v>
                </c:pt>
                <c:pt idx="2698">
                  <c:v>44707</c:v>
                </c:pt>
                <c:pt idx="2699">
                  <c:v>44708</c:v>
                </c:pt>
                <c:pt idx="2700">
                  <c:v>44709</c:v>
                </c:pt>
                <c:pt idx="2701">
                  <c:v>44710</c:v>
                </c:pt>
                <c:pt idx="2702">
                  <c:v>44711</c:v>
                </c:pt>
                <c:pt idx="2703">
                  <c:v>44712</c:v>
                </c:pt>
                <c:pt idx="2704">
                  <c:v>44713</c:v>
                </c:pt>
                <c:pt idx="2705">
                  <c:v>44714</c:v>
                </c:pt>
                <c:pt idx="2706">
                  <c:v>44715</c:v>
                </c:pt>
                <c:pt idx="2707">
                  <c:v>44716</c:v>
                </c:pt>
                <c:pt idx="2708">
                  <c:v>44717</c:v>
                </c:pt>
                <c:pt idx="2709">
                  <c:v>44718</c:v>
                </c:pt>
                <c:pt idx="2710">
                  <c:v>44719</c:v>
                </c:pt>
                <c:pt idx="2711">
                  <c:v>44720</c:v>
                </c:pt>
                <c:pt idx="2712">
                  <c:v>44721</c:v>
                </c:pt>
                <c:pt idx="2713">
                  <c:v>44722</c:v>
                </c:pt>
                <c:pt idx="2714">
                  <c:v>44723</c:v>
                </c:pt>
                <c:pt idx="2715">
                  <c:v>44724</c:v>
                </c:pt>
                <c:pt idx="2716">
                  <c:v>44725</c:v>
                </c:pt>
                <c:pt idx="2717">
                  <c:v>44726</c:v>
                </c:pt>
                <c:pt idx="2718">
                  <c:v>44727</c:v>
                </c:pt>
                <c:pt idx="2719">
                  <c:v>44728</c:v>
                </c:pt>
                <c:pt idx="2720">
                  <c:v>44729</c:v>
                </c:pt>
                <c:pt idx="2721">
                  <c:v>44730</c:v>
                </c:pt>
                <c:pt idx="2722">
                  <c:v>44731</c:v>
                </c:pt>
                <c:pt idx="2723">
                  <c:v>44732</c:v>
                </c:pt>
                <c:pt idx="2724">
                  <c:v>44733</c:v>
                </c:pt>
                <c:pt idx="2725">
                  <c:v>44734</c:v>
                </c:pt>
                <c:pt idx="2726">
                  <c:v>44735</c:v>
                </c:pt>
                <c:pt idx="2727">
                  <c:v>44736</c:v>
                </c:pt>
                <c:pt idx="2728">
                  <c:v>44737</c:v>
                </c:pt>
                <c:pt idx="2729">
                  <c:v>44738</c:v>
                </c:pt>
                <c:pt idx="2730">
                  <c:v>44739</c:v>
                </c:pt>
                <c:pt idx="2731">
                  <c:v>44740</c:v>
                </c:pt>
                <c:pt idx="2732">
                  <c:v>44741</c:v>
                </c:pt>
                <c:pt idx="2733">
                  <c:v>44742</c:v>
                </c:pt>
                <c:pt idx="2734">
                  <c:v>44743</c:v>
                </c:pt>
                <c:pt idx="2735">
                  <c:v>44744</c:v>
                </c:pt>
                <c:pt idx="2736">
                  <c:v>44745</c:v>
                </c:pt>
                <c:pt idx="2737">
                  <c:v>44746</c:v>
                </c:pt>
                <c:pt idx="2738">
                  <c:v>44747</c:v>
                </c:pt>
                <c:pt idx="2739">
                  <c:v>44748</c:v>
                </c:pt>
                <c:pt idx="2740">
                  <c:v>44749</c:v>
                </c:pt>
                <c:pt idx="2741">
                  <c:v>44750</c:v>
                </c:pt>
                <c:pt idx="2742">
                  <c:v>44751</c:v>
                </c:pt>
                <c:pt idx="2743">
                  <c:v>44752</c:v>
                </c:pt>
                <c:pt idx="2744">
                  <c:v>44753</c:v>
                </c:pt>
                <c:pt idx="2745">
                  <c:v>44754</c:v>
                </c:pt>
                <c:pt idx="2746">
                  <c:v>44755</c:v>
                </c:pt>
                <c:pt idx="2747">
                  <c:v>44756</c:v>
                </c:pt>
                <c:pt idx="2748">
                  <c:v>44757</c:v>
                </c:pt>
                <c:pt idx="2749">
                  <c:v>44758</c:v>
                </c:pt>
                <c:pt idx="2750">
                  <c:v>44759</c:v>
                </c:pt>
                <c:pt idx="2751">
                  <c:v>44760</c:v>
                </c:pt>
                <c:pt idx="2752">
                  <c:v>44761</c:v>
                </c:pt>
                <c:pt idx="2753">
                  <c:v>44762</c:v>
                </c:pt>
                <c:pt idx="2754">
                  <c:v>44763</c:v>
                </c:pt>
                <c:pt idx="2755">
                  <c:v>44764</c:v>
                </c:pt>
                <c:pt idx="2756">
                  <c:v>44765</c:v>
                </c:pt>
                <c:pt idx="2757">
                  <c:v>44766</c:v>
                </c:pt>
                <c:pt idx="2758">
                  <c:v>44767</c:v>
                </c:pt>
                <c:pt idx="2759">
                  <c:v>44768</c:v>
                </c:pt>
                <c:pt idx="2760">
                  <c:v>44769</c:v>
                </c:pt>
                <c:pt idx="2761">
                  <c:v>44770</c:v>
                </c:pt>
                <c:pt idx="2762">
                  <c:v>44771</c:v>
                </c:pt>
                <c:pt idx="2763">
                  <c:v>44772</c:v>
                </c:pt>
                <c:pt idx="2764">
                  <c:v>44773</c:v>
                </c:pt>
                <c:pt idx="2765">
                  <c:v>44774</c:v>
                </c:pt>
                <c:pt idx="2766">
                  <c:v>44775</c:v>
                </c:pt>
                <c:pt idx="2767">
                  <c:v>44776</c:v>
                </c:pt>
                <c:pt idx="2768">
                  <c:v>44777</c:v>
                </c:pt>
                <c:pt idx="2769">
                  <c:v>44778</c:v>
                </c:pt>
                <c:pt idx="2770">
                  <c:v>44779</c:v>
                </c:pt>
                <c:pt idx="2771">
                  <c:v>44780</c:v>
                </c:pt>
                <c:pt idx="2772">
                  <c:v>44781</c:v>
                </c:pt>
                <c:pt idx="2773">
                  <c:v>44782</c:v>
                </c:pt>
                <c:pt idx="2774">
                  <c:v>44783</c:v>
                </c:pt>
                <c:pt idx="2775">
                  <c:v>44784</c:v>
                </c:pt>
                <c:pt idx="2776">
                  <c:v>44785</c:v>
                </c:pt>
                <c:pt idx="2777">
                  <c:v>44786</c:v>
                </c:pt>
                <c:pt idx="2778">
                  <c:v>44787</c:v>
                </c:pt>
                <c:pt idx="2779">
                  <c:v>44788</c:v>
                </c:pt>
                <c:pt idx="2780">
                  <c:v>44789</c:v>
                </c:pt>
                <c:pt idx="2781">
                  <c:v>44790</c:v>
                </c:pt>
                <c:pt idx="2782">
                  <c:v>44791</c:v>
                </c:pt>
                <c:pt idx="2783">
                  <c:v>44792</c:v>
                </c:pt>
                <c:pt idx="2784">
                  <c:v>44793</c:v>
                </c:pt>
                <c:pt idx="2785">
                  <c:v>44794</c:v>
                </c:pt>
                <c:pt idx="2786">
                  <c:v>44795</c:v>
                </c:pt>
                <c:pt idx="2787">
                  <c:v>44796</c:v>
                </c:pt>
                <c:pt idx="2788">
                  <c:v>44797</c:v>
                </c:pt>
                <c:pt idx="2789">
                  <c:v>44798</c:v>
                </c:pt>
                <c:pt idx="2790">
                  <c:v>44799</c:v>
                </c:pt>
                <c:pt idx="2791">
                  <c:v>44800</c:v>
                </c:pt>
                <c:pt idx="2792">
                  <c:v>44801</c:v>
                </c:pt>
                <c:pt idx="2793">
                  <c:v>44802</c:v>
                </c:pt>
                <c:pt idx="2794">
                  <c:v>44803</c:v>
                </c:pt>
                <c:pt idx="2795">
                  <c:v>44804</c:v>
                </c:pt>
                <c:pt idx="2796">
                  <c:v>44805</c:v>
                </c:pt>
                <c:pt idx="2797">
                  <c:v>44806</c:v>
                </c:pt>
                <c:pt idx="2798">
                  <c:v>44807</c:v>
                </c:pt>
                <c:pt idx="2799">
                  <c:v>44808</c:v>
                </c:pt>
                <c:pt idx="2800">
                  <c:v>44809</c:v>
                </c:pt>
                <c:pt idx="2801">
                  <c:v>44810</c:v>
                </c:pt>
                <c:pt idx="2802">
                  <c:v>44811</c:v>
                </c:pt>
                <c:pt idx="2803">
                  <c:v>44812</c:v>
                </c:pt>
                <c:pt idx="2804">
                  <c:v>44813</c:v>
                </c:pt>
                <c:pt idx="2805">
                  <c:v>44814</c:v>
                </c:pt>
                <c:pt idx="2806">
                  <c:v>44815</c:v>
                </c:pt>
                <c:pt idx="2807">
                  <c:v>44816</c:v>
                </c:pt>
                <c:pt idx="2808">
                  <c:v>44817</c:v>
                </c:pt>
                <c:pt idx="2809">
                  <c:v>44818</c:v>
                </c:pt>
                <c:pt idx="2810">
                  <c:v>44819</c:v>
                </c:pt>
                <c:pt idx="2811">
                  <c:v>44820</c:v>
                </c:pt>
                <c:pt idx="2812">
                  <c:v>44821</c:v>
                </c:pt>
                <c:pt idx="2813">
                  <c:v>44822</c:v>
                </c:pt>
                <c:pt idx="2814">
                  <c:v>44823</c:v>
                </c:pt>
                <c:pt idx="2815">
                  <c:v>44824</c:v>
                </c:pt>
                <c:pt idx="2816">
                  <c:v>44825</c:v>
                </c:pt>
                <c:pt idx="2817">
                  <c:v>44826</c:v>
                </c:pt>
                <c:pt idx="2818">
                  <c:v>44827</c:v>
                </c:pt>
                <c:pt idx="2819">
                  <c:v>44828</c:v>
                </c:pt>
                <c:pt idx="2820">
                  <c:v>44829</c:v>
                </c:pt>
                <c:pt idx="2821">
                  <c:v>44830</c:v>
                </c:pt>
                <c:pt idx="2822">
                  <c:v>44831</c:v>
                </c:pt>
                <c:pt idx="2823">
                  <c:v>44832</c:v>
                </c:pt>
                <c:pt idx="2824">
                  <c:v>44833</c:v>
                </c:pt>
                <c:pt idx="2825">
                  <c:v>44834</c:v>
                </c:pt>
                <c:pt idx="2826">
                  <c:v>44835</c:v>
                </c:pt>
                <c:pt idx="2827">
                  <c:v>44836</c:v>
                </c:pt>
                <c:pt idx="2828">
                  <c:v>44837</c:v>
                </c:pt>
                <c:pt idx="2829">
                  <c:v>44838</c:v>
                </c:pt>
                <c:pt idx="2830">
                  <c:v>44839</c:v>
                </c:pt>
                <c:pt idx="2831">
                  <c:v>44840</c:v>
                </c:pt>
                <c:pt idx="2832">
                  <c:v>44841</c:v>
                </c:pt>
                <c:pt idx="2833">
                  <c:v>44842</c:v>
                </c:pt>
                <c:pt idx="2834">
                  <c:v>44843</c:v>
                </c:pt>
                <c:pt idx="2835">
                  <c:v>44844</c:v>
                </c:pt>
                <c:pt idx="2836">
                  <c:v>44845</c:v>
                </c:pt>
                <c:pt idx="2837">
                  <c:v>44846</c:v>
                </c:pt>
                <c:pt idx="2838">
                  <c:v>44847</c:v>
                </c:pt>
                <c:pt idx="2839">
                  <c:v>44848</c:v>
                </c:pt>
                <c:pt idx="2840">
                  <c:v>44849</c:v>
                </c:pt>
                <c:pt idx="2841">
                  <c:v>44850</c:v>
                </c:pt>
                <c:pt idx="2842">
                  <c:v>44851</c:v>
                </c:pt>
                <c:pt idx="2843">
                  <c:v>44852</c:v>
                </c:pt>
                <c:pt idx="2844">
                  <c:v>44853</c:v>
                </c:pt>
                <c:pt idx="2845">
                  <c:v>44854</c:v>
                </c:pt>
                <c:pt idx="2846">
                  <c:v>44855</c:v>
                </c:pt>
                <c:pt idx="2847">
                  <c:v>44856</c:v>
                </c:pt>
                <c:pt idx="2848">
                  <c:v>44857</c:v>
                </c:pt>
                <c:pt idx="2849">
                  <c:v>44858</c:v>
                </c:pt>
                <c:pt idx="2850">
                  <c:v>44859</c:v>
                </c:pt>
                <c:pt idx="2851">
                  <c:v>44860</c:v>
                </c:pt>
                <c:pt idx="2852">
                  <c:v>44861</c:v>
                </c:pt>
                <c:pt idx="2853">
                  <c:v>44862</c:v>
                </c:pt>
                <c:pt idx="2854">
                  <c:v>44863</c:v>
                </c:pt>
                <c:pt idx="2855">
                  <c:v>44864</c:v>
                </c:pt>
                <c:pt idx="2856">
                  <c:v>44865</c:v>
                </c:pt>
                <c:pt idx="2857">
                  <c:v>44866</c:v>
                </c:pt>
                <c:pt idx="2858">
                  <c:v>44867</c:v>
                </c:pt>
                <c:pt idx="2859">
                  <c:v>44868</c:v>
                </c:pt>
                <c:pt idx="2860">
                  <c:v>44869</c:v>
                </c:pt>
                <c:pt idx="2861">
                  <c:v>44870</c:v>
                </c:pt>
                <c:pt idx="2862">
                  <c:v>44871</c:v>
                </c:pt>
                <c:pt idx="2863">
                  <c:v>44872</c:v>
                </c:pt>
                <c:pt idx="2864">
                  <c:v>44873</c:v>
                </c:pt>
                <c:pt idx="2865">
                  <c:v>44874</c:v>
                </c:pt>
                <c:pt idx="2866">
                  <c:v>44875</c:v>
                </c:pt>
                <c:pt idx="2867">
                  <c:v>44876</c:v>
                </c:pt>
                <c:pt idx="2868">
                  <c:v>44877</c:v>
                </c:pt>
                <c:pt idx="2869">
                  <c:v>44878</c:v>
                </c:pt>
                <c:pt idx="2870">
                  <c:v>44879</c:v>
                </c:pt>
                <c:pt idx="2871">
                  <c:v>44880</c:v>
                </c:pt>
                <c:pt idx="2872">
                  <c:v>44881</c:v>
                </c:pt>
                <c:pt idx="2873">
                  <c:v>44882</c:v>
                </c:pt>
                <c:pt idx="2874">
                  <c:v>44883</c:v>
                </c:pt>
                <c:pt idx="2875">
                  <c:v>44884</c:v>
                </c:pt>
                <c:pt idx="2876">
                  <c:v>44885</c:v>
                </c:pt>
                <c:pt idx="2877">
                  <c:v>44886</c:v>
                </c:pt>
                <c:pt idx="2878">
                  <c:v>44887</c:v>
                </c:pt>
                <c:pt idx="2879">
                  <c:v>44888</c:v>
                </c:pt>
                <c:pt idx="2880">
                  <c:v>44889</c:v>
                </c:pt>
                <c:pt idx="2881">
                  <c:v>44890</c:v>
                </c:pt>
                <c:pt idx="2882">
                  <c:v>44891</c:v>
                </c:pt>
                <c:pt idx="2883">
                  <c:v>44892</c:v>
                </c:pt>
                <c:pt idx="2884">
                  <c:v>44893</c:v>
                </c:pt>
                <c:pt idx="2885">
                  <c:v>44894</c:v>
                </c:pt>
                <c:pt idx="2886">
                  <c:v>44895</c:v>
                </c:pt>
                <c:pt idx="2887">
                  <c:v>44896</c:v>
                </c:pt>
                <c:pt idx="2888">
                  <c:v>44897</c:v>
                </c:pt>
                <c:pt idx="2889">
                  <c:v>44898</c:v>
                </c:pt>
                <c:pt idx="2890">
                  <c:v>44899</c:v>
                </c:pt>
                <c:pt idx="2891">
                  <c:v>44900</c:v>
                </c:pt>
                <c:pt idx="2892">
                  <c:v>44901</c:v>
                </c:pt>
                <c:pt idx="2893">
                  <c:v>44902</c:v>
                </c:pt>
                <c:pt idx="2894">
                  <c:v>44903</c:v>
                </c:pt>
                <c:pt idx="2895">
                  <c:v>44904</c:v>
                </c:pt>
                <c:pt idx="2896">
                  <c:v>44905</c:v>
                </c:pt>
                <c:pt idx="2897">
                  <c:v>44906</c:v>
                </c:pt>
                <c:pt idx="2898">
                  <c:v>44907</c:v>
                </c:pt>
                <c:pt idx="2899">
                  <c:v>44908</c:v>
                </c:pt>
                <c:pt idx="2900">
                  <c:v>44909</c:v>
                </c:pt>
                <c:pt idx="2901">
                  <c:v>44910</c:v>
                </c:pt>
                <c:pt idx="2902">
                  <c:v>44911</c:v>
                </c:pt>
                <c:pt idx="2903">
                  <c:v>44912</c:v>
                </c:pt>
                <c:pt idx="2904">
                  <c:v>44913</c:v>
                </c:pt>
                <c:pt idx="2905">
                  <c:v>44914</c:v>
                </c:pt>
                <c:pt idx="2906">
                  <c:v>44915</c:v>
                </c:pt>
                <c:pt idx="2907">
                  <c:v>44916</c:v>
                </c:pt>
                <c:pt idx="2908">
                  <c:v>44917</c:v>
                </c:pt>
                <c:pt idx="2909">
                  <c:v>44918</c:v>
                </c:pt>
                <c:pt idx="2910">
                  <c:v>44919</c:v>
                </c:pt>
                <c:pt idx="2911">
                  <c:v>44920</c:v>
                </c:pt>
                <c:pt idx="2912">
                  <c:v>44921</c:v>
                </c:pt>
                <c:pt idx="2913">
                  <c:v>44922</c:v>
                </c:pt>
                <c:pt idx="2914">
                  <c:v>44923</c:v>
                </c:pt>
                <c:pt idx="2915">
                  <c:v>44924</c:v>
                </c:pt>
                <c:pt idx="2916">
                  <c:v>44925</c:v>
                </c:pt>
                <c:pt idx="2917">
                  <c:v>44926</c:v>
                </c:pt>
                <c:pt idx="2918">
                  <c:v>44927</c:v>
                </c:pt>
                <c:pt idx="2919">
                  <c:v>44928</c:v>
                </c:pt>
                <c:pt idx="2920">
                  <c:v>44929</c:v>
                </c:pt>
                <c:pt idx="2921">
                  <c:v>44930</c:v>
                </c:pt>
                <c:pt idx="2922">
                  <c:v>44931</c:v>
                </c:pt>
                <c:pt idx="2923">
                  <c:v>44932</c:v>
                </c:pt>
                <c:pt idx="2924">
                  <c:v>44933</c:v>
                </c:pt>
                <c:pt idx="2925">
                  <c:v>44934</c:v>
                </c:pt>
                <c:pt idx="2926">
                  <c:v>44935</c:v>
                </c:pt>
                <c:pt idx="2927">
                  <c:v>44936</c:v>
                </c:pt>
                <c:pt idx="2928">
                  <c:v>44937</c:v>
                </c:pt>
                <c:pt idx="2929">
                  <c:v>44938</c:v>
                </c:pt>
                <c:pt idx="2930">
                  <c:v>44939</c:v>
                </c:pt>
                <c:pt idx="2931">
                  <c:v>44940</c:v>
                </c:pt>
                <c:pt idx="2932">
                  <c:v>44941</c:v>
                </c:pt>
                <c:pt idx="2933">
                  <c:v>44942</c:v>
                </c:pt>
                <c:pt idx="2934">
                  <c:v>44943</c:v>
                </c:pt>
                <c:pt idx="2935">
                  <c:v>44944</c:v>
                </c:pt>
                <c:pt idx="2936">
                  <c:v>44945</c:v>
                </c:pt>
                <c:pt idx="2937">
                  <c:v>44946</c:v>
                </c:pt>
                <c:pt idx="2938">
                  <c:v>44947</c:v>
                </c:pt>
                <c:pt idx="2939">
                  <c:v>44948</c:v>
                </c:pt>
                <c:pt idx="2940">
                  <c:v>44949</c:v>
                </c:pt>
                <c:pt idx="2941">
                  <c:v>44950</c:v>
                </c:pt>
                <c:pt idx="2942">
                  <c:v>44951</c:v>
                </c:pt>
                <c:pt idx="2943">
                  <c:v>44952</c:v>
                </c:pt>
                <c:pt idx="2944">
                  <c:v>44953</c:v>
                </c:pt>
                <c:pt idx="2945">
                  <c:v>44954</c:v>
                </c:pt>
                <c:pt idx="2946">
                  <c:v>44955</c:v>
                </c:pt>
                <c:pt idx="2947">
                  <c:v>44956</c:v>
                </c:pt>
                <c:pt idx="2948">
                  <c:v>44957</c:v>
                </c:pt>
                <c:pt idx="2949">
                  <c:v>44958</c:v>
                </c:pt>
                <c:pt idx="2950">
                  <c:v>44959</c:v>
                </c:pt>
                <c:pt idx="2951">
                  <c:v>44960</c:v>
                </c:pt>
                <c:pt idx="2952">
                  <c:v>44961</c:v>
                </c:pt>
                <c:pt idx="2953">
                  <c:v>44962</c:v>
                </c:pt>
                <c:pt idx="2954">
                  <c:v>44963</c:v>
                </c:pt>
                <c:pt idx="2955">
                  <c:v>44964</c:v>
                </c:pt>
                <c:pt idx="2956">
                  <c:v>44965</c:v>
                </c:pt>
                <c:pt idx="2957">
                  <c:v>44966</c:v>
                </c:pt>
                <c:pt idx="2958">
                  <c:v>44967</c:v>
                </c:pt>
                <c:pt idx="2959">
                  <c:v>44968</c:v>
                </c:pt>
                <c:pt idx="2960">
                  <c:v>44969</c:v>
                </c:pt>
                <c:pt idx="2961">
                  <c:v>44970</c:v>
                </c:pt>
                <c:pt idx="2962">
                  <c:v>44971</c:v>
                </c:pt>
                <c:pt idx="2963">
                  <c:v>44972</c:v>
                </c:pt>
                <c:pt idx="2964">
                  <c:v>44973</c:v>
                </c:pt>
                <c:pt idx="2965">
                  <c:v>44974</c:v>
                </c:pt>
                <c:pt idx="2966">
                  <c:v>44975</c:v>
                </c:pt>
                <c:pt idx="2967">
                  <c:v>44976</c:v>
                </c:pt>
                <c:pt idx="2968">
                  <c:v>44977</c:v>
                </c:pt>
                <c:pt idx="2969">
                  <c:v>44978</c:v>
                </c:pt>
                <c:pt idx="2970">
                  <c:v>44979</c:v>
                </c:pt>
                <c:pt idx="2971">
                  <c:v>44980</c:v>
                </c:pt>
                <c:pt idx="2972">
                  <c:v>44981</c:v>
                </c:pt>
                <c:pt idx="2973">
                  <c:v>44982</c:v>
                </c:pt>
                <c:pt idx="2974">
                  <c:v>44983</c:v>
                </c:pt>
                <c:pt idx="2975">
                  <c:v>44984</c:v>
                </c:pt>
                <c:pt idx="2976">
                  <c:v>44985</c:v>
                </c:pt>
                <c:pt idx="2977">
                  <c:v>44986</c:v>
                </c:pt>
                <c:pt idx="2978">
                  <c:v>44987</c:v>
                </c:pt>
                <c:pt idx="2979">
                  <c:v>44988</c:v>
                </c:pt>
                <c:pt idx="2980">
                  <c:v>44989</c:v>
                </c:pt>
                <c:pt idx="2981">
                  <c:v>44990</c:v>
                </c:pt>
                <c:pt idx="2982">
                  <c:v>44991</c:v>
                </c:pt>
                <c:pt idx="2983">
                  <c:v>44992</c:v>
                </c:pt>
                <c:pt idx="2984">
                  <c:v>44993</c:v>
                </c:pt>
                <c:pt idx="2985">
                  <c:v>44994</c:v>
                </c:pt>
                <c:pt idx="2986">
                  <c:v>44995</c:v>
                </c:pt>
                <c:pt idx="2987">
                  <c:v>44996</c:v>
                </c:pt>
                <c:pt idx="2988">
                  <c:v>44997</c:v>
                </c:pt>
                <c:pt idx="2989">
                  <c:v>44998</c:v>
                </c:pt>
                <c:pt idx="2990">
                  <c:v>44999</c:v>
                </c:pt>
                <c:pt idx="2991">
                  <c:v>45000</c:v>
                </c:pt>
                <c:pt idx="2992">
                  <c:v>45001</c:v>
                </c:pt>
                <c:pt idx="2993">
                  <c:v>45002</c:v>
                </c:pt>
                <c:pt idx="2994">
                  <c:v>45003</c:v>
                </c:pt>
                <c:pt idx="2995">
                  <c:v>45004</c:v>
                </c:pt>
                <c:pt idx="2996">
                  <c:v>45005</c:v>
                </c:pt>
                <c:pt idx="2997">
                  <c:v>45006</c:v>
                </c:pt>
                <c:pt idx="2998">
                  <c:v>45007</c:v>
                </c:pt>
                <c:pt idx="2999">
                  <c:v>45008</c:v>
                </c:pt>
                <c:pt idx="3000">
                  <c:v>45009</c:v>
                </c:pt>
                <c:pt idx="3001">
                  <c:v>45010</c:v>
                </c:pt>
                <c:pt idx="3002">
                  <c:v>45011</c:v>
                </c:pt>
                <c:pt idx="3003">
                  <c:v>45012</c:v>
                </c:pt>
                <c:pt idx="3004">
                  <c:v>45013</c:v>
                </c:pt>
                <c:pt idx="3005">
                  <c:v>45014</c:v>
                </c:pt>
                <c:pt idx="3006">
                  <c:v>45015</c:v>
                </c:pt>
                <c:pt idx="3007">
                  <c:v>45016</c:v>
                </c:pt>
                <c:pt idx="3008">
                  <c:v>45017</c:v>
                </c:pt>
                <c:pt idx="3009">
                  <c:v>45018</c:v>
                </c:pt>
                <c:pt idx="3010">
                  <c:v>45019</c:v>
                </c:pt>
                <c:pt idx="3011">
                  <c:v>45020</c:v>
                </c:pt>
                <c:pt idx="3012">
                  <c:v>45021</c:v>
                </c:pt>
                <c:pt idx="3013">
                  <c:v>45022</c:v>
                </c:pt>
                <c:pt idx="3014">
                  <c:v>45023</c:v>
                </c:pt>
                <c:pt idx="3015">
                  <c:v>45024</c:v>
                </c:pt>
                <c:pt idx="3016">
                  <c:v>45025</c:v>
                </c:pt>
                <c:pt idx="3017">
                  <c:v>45026</c:v>
                </c:pt>
                <c:pt idx="3018">
                  <c:v>45027</c:v>
                </c:pt>
                <c:pt idx="3019">
                  <c:v>45028</c:v>
                </c:pt>
                <c:pt idx="3020">
                  <c:v>45029</c:v>
                </c:pt>
                <c:pt idx="3021">
                  <c:v>45030</c:v>
                </c:pt>
                <c:pt idx="3022">
                  <c:v>45031</c:v>
                </c:pt>
                <c:pt idx="3023">
                  <c:v>45032</c:v>
                </c:pt>
                <c:pt idx="3024">
                  <c:v>45033</c:v>
                </c:pt>
                <c:pt idx="3025">
                  <c:v>45034</c:v>
                </c:pt>
                <c:pt idx="3026">
                  <c:v>45035</c:v>
                </c:pt>
                <c:pt idx="3027">
                  <c:v>45036</c:v>
                </c:pt>
                <c:pt idx="3028">
                  <c:v>45037</c:v>
                </c:pt>
                <c:pt idx="3029">
                  <c:v>45038</c:v>
                </c:pt>
                <c:pt idx="3030">
                  <c:v>45039</c:v>
                </c:pt>
                <c:pt idx="3031">
                  <c:v>45040</c:v>
                </c:pt>
                <c:pt idx="3032">
                  <c:v>45041</c:v>
                </c:pt>
                <c:pt idx="3033">
                  <c:v>45042</c:v>
                </c:pt>
                <c:pt idx="3034">
                  <c:v>45043</c:v>
                </c:pt>
                <c:pt idx="3035">
                  <c:v>45044</c:v>
                </c:pt>
                <c:pt idx="3036">
                  <c:v>45045</c:v>
                </c:pt>
                <c:pt idx="3037">
                  <c:v>45046</c:v>
                </c:pt>
                <c:pt idx="3038">
                  <c:v>45047</c:v>
                </c:pt>
                <c:pt idx="3039">
                  <c:v>45048</c:v>
                </c:pt>
                <c:pt idx="3040">
                  <c:v>45049</c:v>
                </c:pt>
                <c:pt idx="3041">
                  <c:v>45050</c:v>
                </c:pt>
                <c:pt idx="3042">
                  <c:v>45051</c:v>
                </c:pt>
                <c:pt idx="3043">
                  <c:v>45052</c:v>
                </c:pt>
                <c:pt idx="3044">
                  <c:v>45053</c:v>
                </c:pt>
                <c:pt idx="3045">
                  <c:v>45054</c:v>
                </c:pt>
                <c:pt idx="3046">
                  <c:v>45055</c:v>
                </c:pt>
                <c:pt idx="3047">
                  <c:v>45056</c:v>
                </c:pt>
                <c:pt idx="3048">
                  <c:v>45057</c:v>
                </c:pt>
                <c:pt idx="3049">
                  <c:v>45058</c:v>
                </c:pt>
                <c:pt idx="3050">
                  <c:v>45059</c:v>
                </c:pt>
                <c:pt idx="3051">
                  <c:v>45060</c:v>
                </c:pt>
                <c:pt idx="3052">
                  <c:v>45061</c:v>
                </c:pt>
                <c:pt idx="3053">
                  <c:v>45062</c:v>
                </c:pt>
                <c:pt idx="3054">
                  <c:v>45063</c:v>
                </c:pt>
                <c:pt idx="3055">
                  <c:v>45064</c:v>
                </c:pt>
                <c:pt idx="3056">
                  <c:v>45065</c:v>
                </c:pt>
                <c:pt idx="3057">
                  <c:v>45066</c:v>
                </c:pt>
                <c:pt idx="3058">
                  <c:v>45067</c:v>
                </c:pt>
                <c:pt idx="3059">
                  <c:v>45068</c:v>
                </c:pt>
                <c:pt idx="3060">
                  <c:v>45069</c:v>
                </c:pt>
                <c:pt idx="3061">
                  <c:v>45070</c:v>
                </c:pt>
                <c:pt idx="3062">
                  <c:v>45071</c:v>
                </c:pt>
                <c:pt idx="3063">
                  <c:v>45072</c:v>
                </c:pt>
                <c:pt idx="3064">
                  <c:v>45073</c:v>
                </c:pt>
                <c:pt idx="3065">
                  <c:v>45074</c:v>
                </c:pt>
                <c:pt idx="3066">
                  <c:v>45075</c:v>
                </c:pt>
                <c:pt idx="3067">
                  <c:v>45076</c:v>
                </c:pt>
                <c:pt idx="3068">
                  <c:v>45077</c:v>
                </c:pt>
                <c:pt idx="3069">
                  <c:v>45078</c:v>
                </c:pt>
                <c:pt idx="3070">
                  <c:v>45079</c:v>
                </c:pt>
                <c:pt idx="3071">
                  <c:v>45080</c:v>
                </c:pt>
                <c:pt idx="3072">
                  <c:v>45081</c:v>
                </c:pt>
                <c:pt idx="3073">
                  <c:v>45082</c:v>
                </c:pt>
                <c:pt idx="3074">
                  <c:v>45083</c:v>
                </c:pt>
                <c:pt idx="3075">
                  <c:v>45084</c:v>
                </c:pt>
                <c:pt idx="3076">
                  <c:v>45085</c:v>
                </c:pt>
                <c:pt idx="3077">
                  <c:v>45086</c:v>
                </c:pt>
                <c:pt idx="3078">
                  <c:v>45087</c:v>
                </c:pt>
                <c:pt idx="3079">
                  <c:v>45088</c:v>
                </c:pt>
                <c:pt idx="3080">
                  <c:v>45089</c:v>
                </c:pt>
                <c:pt idx="3081">
                  <c:v>45090</c:v>
                </c:pt>
                <c:pt idx="3082">
                  <c:v>45091</c:v>
                </c:pt>
                <c:pt idx="3083">
                  <c:v>45092</c:v>
                </c:pt>
                <c:pt idx="3084">
                  <c:v>45093</c:v>
                </c:pt>
                <c:pt idx="3085">
                  <c:v>45094</c:v>
                </c:pt>
                <c:pt idx="3086">
                  <c:v>45095</c:v>
                </c:pt>
                <c:pt idx="3087">
                  <c:v>45096</c:v>
                </c:pt>
                <c:pt idx="3088">
                  <c:v>45097</c:v>
                </c:pt>
                <c:pt idx="3089">
                  <c:v>45098</c:v>
                </c:pt>
                <c:pt idx="3090">
                  <c:v>45099</c:v>
                </c:pt>
                <c:pt idx="3091">
                  <c:v>45100</c:v>
                </c:pt>
                <c:pt idx="3092">
                  <c:v>45101</c:v>
                </c:pt>
                <c:pt idx="3093">
                  <c:v>45102</c:v>
                </c:pt>
                <c:pt idx="3094">
                  <c:v>45103</c:v>
                </c:pt>
                <c:pt idx="3095">
                  <c:v>45104</c:v>
                </c:pt>
                <c:pt idx="3096">
                  <c:v>45105</c:v>
                </c:pt>
                <c:pt idx="3097">
                  <c:v>45106</c:v>
                </c:pt>
                <c:pt idx="3098">
                  <c:v>45107</c:v>
                </c:pt>
                <c:pt idx="3099">
                  <c:v>45108</c:v>
                </c:pt>
                <c:pt idx="3100">
                  <c:v>45109</c:v>
                </c:pt>
                <c:pt idx="3101">
                  <c:v>45110</c:v>
                </c:pt>
                <c:pt idx="3102">
                  <c:v>45111</c:v>
                </c:pt>
                <c:pt idx="3103">
                  <c:v>45112</c:v>
                </c:pt>
                <c:pt idx="3104">
                  <c:v>45113</c:v>
                </c:pt>
                <c:pt idx="3105">
                  <c:v>45114</c:v>
                </c:pt>
                <c:pt idx="3106">
                  <c:v>45115</c:v>
                </c:pt>
                <c:pt idx="3107">
                  <c:v>45116</c:v>
                </c:pt>
                <c:pt idx="3108">
                  <c:v>45117</c:v>
                </c:pt>
                <c:pt idx="3109">
                  <c:v>45118</c:v>
                </c:pt>
                <c:pt idx="3110">
                  <c:v>45119</c:v>
                </c:pt>
                <c:pt idx="3111">
                  <c:v>45120</c:v>
                </c:pt>
                <c:pt idx="3112">
                  <c:v>45121</c:v>
                </c:pt>
                <c:pt idx="3113">
                  <c:v>45122</c:v>
                </c:pt>
                <c:pt idx="3114">
                  <c:v>45123</c:v>
                </c:pt>
                <c:pt idx="3115">
                  <c:v>45124</c:v>
                </c:pt>
                <c:pt idx="3116">
                  <c:v>45125</c:v>
                </c:pt>
                <c:pt idx="3117">
                  <c:v>45126</c:v>
                </c:pt>
                <c:pt idx="3118">
                  <c:v>45127</c:v>
                </c:pt>
                <c:pt idx="3119">
                  <c:v>45128</c:v>
                </c:pt>
                <c:pt idx="3120">
                  <c:v>45129</c:v>
                </c:pt>
                <c:pt idx="3121">
                  <c:v>45130</c:v>
                </c:pt>
                <c:pt idx="3122">
                  <c:v>45131</c:v>
                </c:pt>
                <c:pt idx="3123">
                  <c:v>45132</c:v>
                </c:pt>
                <c:pt idx="3124">
                  <c:v>45133</c:v>
                </c:pt>
                <c:pt idx="3125">
                  <c:v>45134</c:v>
                </c:pt>
                <c:pt idx="3126">
                  <c:v>45135</c:v>
                </c:pt>
                <c:pt idx="3127">
                  <c:v>45136</c:v>
                </c:pt>
                <c:pt idx="3128">
                  <c:v>45137</c:v>
                </c:pt>
                <c:pt idx="3129">
                  <c:v>45138</c:v>
                </c:pt>
                <c:pt idx="3130">
                  <c:v>45139</c:v>
                </c:pt>
                <c:pt idx="3131">
                  <c:v>45140</c:v>
                </c:pt>
                <c:pt idx="3132">
                  <c:v>45141</c:v>
                </c:pt>
                <c:pt idx="3133">
                  <c:v>45142</c:v>
                </c:pt>
                <c:pt idx="3134">
                  <c:v>45143</c:v>
                </c:pt>
                <c:pt idx="3135">
                  <c:v>45144</c:v>
                </c:pt>
                <c:pt idx="3136">
                  <c:v>45145</c:v>
                </c:pt>
                <c:pt idx="3137">
                  <c:v>45146</c:v>
                </c:pt>
                <c:pt idx="3138">
                  <c:v>45147</c:v>
                </c:pt>
                <c:pt idx="3139">
                  <c:v>45148</c:v>
                </c:pt>
                <c:pt idx="3140">
                  <c:v>45149</c:v>
                </c:pt>
                <c:pt idx="3141">
                  <c:v>45150</c:v>
                </c:pt>
                <c:pt idx="3142">
                  <c:v>45151</c:v>
                </c:pt>
                <c:pt idx="3143">
                  <c:v>45152</c:v>
                </c:pt>
                <c:pt idx="3144">
                  <c:v>45153</c:v>
                </c:pt>
                <c:pt idx="3145">
                  <c:v>45154</c:v>
                </c:pt>
                <c:pt idx="3146">
                  <c:v>45155</c:v>
                </c:pt>
                <c:pt idx="3147">
                  <c:v>45156</c:v>
                </c:pt>
                <c:pt idx="3148">
                  <c:v>45157</c:v>
                </c:pt>
                <c:pt idx="3149">
                  <c:v>45158</c:v>
                </c:pt>
                <c:pt idx="3150">
                  <c:v>45159</c:v>
                </c:pt>
                <c:pt idx="3151">
                  <c:v>45160</c:v>
                </c:pt>
                <c:pt idx="3152">
                  <c:v>45161</c:v>
                </c:pt>
                <c:pt idx="3153">
                  <c:v>45162</c:v>
                </c:pt>
                <c:pt idx="3154">
                  <c:v>45163</c:v>
                </c:pt>
                <c:pt idx="3155">
                  <c:v>45164</c:v>
                </c:pt>
                <c:pt idx="3156">
                  <c:v>45165</c:v>
                </c:pt>
                <c:pt idx="3157">
                  <c:v>45166</c:v>
                </c:pt>
                <c:pt idx="3158">
                  <c:v>45167</c:v>
                </c:pt>
                <c:pt idx="3159">
                  <c:v>45168</c:v>
                </c:pt>
                <c:pt idx="3160">
                  <c:v>45169</c:v>
                </c:pt>
                <c:pt idx="3161">
                  <c:v>45170</c:v>
                </c:pt>
                <c:pt idx="3162">
                  <c:v>45171</c:v>
                </c:pt>
                <c:pt idx="3163">
                  <c:v>45172</c:v>
                </c:pt>
                <c:pt idx="3164">
                  <c:v>45173</c:v>
                </c:pt>
                <c:pt idx="3165">
                  <c:v>45174</c:v>
                </c:pt>
                <c:pt idx="3166">
                  <c:v>45175</c:v>
                </c:pt>
                <c:pt idx="3167">
                  <c:v>45176</c:v>
                </c:pt>
                <c:pt idx="3168">
                  <c:v>45177</c:v>
                </c:pt>
                <c:pt idx="3169">
                  <c:v>45178</c:v>
                </c:pt>
                <c:pt idx="3170">
                  <c:v>45179</c:v>
                </c:pt>
                <c:pt idx="3171">
                  <c:v>45180</c:v>
                </c:pt>
                <c:pt idx="3172">
                  <c:v>45181</c:v>
                </c:pt>
                <c:pt idx="3173">
                  <c:v>45182</c:v>
                </c:pt>
                <c:pt idx="3174">
                  <c:v>45183</c:v>
                </c:pt>
                <c:pt idx="3175">
                  <c:v>45184</c:v>
                </c:pt>
                <c:pt idx="3176">
                  <c:v>45185</c:v>
                </c:pt>
                <c:pt idx="3177">
                  <c:v>45186</c:v>
                </c:pt>
                <c:pt idx="3178">
                  <c:v>45187</c:v>
                </c:pt>
                <c:pt idx="3179">
                  <c:v>45188</c:v>
                </c:pt>
                <c:pt idx="3180">
                  <c:v>45189</c:v>
                </c:pt>
                <c:pt idx="3181">
                  <c:v>45190</c:v>
                </c:pt>
                <c:pt idx="3182">
                  <c:v>45191</c:v>
                </c:pt>
                <c:pt idx="3183">
                  <c:v>45192</c:v>
                </c:pt>
                <c:pt idx="3184">
                  <c:v>45193</c:v>
                </c:pt>
                <c:pt idx="3185">
                  <c:v>45194</c:v>
                </c:pt>
                <c:pt idx="3186">
                  <c:v>45195</c:v>
                </c:pt>
                <c:pt idx="3187">
                  <c:v>45196</c:v>
                </c:pt>
                <c:pt idx="3188">
                  <c:v>45197</c:v>
                </c:pt>
                <c:pt idx="3189">
                  <c:v>45198</c:v>
                </c:pt>
                <c:pt idx="3190">
                  <c:v>45199</c:v>
                </c:pt>
                <c:pt idx="3191">
                  <c:v>45200</c:v>
                </c:pt>
                <c:pt idx="3192">
                  <c:v>45201</c:v>
                </c:pt>
                <c:pt idx="3193">
                  <c:v>45202</c:v>
                </c:pt>
                <c:pt idx="3194">
                  <c:v>45203</c:v>
                </c:pt>
                <c:pt idx="3195">
                  <c:v>45204</c:v>
                </c:pt>
                <c:pt idx="3196">
                  <c:v>45205</c:v>
                </c:pt>
                <c:pt idx="3197">
                  <c:v>45206</c:v>
                </c:pt>
                <c:pt idx="3198">
                  <c:v>45207</c:v>
                </c:pt>
                <c:pt idx="3199">
                  <c:v>45208</c:v>
                </c:pt>
                <c:pt idx="3200">
                  <c:v>45209</c:v>
                </c:pt>
                <c:pt idx="3201">
                  <c:v>45210</c:v>
                </c:pt>
                <c:pt idx="3202">
                  <c:v>45211</c:v>
                </c:pt>
                <c:pt idx="3203">
                  <c:v>45212</c:v>
                </c:pt>
                <c:pt idx="3204">
                  <c:v>45213</c:v>
                </c:pt>
                <c:pt idx="3205">
                  <c:v>45214</c:v>
                </c:pt>
                <c:pt idx="3206">
                  <c:v>45215</c:v>
                </c:pt>
                <c:pt idx="3207">
                  <c:v>45216</c:v>
                </c:pt>
                <c:pt idx="3208">
                  <c:v>45217</c:v>
                </c:pt>
                <c:pt idx="3209">
                  <c:v>45218</c:v>
                </c:pt>
                <c:pt idx="3210">
                  <c:v>45219</c:v>
                </c:pt>
                <c:pt idx="3211">
                  <c:v>45220</c:v>
                </c:pt>
                <c:pt idx="3212">
                  <c:v>45221</c:v>
                </c:pt>
                <c:pt idx="3213">
                  <c:v>45222</c:v>
                </c:pt>
                <c:pt idx="3214">
                  <c:v>45223</c:v>
                </c:pt>
                <c:pt idx="3215">
                  <c:v>45224</c:v>
                </c:pt>
                <c:pt idx="3216">
                  <c:v>45225</c:v>
                </c:pt>
                <c:pt idx="3217">
                  <c:v>45226</c:v>
                </c:pt>
                <c:pt idx="3218">
                  <c:v>45227</c:v>
                </c:pt>
                <c:pt idx="3219">
                  <c:v>45228</c:v>
                </c:pt>
                <c:pt idx="3220">
                  <c:v>45229</c:v>
                </c:pt>
                <c:pt idx="3221">
                  <c:v>45230</c:v>
                </c:pt>
                <c:pt idx="3222">
                  <c:v>45231</c:v>
                </c:pt>
                <c:pt idx="3223">
                  <c:v>45232</c:v>
                </c:pt>
                <c:pt idx="3224">
                  <c:v>45233</c:v>
                </c:pt>
                <c:pt idx="3225">
                  <c:v>45234</c:v>
                </c:pt>
                <c:pt idx="3226">
                  <c:v>45235</c:v>
                </c:pt>
                <c:pt idx="3227">
                  <c:v>45236</c:v>
                </c:pt>
                <c:pt idx="3228">
                  <c:v>45237</c:v>
                </c:pt>
                <c:pt idx="3229">
                  <c:v>45238</c:v>
                </c:pt>
                <c:pt idx="3230">
                  <c:v>45239</c:v>
                </c:pt>
                <c:pt idx="3231">
                  <c:v>45240</c:v>
                </c:pt>
                <c:pt idx="3232">
                  <c:v>45241</c:v>
                </c:pt>
                <c:pt idx="3233">
                  <c:v>45242</c:v>
                </c:pt>
                <c:pt idx="3234">
                  <c:v>45243</c:v>
                </c:pt>
                <c:pt idx="3235">
                  <c:v>45244</c:v>
                </c:pt>
                <c:pt idx="3236">
                  <c:v>45245</c:v>
                </c:pt>
                <c:pt idx="3237">
                  <c:v>45246</c:v>
                </c:pt>
                <c:pt idx="3238">
                  <c:v>45247</c:v>
                </c:pt>
                <c:pt idx="3239">
                  <c:v>45248</c:v>
                </c:pt>
                <c:pt idx="3240">
                  <c:v>45249</c:v>
                </c:pt>
                <c:pt idx="3241">
                  <c:v>45250</c:v>
                </c:pt>
                <c:pt idx="3242">
                  <c:v>45251</c:v>
                </c:pt>
                <c:pt idx="3243">
                  <c:v>45252</c:v>
                </c:pt>
                <c:pt idx="3244">
                  <c:v>45253</c:v>
                </c:pt>
                <c:pt idx="3245">
                  <c:v>45254</c:v>
                </c:pt>
                <c:pt idx="3246">
                  <c:v>45255</c:v>
                </c:pt>
                <c:pt idx="3247">
                  <c:v>45256</c:v>
                </c:pt>
                <c:pt idx="3248">
                  <c:v>45257</c:v>
                </c:pt>
                <c:pt idx="3249">
                  <c:v>45258</c:v>
                </c:pt>
                <c:pt idx="3250">
                  <c:v>45259</c:v>
                </c:pt>
                <c:pt idx="3251">
                  <c:v>45260</c:v>
                </c:pt>
                <c:pt idx="3252">
                  <c:v>45261</c:v>
                </c:pt>
                <c:pt idx="3253">
                  <c:v>45262</c:v>
                </c:pt>
                <c:pt idx="3254">
                  <c:v>45263</c:v>
                </c:pt>
                <c:pt idx="3255">
                  <c:v>45264</c:v>
                </c:pt>
                <c:pt idx="3256">
                  <c:v>45265</c:v>
                </c:pt>
                <c:pt idx="3257">
                  <c:v>45266</c:v>
                </c:pt>
                <c:pt idx="3258">
                  <c:v>45267</c:v>
                </c:pt>
                <c:pt idx="3259">
                  <c:v>45268</c:v>
                </c:pt>
                <c:pt idx="3260">
                  <c:v>45269</c:v>
                </c:pt>
                <c:pt idx="3261">
                  <c:v>45270</c:v>
                </c:pt>
                <c:pt idx="3262">
                  <c:v>45271</c:v>
                </c:pt>
                <c:pt idx="3263">
                  <c:v>45272</c:v>
                </c:pt>
                <c:pt idx="3264">
                  <c:v>45273</c:v>
                </c:pt>
                <c:pt idx="3265">
                  <c:v>45274</c:v>
                </c:pt>
                <c:pt idx="3266">
                  <c:v>45275</c:v>
                </c:pt>
                <c:pt idx="3267">
                  <c:v>45276</c:v>
                </c:pt>
                <c:pt idx="3268">
                  <c:v>45277</c:v>
                </c:pt>
                <c:pt idx="3269">
                  <c:v>45278</c:v>
                </c:pt>
                <c:pt idx="3270">
                  <c:v>45279</c:v>
                </c:pt>
                <c:pt idx="3271">
                  <c:v>45280</c:v>
                </c:pt>
                <c:pt idx="3272">
                  <c:v>45281</c:v>
                </c:pt>
                <c:pt idx="3273">
                  <c:v>45282</c:v>
                </c:pt>
                <c:pt idx="3274">
                  <c:v>45283</c:v>
                </c:pt>
                <c:pt idx="3275">
                  <c:v>45284</c:v>
                </c:pt>
                <c:pt idx="3276">
                  <c:v>45285</c:v>
                </c:pt>
                <c:pt idx="3277">
                  <c:v>45286</c:v>
                </c:pt>
                <c:pt idx="3278">
                  <c:v>45287</c:v>
                </c:pt>
                <c:pt idx="3279">
                  <c:v>45288</c:v>
                </c:pt>
                <c:pt idx="3280">
                  <c:v>45289</c:v>
                </c:pt>
                <c:pt idx="3281">
                  <c:v>45290</c:v>
                </c:pt>
                <c:pt idx="3282">
                  <c:v>45291</c:v>
                </c:pt>
                <c:pt idx="3283">
                  <c:v>45292</c:v>
                </c:pt>
                <c:pt idx="3284">
                  <c:v>45293</c:v>
                </c:pt>
                <c:pt idx="3285">
                  <c:v>45294</c:v>
                </c:pt>
                <c:pt idx="3286">
                  <c:v>45295</c:v>
                </c:pt>
                <c:pt idx="3287">
                  <c:v>45296</c:v>
                </c:pt>
                <c:pt idx="3288">
                  <c:v>45297</c:v>
                </c:pt>
                <c:pt idx="3289">
                  <c:v>45298</c:v>
                </c:pt>
                <c:pt idx="3290">
                  <c:v>45299</c:v>
                </c:pt>
                <c:pt idx="3291">
                  <c:v>45300</c:v>
                </c:pt>
                <c:pt idx="3292">
                  <c:v>45301</c:v>
                </c:pt>
                <c:pt idx="3293">
                  <c:v>45302</c:v>
                </c:pt>
                <c:pt idx="3294">
                  <c:v>45303</c:v>
                </c:pt>
                <c:pt idx="3295">
                  <c:v>45304</c:v>
                </c:pt>
                <c:pt idx="3296">
                  <c:v>45305</c:v>
                </c:pt>
                <c:pt idx="3297">
                  <c:v>45306</c:v>
                </c:pt>
                <c:pt idx="3298">
                  <c:v>45307</c:v>
                </c:pt>
                <c:pt idx="3299">
                  <c:v>45308</c:v>
                </c:pt>
                <c:pt idx="3300">
                  <c:v>45309</c:v>
                </c:pt>
                <c:pt idx="3301">
                  <c:v>45310</c:v>
                </c:pt>
                <c:pt idx="3302">
                  <c:v>45311</c:v>
                </c:pt>
                <c:pt idx="3303">
                  <c:v>45312</c:v>
                </c:pt>
                <c:pt idx="3304">
                  <c:v>45313</c:v>
                </c:pt>
                <c:pt idx="3305">
                  <c:v>45314</c:v>
                </c:pt>
                <c:pt idx="3306">
                  <c:v>45315</c:v>
                </c:pt>
                <c:pt idx="3307">
                  <c:v>45316</c:v>
                </c:pt>
                <c:pt idx="3308">
                  <c:v>45317</c:v>
                </c:pt>
                <c:pt idx="3309">
                  <c:v>45318</c:v>
                </c:pt>
                <c:pt idx="3310">
                  <c:v>45319</c:v>
                </c:pt>
                <c:pt idx="3311">
                  <c:v>45320</c:v>
                </c:pt>
                <c:pt idx="3312">
                  <c:v>45321</c:v>
                </c:pt>
                <c:pt idx="3313">
                  <c:v>45322</c:v>
                </c:pt>
                <c:pt idx="3314">
                  <c:v>45323</c:v>
                </c:pt>
                <c:pt idx="3315">
                  <c:v>45324</c:v>
                </c:pt>
                <c:pt idx="3316">
                  <c:v>45325</c:v>
                </c:pt>
                <c:pt idx="3317">
                  <c:v>45326</c:v>
                </c:pt>
                <c:pt idx="3318">
                  <c:v>45327</c:v>
                </c:pt>
                <c:pt idx="3319">
                  <c:v>45328</c:v>
                </c:pt>
                <c:pt idx="3320">
                  <c:v>45329</c:v>
                </c:pt>
                <c:pt idx="3321">
                  <c:v>45330</c:v>
                </c:pt>
                <c:pt idx="3322">
                  <c:v>45331</c:v>
                </c:pt>
                <c:pt idx="3323">
                  <c:v>45332</c:v>
                </c:pt>
                <c:pt idx="3324">
                  <c:v>45333</c:v>
                </c:pt>
                <c:pt idx="3325">
                  <c:v>45334</c:v>
                </c:pt>
                <c:pt idx="3326">
                  <c:v>45335</c:v>
                </c:pt>
                <c:pt idx="3327">
                  <c:v>45336</c:v>
                </c:pt>
                <c:pt idx="3328">
                  <c:v>45337</c:v>
                </c:pt>
                <c:pt idx="3329">
                  <c:v>45338</c:v>
                </c:pt>
                <c:pt idx="3330">
                  <c:v>45339</c:v>
                </c:pt>
                <c:pt idx="3331">
                  <c:v>45340</c:v>
                </c:pt>
                <c:pt idx="3332">
                  <c:v>45341</c:v>
                </c:pt>
                <c:pt idx="3333">
                  <c:v>45342</c:v>
                </c:pt>
                <c:pt idx="3334">
                  <c:v>45343</c:v>
                </c:pt>
                <c:pt idx="3335">
                  <c:v>45344</c:v>
                </c:pt>
                <c:pt idx="3336">
                  <c:v>45345</c:v>
                </c:pt>
                <c:pt idx="3337">
                  <c:v>45346</c:v>
                </c:pt>
                <c:pt idx="3338">
                  <c:v>45347</c:v>
                </c:pt>
                <c:pt idx="3339">
                  <c:v>45348</c:v>
                </c:pt>
                <c:pt idx="3340">
                  <c:v>45349</c:v>
                </c:pt>
                <c:pt idx="3341">
                  <c:v>45350</c:v>
                </c:pt>
                <c:pt idx="3342">
                  <c:v>45351</c:v>
                </c:pt>
                <c:pt idx="3343">
                  <c:v>45352</c:v>
                </c:pt>
                <c:pt idx="3344">
                  <c:v>45353</c:v>
                </c:pt>
                <c:pt idx="3345">
                  <c:v>45354</c:v>
                </c:pt>
                <c:pt idx="3346">
                  <c:v>45355</c:v>
                </c:pt>
                <c:pt idx="3347">
                  <c:v>45356</c:v>
                </c:pt>
                <c:pt idx="3348">
                  <c:v>45357</c:v>
                </c:pt>
                <c:pt idx="3349">
                  <c:v>45358</c:v>
                </c:pt>
                <c:pt idx="3350">
                  <c:v>45359</c:v>
                </c:pt>
                <c:pt idx="3351">
                  <c:v>45360</c:v>
                </c:pt>
                <c:pt idx="3352">
                  <c:v>45361</c:v>
                </c:pt>
                <c:pt idx="3353">
                  <c:v>45362</c:v>
                </c:pt>
                <c:pt idx="3354">
                  <c:v>45363</c:v>
                </c:pt>
                <c:pt idx="3355">
                  <c:v>45364</c:v>
                </c:pt>
                <c:pt idx="3356">
                  <c:v>45365</c:v>
                </c:pt>
                <c:pt idx="3357">
                  <c:v>45366</c:v>
                </c:pt>
                <c:pt idx="3358">
                  <c:v>45367</c:v>
                </c:pt>
                <c:pt idx="3359">
                  <c:v>45368</c:v>
                </c:pt>
                <c:pt idx="3360">
                  <c:v>45369</c:v>
                </c:pt>
                <c:pt idx="3361">
                  <c:v>45370</c:v>
                </c:pt>
                <c:pt idx="3362">
                  <c:v>45371</c:v>
                </c:pt>
                <c:pt idx="3363">
                  <c:v>45372</c:v>
                </c:pt>
                <c:pt idx="3364">
                  <c:v>45373</c:v>
                </c:pt>
                <c:pt idx="3365">
                  <c:v>45374</c:v>
                </c:pt>
                <c:pt idx="3366">
                  <c:v>45375</c:v>
                </c:pt>
                <c:pt idx="3367">
                  <c:v>45376</c:v>
                </c:pt>
                <c:pt idx="3368">
                  <c:v>45377</c:v>
                </c:pt>
                <c:pt idx="3369">
                  <c:v>45378</c:v>
                </c:pt>
                <c:pt idx="3370">
                  <c:v>45379</c:v>
                </c:pt>
                <c:pt idx="3371">
                  <c:v>45380</c:v>
                </c:pt>
                <c:pt idx="3372">
                  <c:v>45381</c:v>
                </c:pt>
                <c:pt idx="3373">
                  <c:v>45382</c:v>
                </c:pt>
                <c:pt idx="3374">
                  <c:v>45383</c:v>
                </c:pt>
                <c:pt idx="3375">
                  <c:v>45384</c:v>
                </c:pt>
                <c:pt idx="3376">
                  <c:v>45385</c:v>
                </c:pt>
                <c:pt idx="3377">
                  <c:v>45386</c:v>
                </c:pt>
                <c:pt idx="3378">
                  <c:v>45387</c:v>
                </c:pt>
                <c:pt idx="3379">
                  <c:v>45388</c:v>
                </c:pt>
                <c:pt idx="3380">
                  <c:v>45389</c:v>
                </c:pt>
                <c:pt idx="3381">
                  <c:v>45390</c:v>
                </c:pt>
                <c:pt idx="3382">
                  <c:v>45391</c:v>
                </c:pt>
                <c:pt idx="3383">
                  <c:v>45392</c:v>
                </c:pt>
                <c:pt idx="3384">
                  <c:v>45393</c:v>
                </c:pt>
                <c:pt idx="3385">
                  <c:v>45394</c:v>
                </c:pt>
                <c:pt idx="3386">
                  <c:v>45395</c:v>
                </c:pt>
                <c:pt idx="3387">
                  <c:v>45396</c:v>
                </c:pt>
                <c:pt idx="3388">
                  <c:v>45397</c:v>
                </c:pt>
                <c:pt idx="3389">
                  <c:v>45398</c:v>
                </c:pt>
                <c:pt idx="3390">
                  <c:v>45399</c:v>
                </c:pt>
                <c:pt idx="3391">
                  <c:v>45400</c:v>
                </c:pt>
                <c:pt idx="3392">
                  <c:v>45401</c:v>
                </c:pt>
                <c:pt idx="3393">
                  <c:v>45402</c:v>
                </c:pt>
                <c:pt idx="3394">
                  <c:v>45403</c:v>
                </c:pt>
                <c:pt idx="3395">
                  <c:v>45404</c:v>
                </c:pt>
                <c:pt idx="3396">
                  <c:v>45405</c:v>
                </c:pt>
                <c:pt idx="3397">
                  <c:v>45406</c:v>
                </c:pt>
                <c:pt idx="3398">
                  <c:v>45407</c:v>
                </c:pt>
                <c:pt idx="3399">
                  <c:v>45408</c:v>
                </c:pt>
                <c:pt idx="3400">
                  <c:v>45409</c:v>
                </c:pt>
                <c:pt idx="3401">
                  <c:v>45410</c:v>
                </c:pt>
                <c:pt idx="3402">
                  <c:v>45411</c:v>
                </c:pt>
                <c:pt idx="3403">
                  <c:v>45412</c:v>
                </c:pt>
                <c:pt idx="3404">
                  <c:v>45413</c:v>
                </c:pt>
                <c:pt idx="3405">
                  <c:v>45414</c:v>
                </c:pt>
                <c:pt idx="3406">
                  <c:v>45415</c:v>
                </c:pt>
                <c:pt idx="3407">
                  <c:v>45416</c:v>
                </c:pt>
                <c:pt idx="3408">
                  <c:v>45417</c:v>
                </c:pt>
                <c:pt idx="3409">
                  <c:v>45418</c:v>
                </c:pt>
                <c:pt idx="3410">
                  <c:v>45419</c:v>
                </c:pt>
                <c:pt idx="3411">
                  <c:v>45420</c:v>
                </c:pt>
                <c:pt idx="3412">
                  <c:v>45421</c:v>
                </c:pt>
                <c:pt idx="3413">
                  <c:v>45422</c:v>
                </c:pt>
                <c:pt idx="3414">
                  <c:v>45423</c:v>
                </c:pt>
                <c:pt idx="3415">
                  <c:v>45424</c:v>
                </c:pt>
                <c:pt idx="3416">
                  <c:v>45425</c:v>
                </c:pt>
                <c:pt idx="3417">
                  <c:v>45426</c:v>
                </c:pt>
                <c:pt idx="3418">
                  <c:v>45427</c:v>
                </c:pt>
                <c:pt idx="3419">
                  <c:v>45428</c:v>
                </c:pt>
                <c:pt idx="3420">
                  <c:v>45429</c:v>
                </c:pt>
                <c:pt idx="3421">
                  <c:v>45430</c:v>
                </c:pt>
                <c:pt idx="3422">
                  <c:v>45431</c:v>
                </c:pt>
                <c:pt idx="3423">
                  <c:v>45432</c:v>
                </c:pt>
                <c:pt idx="3424">
                  <c:v>45433</c:v>
                </c:pt>
                <c:pt idx="3425">
                  <c:v>45434</c:v>
                </c:pt>
                <c:pt idx="3426">
                  <c:v>45435</c:v>
                </c:pt>
                <c:pt idx="3427">
                  <c:v>45436</c:v>
                </c:pt>
                <c:pt idx="3428">
                  <c:v>45437</c:v>
                </c:pt>
                <c:pt idx="3429">
                  <c:v>45438</c:v>
                </c:pt>
                <c:pt idx="3430">
                  <c:v>45439</c:v>
                </c:pt>
                <c:pt idx="3431">
                  <c:v>45440</c:v>
                </c:pt>
                <c:pt idx="3432">
                  <c:v>45441</c:v>
                </c:pt>
                <c:pt idx="3433">
                  <c:v>45442</c:v>
                </c:pt>
                <c:pt idx="3434">
                  <c:v>45443</c:v>
                </c:pt>
                <c:pt idx="3435">
                  <c:v>45444</c:v>
                </c:pt>
                <c:pt idx="3436">
                  <c:v>45445</c:v>
                </c:pt>
                <c:pt idx="3437">
                  <c:v>45446</c:v>
                </c:pt>
                <c:pt idx="3438">
                  <c:v>45447</c:v>
                </c:pt>
                <c:pt idx="3439">
                  <c:v>45448</c:v>
                </c:pt>
                <c:pt idx="3440">
                  <c:v>45449</c:v>
                </c:pt>
                <c:pt idx="3441">
                  <c:v>45450</c:v>
                </c:pt>
                <c:pt idx="3442">
                  <c:v>45451</c:v>
                </c:pt>
                <c:pt idx="3443">
                  <c:v>45452</c:v>
                </c:pt>
                <c:pt idx="3444">
                  <c:v>45453</c:v>
                </c:pt>
                <c:pt idx="3445">
                  <c:v>45454</c:v>
                </c:pt>
                <c:pt idx="3446">
                  <c:v>45455</c:v>
                </c:pt>
                <c:pt idx="3447">
                  <c:v>45456</c:v>
                </c:pt>
                <c:pt idx="3448">
                  <c:v>45457</c:v>
                </c:pt>
                <c:pt idx="3449">
                  <c:v>45458</c:v>
                </c:pt>
                <c:pt idx="3450">
                  <c:v>45459</c:v>
                </c:pt>
                <c:pt idx="3451">
                  <c:v>45460</c:v>
                </c:pt>
                <c:pt idx="3452">
                  <c:v>45461</c:v>
                </c:pt>
                <c:pt idx="3453">
                  <c:v>45462</c:v>
                </c:pt>
                <c:pt idx="3454">
                  <c:v>45463</c:v>
                </c:pt>
                <c:pt idx="3455">
                  <c:v>45464</c:v>
                </c:pt>
                <c:pt idx="3456">
                  <c:v>45465</c:v>
                </c:pt>
                <c:pt idx="3457">
                  <c:v>45466</c:v>
                </c:pt>
                <c:pt idx="3458">
                  <c:v>45467</c:v>
                </c:pt>
                <c:pt idx="3459">
                  <c:v>45468</c:v>
                </c:pt>
                <c:pt idx="3460">
                  <c:v>45469</c:v>
                </c:pt>
                <c:pt idx="3461">
                  <c:v>45470</c:v>
                </c:pt>
                <c:pt idx="3462">
                  <c:v>45471</c:v>
                </c:pt>
                <c:pt idx="3463">
                  <c:v>45472</c:v>
                </c:pt>
                <c:pt idx="3464">
                  <c:v>45473</c:v>
                </c:pt>
                <c:pt idx="3465">
                  <c:v>45474</c:v>
                </c:pt>
                <c:pt idx="3466">
                  <c:v>45475</c:v>
                </c:pt>
                <c:pt idx="3467">
                  <c:v>45476</c:v>
                </c:pt>
                <c:pt idx="3468">
                  <c:v>45477</c:v>
                </c:pt>
                <c:pt idx="3469">
                  <c:v>45478</c:v>
                </c:pt>
                <c:pt idx="3470">
                  <c:v>45479</c:v>
                </c:pt>
                <c:pt idx="3471">
                  <c:v>45480</c:v>
                </c:pt>
                <c:pt idx="3472">
                  <c:v>45481</c:v>
                </c:pt>
                <c:pt idx="3473">
                  <c:v>45482</c:v>
                </c:pt>
                <c:pt idx="3474">
                  <c:v>45483</c:v>
                </c:pt>
                <c:pt idx="3475">
                  <c:v>45484</c:v>
                </c:pt>
                <c:pt idx="3476">
                  <c:v>45485</c:v>
                </c:pt>
                <c:pt idx="3477">
                  <c:v>45486</c:v>
                </c:pt>
                <c:pt idx="3478">
                  <c:v>45487</c:v>
                </c:pt>
                <c:pt idx="3479">
                  <c:v>45488</c:v>
                </c:pt>
                <c:pt idx="3480">
                  <c:v>45489</c:v>
                </c:pt>
                <c:pt idx="3481">
                  <c:v>45490</c:v>
                </c:pt>
                <c:pt idx="3482">
                  <c:v>45491</c:v>
                </c:pt>
                <c:pt idx="3483">
                  <c:v>45492</c:v>
                </c:pt>
                <c:pt idx="3484">
                  <c:v>45493</c:v>
                </c:pt>
                <c:pt idx="3485">
                  <c:v>45494</c:v>
                </c:pt>
                <c:pt idx="3486">
                  <c:v>45495</c:v>
                </c:pt>
                <c:pt idx="3487">
                  <c:v>45496</c:v>
                </c:pt>
                <c:pt idx="3488">
                  <c:v>45497</c:v>
                </c:pt>
                <c:pt idx="3489">
                  <c:v>45498</c:v>
                </c:pt>
                <c:pt idx="3490">
                  <c:v>45499</c:v>
                </c:pt>
                <c:pt idx="3491">
                  <c:v>45500</c:v>
                </c:pt>
                <c:pt idx="3492">
                  <c:v>45501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45507</c:v>
                </c:pt>
                <c:pt idx="3499">
                  <c:v>45508</c:v>
                </c:pt>
                <c:pt idx="3500">
                  <c:v>45509</c:v>
                </c:pt>
                <c:pt idx="3501">
                  <c:v>45510</c:v>
                </c:pt>
                <c:pt idx="3502">
                  <c:v>45511</c:v>
                </c:pt>
                <c:pt idx="3503">
                  <c:v>45512</c:v>
                </c:pt>
                <c:pt idx="3504">
                  <c:v>45513</c:v>
                </c:pt>
                <c:pt idx="3505">
                  <c:v>45514</c:v>
                </c:pt>
                <c:pt idx="3506">
                  <c:v>45515</c:v>
                </c:pt>
                <c:pt idx="3507">
                  <c:v>45516</c:v>
                </c:pt>
                <c:pt idx="3508">
                  <c:v>45517</c:v>
                </c:pt>
                <c:pt idx="3509">
                  <c:v>45518</c:v>
                </c:pt>
                <c:pt idx="3510">
                  <c:v>45519</c:v>
                </c:pt>
                <c:pt idx="3511">
                  <c:v>45520</c:v>
                </c:pt>
                <c:pt idx="3512">
                  <c:v>45521</c:v>
                </c:pt>
                <c:pt idx="3513">
                  <c:v>45522</c:v>
                </c:pt>
                <c:pt idx="3514">
                  <c:v>45523</c:v>
                </c:pt>
                <c:pt idx="3515">
                  <c:v>45524</c:v>
                </c:pt>
                <c:pt idx="3516">
                  <c:v>45525</c:v>
                </c:pt>
                <c:pt idx="3517">
                  <c:v>45526</c:v>
                </c:pt>
                <c:pt idx="3518">
                  <c:v>45527</c:v>
                </c:pt>
                <c:pt idx="3519">
                  <c:v>45528</c:v>
                </c:pt>
                <c:pt idx="3520">
                  <c:v>45529</c:v>
                </c:pt>
                <c:pt idx="3521">
                  <c:v>45530</c:v>
                </c:pt>
                <c:pt idx="3522">
                  <c:v>45531</c:v>
                </c:pt>
                <c:pt idx="3523">
                  <c:v>45532</c:v>
                </c:pt>
                <c:pt idx="3524">
                  <c:v>45533</c:v>
                </c:pt>
                <c:pt idx="3525">
                  <c:v>45534</c:v>
                </c:pt>
                <c:pt idx="3526">
                  <c:v>45535</c:v>
                </c:pt>
                <c:pt idx="3527">
                  <c:v>45536</c:v>
                </c:pt>
                <c:pt idx="3528">
                  <c:v>45537</c:v>
                </c:pt>
                <c:pt idx="3529">
                  <c:v>45538</c:v>
                </c:pt>
                <c:pt idx="3530">
                  <c:v>45539</c:v>
                </c:pt>
                <c:pt idx="3531">
                  <c:v>45540</c:v>
                </c:pt>
                <c:pt idx="3532">
                  <c:v>45541</c:v>
                </c:pt>
                <c:pt idx="3533">
                  <c:v>45542</c:v>
                </c:pt>
                <c:pt idx="3534">
                  <c:v>45543</c:v>
                </c:pt>
                <c:pt idx="3535">
                  <c:v>45544</c:v>
                </c:pt>
                <c:pt idx="3536">
                  <c:v>45545</c:v>
                </c:pt>
                <c:pt idx="3537">
                  <c:v>45546</c:v>
                </c:pt>
                <c:pt idx="3538">
                  <c:v>45547</c:v>
                </c:pt>
                <c:pt idx="3539">
                  <c:v>45548</c:v>
                </c:pt>
                <c:pt idx="3540">
                  <c:v>45549</c:v>
                </c:pt>
                <c:pt idx="3541">
                  <c:v>45550</c:v>
                </c:pt>
                <c:pt idx="3542">
                  <c:v>45551</c:v>
                </c:pt>
                <c:pt idx="3543">
                  <c:v>45552</c:v>
                </c:pt>
                <c:pt idx="3544">
                  <c:v>45553</c:v>
                </c:pt>
                <c:pt idx="3545">
                  <c:v>45554</c:v>
                </c:pt>
                <c:pt idx="3546">
                  <c:v>45555</c:v>
                </c:pt>
                <c:pt idx="3547">
                  <c:v>45556</c:v>
                </c:pt>
                <c:pt idx="3548">
                  <c:v>45557</c:v>
                </c:pt>
                <c:pt idx="3549">
                  <c:v>45558</c:v>
                </c:pt>
                <c:pt idx="3550">
                  <c:v>45559</c:v>
                </c:pt>
                <c:pt idx="3551">
                  <c:v>45560</c:v>
                </c:pt>
                <c:pt idx="3552">
                  <c:v>45561</c:v>
                </c:pt>
                <c:pt idx="3553">
                  <c:v>45562</c:v>
                </c:pt>
                <c:pt idx="3554">
                  <c:v>45563</c:v>
                </c:pt>
                <c:pt idx="3555">
                  <c:v>45564</c:v>
                </c:pt>
                <c:pt idx="3556">
                  <c:v>45565</c:v>
                </c:pt>
                <c:pt idx="3557">
                  <c:v>45566</c:v>
                </c:pt>
                <c:pt idx="3558">
                  <c:v>45567</c:v>
                </c:pt>
                <c:pt idx="3559">
                  <c:v>45568</c:v>
                </c:pt>
                <c:pt idx="3560">
                  <c:v>45569</c:v>
                </c:pt>
                <c:pt idx="3561">
                  <c:v>45570</c:v>
                </c:pt>
                <c:pt idx="3562">
                  <c:v>45571</c:v>
                </c:pt>
                <c:pt idx="3563">
                  <c:v>45572</c:v>
                </c:pt>
                <c:pt idx="3564">
                  <c:v>45573</c:v>
                </c:pt>
                <c:pt idx="3565">
                  <c:v>45574</c:v>
                </c:pt>
                <c:pt idx="3566">
                  <c:v>45575</c:v>
                </c:pt>
                <c:pt idx="3567">
                  <c:v>45576</c:v>
                </c:pt>
                <c:pt idx="3568">
                  <c:v>45577</c:v>
                </c:pt>
                <c:pt idx="3569">
                  <c:v>45578</c:v>
                </c:pt>
                <c:pt idx="3570">
                  <c:v>45579</c:v>
                </c:pt>
                <c:pt idx="3571">
                  <c:v>45580</c:v>
                </c:pt>
                <c:pt idx="3572">
                  <c:v>45581</c:v>
                </c:pt>
                <c:pt idx="3573">
                  <c:v>45582</c:v>
                </c:pt>
                <c:pt idx="3574">
                  <c:v>45583</c:v>
                </c:pt>
                <c:pt idx="3575">
                  <c:v>45584</c:v>
                </c:pt>
                <c:pt idx="3576">
                  <c:v>45585</c:v>
                </c:pt>
                <c:pt idx="3577">
                  <c:v>45586</c:v>
                </c:pt>
                <c:pt idx="3578">
                  <c:v>45587</c:v>
                </c:pt>
                <c:pt idx="3579">
                  <c:v>45588</c:v>
                </c:pt>
                <c:pt idx="3580">
                  <c:v>45589</c:v>
                </c:pt>
                <c:pt idx="3581">
                  <c:v>45590</c:v>
                </c:pt>
                <c:pt idx="3582">
                  <c:v>45591</c:v>
                </c:pt>
                <c:pt idx="3583">
                  <c:v>45592</c:v>
                </c:pt>
                <c:pt idx="3584">
                  <c:v>45593</c:v>
                </c:pt>
                <c:pt idx="3585">
                  <c:v>45594</c:v>
                </c:pt>
                <c:pt idx="3586">
                  <c:v>45595</c:v>
                </c:pt>
                <c:pt idx="3587">
                  <c:v>45596</c:v>
                </c:pt>
                <c:pt idx="3588">
                  <c:v>45597</c:v>
                </c:pt>
                <c:pt idx="3589">
                  <c:v>45598</c:v>
                </c:pt>
                <c:pt idx="3590">
                  <c:v>45599</c:v>
                </c:pt>
                <c:pt idx="3591">
                  <c:v>45600</c:v>
                </c:pt>
                <c:pt idx="3592">
                  <c:v>45601</c:v>
                </c:pt>
                <c:pt idx="3593">
                  <c:v>45602</c:v>
                </c:pt>
                <c:pt idx="3594">
                  <c:v>45603</c:v>
                </c:pt>
                <c:pt idx="3595">
                  <c:v>45604</c:v>
                </c:pt>
                <c:pt idx="3596">
                  <c:v>45605</c:v>
                </c:pt>
                <c:pt idx="3597">
                  <c:v>45606</c:v>
                </c:pt>
                <c:pt idx="3598">
                  <c:v>45607</c:v>
                </c:pt>
                <c:pt idx="3599">
                  <c:v>45608</c:v>
                </c:pt>
                <c:pt idx="3600">
                  <c:v>45609</c:v>
                </c:pt>
                <c:pt idx="3601">
                  <c:v>45610</c:v>
                </c:pt>
                <c:pt idx="3602">
                  <c:v>45611</c:v>
                </c:pt>
                <c:pt idx="3603">
                  <c:v>45612</c:v>
                </c:pt>
                <c:pt idx="3604">
                  <c:v>45613</c:v>
                </c:pt>
                <c:pt idx="3605">
                  <c:v>45614</c:v>
                </c:pt>
                <c:pt idx="3606">
                  <c:v>45615</c:v>
                </c:pt>
                <c:pt idx="3607">
                  <c:v>45616</c:v>
                </c:pt>
                <c:pt idx="3608">
                  <c:v>45617</c:v>
                </c:pt>
                <c:pt idx="3609">
                  <c:v>45618</c:v>
                </c:pt>
                <c:pt idx="3610">
                  <c:v>45619</c:v>
                </c:pt>
                <c:pt idx="3611">
                  <c:v>45620</c:v>
                </c:pt>
                <c:pt idx="3612">
                  <c:v>45621</c:v>
                </c:pt>
                <c:pt idx="3613">
                  <c:v>45622</c:v>
                </c:pt>
                <c:pt idx="3614">
                  <c:v>45623</c:v>
                </c:pt>
                <c:pt idx="3615">
                  <c:v>45624</c:v>
                </c:pt>
                <c:pt idx="3616">
                  <c:v>45625</c:v>
                </c:pt>
                <c:pt idx="3617">
                  <c:v>45626</c:v>
                </c:pt>
                <c:pt idx="3618">
                  <c:v>45627</c:v>
                </c:pt>
                <c:pt idx="3619">
                  <c:v>45628</c:v>
                </c:pt>
                <c:pt idx="3620">
                  <c:v>45629</c:v>
                </c:pt>
                <c:pt idx="3621">
                  <c:v>45630</c:v>
                </c:pt>
                <c:pt idx="3622">
                  <c:v>45631</c:v>
                </c:pt>
                <c:pt idx="3623">
                  <c:v>45632</c:v>
                </c:pt>
                <c:pt idx="3624">
                  <c:v>45633</c:v>
                </c:pt>
                <c:pt idx="3625">
                  <c:v>45634</c:v>
                </c:pt>
                <c:pt idx="3626">
                  <c:v>45635</c:v>
                </c:pt>
                <c:pt idx="3627">
                  <c:v>45636</c:v>
                </c:pt>
                <c:pt idx="3628">
                  <c:v>45637</c:v>
                </c:pt>
                <c:pt idx="3629">
                  <c:v>45638</c:v>
                </c:pt>
                <c:pt idx="3630">
                  <c:v>45639</c:v>
                </c:pt>
                <c:pt idx="3631">
                  <c:v>45640</c:v>
                </c:pt>
                <c:pt idx="3632">
                  <c:v>45641</c:v>
                </c:pt>
                <c:pt idx="3633">
                  <c:v>45642</c:v>
                </c:pt>
                <c:pt idx="3634">
                  <c:v>45643</c:v>
                </c:pt>
                <c:pt idx="3635">
                  <c:v>45644</c:v>
                </c:pt>
                <c:pt idx="3636">
                  <c:v>45645</c:v>
                </c:pt>
                <c:pt idx="3637">
                  <c:v>45646</c:v>
                </c:pt>
                <c:pt idx="3638">
                  <c:v>45647</c:v>
                </c:pt>
                <c:pt idx="3639">
                  <c:v>45648</c:v>
                </c:pt>
                <c:pt idx="3640">
                  <c:v>45649</c:v>
                </c:pt>
                <c:pt idx="3641">
                  <c:v>45650</c:v>
                </c:pt>
                <c:pt idx="3642">
                  <c:v>45651</c:v>
                </c:pt>
                <c:pt idx="3643">
                  <c:v>45652</c:v>
                </c:pt>
                <c:pt idx="3644">
                  <c:v>45653</c:v>
                </c:pt>
                <c:pt idx="3645">
                  <c:v>45654</c:v>
                </c:pt>
                <c:pt idx="3646">
                  <c:v>45655</c:v>
                </c:pt>
                <c:pt idx="3647">
                  <c:v>45656</c:v>
                </c:pt>
                <c:pt idx="3648">
                  <c:v>45657</c:v>
                </c:pt>
                <c:pt idx="3649">
                  <c:v>45658</c:v>
                </c:pt>
                <c:pt idx="3650">
                  <c:v>45659</c:v>
                </c:pt>
                <c:pt idx="3651">
                  <c:v>45660</c:v>
                </c:pt>
                <c:pt idx="3652">
                  <c:v>45661</c:v>
                </c:pt>
                <c:pt idx="3653">
                  <c:v>45662</c:v>
                </c:pt>
                <c:pt idx="3654">
                  <c:v>45663</c:v>
                </c:pt>
                <c:pt idx="3655">
                  <c:v>45664</c:v>
                </c:pt>
                <c:pt idx="3656">
                  <c:v>45665</c:v>
                </c:pt>
                <c:pt idx="3657">
                  <c:v>45666</c:v>
                </c:pt>
                <c:pt idx="3658">
                  <c:v>45667</c:v>
                </c:pt>
                <c:pt idx="3659">
                  <c:v>45668</c:v>
                </c:pt>
                <c:pt idx="3660">
                  <c:v>45669</c:v>
                </c:pt>
                <c:pt idx="3661">
                  <c:v>45670</c:v>
                </c:pt>
                <c:pt idx="3662">
                  <c:v>45671</c:v>
                </c:pt>
                <c:pt idx="3663">
                  <c:v>45672</c:v>
                </c:pt>
                <c:pt idx="3664">
                  <c:v>45673</c:v>
                </c:pt>
                <c:pt idx="3665">
                  <c:v>45674</c:v>
                </c:pt>
                <c:pt idx="3666">
                  <c:v>45675</c:v>
                </c:pt>
                <c:pt idx="3667">
                  <c:v>45676</c:v>
                </c:pt>
                <c:pt idx="3668">
                  <c:v>45677</c:v>
                </c:pt>
                <c:pt idx="3669">
                  <c:v>45678</c:v>
                </c:pt>
                <c:pt idx="3670">
                  <c:v>45679</c:v>
                </c:pt>
                <c:pt idx="3671">
                  <c:v>45680</c:v>
                </c:pt>
                <c:pt idx="3672">
                  <c:v>45681</c:v>
                </c:pt>
                <c:pt idx="3673">
                  <c:v>45682</c:v>
                </c:pt>
                <c:pt idx="3674">
                  <c:v>45683</c:v>
                </c:pt>
                <c:pt idx="3675">
                  <c:v>45684</c:v>
                </c:pt>
                <c:pt idx="3676">
                  <c:v>45685</c:v>
                </c:pt>
                <c:pt idx="3677">
                  <c:v>45686</c:v>
                </c:pt>
                <c:pt idx="3678">
                  <c:v>45687</c:v>
                </c:pt>
                <c:pt idx="3679">
                  <c:v>45688</c:v>
                </c:pt>
                <c:pt idx="3680">
                  <c:v>45689</c:v>
                </c:pt>
                <c:pt idx="3681">
                  <c:v>45690</c:v>
                </c:pt>
                <c:pt idx="3682">
                  <c:v>45691</c:v>
                </c:pt>
                <c:pt idx="3683">
                  <c:v>45692</c:v>
                </c:pt>
                <c:pt idx="3684">
                  <c:v>45693</c:v>
                </c:pt>
                <c:pt idx="3685">
                  <c:v>45694</c:v>
                </c:pt>
                <c:pt idx="3686">
                  <c:v>45695</c:v>
                </c:pt>
                <c:pt idx="3687">
                  <c:v>45696</c:v>
                </c:pt>
                <c:pt idx="3688">
                  <c:v>45697</c:v>
                </c:pt>
                <c:pt idx="3689">
                  <c:v>45698</c:v>
                </c:pt>
                <c:pt idx="3690">
                  <c:v>45699</c:v>
                </c:pt>
                <c:pt idx="3691">
                  <c:v>45700</c:v>
                </c:pt>
                <c:pt idx="3692">
                  <c:v>45701</c:v>
                </c:pt>
                <c:pt idx="3693">
                  <c:v>45702</c:v>
                </c:pt>
                <c:pt idx="3694">
                  <c:v>45703</c:v>
                </c:pt>
                <c:pt idx="3695">
                  <c:v>45704</c:v>
                </c:pt>
                <c:pt idx="3696">
                  <c:v>45705</c:v>
                </c:pt>
                <c:pt idx="3697">
                  <c:v>45706</c:v>
                </c:pt>
                <c:pt idx="3698">
                  <c:v>45707</c:v>
                </c:pt>
                <c:pt idx="3699">
                  <c:v>45708</c:v>
                </c:pt>
                <c:pt idx="3700">
                  <c:v>45709</c:v>
                </c:pt>
                <c:pt idx="3701">
                  <c:v>45710</c:v>
                </c:pt>
                <c:pt idx="3702">
                  <c:v>45711</c:v>
                </c:pt>
                <c:pt idx="3703">
                  <c:v>45712</c:v>
                </c:pt>
                <c:pt idx="3704">
                  <c:v>45713</c:v>
                </c:pt>
                <c:pt idx="3705">
                  <c:v>45714</c:v>
                </c:pt>
                <c:pt idx="3706">
                  <c:v>45715</c:v>
                </c:pt>
                <c:pt idx="3707">
                  <c:v>45716</c:v>
                </c:pt>
                <c:pt idx="3708">
                  <c:v>45717</c:v>
                </c:pt>
                <c:pt idx="3709">
                  <c:v>45718</c:v>
                </c:pt>
                <c:pt idx="3710">
                  <c:v>45719</c:v>
                </c:pt>
                <c:pt idx="3711">
                  <c:v>45720</c:v>
                </c:pt>
                <c:pt idx="3712">
                  <c:v>45721</c:v>
                </c:pt>
                <c:pt idx="3713">
                  <c:v>45722</c:v>
                </c:pt>
                <c:pt idx="3714">
                  <c:v>45723</c:v>
                </c:pt>
                <c:pt idx="3715">
                  <c:v>45724</c:v>
                </c:pt>
                <c:pt idx="3716">
                  <c:v>45725</c:v>
                </c:pt>
                <c:pt idx="3717">
                  <c:v>45726</c:v>
                </c:pt>
                <c:pt idx="3718">
                  <c:v>45727</c:v>
                </c:pt>
                <c:pt idx="3719">
                  <c:v>45728</c:v>
                </c:pt>
                <c:pt idx="3720">
                  <c:v>45729</c:v>
                </c:pt>
                <c:pt idx="3721">
                  <c:v>45730</c:v>
                </c:pt>
                <c:pt idx="3722">
                  <c:v>45731</c:v>
                </c:pt>
                <c:pt idx="3723">
                  <c:v>45732</c:v>
                </c:pt>
                <c:pt idx="3724">
                  <c:v>45733</c:v>
                </c:pt>
                <c:pt idx="3725">
                  <c:v>45734</c:v>
                </c:pt>
                <c:pt idx="3726">
                  <c:v>45735</c:v>
                </c:pt>
                <c:pt idx="3727">
                  <c:v>45736</c:v>
                </c:pt>
                <c:pt idx="3728">
                  <c:v>45737</c:v>
                </c:pt>
                <c:pt idx="3729">
                  <c:v>45738</c:v>
                </c:pt>
                <c:pt idx="3730">
                  <c:v>45739</c:v>
                </c:pt>
                <c:pt idx="3731">
                  <c:v>45740</c:v>
                </c:pt>
                <c:pt idx="3732">
                  <c:v>45741</c:v>
                </c:pt>
                <c:pt idx="3733">
                  <c:v>45742</c:v>
                </c:pt>
                <c:pt idx="3734">
                  <c:v>45743</c:v>
                </c:pt>
                <c:pt idx="3735">
                  <c:v>45744</c:v>
                </c:pt>
                <c:pt idx="3736">
                  <c:v>45745</c:v>
                </c:pt>
                <c:pt idx="3737">
                  <c:v>45746</c:v>
                </c:pt>
                <c:pt idx="3738">
                  <c:v>45747</c:v>
                </c:pt>
                <c:pt idx="3739">
                  <c:v>45748</c:v>
                </c:pt>
                <c:pt idx="3740">
                  <c:v>45749</c:v>
                </c:pt>
                <c:pt idx="3741">
                  <c:v>45750</c:v>
                </c:pt>
                <c:pt idx="3742">
                  <c:v>45751</c:v>
                </c:pt>
                <c:pt idx="3743">
                  <c:v>45752</c:v>
                </c:pt>
                <c:pt idx="3744">
                  <c:v>45753</c:v>
                </c:pt>
                <c:pt idx="3745">
                  <c:v>45754</c:v>
                </c:pt>
                <c:pt idx="3746">
                  <c:v>45755</c:v>
                </c:pt>
                <c:pt idx="3747">
                  <c:v>45756</c:v>
                </c:pt>
                <c:pt idx="3748">
                  <c:v>45757</c:v>
                </c:pt>
                <c:pt idx="3749">
                  <c:v>45758</c:v>
                </c:pt>
                <c:pt idx="3750">
                  <c:v>45759</c:v>
                </c:pt>
                <c:pt idx="3751">
                  <c:v>45760</c:v>
                </c:pt>
                <c:pt idx="3752">
                  <c:v>45761</c:v>
                </c:pt>
                <c:pt idx="3753">
                  <c:v>45762</c:v>
                </c:pt>
                <c:pt idx="3754">
                  <c:v>45763</c:v>
                </c:pt>
                <c:pt idx="3755">
                  <c:v>45764</c:v>
                </c:pt>
                <c:pt idx="3756">
                  <c:v>45765</c:v>
                </c:pt>
                <c:pt idx="3757">
                  <c:v>45766</c:v>
                </c:pt>
                <c:pt idx="3758">
                  <c:v>45767</c:v>
                </c:pt>
                <c:pt idx="3759">
                  <c:v>45768</c:v>
                </c:pt>
                <c:pt idx="3760">
                  <c:v>45769</c:v>
                </c:pt>
                <c:pt idx="3761">
                  <c:v>45770</c:v>
                </c:pt>
                <c:pt idx="3762">
                  <c:v>45771</c:v>
                </c:pt>
                <c:pt idx="3763">
                  <c:v>45772</c:v>
                </c:pt>
                <c:pt idx="3764">
                  <c:v>45773</c:v>
                </c:pt>
                <c:pt idx="3765">
                  <c:v>45774</c:v>
                </c:pt>
                <c:pt idx="3766">
                  <c:v>45775</c:v>
                </c:pt>
                <c:pt idx="3767">
                  <c:v>45776</c:v>
                </c:pt>
                <c:pt idx="3768">
                  <c:v>45777</c:v>
                </c:pt>
                <c:pt idx="3769">
                  <c:v>45778</c:v>
                </c:pt>
                <c:pt idx="3770">
                  <c:v>45779</c:v>
                </c:pt>
                <c:pt idx="3771">
                  <c:v>45780</c:v>
                </c:pt>
                <c:pt idx="3772">
                  <c:v>45781</c:v>
                </c:pt>
                <c:pt idx="3773">
                  <c:v>45782</c:v>
                </c:pt>
                <c:pt idx="3774">
                  <c:v>45783</c:v>
                </c:pt>
                <c:pt idx="3775">
                  <c:v>45784</c:v>
                </c:pt>
                <c:pt idx="3776">
                  <c:v>45785</c:v>
                </c:pt>
                <c:pt idx="3777">
                  <c:v>45786</c:v>
                </c:pt>
                <c:pt idx="3778">
                  <c:v>45787</c:v>
                </c:pt>
                <c:pt idx="3779">
                  <c:v>45788</c:v>
                </c:pt>
                <c:pt idx="3780">
                  <c:v>45789</c:v>
                </c:pt>
                <c:pt idx="3781">
                  <c:v>45790</c:v>
                </c:pt>
                <c:pt idx="3782">
                  <c:v>45791</c:v>
                </c:pt>
                <c:pt idx="3783">
                  <c:v>45792</c:v>
                </c:pt>
                <c:pt idx="3784">
                  <c:v>45793</c:v>
                </c:pt>
                <c:pt idx="3785">
                  <c:v>45794</c:v>
                </c:pt>
                <c:pt idx="3786">
                  <c:v>45795</c:v>
                </c:pt>
                <c:pt idx="3787">
                  <c:v>45796</c:v>
                </c:pt>
                <c:pt idx="3788">
                  <c:v>45797</c:v>
                </c:pt>
                <c:pt idx="3789">
                  <c:v>45798</c:v>
                </c:pt>
                <c:pt idx="3790">
                  <c:v>45799</c:v>
                </c:pt>
                <c:pt idx="3791">
                  <c:v>45800</c:v>
                </c:pt>
                <c:pt idx="3792">
                  <c:v>45801</c:v>
                </c:pt>
                <c:pt idx="3793">
                  <c:v>45802</c:v>
                </c:pt>
                <c:pt idx="3794">
                  <c:v>45803</c:v>
                </c:pt>
                <c:pt idx="3795">
                  <c:v>45804</c:v>
                </c:pt>
                <c:pt idx="3796">
                  <c:v>45805</c:v>
                </c:pt>
                <c:pt idx="3797">
                  <c:v>45806</c:v>
                </c:pt>
                <c:pt idx="3798">
                  <c:v>45807</c:v>
                </c:pt>
                <c:pt idx="3799">
                  <c:v>45808</c:v>
                </c:pt>
                <c:pt idx="3800">
                  <c:v>45809</c:v>
                </c:pt>
                <c:pt idx="3801">
                  <c:v>45810</c:v>
                </c:pt>
                <c:pt idx="3802">
                  <c:v>45811</c:v>
                </c:pt>
                <c:pt idx="3803">
                  <c:v>45812</c:v>
                </c:pt>
                <c:pt idx="3804">
                  <c:v>45813</c:v>
                </c:pt>
                <c:pt idx="3805">
                  <c:v>45814</c:v>
                </c:pt>
                <c:pt idx="3806">
                  <c:v>45815</c:v>
                </c:pt>
                <c:pt idx="3807">
                  <c:v>45816</c:v>
                </c:pt>
                <c:pt idx="3808">
                  <c:v>45817</c:v>
                </c:pt>
                <c:pt idx="3809">
                  <c:v>45818</c:v>
                </c:pt>
                <c:pt idx="3810">
                  <c:v>45819</c:v>
                </c:pt>
                <c:pt idx="3811">
                  <c:v>45820</c:v>
                </c:pt>
                <c:pt idx="3812">
                  <c:v>45821</c:v>
                </c:pt>
                <c:pt idx="3813">
                  <c:v>45822</c:v>
                </c:pt>
                <c:pt idx="3814">
                  <c:v>45823</c:v>
                </c:pt>
                <c:pt idx="3815">
                  <c:v>45824</c:v>
                </c:pt>
                <c:pt idx="3816">
                  <c:v>45825</c:v>
                </c:pt>
                <c:pt idx="3817">
                  <c:v>45826</c:v>
                </c:pt>
                <c:pt idx="3818">
                  <c:v>45827</c:v>
                </c:pt>
                <c:pt idx="3819">
                  <c:v>45828</c:v>
                </c:pt>
                <c:pt idx="3820">
                  <c:v>45829</c:v>
                </c:pt>
                <c:pt idx="3821">
                  <c:v>45830</c:v>
                </c:pt>
                <c:pt idx="3822">
                  <c:v>45831</c:v>
                </c:pt>
                <c:pt idx="3823">
                  <c:v>45832</c:v>
                </c:pt>
                <c:pt idx="3824">
                  <c:v>45833</c:v>
                </c:pt>
                <c:pt idx="3825">
                  <c:v>45834</c:v>
                </c:pt>
                <c:pt idx="3826">
                  <c:v>45835</c:v>
                </c:pt>
                <c:pt idx="3827">
                  <c:v>45836</c:v>
                </c:pt>
                <c:pt idx="3828">
                  <c:v>45837</c:v>
                </c:pt>
                <c:pt idx="3829">
                  <c:v>45838</c:v>
                </c:pt>
                <c:pt idx="3830">
                  <c:v>45839</c:v>
                </c:pt>
                <c:pt idx="3831">
                  <c:v>45840</c:v>
                </c:pt>
                <c:pt idx="3832">
                  <c:v>45841</c:v>
                </c:pt>
                <c:pt idx="3833">
                  <c:v>45842</c:v>
                </c:pt>
                <c:pt idx="3834">
                  <c:v>45843</c:v>
                </c:pt>
                <c:pt idx="3835">
                  <c:v>45844</c:v>
                </c:pt>
                <c:pt idx="3836">
                  <c:v>45845</c:v>
                </c:pt>
                <c:pt idx="3837">
                  <c:v>45846</c:v>
                </c:pt>
                <c:pt idx="3838">
                  <c:v>45847</c:v>
                </c:pt>
                <c:pt idx="3839">
                  <c:v>45848</c:v>
                </c:pt>
                <c:pt idx="3840">
                  <c:v>45849</c:v>
                </c:pt>
                <c:pt idx="3841">
                  <c:v>45850</c:v>
                </c:pt>
                <c:pt idx="3842">
                  <c:v>45851</c:v>
                </c:pt>
                <c:pt idx="3843">
                  <c:v>45852</c:v>
                </c:pt>
                <c:pt idx="3844">
                  <c:v>45853</c:v>
                </c:pt>
                <c:pt idx="3845">
                  <c:v>45854</c:v>
                </c:pt>
                <c:pt idx="3846">
                  <c:v>45855</c:v>
                </c:pt>
                <c:pt idx="3847">
                  <c:v>45856</c:v>
                </c:pt>
                <c:pt idx="3848">
                  <c:v>45857</c:v>
                </c:pt>
                <c:pt idx="3849">
                  <c:v>45858</c:v>
                </c:pt>
                <c:pt idx="3850">
                  <c:v>45859</c:v>
                </c:pt>
                <c:pt idx="3851">
                  <c:v>45860</c:v>
                </c:pt>
                <c:pt idx="3852">
                  <c:v>45861</c:v>
                </c:pt>
                <c:pt idx="3853">
                  <c:v>45862</c:v>
                </c:pt>
                <c:pt idx="3854">
                  <c:v>45863</c:v>
                </c:pt>
                <c:pt idx="3855">
                  <c:v>45864</c:v>
                </c:pt>
                <c:pt idx="3856">
                  <c:v>45865</c:v>
                </c:pt>
                <c:pt idx="3857">
                  <c:v>45866</c:v>
                </c:pt>
                <c:pt idx="3858">
                  <c:v>45867</c:v>
                </c:pt>
                <c:pt idx="3859">
                  <c:v>45868</c:v>
                </c:pt>
                <c:pt idx="3860">
                  <c:v>45869</c:v>
                </c:pt>
                <c:pt idx="3861">
                  <c:v>45870</c:v>
                </c:pt>
                <c:pt idx="3862">
                  <c:v>45871</c:v>
                </c:pt>
                <c:pt idx="3863">
                  <c:v>45872</c:v>
                </c:pt>
                <c:pt idx="3864">
                  <c:v>45873</c:v>
                </c:pt>
                <c:pt idx="3865">
                  <c:v>45874</c:v>
                </c:pt>
                <c:pt idx="3866">
                  <c:v>45875</c:v>
                </c:pt>
                <c:pt idx="3867">
                  <c:v>45876</c:v>
                </c:pt>
                <c:pt idx="3868">
                  <c:v>45877</c:v>
                </c:pt>
                <c:pt idx="3869">
                  <c:v>45878</c:v>
                </c:pt>
                <c:pt idx="3870">
                  <c:v>45879</c:v>
                </c:pt>
                <c:pt idx="3871">
                  <c:v>45880</c:v>
                </c:pt>
                <c:pt idx="3872">
                  <c:v>45881</c:v>
                </c:pt>
                <c:pt idx="3873">
                  <c:v>45882</c:v>
                </c:pt>
                <c:pt idx="3874">
                  <c:v>45883</c:v>
                </c:pt>
                <c:pt idx="3875">
                  <c:v>45884</c:v>
                </c:pt>
                <c:pt idx="3876">
                  <c:v>45885</c:v>
                </c:pt>
                <c:pt idx="3877">
                  <c:v>45886</c:v>
                </c:pt>
                <c:pt idx="3878">
                  <c:v>45887</c:v>
                </c:pt>
                <c:pt idx="3879">
                  <c:v>45888</c:v>
                </c:pt>
                <c:pt idx="3880">
                  <c:v>45889</c:v>
                </c:pt>
                <c:pt idx="3881">
                  <c:v>45890</c:v>
                </c:pt>
                <c:pt idx="3882">
                  <c:v>45891</c:v>
                </c:pt>
                <c:pt idx="3883">
                  <c:v>45892</c:v>
                </c:pt>
                <c:pt idx="3884">
                  <c:v>45893</c:v>
                </c:pt>
                <c:pt idx="3885">
                  <c:v>45894</c:v>
                </c:pt>
                <c:pt idx="3886">
                  <c:v>45895</c:v>
                </c:pt>
                <c:pt idx="3887">
                  <c:v>45896</c:v>
                </c:pt>
                <c:pt idx="3888">
                  <c:v>45897</c:v>
                </c:pt>
                <c:pt idx="3889">
                  <c:v>45898</c:v>
                </c:pt>
                <c:pt idx="3890">
                  <c:v>45899</c:v>
                </c:pt>
                <c:pt idx="3891">
                  <c:v>45900</c:v>
                </c:pt>
                <c:pt idx="3892">
                  <c:v>45901</c:v>
                </c:pt>
                <c:pt idx="3893">
                  <c:v>45902</c:v>
                </c:pt>
                <c:pt idx="3894">
                  <c:v>45903</c:v>
                </c:pt>
                <c:pt idx="3895">
                  <c:v>45904</c:v>
                </c:pt>
                <c:pt idx="3896">
                  <c:v>45905</c:v>
                </c:pt>
                <c:pt idx="3897">
                  <c:v>45906</c:v>
                </c:pt>
                <c:pt idx="3898">
                  <c:v>45907</c:v>
                </c:pt>
                <c:pt idx="3899">
                  <c:v>45908</c:v>
                </c:pt>
                <c:pt idx="3900">
                  <c:v>45909</c:v>
                </c:pt>
                <c:pt idx="3901">
                  <c:v>45910</c:v>
                </c:pt>
                <c:pt idx="3902">
                  <c:v>45911</c:v>
                </c:pt>
                <c:pt idx="3903">
                  <c:v>45912</c:v>
                </c:pt>
                <c:pt idx="3904">
                  <c:v>45913</c:v>
                </c:pt>
                <c:pt idx="3905">
                  <c:v>45914</c:v>
                </c:pt>
                <c:pt idx="3906">
                  <c:v>45915</c:v>
                </c:pt>
                <c:pt idx="3907">
                  <c:v>45916</c:v>
                </c:pt>
                <c:pt idx="3908">
                  <c:v>45917</c:v>
                </c:pt>
                <c:pt idx="3909">
                  <c:v>45918</c:v>
                </c:pt>
                <c:pt idx="3910">
                  <c:v>45919</c:v>
                </c:pt>
                <c:pt idx="3911">
                  <c:v>45920</c:v>
                </c:pt>
                <c:pt idx="3912">
                  <c:v>45921</c:v>
                </c:pt>
                <c:pt idx="3913">
                  <c:v>45922</c:v>
                </c:pt>
                <c:pt idx="3914">
                  <c:v>45923</c:v>
                </c:pt>
                <c:pt idx="3915">
                  <c:v>45924</c:v>
                </c:pt>
                <c:pt idx="3916">
                  <c:v>45925</c:v>
                </c:pt>
                <c:pt idx="3917">
                  <c:v>45926</c:v>
                </c:pt>
                <c:pt idx="3918">
                  <c:v>45927</c:v>
                </c:pt>
                <c:pt idx="3919">
                  <c:v>45928</c:v>
                </c:pt>
                <c:pt idx="3920">
                  <c:v>45929</c:v>
                </c:pt>
                <c:pt idx="3921">
                  <c:v>45930</c:v>
                </c:pt>
                <c:pt idx="3922">
                  <c:v>45931</c:v>
                </c:pt>
                <c:pt idx="3923">
                  <c:v>45932</c:v>
                </c:pt>
                <c:pt idx="3924">
                  <c:v>45933</c:v>
                </c:pt>
                <c:pt idx="3925">
                  <c:v>45934</c:v>
                </c:pt>
                <c:pt idx="3926">
                  <c:v>45935</c:v>
                </c:pt>
                <c:pt idx="3927">
                  <c:v>45936</c:v>
                </c:pt>
                <c:pt idx="3928">
                  <c:v>45937</c:v>
                </c:pt>
                <c:pt idx="3929">
                  <c:v>45938</c:v>
                </c:pt>
                <c:pt idx="3930">
                  <c:v>45939</c:v>
                </c:pt>
                <c:pt idx="3931">
                  <c:v>45940</c:v>
                </c:pt>
                <c:pt idx="3932">
                  <c:v>45941</c:v>
                </c:pt>
                <c:pt idx="3933">
                  <c:v>45942</c:v>
                </c:pt>
                <c:pt idx="3934">
                  <c:v>45943</c:v>
                </c:pt>
                <c:pt idx="3935">
                  <c:v>45944</c:v>
                </c:pt>
                <c:pt idx="3936">
                  <c:v>45945</c:v>
                </c:pt>
                <c:pt idx="3937">
                  <c:v>45946</c:v>
                </c:pt>
                <c:pt idx="3938">
                  <c:v>45947</c:v>
                </c:pt>
                <c:pt idx="3939">
                  <c:v>45948</c:v>
                </c:pt>
                <c:pt idx="3940">
                  <c:v>45949</c:v>
                </c:pt>
                <c:pt idx="3941">
                  <c:v>45950</c:v>
                </c:pt>
                <c:pt idx="3942">
                  <c:v>45951</c:v>
                </c:pt>
                <c:pt idx="3943">
                  <c:v>45952</c:v>
                </c:pt>
                <c:pt idx="3944">
                  <c:v>45953</c:v>
                </c:pt>
                <c:pt idx="3945">
                  <c:v>45954</c:v>
                </c:pt>
                <c:pt idx="3946">
                  <c:v>45955</c:v>
                </c:pt>
                <c:pt idx="3947">
                  <c:v>45956</c:v>
                </c:pt>
                <c:pt idx="3948">
                  <c:v>45957</c:v>
                </c:pt>
                <c:pt idx="3949">
                  <c:v>45958</c:v>
                </c:pt>
                <c:pt idx="3950">
                  <c:v>45959</c:v>
                </c:pt>
                <c:pt idx="3951">
                  <c:v>45960</c:v>
                </c:pt>
                <c:pt idx="3952">
                  <c:v>45961</c:v>
                </c:pt>
                <c:pt idx="3953">
                  <c:v>45962</c:v>
                </c:pt>
                <c:pt idx="3954">
                  <c:v>45963</c:v>
                </c:pt>
                <c:pt idx="3955">
                  <c:v>45964</c:v>
                </c:pt>
                <c:pt idx="3956">
                  <c:v>45965</c:v>
                </c:pt>
                <c:pt idx="3957">
                  <c:v>45966</c:v>
                </c:pt>
                <c:pt idx="3958">
                  <c:v>45967</c:v>
                </c:pt>
                <c:pt idx="3959">
                  <c:v>45968</c:v>
                </c:pt>
                <c:pt idx="3960">
                  <c:v>45969</c:v>
                </c:pt>
                <c:pt idx="3961">
                  <c:v>45970</c:v>
                </c:pt>
                <c:pt idx="3962">
                  <c:v>45971</c:v>
                </c:pt>
                <c:pt idx="3963">
                  <c:v>45972</c:v>
                </c:pt>
                <c:pt idx="3964">
                  <c:v>45973</c:v>
                </c:pt>
                <c:pt idx="3965">
                  <c:v>45974</c:v>
                </c:pt>
                <c:pt idx="3966">
                  <c:v>45975</c:v>
                </c:pt>
                <c:pt idx="3967">
                  <c:v>45976</c:v>
                </c:pt>
                <c:pt idx="3968">
                  <c:v>45977</c:v>
                </c:pt>
                <c:pt idx="3969">
                  <c:v>45978</c:v>
                </c:pt>
                <c:pt idx="3970">
                  <c:v>45979</c:v>
                </c:pt>
                <c:pt idx="3971">
                  <c:v>45980</c:v>
                </c:pt>
                <c:pt idx="3972">
                  <c:v>45981</c:v>
                </c:pt>
                <c:pt idx="3973">
                  <c:v>45982</c:v>
                </c:pt>
                <c:pt idx="3974">
                  <c:v>45983</c:v>
                </c:pt>
                <c:pt idx="3975">
                  <c:v>45984</c:v>
                </c:pt>
                <c:pt idx="3976">
                  <c:v>45985</c:v>
                </c:pt>
                <c:pt idx="3977">
                  <c:v>45986</c:v>
                </c:pt>
                <c:pt idx="3978">
                  <c:v>45987</c:v>
                </c:pt>
                <c:pt idx="3979">
                  <c:v>45988</c:v>
                </c:pt>
                <c:pt idx="3980">
                  <c:v>45989</c:v>
                </c:pt>
                <c:pt idx="3981">
                  <c:v>45990</c:v>
                </c:pt>
                <c:pt idx="3982">
                  <c:v>45991</c:v>
                </c:pt>
                <c:pt idx="3983">
                  <c:v>45992</c:v>
                </c:pt>
                <c:pt idx="3984">
                  <c:v>45993</c:v>
                </c:pt>
                <c:pt idx="3985">
                  <c:v>45994</c:v>
                </c:pt>
                <c:pt idx="3986">
                  <c:v>45995</c:v>
                </c:pt>
                <c:pt idx="3987">
                  <c:v>45996</c:v>
                </c:pt>
                <c:pt idx="3988">
                  <c:v>45997</c:v>
                </c:pt>
                <c:pt idx="3989">
                  <c:v>45998</c:v>
                </c:pt>
                <c:pt idx="3990">
                  <c:v>45999</c:v>
                </c:pt>
                <c:pt idx="3991">
                  <c:v>46000</c:v>
                </c:pt>
                <c:pt idx="3992">
                  <c:v>46001</c:v>
                </c:pt>
                <c:pt idx="3993">
                  <c:v>46002</c:v>
                </c:pt>
                <c:pt idx="3994">
                  <c:v>46003</c:v>
                </c:pt>
                <c:pt idx="3995">
                  <c:v>46004</c:v>
                </c:pt>
                <c:pt idx="3996">
                  <c:v>46005</c:v>
                </c:pt>
                <c:pt idx="3997">
                  <c:v>46006</c:v>
                </c:pt>
                <c:pt idx="3998">
                  <c:v>46007</c:v>
                </c:pt>
                <c:pt idx="3999">
                  <c:v>46008</c:v>
                </c:pt>
                <c:pt idx="4000">
                  <c:v>46009</c:v>
                </c:pt>
                <c:pt idx="4001">
                  <c:v>46010</c:v>
                </c:pt>
                <c:pt idx="4002">
                  <c:v>46011</c:v>
                </c:pt>
                <c:pt idx="4003">
                  <c:v>46012</c:v>
                </c:pt>
                <c:pt idx="4004">
                  <c:v>46013</c:v>
                </c:pt>
                <c:pt idx="4005">
                  <c:v>46014</c:v>
                </c:pt>
                <c:pt idx="4006">
                  <c:v>46015</c:v>
                </c:pt>
                <c:pt idx="4007">
                  <c:v>46016</c:v>
                </c:pt>
                <c:pt idx="4008">
                  <c:v>46017</c:v>
                </c:pt>
                <c:pt idx="4009">
                  <c:v>46018</c:v>
                </c:pt>
                <c:pt idx="4010">
                  <c:v>46019</c:v>
                </c:pt>
                <c:pt idx="4011">
                  <c:v>46020</c:v>
                </c:pt>
                <c:pt idx="4012">
                  <c:v>46021</c:v>
                </c:pt>
                <c:pt idx="4013">
                  <c:v>46022</c:v>
                </c:pt>
                <c:pt idx="4014">
                  <c:v>46023</c:v>
                </c:pt>
                <c:pt idx="4015">
                  <c:v>46024</c:v>
                </c:pt>
                <c:pt idx="4016">
                  <c:v>46025</c:v>
                </c:pt>
                <c:pt idx="4017">
                  <c:v>46026</c:v>
                </c:pt>
                <c:pt idx="4018">
                  <c:v>46027</c:v>
                </c:pt>
                <c:pt idx="4019">
                  <c:v>46028</c:v>
                </c:pt>
                <c:pt idx="4020">
                  <c:v>46029</c:v>
                </c:pt>
                <c:pt idx="4021">
                  <c:v>46030</c:v>
                </c:pt>
                <c:pt idx="4022">
                  <c:v>46031</c:v>
                </c:pt>
                <c:pt idx="4023">
                  <c:v>46032</c:v>
                </c:pt>
                <c:pt idx="4024">
                  <c:v>46033</c:v>
                </c:pt>
                <c:pt idx="4025">
                  <c:v>46034</c:v>
                </c:pt>
                <c:pt idx="4026">
                  <c:v>46035</c:v>
                </c:pt>
                <c:pt idx="4027">
                  <c:v>46036</c:v>
                </c:pt>
                <c:pt idx="4028">
                  <c:v>46037</c:v>
                </c:pt>
                <c:pt idx="4029">
                  <c:v>46038</c:v>
                </c:pt>
                <c:pt idx="4030">
                  <c:v>46039</c:v>
                </c:pt>
                <c:pt idx="4031">
                  <c:v>46040</c:v>
                </c:pt>
                <c:pt idx="4032">
                  <c:v>46041</c:v>
                </c:pt>
                <c:pt idx="4033">
                  <c:v>46042</c:v>
                </c:pt>
                <c:pt idx="4034">
                  <c:v>46043</c:v>
                </c:pt>
                <c:pt idx="4035">
                  <c:v>46044</c:v>
                </c:pt>
                <c:pt idx="4036">
                  <c:v>46045</c:v>
                </c:pt>
                <c:pt idx="4037">
                  <c:v>46046</c:v>
                </c:pt>
                <c:pt idx="4038">
                  <c:v>46047</c:v>
                </c:pt>
                <c:pt idx="4039">
                  <c:v>46048</c:v>
                </c:pt>
                <c:pt idx="4040">
                  <c:v>46049</c:v>
                </c:pt>
                <c:pt idx="4041">
                  <c:v>46050</c:v>
                </c:pt>
                <c:pt idx="4042">
                  <c:v>46051</c:v>
                </c:pt>
                <c:pt idx="4043">
                  <c:v>46052</c:v>
                </c:pt>
                <c:pt idx="4044">
                  <c:v>46053</c:v>
                </c:pt>
                <c:pt idx="4045">
                  <c:v>46054</c:v>
                </c:pt>
                <c:pt idx="4046">
                  <c:v>46055</c:v>
                </c:pt>
                <c:pt idx="4047">
                  <c:v>46056</c:v>
                </c:pt>
                <c:pt idx="4048">
                  <c:v>46057</c:v>
                </c:pt>
                <c:pt idx="4049">
                  <c:v>46058</c:v>
                </c:pt>
                <c:pt idx="4050">
                  <c:v>46059</c:v>
                </c:pt>
                <c:pt idx="4051">
                  <c:v>46060</c:v>
                </c:pt>
                <c:pt idx="4052">
                  <c:v>46061</c:v>
                </c:pt>
                <c:pt idx="4053">
                  <c:v>46062</c:v>
                </c:pt>
                <c:pt idx="4054">
                  <c:v>46063</c:v>
                </c:pt>
                <c:pt idx="4055">
                  <c:v>46064</c:v>
                </c:pt>
                <c:pt idx="4056">
                  <c:v>46065</c:v>
                </c:pt>
                <c:pt idx="4057">
                  <c:v>46066</c:v>
                </c:pt>
                <c:pt idx="4058">
                  <c:v>46067</c:v>
                </c:pt>
                <c:pt idx="4059">
                  <c:v>46068</c:v>
                </c:pt>
                <c:pt idx="4060">
                  <c:v>46069</c:v>
                </c:pt>
                <c:pt idx="4061">
                  <c:v>46070</c:v>
                </c:pt>
                <c:pt idx="4062">
                  <c:v>46071</c:v>
                </c:pt>
                <c:pt idx="4063">
                  <c:v>46072</c:v>
                </c:pt>
                <c:pt idx="4064">
                  <c:v>46073</c:v>
                </c:pt>
                <c:pt idx="4065">
                  <c:v>46074</c:v>
                </c:pt>
                <c:pt idx="4066">
                  <c:v>46075</c:v>
                </c:pt>
                <c:pt idx="4067">
                  <c:v>46076</c:v>
                </c:pt>
                <c:pt idx="4068">
                  <c:v>46077</c:v>
                </c:pt>
                <c:pt idx="4069">
                  <c:v>46078</c:v>
                </c:pt>
                <c:pt idx="4070">
                  <c:v>46079</c:v>
                </c:pt>
                <c:pt idx="4071">
                  <c:v>46080</c:v>
                </c:pt>
                <c:pt idx="4072">
                  <c:v>46081</c:v>
                </c:pt>
                <c:pt idx="4073">
                  <c:v>46082</c:v>
                </c:pt>
                <c:pt idx="4074">
                  <c:v>46083</c:v>
                </c:pt>
                <c:pt idx="4075">
                  <c:v>46084</c:v>
                </c:pt>
                <c:pt idx="4076">
                  <c:v>46085</c:v>
                </c:pt>
                <c:pt idx="4077">
                  <c:v>46086</c:v>
                </c:pt>
                <c:pt idx="4078">
                  <c:v>46087</c:v>
                </c:pt>
                <c:pt idx="4079">
                  <c:v>46088</c:v>
                </c:pt>
                <c:pt idx="4080">
                  <c:v>46089</c:v>
                </c:pt>
                <c:pt idx="4081">
                  <c:v>46090</c:v>
                </c:pt>
                <c:pt idx="4082">
                  <c:v>46091</c:v>
                </c:pt>
                <c:pt idx="4083">
                  <c:v>46092</c:v>
                </c:pt>
                <c:pt idx="4084">
                  <c:v>46093</c:v>
                </c:pt>
                <c:pt idx="4085">
                  <c:v>46094</c:v>
                </c:pt>
                <c:pt idx="4086">
                  <c:v>46095</c:v>
                </c:pt>
                <c:pt idx="4087">
                  <c:v>46096</c:v>
                </c:pt>
                <c:pt idx="4088">
                  <c:v>46097</c:v>
                </c:pt>
                <c:pt idx="4089">
                  <c:v>46098</c:v>
                </c:pt>
                <c:pt idx="4090">
                  <c:v>46099</c:v>
                </c:pt>
                <c:pt idx="4091">
                  <c:v>46100</c:v>
                </c:pt>
                <c:pt idx="4092">
                  <c:v>46101</c:v>
                </c:pt>
                <c:pt idx="4093">
                  <c:v>46102</c:v>
                </c:pt>
                <c:pt idx="4094">
                  <c:v>46103</c:v>
                </c:pt>
                <c:pt idx="4095">
                  <c:v>46104</c:v>
                </c:pt>
                <c:pt idx="4096">
                  <c:v>46105</c:v>
                </c:pt>
                <c:pt idx="4097">
                  <c:v>46106</c:v>
                </c:pt>
                <c:pt idx="4098">
                  <c:v>46107</c:v>
                </c:pt>
                <c:pt idx="4099">
                  <c:v>46108</c:v>
                </c:pt>
                <c:pt idx="4100">
                  <c:v>46109</c:v>
                </c:pt>
                <c:pt idx="4101">
                  <c:v>46110</c:v>
                </c:pt>
                <c:pt idx="4102">
                  <c:v>46111</c:v>
                </c:pt>
                <c:pt idx="4103">
                  <c:v>46112</c:v>
                </c:pt>
                <c:pt idx="4104">
                  <c:v>46113</c:v>
                </c:pt>
                <c:pt idx="4105">
                  <c:v>46114</c:v>
                </c:pt>
                <c:pt idx="4106">
                  <c:v>46115</c:v>
                </c:pt>
                <c:pt idx="4107">
                  <c:v>46116</c:v>
                </c:pt>
                <c:pt idx="4108">
                  <c:v>46117</c:v>
                </c:pt>
                <c:pt idx="4109">
                  <c:v>46118</c:v>
                </c:pt>
                <c:pt idx="4110">
                  <c:v>46119</c:v>
                </c:pt>
                <c:pt idx="4111">
                  <c:v>46120</c:v>
                </c:pt>
                <c:pt idx="4112">
                  <c:v>46121</c:v>
                </c:pt>
                <c:pt idx="4113">
                  <c:v>46122</c:v>
                </c:pt>
                <c:pt idx="4114">
                  <c:v>46123</c:v>
                </c:pt>
                <c:pt idx="4115">
                  <c:v>46124</c:v>
                </c:pt>
                <c:pt idx="4116">
                  <c:v>46125</c:v>
                </c:pt>
                <c:pt idx="4117">
                  <c:v>46126</c:v>
                </c:pt>
                <c:pt idx="4118">
                  <c:v>46127</c:v>
                </c:pt>
                <c:pt idx="4119">
                  <c:v>46128</c:v>
                </c:pt>
                <c:pt idx="4120">
                  <c:v>46129</c:v>
                </c:pt>
                <c:pt idx="4121">
                  <c:v>46130</c:v>
                </c:pt>
                <c:pt idx="4122">
                  <c:v>46131</c:v>
                </c:pt>
                <c:pt idx="4123">
                  <c:v>46132</c:v>
                </c:pt>
                <c:pt idx="4124">
                  <c:v>46133</c:v>
                </c:pt>
                <c:pt idx="4125">
                  <c:v>46134</c:v>
                </c:pt>
                <c:pt idx="4126">
                  <c:v>46135</c:v>
                </c:pt>
                <c:pt idx="4127">
                  <c:v>46136</c:v>
                </c:pt>
                <c:pt idx="4128">
                  <c:v>46137</c:v>
                </c:pt>
                <c:pt idx="4129">
                  <c:v>46138</c:v>
                </c:pt>
                <c:pt idx="4130">
                  <c:v>46139</c:v>
                </c:pt>
                <c:pt idx="4131">
                  <c:v>46140</c:v>
                </c:pt>
                <c:pt idx="4132">
                  <c:v>46141</c:v>
                </c:pt>
                <c:pt idx="4133">
                  <c:v>46142</c:v>
                </c:pt>
                <c:pt idx="4134">
                  <c:v>46143</c:v>
                </c:pt>
                <c:pt idx="4135">
                  <c:v>46144</c:v>
                </c:pt>
                <c:pt idx="4136">
                  <c:v>46145</c:v>
                </c:pt>
                <c:pt idx="4137">
                  <c:v>46146</c:v>
                </c:pt>
                <c:pt idx="4138">
                  <c:v>46147</c:v>
                </c:pt>
                <c:pt idx="4139">
                  <c:v>46148</c:v>
                </c:pt>
                <c:pt idx="4140">
                  <c:v>46149</c:v>
                </c:pt>
                <c:pt idx="4141">
                  <c:v>46150</c:v>
                </c:pt>
                <c:pt idx="4142">
                  <c:v>46151</c:v>
                </c:pt>
                <c:pt idx="4143">
                  <c:v>46152</c:v>
                </c:pt>
                <c:pt idx="4144">
                  <c:v>46153</c:v>
                </c:pt>
                <c:pt idx="4145">
                  <c:v>46154</c:v>
                </c:pt>
                <c:pt idx="4146">
                  <c:v>46155</c:v>
                </c:pt>
                <c:pt idx="4147">
                  <c:v>46156</c:v>
                </c:pt>
                <c:pt idx="4148">
                  <c:v>46157</c:v>
                </c:pt>
                <c:pt idx="4149">
                  <c:v>46158</c:v>
                </c:pt>
                <c:pt idx="4150">
                  <c:v>46159</c:v>
                </c:pt>
                <c:pt idx="4151">
                  <c:v>46160</c:v>
                </c:pt>
                <c:pt idx="4152">
                  <c:v>46161</c:v>
                </c:pt>
                <c:pt idx="4153">
                  <c:v>46162</c:v>
                </c:pt>
                <c:pt idx="4154">
                  <c:v>46163</c:v>
                </c:pt>
                <c:pt idx="4155">
                  <c:v>46164</c:v>
                </c:pt>
                <c:pt idx="4156">
                  <c:v>46165</c:v>
                </c:pt>
                <c:pt idx="4157">
                  <c:v>46166</c:v>
                </c:pt>
                <c:pt idx="4158">
                  <c:v>46167</c:v>
                </c:pt>
                <c:pt idx="4159">
                  <c:v>46168</c:v>
                </c:pt>
                <c:pt idx="4160">
                  <c:v>46169</c:v>
                </c:pt>
                <c:pt idx="4161">
                  <c:v>46170</c:v>
                </c:pt>
                <c:pt idx="4162">
                  <c:v>46171</c:v>
                </c:pt>
                <c:pt idx="4163">
                  <c:v>46172</c:v>
                </c:pt>
                <c:pt idx="4164">
                  <c:v>46173</c:v>
                </c:pt>
                <c:pt idx="4165">
                  <c:v>46174</c:v>
                </c:pt>
                <c:pt idx="4166">
                  <c:v>46175</c:v>
                </c:pt>
                <c:pt idx="4167">
                  <c:v>46176</c:v>
                </c:pt>
                <c:pt idx="4168">
                  <c:v>46177</c:v>
                </c:pt>
                <c:pt idx="4169">
                  <c:v>46178</c:v>
                </c:pt>
                <c:pt idx="4170">
                  <c:v>46179</c:v>
                </c:pt>
                <c:pt idx="4171">
                  <c:v>46180</c:v>
                </c:pt>
                <c:pt idx="4172">
                  <c:v>46181</c:v>
                </c:pt>
                <c:pt idx="4173">
                  <c:v>46182</c:v>
                </c:pt>
                <c:pt idx="4174">
                  <c:v>46183</c:v>
                </c:pt>
                <c:pt idx="4175">
                  <c:v>46184</c:v>
                </c:pt>
                <c:pt idx="4176">
                  <c:v>46185</c:v>
                </c:pt>
                <c:pt idx="4177">
                  <c:v>46186</c:v>
                </c:pt>
                <c:pt idx="4178">
                  <c:v>46187</c:v>
                </c:pt>
                <c:pt idx="4179">
                  <c:v>46188</c:v>
                </c:pt>
                <c:pt idx="4180">
                  <c:v>46189</c:v>
                </c:pt>
                <c:pt idx="4181">
                  <c:v>46190</c:v>
                </c:pt>
                <c:pt idx="4182">
                  <c:v>46191</c:v>
                </c:pt>
                <c:pt idx="4183">
                  <c:v>46192</c:v>
                </c:pt>
                <c:pt idx="4184">
                  <c:v>46193</c:v>
                </c:pt>
                <c:pt idx="4185">
                  <c:v>46194</c:v>
                </c:pt>
                <c:pt idx="4186">
                  <c:v>46195</c:v>
                </c:pt>
                <c:pt idx="4187">
                  <c:v>46196</c:v>
                </c:pt>
                <c:pt idx="4188">
                  <c:v>46197</c:v>
                </c:pt>
                <c:pt idx="4189">
                  <c:v>46198</c:v>
                </c:pt>
                <c:pt idx="4190">
                  <c:v>46199</c:v>
                </c:pt>
                <c:pt idx="4191">
                  <c:v>46200</c:v>
                </c:pt>
                <c:pt idx="4192">
                  <c:v>46201</c:v>
                </c:pt>
                <c:pt idx="4193">
                  <c:v>46202</c:v>
                </c:pt>
                <c:pt idx="4194">
                  <c:v>46203</c:v>
                </c:pt>
                <c:pt idx="4195">
                  <c:v>46204</c:v>
                </c:pt>
                <c:pt idx="4196">
                  <c:v>46205</c:v>
                </c:pt>
                <c:pt idx="4197">
                  <c:v>46206</c:v>
                </c:pt>
                <c:pt idx="4198">
                  <c:v>46207</c:v>
                </c:pt>
                <c:pt idx="4199">
                  <c:v>46208</c:v>
                </c:pt>
                <c:pt idx="4200">
                  <c:v>46209</c:v>
                </c:pt>
                <c:pt idx="4201">
                  <c:v>46210</c:v>
                </c:pt>
                <c:pt idx="4202">
                  <c:v>46211</c:v>
                </c:pt>
                <c:pt idx="4203">
                  <c:v>46212</c:v>
                </c:pt>
                <c:pt idx="4204">
                  <c:v>46213</c:v>
                </c:pt>
                <c:pt idx="4205">
                  <c:v>46214</c:v>
                </c:pt>
                <c:pt idx="4206">
                  <c:v>46215</c:v>
                </c:pt>
                <c:pt idx="4207">
                  <c:v>46216</c:v>
                </c:pt>
                <c:pt idx="4208">
                  <c:v>46217</c:v>
                </c:pt>
                <c:pt idx="4209">
                  <c:v>46218</c:v>
                </c:pt>
                <c:pt idx="4210">
                  <c:v>46219</c:v>
                </c:pt>
                <c:pt idx="4211">
                  <c:v>46220</c:v>
                </c:pt>
                <c:pt idx="4212">
                  <c:v>46221</c:v>
                </c:pt>
                <c:pt idx="4213">
                  <c:v>46222</c:v>
                </c:pt>
                <c:pt idx="4214">
                  <c:v>46223</c:v>
                </c:pt>
                <c:pt idx="4215">
                  <c:v>46224</c:v>
                </c:pt>
                <c:pt idx="4216">
                  <c:v>46225</c:v>
                </c:pt>
                <c:pt idx="4217">
                  <c:v>46226</c:v>
                </c:pt>
                <c:pt idx="4218">
                  <c:v>46227</c:v>
                </c:pt>
                <c:pt idx="4219">
                  <c:v>46228</c:v>
                </c:pt>
                <c:pt idx="4220">
                  <c:v>46229</c:v>
                </c:pt>
                <c:pt idx="4221">
                  <c:v>46230</c:v>
                </c:pt>
                <c:pt idx="4222">
                  <c:v>46231</c:v>
                </c:pt>
                <c:pt idx="4223">
                  <c:v>46232</c:v>
                </c:pt>
                <c:pt idx="4224">
                  <c:v>46233</c:v>
                </c:pt>
                <c:pt idx="4225">
                  <c:v>46234</c:v>
                </c:pt>
                <c:pt idx="4226">
                  <c:v>46235</c:v>
                </c:pt>
                <c:pt idx="4227">
                  <c:v>46236</c:v>
                </c:pt>
                <c:pt idx="4228">
                  <c:v>46237</c:v>
                </c:pt>
                <c:pt idx="4229">
                  <c:v>46238</c:v>
                </c:pt>
                <c:pt idx="4230">
                  <c:v>46239</c:v>
                </c:pt>
                <c:pt idx="4231">
                  <c:v>46240</c:v>
                </c:pt>
                <c:pt idx="4232">
                  <c:v>46241</c:v>
                </c:pt>
                <c:pt idx="4233">
                  <c:v>46242</c:v>
                </c:pt>
                <c:pt idx="4234">
                  <c:v>46243</c:v>
                </c:pt>
                <c:pt idx="4235">
                  <c:v>46244</c:v>
                </c:pt>
                <c:pt idx="4236">
                  <c:v>46245</c:v>
                </c:pt>
                <c:pt idx="4237">
                  <c:v>46246</c:v>
                </c:pt>
                <c:pt idx="4238">
                  <c:v>46247</c:v>
                </c:pt>
                <c:pt idx="4239">
                  <c:v>46248</c:v>
                </c:pt>
                <c:pt idx="4240">
                  <c:v>46249</c:v>
                </c:pt>
                <c:pt idx="4241">
                  <c:v>46250</c:v>
                </c:pt>
                <c:pt idx="4242">
                  <c:v>46251</c:v>
                </c:pt>
                <c:pt idx="4243">
                  <c:v>46252</c:v>
                </c:pt>
                <c:pt idx="4244">
                  <c:v>46253</c:v>
                </c:pt>
                <c:pt idx="4245">
                  <c:v>46254</c:v>
                </c:pt>
                <c:pt idx="4246">
                  <c:v>46255</c:v>
                </c:pt>
                <c:pt idx="4247">
                  <c:v>46256</c:v>
                </c:pt>
                <c:pt idx="4248">
                  <c:v>46257</c:v>
                </c:pt>
                <c:pt idx="4249">
                  <c:v>46258</c:v>
                </c:pt>
                <c:pt idx="4250">
                  <c:v>46259</c:v>
                </c:pt>
                <c:pt idx="4251">
                  <c:v>46260</c:v>
                </c:pt>
                <c:pt idx="4252">
                  <c:v>46261</c:v>
                </c:pt>
                <c:pt idx="4253">
                  <c:v>46262</c:v>
                </c:pt>
                <c:pt idx="4254">
                  <c:v>46263</c:v>
                </c:pt>
                <c:pt idx="4255">
                  <c:v>46264</c:v>
                </c:pt>
                <c:pt idx="4256">
                  <c:v>46265</c:v>
                </c:pt>
                <c:pt idx="4257">
                  <c:v>46266</c:v>
                </c:pt>
                <c:pt idx="4258">
                  <c:v>46267</c:v>
                </c:pt>
                <c:pt idx="4259">
                  <c:v>46268</c:v>
                </c:pt>
                <c:pt idx="4260">
                  <c:v>46269</c:v>
                </c:pt>
                <c:pt idx="4261">
                  <c:v>46270</c:v>
                </c:pt>
                <c:pt idx="4262">
                  <c:v>46271</c:v>
                </c:pt>
                <c:pt idx="4263">
                  <c:v>46272</c:v>
                </c:pt>
                <c:pt idx="4264">
                  <c:v>46273</c:v>
                </c:pt>
                <c:pt idx="4265">
                  <c:v>46274</c:v>
                </c:pt>
                <c:pt idx="4266">
                  <c:v>46275</c:v>
                </c:pt>
                <c:pt idx="4267">
                  <c:v>46276</c:v>
                </c:pt>
                <c:pt idx="4268">
                  <c:v>46277</c:v>
                </c:pt>
                <c:pt idx="4269">
                  <c:v>46278</c:v>
                </c:pt>
                <c:pt idx="4270">
                  <c:v>46279</c:v>
                </c:pt>
                <c:pt idx="4271">
                  <c:v>46280</c:v>
                </c:pt>
                <c:pt idx="4272">
                  <c:v>46281</c:v>
                </c:pt>
                <c:pt idx="4273">
                  <c:v>46282</c:v>
                </c:pt>
                <c:pt idx="4274">
                  <c:v>46283</c:v>
                </c:pt>
                <c:pt idx="4275">
                  <c:v>46284</c:v>
                </c:pt>
                <c:pt idx="4276">
                  <c:v>46285</c:v>
                </c:pt>
                <c:pt idx="4277">
                  <c:v>46286</c:v>
                </c:pt>
                <c:pt idx="4278">
                  <c:v>46287</c:v>
                </c:pt>
                <c:pt idx="4279">
                  <c:v>46288</c:v>
                </c:pt>
                <c:pt idx="4280">
                  <c:v>46289</c:v>
                </c:pt>
                <c:pt idx="4281">
                  <c:v>46290</c:v>
                </c:pt>
                <c:pt idx="4282">
                  <c:v>46291</c:v>
                </c:pt>
                <c:pt idx="4283">
                  <c:v>46292</c:v>
                </c:pt>
                <c:pt idx="4284">
                  <c:v>46293</c:v>
                </c:pt>
                <c:pt idx="4285">
                  <c:v>46294</c:v>
                </c:pt>
                <c:pt idx="4286">
                  <c:v>46295</c:v>
                </c:pt>
                <c:pt idx="4287">
                  <c:v>46296</c:v>
                </c:pt>
                <c:pt idx="4288">
                  <c:v>46297</c:v>
                </c:pt>
                <c:pt idx="4289">
                  <c:v>46298</c:v>
                </c:pt>
                <c:pt idx="4290">
                  <c:v>46299</c:v>
                </c:pt>
                <c:pt idx="4291">
                  <c:v>46300</c:v>
                </c:pt>
                <c:pt idx="4292">
                  <c:v>46301</c:v>
                </c:pt>
                <c:pt idx="4293">
                  <c:v>46302</c:v>
                </c:pt>
                <c:pt idx="4294">
                  <c:v>46303</c:v>
                </c:pt>
                <c:pt idx="4295">
                  <c:v>46304</c:v>
                </c:pt>
                <c:pt idx="4296">
                  <c:v>46305</c:v>
                </c:pt>
                <c:pt idx="4297">
                  <c:v>46306</c:v>
                </c:pt>
                <c:pt idx="4298">
                  <c:v>46307</c:v>
                </c:pt>
                <c:pt idx="4299">
                  <c:v>46308</c:v>
                </c:pt>
                <c:pt idx="4300">
                  <c:v>46309</c:v>
                </c:pt>
                <c:pt idx="4301">
                  <c:v>46310</c:v>
                </c:pt>
                <c:pt idx="4302">
                  <c:v>46311</c:v>
                </c:pt>
                <c:pt idx="4303">
                  <c:v>46312</c:v>
                </c:pt>
                <c:pt idx="4304">
                  <c:v>46313</c:v>
                </c:pt>
                <c:pt idx="4305">
                  <c:v>46314</c:v>
                </c:pt>
                <c:pt idx="4306">
                  <c:v>46315</c:v>
                </c:pt>
                <c:pt idx="4307">
                  <c:v>46316</c:v>
                </c:pt>
                <c:pt idx="4308">
                  <c:v>46317</c:v>
                </c:pt>
                <c:pt idx="4309">
                  <c:v>46318</c:v>
                </c:pt>
                <c:pt idx="4310">
                  <c:v>46319</c:v>
                </c:pt>
                <c:pt idx="4311">
                  <c:v>46320</c:v>
                </c:pt>
                <c:pt idx="4312">
                  <c:v>46321</c:v>
                </c:pt>
              </c:numCache>
            </c:numRef>
          </c:xVal>
          <c:yVal>
            <c:numRef>
              <c:f>Clean_Data!$C$2:$C$4314</c:f>
              <c:numCache>
                <c:formatCode>\$#,##0.00</c:formatCode>
                <c:ptCount val="4313"/>
                <c:pt idx="0">
                  <c:v>370</c:v>
                </c:pt>
                <c:pt idx="1">
                  <c:v>378</c:v>
                </c:pt>
                <c:pt idx="2">
                  <c:v>378</c:v>
                </c:pt>
                <c:pt idx="3">
                  <c:v>377.1</c:v>
                </c:pt>
                <c:pt idx="4">
                  <c:v>378</c:v>
                </c:pt>
                <c:pt idx="5">
                  <c:v>375</c:v>
                </c:pt>
                <c:pt idx="6">
                  <c:v>360.5</c:v>
                </c:pt>
                <c:pt idx="7">
                  <c:v>350</c:v>
                </c:pt>
                <c:pt idx="8">
                  <c:v>340</c:v>
                </c:pt>
                <c:pt idx="9">
                  <c:v>288.99</c:v>
                </c:pt>
                <c:pt idx="10">
                  <c:v>260</c:v>
                </c:pt>
                <c:pt idx="11">
                  <c:v>120</c:v>
                </c:pt>
                <c:pt idx="12">
                  <c:v>204.22</c:v>
                </c:pt>
                <c:pt idx="13">
                  <c:v>199.46</c:v>
                </c:pt>
                <c:pt idx="14">
                  <c:v>184</c:v>
                </c:pt>
                <c:pt idx="15">
                  <c:v>225.51</c:v>
                </c:pt>
                <c:pt idx="16">
                  <c:v>218</c:v>
                </c:pt>
                <c:pt idx="17">
                  <c:v>225.51</c:v>
                </c:pt>
                <c:pt idx="18">
                  <c:v>226.32</c:v>
                </c:pt>
                <c:pt idx="19">
                  <c:v>235</c:v>
                </c:pt>
                <c:pt idx="20">
                  <c:v>240</c:v>
                </c:pt>
                <c:pt idx="21">
                  <c:v>254.53</c:v>
                </c:pt>
                <c:pt idx="22">
                  <c:v>274.48</c:v>
                </c:pt>
                <c:pt idx="23">
                  <c:v>263.65</c:v>
                </c:pt>
                <c:pt idx="24">
                  <c:v>236.09</c:v>
                </c:pt>
                <c:pt idx="25">
                  <c:v>235.03</c:v>
                </c:pt>
                <c:pt idx="26">
                  <c:v>229.07</c:v>
                </c:pt>
                <c:pt idx="27">
                  <c:v>218.45</c:v>
                </c:pt>
                <c:pt idx="28">
                  <c:v>228.99</c:v>
                </c:pt>
                <c:pt idx="29">
                  <c:v>237.83</c:v>
                </c:pt>
                <c:pt idx="30">
                  <c:v>228.58</c:v>
                </c:pt>
                <c:pt idx="31">
                  <c:v>227.11</c:v>
                </c:pt>
                <c:pt idx="32">
                  <c:v>216.76</c:v>
                </c:pt>
                <c:pt idx="33">
                  <c:v>223.2</c:v>
                </c:pt>
                <c:pt idx="34">
                  <c:v>229</c:v>
                </c:pt>
                <c:pt idx="35">
                  <c:v>223.99</c:v>
                </c:pt>
                <c:pt idx="36">
                  <c:v>221.1</c:v>
                </c:pt>
                <c:pt idx="37">
                  <c:v>220.87</c:v>
                </c:pt>
                <c:pt idx="38">
                  <c:v>219.81</c:v>
                </c:pt>
                <c:pt idx="39">
                  <c:v>223.21</c:v>
                </c:pt>
                <c:pt idx="40">
                  <c:v>236.49</c:v>
                </c:pt>
                <c:pt idx="41">
                  <c:v>256.66</c:v>
                </c:pt>
                <c:pt idx="42">
                  <c:v>235.54</c:v>
                </c:pt>
                <c:pt idx="43">
                  <c:v>234.68</c:v>
                </c:pt>
                <c:pt idx="44">
                  <c:v>244.82</c:v>
                </c:pt>
                <c:pt idx="45">
                  <c:v>237.49</c:v>
                </c:pt>
                <c:pt idx="46">
                  <c:v>240.9</c:v>
                </c:pt>
                <c:pt idx="47">
                  <c:v>245.34</c:v>
                </c:pt>
                <c:pt idx="48">
                  <c:v>245.99</c:v>
                </c:pt>
                <c:pt idx="49">
                  <c:v>236.83</c:v>
                </c:pt>
                <c:pt idx="50">
                  <c:v>239.49</c:v>
                </c:pt>
                <c:pt idx="51">
                  <c:v>239.87</c:v>
                </c:pt>
                <c:pt idx="52">
                  <c:v>238.19</c:v>
                </c:pt>
                <c:pt idx="53">
                  <c:v>237.11</c:v>
                </c:pt>
                <c:pt idx="54">
                  <c:v>254.42</c:v>
                </c:pt>
                <c:pt idx="55">
                  <c:v>255.59</c:v>
                </c:pt>
                <c:pt idx="56">
                  <c:v>260.24</c:v>
                </c:pt>
                <c:pt idx="57">
                  <c:v>276.7</c:v>
                </c:pt>
                <c:pt idx="58">
                  <c:v>283.27</c:v>
                </c:pt>
                <c:pt idx="59">
                  <c:v>273.37</c:v>
                </c:pt>
                <c:pt idx="60">
                  <c:v>276.86</c:v>
                </c:pt>
                <c:pt idx="61">
                  <c:v>273.23</c:v>
                </c:pt>
                <c:pt idx="62">
                  <c:v>276.89</c:v>
                </c:pt>
                <c:pt idx="63">
                  <c:v>275.5</c:v>
                </c:pt>
                <c:pt idx="64">
                  <c:v>290.19</c:v>
                </c:pt>
                <c:pt idx="65">
                  <c:v>293.47</c:v>
                </c:pt>
                <c:pt idx="66">
                  <c:v>296.99</c:v>
                </c:pt>
                <c:pt idx="67">
                  <c:v>296.05</c:v>
                </c:pt>
                <c:pt idx="68">
                  <c:v>284</c:v>
                </c:pt>
                <c:pt idx="69">
                  <c:v>283.95</c:v>
                </c:pt>
                <c:pt idx="70">
                  <c:v>288</c:v>
                </c:pt>
                <c:pt idx="71">
                  <c:v>292.37</c:v>
                </c:pt>
                <c:pt idx="72">
                  <c:v>286.74</c:v>
                </c:pt>
                <c:pt idx="73">
                  <c:v>258.5</c:v>
                </c:pt>
                <c:pt idx="74">
                  <c:v>263.05</c:v>
                </c:pt>
                <c:pt idx="75">
                  <c:v>263.31</c:v>
                </c:pt>
                <c:pt idx="76">
                  <c:v>261.9</c:v>
                </c:pt>
                <c:pt idx="77">
                  <c:v>269.45</c:v>
                </c:pt>
                <c:pt idx="78">
                  <c:v>267.53</c:v>
                </c:pt>
                <c:pt idx="79">
                  <c:v>246.15</c:v>
                </c:pt>
                <c:pt idx="80">
                  <c:v>246.88</c:v>
                </c:pt>
                <c:pt idx="81">
                  <c:v>249.88</c:v>
                </c:pt>
                <c:pt idx="82">
                  <c:v>247.81</c:v>
                </c:pt>
                <c:pt idx="83">
                  <c:v>253.52</c:v>
                </c:pt>
                <c:pt idx="84">
                  <c:v>243.69</c:v>
                </c:pt>
                <c:pt idx="85">
                  <c:v>248.78</c:v>
                </c:pt>
                <c:pt idx="86">
                  <c:v>245.5</c:v>
                </c:pt>
                <c:pt idx="87">
                  <c:v>247.87</c:v>
                </c:pt>
                <c:pt idx="88">
                  <c:v>254.39</c:v>
                </c:pt>
                <c:pt idx="89">
                  <c:v>254.84</c:v>
                </c:pt>
                <c:pt idx="90">
                  <c:v>254.36</c:v>
                </c:pt>
                <c:pt idx="91">
                  <c:v>261.47</c:v>
                </c:pt>
                <c:pt idx="92">
                  <c:v>256.85</c:v>
                </c:pt>
                <c:pt idx="93">
                  <c:v>254.27</c:v>
                </c:pt>
                <c:pt idx="94">
                  <c:v>246.58</c:v>
                </c:pt>
                <c:pt idx="95">
                  <c:v>244.74</c:v>
                </c:pt>
                <c:pt idx="96">
                  <c:v>236.78</c:v>
                </c:pt>
                <c:pt idx="97">
                  <c:v>237.91</c:v>
                </c:pt>
                <c:pt idx="98">
                  <c:v>237.55</c:v>
                </c:pt>
                <c:pt idx="99">
                  <c:v>225.73</c:v>
                </c:pt>
                <c:pt idx="100">
                  <c:v>221.05</c:v>
                </c:pt>
                <c:pt idx="101">
                  <c:v>224.35</c:v>
                </c:pt>
                <c:pt idx="102">
                  <c:v>229.45</c:v>
                </c:pt>
                <c:pt idx="103">
                  <c:v>223.62</c:v>
                </c:pt>
                <c:pt idx="104">
                  <c:v>224.02</c:v>
                </c:pt>
                <c:pt idx="105">
                  <c:v>224.03</c:v>
                </c:pt>
                <c:pt idx="106">
                  <c:v>225.37</c:v>
                </c:pt>
                <c:pt idx="107">
                  <c:v>235.89</c:v>
                </c:pt>
                <c:pt idx="108">
                  <c:v>233.98</c:v>
                </c:pt>
                <c:pt idx="109">
                  <c:v>235.99</c:v>
                </c:pt>
                <c:pt idx="110">
                  <c:v>231.51</c:v>
                </c:pt>
                <c:pt idx="111">
                  <c:v>227.05</c:v>
                </c:pt>
                <c:pt idx="112">
                  <c:v>221.27</c:v>
                </c:pt>
                <c:pt idx="113">
                  <c:v>227.58</c:v>
                </c:pt>
                <c:pt idx="114">
                  <c:v>225.64</c:v>
                </c:pt>
                <c:pt idx="115">
                  <c:v>225.6</c:v>
                </c:pt>
                <c:pt idx="116">
                  <c:v>236.81</c:v>
                </c:pt>
                <c:pt idx="117">
                  <c:v>233.14</c:v>
                </c:pt>
                <c:pt idx="118">
                  <c:v>235.94</c:v>
                </c:pt>
                <c:pt idx="119">
                  <c:v>240.78</c:v>
                </c:pt>
                <c:pt idx="120">
                  <c:v>239.75</c:v>
                </c:pt>
                <c:pt idx="121">
                  <c:v>236.76</c:v>
                </c:pt>
                <c:pt idx="122">
                  <c:v>230</c:v>
                </c:pt>
                <c:pt idx="123">
                  <c:v>237.99</c:v>
                </c:pt>
                <c:pt idx="124">
                  <c:v>244.54</c:v>
                </c:pt>
                <c:pt idx="125">
                  <c:v>242.5</c:v>
                </c:pt>
                <c:pt idx="126">
                  <c:v>241.57</c:v>
                </c:pt>
                <c:pt idx="127">
                  <c:v>242.86</c:v>
                </c:pt>
                <c:pt idx="128">
                  <c:v>242.03</c:v>
                </c:pt>
                <c:pt idx="129">
                  <c:v>236.32</c:v>
                </c:pt>
                <c:pt idx="130">
                  <c:v>237.46</c:v>
                </c:pt>
                <c:pt idx="131">
                  <c:v>237.82</c:v>
                </c:pt>
                <c:pt idx="132">
                  <c:v>236.73</c:v>
                </c:pt>
                <c:pt idx="133">
                  <c:v>237.12</c:v>
                </c:pt>
                <c:pt idx="134">
                  <c:v>234.04</c:v>
                </c:pt>
                <c:pt idx="135">
                  <c:v>232.59</c:v>
                </c:pt>
                <c:pt idx="136">
                  <c:v>234.54</c:v>
                </c:pt>
                <c:pt idx="137">
                  <c:v>235.77</c:v>
                </c:pt>
                <c:pt idx="138">
                  <c:v>240.45</c:v>
                </c:pt>
                <c:pt idx="139">
                  <c:v>239.36</c:v>
                </c:pt>
                <c:pt idx="140">
                  <c:v>240.82</c:v>
                </c:pt>
                <c:pt idx="141">
                  <c:v>237.43</c:v>
                </c:pt>
                <c:pt idx="142">
                  <c:v>236.79</c:v>
                </c:pt>
                <c:pt idx="143">
                  <c:v>237.35</c:v>
                </c:pt>
                <c:pt idx="144">
                  <c:v>237.34</c:v>
                </c:pt>
                <c:pt idx="145">
                  <c:v>236.89</c:v>
                </c:pt>
                <c:pt idx="146">
                  <c:v>233.55</c:v>
                </c:pt>
                <c:pt idx="147">
                  <c:v>230.21</c:v>
                </c:pt>
                <c:pt idx="148">
                  <c:v>223.56</c:v>
                </c:pt>
                <c:pt idx="149">
                  <c:v>225.85</c:v>
                </c:pt>
                <c:pt idx="150">
                  <c:v>225.86</c:v>
                </c:pt>
                <c:pt idx="151">
                  <c:v>224.57</c:v>
                </c:pt>
                <c:pt idx="152">
                  <c:v>224.97</c:v>
                </c:pt>
                <c:pt idx="153">
                  <c:v>225.48</c:v>
                </c:pt>
                <c:pt idx="154">
                  <c:v>223.89</c:v>
                </c:pt>
                <c:pt idx="155">
                  <c:v>229.1</c:v>
                </c:pt>
                <c:pt idx="156">
                  <c:v>229.18</c:v>
                </c:pt>
                <c:pt idx="157">
                  <c:v>228.73</c:v>
                </c:pt>
                <c:pt idx="158">
                  <c:v>229.69</c:v>
                </c:pt>
                <c:pt idx="159">
                  <c:v>229.47</c:v>
                </c:pt>
                <c:pt idx="160">
                  <c:v>233.47</c:v>
                </c:pt>
                <c:pt idx="161">
                  <c:v>233.6</c:v>
                </c:pt>
                <c:pt idx="162">
                  <c:v>236.99</c:v>
                </c:pt>
                <c:pt idx="163">
                  <c:v>251.91</c:v>
                </c:pt>
                <c:pt idx="164">
                  <c:v>250.25</c:v>
                </c:pt>
                <c:pt idx="165">
                  <c:v>249.27</c:v>
                </c:pt>
                <c:pt idx="166">
                  <c:v>246.33</c:v>
                </c:pt>
                <c:pt idx="167">
                  <c:v>246.13</c:v>
                </c:pt>
                <c:pt idx="168">
                  <c:v>244.66</c:v>
                </c:pt>
                <c:pt idx="169">
                  <c:v>247.5</c:v>
                </c:pt>
                <c:pt idx="170">
                  <c:v>244.52</c:v>
                </c:pt>
                <c:pt idx="171">
                  <c:v>240.04</c:v>
                </c:pt>
                <c:pt idx="172">
                  <c:v>242.44</c:v>
                </c:pt>
                <c:pt idx="173">
                  <c:v>243</c:v>
                </c:pt>
                <c:pt idx="174">
                  <c:v>251.59</c:v>
                </c:pt>
                <c:pt idx="175">
                  <c:v>249.11</c:v>
                </c:pt>
                <c:pt idx="176">
                  <c:v>257.54</c:v>
                </c:pt>
                <c:pt idx="177">
                  <c:v>263.82</c:v>
                </c:pt>
                <c:pt idx="178">
                  <c:v>259.02</c:v>
                </c:pt>
                <c:pt idx="179">
                  <c:v>254.85</c:v>
                </c:pt>
                <c:pt idx="180">
                  <c:v>256.95</c:v>
                </c:pt>
                <c:pt idx="181">
                  <c:v>260.64</c:v>
                </c:pt>
                <c:pt idx="182">
                  <c:v>271.74</c:v>
                </c:pt>
                <c:pt idx="183">
                  <c:v>269.94</c:v>
                </c:pt>
                <c:pt idx="184">
                  <c:v>266.18</c:v>
                </c:pt>
                <c:pt idx="185">
                  <c:v>270.97</c:v>
                </c:pt>
                <c:pt idx="186">
                  <c:v>269.75</c:v>
                </c:pt>
                <c:pt idx="187">
                  <c:v>286.67</c:v>
                </c:pt>
                <c:pt idx="188">
                  <c:v>294.23</c:v>
                </c:pt>
                <c:pt idx="189">
                  <c:v>312.16</c:v>
                </c:pt>
                <c:pt idx="190">
                  <c:v>293.08</c:v>
                </c:pt>
                <c:pt idx="191">
                  <c:v>287.51</c:v>
                </c:pt>
                <c:pt idx="192">
                  <c:v>285.7</c:v>
                </c:pt>
                <c:pt idx="193">
                  <c:v>279.38</c:v>
                </c:pt>
                <c:pt idx="194">
                  <c:v>280.58</c:v>
                </c:pt>
                <c:pt idx="195">
                  <c:v>277.71</c:v>
                </c:pt>
                <c:pt idx="196">
                  <c:v>275.61</c:v>
                </c:pt>
                <c:pt idx="197">
                  <c:v>280</c:v>
                </c:pt>
                <c:pt idx="198">
                  <c:v>277.32</c:v>
                </c:pt>
                <c:pt idx="199">
                  <c:v>277.89</c:v>
                </c:pt>
                <c:pt idx="200">
                  <c:v>277.39</c:v>
                </c:pt>
                <c:pt idx="201">
                  <c:v>289.12</c:v>
                </c:pt>
                <c:pt idx="202">
                  <c:v>289.7</c:v>
                </c:pt>
                <c:pt idx="203">
                  <c:v>293.89</c:v>
                </c:pt>
                <c:pt idx="204">
                  <c:v>294.21</c:v>
                </c:pt>
                <c:pt idx="205">
                  <c:v>295.76</c:v>
                </c:pt>
                <c:pt idx="206">
                  <c:v>290.19</c:v>
                </c:pt>
                <c:pt idx="207">
                  <c:v>288.49</c:v>
                </c:pt>
                <c:pt idx="208">
                  <c:v>285.19</c:v>
                </c:pt>
                <c:pt idx="209">
                  <c:v>281.53</c:v>
                </c:pt>
                <c:pt idx="210">
                  <c:v>282.62</c:v>
                </c:pt>
                <c:pt idx="211">
                  <c:v>280.95</c:v>
                </c:pt>
                <c:pt idx="212">
                  <c:v>285.51</c:v>
                </c:pt>
                <c:pt idx="213">
                  <c:v>282.77</c:v>
                </c:pt>
                <c:pt idx="214">
                  <c:v>279.65</c:v>
                </c:pt>
                <c:pt idx="215">
                  <c:v>279.94</c:v>
                </c:pt>
                <c:pt idx="216">
                  <c:v>262.02</c:v>
                </c:pt>
                <c:pt idx="217">
                  <c:v>267.63</c:v>
                </c:pt>
                <c:pt idx="218">
                  <c:v>265.15</c:v>
                </c:pt>
                <c:pt idx="219">
                  <c:v>271.99</c:v>
                </c:pt>
                <c:pt idx="220">
                  <c:v>266.94</c:v>
                </c:pt>
                <c:pt idx="221">
                  <c:v>264.67</c:v>
                </c:pt>
                <c:pt idx="222">
                  <c:v>266.17</c:v>
                </c:pt>
                <c:pt idx="223">
                  <c:v>262.46</c:v>
                </c:pt>
                <c:pt idx="224">
                  <c:v>259.2</c:v>
                </c:pt>
                <c:pt idx="225">
                  <c:v>257.31</c:v>
                </c:pt>
                <c:pt idx="226">
                  <c:v>221.99</c:v>
                </c:pt>
                <c:pt idx="227">
                  <c:v>227.34</c:v>
                </c:pt>
                <c:pt idx="228">
                  <c:v>235.56</c:v>
                </c:pt>
                <c:pt idx="229">
                  <c:v>232.85</c:v>
                </c:pt>
                <c:pt idx="230">
                  <c:v>231.15</c:v>
                </c:pt>
                <c:pt idx="231">
                  <c:v>229.21</c:v>
                </c:pt>
                <c:pt idx="232">
                  <c:v>211.16</c:v>
                </c:pt>
                <c:pt idx="233">
                  <c:v>223.73</c:v>
                </c:pt>
                <c:pt idx="234">
                  <c:v>226.81</c:v>
                </c:pt>
                <c:pt idx="235">
                  <c:v>225.8</c:v>
                </c:pt>
                <c:pt idx="236">
                  <c:v>231.55</c:v>
                </c:pt>
                <c:pt idx="237">
                  <c:v>230.61</c:v>
                </c:pt>
                <c:pt idx="238">
                  <c:v>229.39</c:v>
                </c:pt>
                <c:pt idx="239">
                  <c:v>230.75</c:v>
                </c:pt>
                <c:pt idx="240">
                  <c:v>228.22</c:v>
                </c:pt>
                <c:pt idx="241">
                  <c:v>229.97</c:v>
                </c:pt>
                <c:pt idx="242">
                  <c:v>227.25</c:v>
                </c:pt>
                <c:pt idx="243">
                  <c:v>231.39</c:v>
                </c:pt>
                <c:pt idx="244">
                  <c:v>236.01</c:v>
                </c:pt>
                <c:pt idx="245">
                  <c:v>241.29</c:v>
                </c:pt>
                <c:pt idx="246">
                  <c:v>241.31</c:v>
                </c:pt>
                <c:pt idx="247">
                  <c:v>244.14</c:v>
                </c:pt>
                <c:pt idx="248">
                  <c:v>238.75</c:v>
                </c:pt>
                <c:pt idx="249">
                  <c:v>238.52</c:v>
                </c:pt>
                <c:pt idx="250">
                  <c:v>240.9</c:v>
                </c:pt>
                <c:pt idx="251">
                  <c:v>236.5</c:v>
                </c:pt>
                <c:pt idx="252">
                  <c:v>230.82</c:v>
                </c:pt>
                <c:pt idx="253">
                  <c:v>231.01</c:v>
                </c:pt>
                <c:pt idx="254">
                  <c:v>230.6</c:v>
                </c:pt>
                <c:pt idx="255">
                  <c:v>229.73</c:v>
                </c:pt>
                <c:pt idx="256">
                  <c:v>233.34</c:v>
                </c:pt>
                <c:pt idx="257">
                  <c:v>233.78</c:v>
                </c:pt>
                <c:pt idx="258">
                  <c:v>232.88</c:v>
                </c:pt>
                <c:pt idx="259">
                  <c:v>232.24</c:v>
                </c:pt>
                <c:pt idx="260">
                  <c:v>227.31</c:v>
                </c:pt>
                <c:pt idx="261">
                  <c:v>231.28</c:v>
                </c:pt>
                <c:pt idx="262">
                  <c:v>230.26</c:v>
                </c:pt>
                <c:pt idx="263">
                  <c:v>235.27</c:v>
                </c:pt>
                <c:pt idx="264">
                  <c:v>235.89</c:v>
                </c:pt>
                <c:pt idx="265">
                  <c:v>234.69</c:v>
                </c:pt>
                <c:pt idx="266">
                  <c:v>233.58</c:v>
                </c:pt>
                <c:pt idx="267">
                  <c:v>239.99</c:v>
                </c:pt>
                <c:pt idx="268">
                  <c:v>236.89</c:v>
                </c:pt>
                <c:pt idx="269">
                  <c:v>237.14</c:v>
                </c:pt>
                <c:pt idx="270">
                  <c:v>238.34</c:v>
                </c:pt>
                <c:pt idx="271">
                  <c:v>238.28</c:v>
                </c:pt>
                <c:pt idx="272">
                  <c:v>239.92</c:v>
                </c:pt>
                <c:pt idx="273">
                  <c:v>239.87</c:v>
                </c:pt>
                <c:pt idx="274">
                  <c:v>240.95</c:v>
                </c:pt>
                <c:pt idx="275">
                  <c:v>246.64</c:v>
                </c:pt>
                <c:pt idx="276">
                  <c:v>244</c:v>
                </c:pt>
                <c:pt idx="277">
                  <c:v>242.94</c:v>
                </c:pt>
                <c:pt idx="278">
                  <c:v>244.35</c:v>
                </c:pt>
                <c:pt idx="279">
                  <c:v>246.07</c:v>
                </c:pt>
                <c:pt idx="280">
                  <c:v>249.02</c:v>
                </c:pt>
                <c:pt idx="281">
                  <c:v>246.39</c:v>
                </c:pt>
                <c:pt idx="282">
                  <c:v>250.99</c:v>
                </c:pt>
                <c:pt idx="283">
                  <c:v>253.27</c:v>
                </c:pt>
                <c:pt idx="284">
                  <c:v>254.99</c:v>
                </c:pt>
                <c:pt idx="285">
                  <c:v>263.43</c:v>
                </c:pt>
                <c:pt idx="286">
                  <c:v>272.87</c:v>
                </c:pt>
                <c:pt idx="287">
                  <c:v>265</c:v>
                </c:pt>
                <c:pt idx="288">
                  <c:v>265.17</c:v>
                </c:pt>
                <c:pt idx="289">
                  <c:v>271.14</c:v>
                </c:pt>
                <c:pt idx="290">
                  <c:v>268.77</c:v>
                </c:pt>
                <c:pt idx="291">
                  <c:v>275.84</c:v>
                </c:pt>
                <c:pt idx="292">
                  <c:v>278.76</c:v>
                </c:pt>
                <c:pt idx="293">
                  <c:v>284.29</c:v>
                </c:pt>
                <c:pt idx="294">
                  <c:v>284.97</c:v>
                </c:pt>
                <c:pt idx="295">
                  <c:v>287.1</c:v>
                </c:pt>
                <c:pt idx="296">
                  <c:v>295.61</c:v>
                </c:pt>
                <c:pt idx="297">
                  <c:v>304.09</c:v>
                </c:pt>
                <c:pt idx="298">
                  <c:v>316.08</c:v>
                </c:pt>
                <c:pt idx="299">
                  <c:v>329.11</c:v>
                </c:pt>
                <c:pt idx="300">
                  <c:v>314.85</c:v>
                </c:pt>
                <c:pt idx="301">
                  <c:v>329.46</c:v>
                </c:pt>
                <c:pt idx="302">
                  <c:v>365.21</c:v>
                </c:pt>
                <c:pt idx="303">
                  <c:v>404.1</c:v>
                </c:pt>
                <c:pt idx="304">
                  <c:v>410</c:v>
                </c:pt>
                <c:pt idx="305">
                  <c:v>387.21</c:v>
                </c:pt>
                <c:pt idx="306">
                  <c:v>374.09</c:v>
                </c:pt>
                <c:pt idx="307">
                  <c:v>384.81</c:v>
                </c:pt>
                <c:pt idx="308">
                  <c:v>373.83</c:v>
                </c:pt>
                <c:pt idx="309">
                  <c:v>379.53</c:v>
                </c:pt>
                <c:pt idx="310">
                  <c:v>337.14</c:v>
                </c:pt>
                <c:pt idx="311">
                  <c:v>313.2</c:v>
                </c:pt>
                <c:pt idx="312">
                  <c:v>336.49</c:v>
                </c:pt>
                <c:pt idx="313">
                  <c:v>338.07</c:v>
                </c:pt>
                <c:pt idx="314">
                  <c:v>334.71</c:v>
                </c:pt>
                <c:pt idx="315">
                  <c:v>322.93</c:v>
                </c:pt>
                <c:pt idx="316">
                  <c:v>332.89</c:v>
                </c:pt>
                <c:pt idx="317">
                  <c:v>336.49</c:v>
                </c:pt>
                <c:pt idx="318">
                  <c:v>335.49</c:v>
                </c:pt>
                <c:pt idx="319">
                  <c:v>326.41</c:v>
                </c:pt>
                <c:pt idx="320">
                  <c:v>322.39</c:v>
                </c:pt>
                <c:pt idx="321">
                  <c:v>327</c:v>
                </c:pt>
                <c:pt idx="322">
                  <c:v>323.71</c:v>
                </c:pt>
                <c:pt idx="323">
                  <c:v>323</c:v>
                </c:pt>
                <c:pt idx="324">
                  <c:v>321</c:v>
                </c:pt>
                <c:pt idx="325">
                  <c:v>328.98</c:v>
                </c:pt>
                <c:pt idx="326">
                  <c:v>352.57</c:v>
                </c:pt>
                <c:pt idx="327">
                  <c:v>358.19</c:v>
                </c:pt>
                <c:pt idx="328">
                  <c:v>357.24</c:v>
                </c:pt>
                <c:pt idx="329">
                  <c:v>372.24</c:v>
                </c:pt>
                <c:pt idx="330">
                  <c:v>376.86</c:v>
                </c:pt>
                <c:pt idx="331">
                  <c:v>362.68</c:v>
                </c:pt>
                <c:pt idx="332">
                  <c:v>360</c:v>
                </c:pt>
                <c:pt idx="333">
                  <c:v>361.77</c:v>
                </c:pt>
                <c:pt idx="334">
                  <c:v>363.98</c:v>
                </c:pt>
                <c:pt idx="335">
                  <c:v>387.99</c:v>
                </c:pt>
                <c:pt idx="336">
                  <c:v>387.55</c:v>
                </c:pt>
                <c:pt idx="337">
                  <c:v>394.73</c:v>
                </c:pt>
                <c:pt idx="338">
                  <c:v>418.94</c:v>
                </c:pt>
                <c:pt idx="339">
                  <c:v>418.39</c:v>
                </c:pt>
                <c:pt idx="340">
                  <c:v>415.68</c:v>
                </c:pt>
                <c:pt idx="341">
                  <c:v>452.95</c:v>
                </c:pt>
                <c:pt idx="342">
                  <c:v>436.87</c:v>
                </c:pt>
                <c:pt idx="343">
                  <c:v>433.83</c:v>
                </c:pt>
                <c:pt idx="344">
                  <c:v>444.01</c:v>
                </c:pt>
                <c:pt idx="345">
                  <c:v>464.27</c:v>
                </c:pt>
                <c:pt idx="346">
                  <c:v>453.97</c:v>
                </c:pt>
                <c:pt idx="347">
                  <c:v>455.5</c:v>
                </c:pt>
                <c:pt idx="348">
                  <c:v>463.17</c:v>
                </c:pt>
                <c:pt idx="349">
                  <c:v>461.29</c:v>
                </c:pt>
                <c:pt idx="350">
                  <c:v>442.22</c:v>
                </c:pt>
                <c:pt idx="351">
                  <c:v>436.81</c:v>
                </c:pt>
                <c:pt idx="352">
                  <c:v>433.92</c:v>
                </c:pt>
                <c:pt idx="353">
                  <c:v>442.43</c:v>
                </c:pt>
                <c:pt idx="354">
                  <c:v>455.74</c:v>
                </c:pt>
                <c:pt idx="355">
                  <c:v>455.84</c:v>
                </c:pt>
                <c:pt idx="356">
                  <c:v>419.41</c:v>
                </c:pt>
                <c:pt idx="357">
                  <c:v>424.72</c:v>
                </c:pt>
                <c:pt idx="358">
                  <c:v>421.94</c:v>
                </c:pt>
                <c:pt idx="359">
                  <c:v>433.89</c:v>
                </c:pt>
                <c:pt idx="360">
                  <c:v>427.95</c:v>
                </c:pt>
                <c:pt idx="361">
                  <c:v>430.35</c:v>
                </c:pt>
                <c:pt idx="362">
                  <c:v>435.66</c:v>
                </c:pt>
                <c:pt idx="363">
                  <c:v>435.4</c:v>
                </c:pt>
                <c:pt idx="364">
                  <c:v>431.91</c:v>
                </c:pt>
                <c:pt idx="365">
                  <c:v>433.85</c:v>
                </c:pt>
                <c:pt idx="366">
                  <c:v>433.34</c:v>
                </c:pt>
                <c:pt idx="367">
                  <c:v>430.87</c:v>
                </c:pt>
                <c:pt idx="368">
                  <c:v>459.07</c:v>
                </c:pt>
                <c:pt idx="369">
                  <c:v>454.44</c:v>
                </c:pt>
                <c:pt idx="370">
                  <c:v>450.38</c:v>
                </c:pt>
                <c:pt idx="371">
                  <c:v>449.99</c:v>
                </c:pt>
                <c:pt idx="372">
                  <c:v>449.19</c:v>
                </c:pt>
                <c:pt idx="373">
                  <c:v>434.01</c:v>
                </c:pt>
                <c:pt idx="374">
                  <c:v>432.77</c:v>
                </c:pt>
                <c:pt idx="375">
                  <c:v>430.03</c:v>
                </c:pt>
                <c:pt idx="376">
                  <c:v>357.53</c:v>
                </c:pt>
                <c:pt idx="377">
                  <c:v>388.7</c:v>
                </c:pt>
                <c:pt idx="378">
                  <c:v>378.46</c:v>
                </c:pt>
                <c:pt idx="379">
                  <c:v>384.89</c:v>
                </c:pt>
                <c:pt idx="380">
                  <c:v>375.27</c:v>
                </c:pt>
                <c:pt idx="381">
                  <c:v>418.54</c:v>
                </c:pt>
                <c:pt idx="382">
                  <c:v>409.38</c:v>
                </c:pt>
                <c:pt idx="383">
                  <c:v>382.9</c:v>
                </c:pt>
                <c:pt idx="384">
                  <c:v>387.5</c:v>
                </c:pt>
                <c:pt idx="385">
                  <c:v>403.05</c:v>
                </c:pt>
                <c:pt idx="386">
                  <c:v>391.4</c:v>
                </c:pt>
                <c:pt idx="387">
                  <c:v>391.54</c:v>
                </c:pt>
                <c:pt idx="388">
                  <c:v>394.79</c:v>
                </c:pt>
                <c:pt idx="389">
                  <c:v>379.61</c:v>
                </c:pt>
                <c:pt idx="390">
                  <c:v>378.68</c:v>
                </c:pt>
                <c:pt idx="391">
                  <c:v>378.46</c:v>
                </c:pt>
                <c:pt idx="392">
                  <c:v>367.95</c:v>
                </c:pt>
                <c:pt idx="393">
                  <c:v>371.33</c:v>
                </c:pt>
                <c:pt idx="394">
                  <c:v>372.93</c:v>
                </c:pt>
                <c:pt idx="395">
                  <c:v>368.87</c:v>
                </c:pt>
                <c:pt idx="396">
                  <c:v>387.99</c:v>
                </c:pt>
                <c:pt idx="397">
                  <c:v>384.5</c:v>
                </c:pt>
                <c:pt idx="398">
                  <c:v>375.44</c:v>
                </c:pt>
                <c:pt idx="399">
                  <c:v>377.49</c:v>
                </c:pt>
                <c:pt idx="400">
                  <c:v>371.14</c:v>
                </c:pt>
                <c:pt idx="401">
                  <c:v>372.68</c:v>
                </c:pt>
                <c:pt idx="402">
                  <c:v>378.44</c:v>
                </c:pt>
                <c:pt idx="403">
                  <c:v>378.23</c:v>
                </c:pt>
                <c:pt idx="404">
                  <c:v>382.05</c:v>
                </c:pt>
                <c:pt idx="405">
                  <c:v>391</c:v>
                </c:pt>
                <c:pt idx="406">
                  <c:v>406.59</c:v>
                </c:pt>
                <c:pt idx="407">
                  <c:v>398.95</c:v>
                </c:pt>
                <c:pt idx="408">
                  <c:v>407.42</c:v>
                </c:pt>
                <c:pt idx="409">
                  <c:v>415.2</c:v>
                </c:pt>
                <c:pt idx="410">
                  <c:v>421.19</c:v>
                </c:pt>
                <c:pt idx="411">
                  <c:v>420.72</c:v>
                </c:pt>
                <c:pt idx="412">
                  <c:v>437.46</c:v>
                </c:pt>
                <c:pt idx="413">
                  <c:v>438.56</c:v>
                </c:pt>
                <c:pt idx="414">
                  <c:v>437.55</c:v>
                </c:pt>
                <c:pt idx="415">
                  <c:v>419.97</c:v>
                </c:pt>
                <c:pt idx="416">
                  <c:v>423.94</c:v>
                </c:pt>
                <c:pt idx="417">
                  <c:v>423.54</c:v>
                </c:pt>
                <c:pt idx="418">
                  <c:v>430.85</c:v>
                </c:pt>
                <c:pt idx="419">
                  <c:v>433.12</c:v>
                </c:pt>
                <c:pt idx="420">
                  <c:v>433.73</c:v>
                </c:pt>
                <c:pt idx="421">
                  <c:v>436.44</c:v>
                </c:pt>
                <c:pt idx="422">
                  <c:v>433.08</c:v>
                </c:pt>
                <c:pt idx="423">
                  <c:v>420.39</c:v>
                </c:pt>
                <c:pt idx="424">
                  <c:v>418.8</c:v>
                </c:pt>
                <c:pt idx="425">
                  <c:v>407.35</c:v>
                </c:pt>
                <c:pt idx="426">
                  <c:v>396.08</c:v>
                </c:pt>
                <c:pt idx="427">
                  <c:v>403.24</c:v>
                </c:pt>
                <c:pt idx="428">
                  <c:v>412.21</c:v>
                </c:pt>
                <c:pt idx="429">
                  <c:v>411.18</c:v>
                </c:pt>
                <c:pt idx="430">
                  <c:v>412.8</c:v>
                </c:pt>
                <c:pt idx="431">
                  <c:v>415.98</c:v>
                </c:pt>
                <c:pt idx="432">
                  <c:v>419.39</c:v>
                </c:pt>
                <c:pt idx="433">
                  <c:v>410.58</c:v>
                </c:pt>
                <c:pt idx="434">
                  <c:v>412.52</c:v>
                </c:pt>
                <c:pt idx="435">
                  <c:v>415.02</c:v>
                </c:pt>
                <c:pt idx="436">
                  <c:v>415.41</c:v>
                </c:pt>
                <c:pt idx="437">
                  <c:v>416.07</c:v>
                </c:pt>
                <c:pt idx="438">
                  <c:v>418.41</c:v>
                </c:pt>
                <c:pt idx="439">
                  <c:v>409.65</c:v>
                </c:pt>
                <c:pt idx="440">
                  <c:v>410.2</c:v>
                </c:pt>
                <c:pt idx="441">
                  <c:v>411.27</c:v>
                </c:pt>
                <c:pt idx="442">
                  <c:v>412</c:v>
                </c:pt>
                <c:pt idx="443">
                  <c:v>416.66</c:v>
                </c:pt>
                <c:pt idx="444">
                  <c:v>417.53</c:v>
                </c:pt>
                <c:pt idx="445">
                  <c:v>412.95</c:v>
                </c:pt>
                <c:pt idx="446">
                  <c:v>416.41</c:v>
                </c:pt>
                <c:pt idx="447">
                  <c:v>416.97</c:v>
                </c:pt>
                <c:pt idx="448">
                  <c:v>425.3</c:v>
                </c:pt>
                <c:pt idx="449">
                  <c:v>423</c:v>
                </c:pt>
                <c:pt idx="450">
                  <c:v>416.39</c:v>
                </c:pt>
                <c:pt idx="451">
                  <c:v>412.79</c:v>
                </c:pt>
                <c:pt idx="452">
                  <c:v>416.03</c:v>
                </c:pt>
                <c:pt idx="453">
                  <c:v>417.68</c:v>
                </c:pt>
                <c:pt idx="454">
                  <c:v>419.95</c:v>
                </c:pt>
                <c:pt idx="455">
                  <c:v>420.16</c:v>
                </c:pt>
                <c:pt idx="456">
                  <c:v>419.47</c:v>
                </c:pt>
                <c:pt idx="457">
                  <c:v>422.36</c:v>
                </c:pt>
                <c:pt idx="458">
                  <c:v>421.46</c:v>
                </c:pt>
                <c:pt idx="459">
                  <c:v>421.99</c:v>
                </c:pt>
                <c:pt idx="460">
                  <c:v>419.48</c:v>
                </c:pt>
                <c:pt idx="461">
                  <c:v>419.46</c:v>
                </c:pt>
                <c:pt idx="462">
                  <c:v>423.4</c:v>
                </c:pt>
                <c:pt idx="463">
                  <c:v>423.94</c:v>
                </c:pt>
                <c:pt idx="464">
                  <c:v>427.8</c:v>
                </c:pt>
                <c:pt idx="465">
                  <c:v>425.58</c:v>
                </c:pt>
                <c:pt idx="466">
                  <c:v>426.32</c:v>
                </c:pt>
                <c:pt idx="467">
                  <c:v>430.93</c:v>
                </c:pt>
                <c:pt idx="468">
                  <c:v>433.39</c:v>
                </c:pt>
                <c:pt idx="469">
                  <c:v>431</c:v>
                </c:pt>
                <c:pt idx="470">
                  <c:v>430.97</c:v>
                </c:pt>
                <c:pt idx="471">
                  <c:v>437.06</c:v>
                </c:pt>
                <c:pt idx="472">
                  <c:v>442.96</c:v>
                </c:pt>
                <c:pt idx="473">
                  <c:v>452.25</c:v>
                </c:pt>
                <c:pt idx="474">
                  <c:v>448.41</c:v>
                </c:pt>
                <c:pt idx="475">
                  <c:v>455.69</c:v>
                </c:pt>
                <c:pt idx="476">
                  <c:v>464.46</c:v>
                </c:pt>
                <c:pt idx="477">
                  <c:v>466.17</c:v>
                </c:pt>
                <c:pt idx="478">
                  <c:v>470.59</c:v>
                </c:pt>
                <c:pt idx="479">
                  <c:v>445.31</c:v>
                </c:pt>
                <c:pt idx="480">
                  <c:v>451.68</c:v>
                </c:pt>
                <c:pt idx="481">
                  <c:v>458.82</c:v>
                </c:pt>
                <c:pt idx="482">
                  <c:v>454.02</c:v>
                </c:pt>
                <c:pt idx="483">
                  <c:v>456.98</c:v>
                </c:pt>
                <c:pt idx="484">
                  <c:v>446.42</c:v>
                </c:pt>
                <c:pt idx="485">
                  <c:v>452.21</c:v>
                </c:pt>
                <c:pt idx="486">
                  <c:v>448.68</c:v>
                </c:pt>
                <c:pt idx="487">
                  <c:v>449.98</c:v>
                </c:pt>
                <c:pt idx="488">
                  <c:v>462.31</c:v>
                </c:pt>
                <c:pt idx="489">
                  <c:v>461.91</c:v>
                </c:pt>
                <c:pt idx="490">
                  <c:v>462.79</c:v>
                </c:pt>
                <c:pt idx="491">
                  <c:v>464.16</c:v>
                </c:pt>
                <c:pt idx="492">
                  <c:v>452.78</c:v>
                </c:pt>
                <c:pt idx="493">
                  <c:v>454.37</c:v>
                </c:pt>
                <c:pt idx="494">
                  <c:v>456.48</c:v>
                </c:pt>
                <c:pt idx="495">
                  <c:v>457.98</c:v>
                </c:pt>
                <c:pt idx="496">
                  <c:v>458.9</c:v>
                </c:pt>
                <c:pt idx="497">
                  <c:v>461.47</c:v>
                </c:pt>
                <c:pt idx="498">
                  <c:v>455.66</c:v>
                </c:pt>
                <c:pt idx="499">
                  <c:v>454.19</c:v>
                </c:pt>
                <c:pt idx="500">
                  <c:v>455.56</c:v>
                </c:pt>
                <c:pt idx="501">
                  <c:v>438.38</c:v>
                </c:pt>
                <c:pt idx="502">
                  <c:v>445.65</c:v>
                </c:pt>
                <c:pt idx="503">
                  <c:v>446.28</c:v>
                </c:pt>
                <c:pt idx="504">
                  <c:v>442.48</c:v>
                </c:pt>
                <c:pt idx="505">
                  <c:v>445.67</c:v>
                </c:pt>
                <c:pt idx="506">
                  <c:v>446.99</c:v>
                </c:pt>
                <c:pt idx="507">
                  <c:v>451.49</c:v>
                </c:pt>
                <c:pt idx="508">
                  <c:v>454.97</c:v>
                </c:pt>
                <c:pt idx="509">
                  <c:v>471.27</c:v>
                </c:pt>
                <c:pt idx="510">
                  <c:v>523.25</c:v>
                </c:pt>
                <c:pt idx="511">
                  <c:v>525.22</c:v>
                </c:pt>
                <c:pt idx="512">
                  <c:v>532.55</c:v>
                </c:pt>
                <c:pt idx="513">
                  <c:v>531.34</c:v>
                </c:pt>
                <c:pt idx="514">
                  <c:v>534.84</c:v>
                </c:pt>
                <c:pt idx="515">
                  <c:v>537.87</c:v>
                </c:pt>
                <c:pt idx="516">
                  <c:v>571.25</c:v>
                </c:pt>
                <c:pt idx="517">
                  <c:v>576.31</c:v>
                </c:pt>
                <c:pt idx="518">
                  <c:v>575.17</c:v>
                </c:pt>
                <c:pt idx="519">
                  <c:v>586.77</c:v>
                </c:pt>
                <c:pt idx="520">
                  <c:v>579.71</c:v>
                </c:pt>
                <c:pt idx="521">
                  <c:v>583.21</c:v>
                </c:pt>
                <c:pt idx="522">
                  <c:v>577.46</c:v>
                </c:pt>
                <c:pt idx="523">
                  <c:v>580.31</c:v>
                </c:pt>
                <c:pt idx="524">
                  <c:v>609.5</c:v>
                </c:pt>
                <c:pt idx="525">
                  <c:v>677.86</c:v>
                </c:pt>
                <c:pt idx="526">
                  <c:v>706.01</c:v>
                </c:pt>
                <c:pt idx="527">
                  <c:v>684.95</c:v>
                </c:pt>
                <c:pt idx="528">
                  <c:v>698.78</c:v>
                </c:pt>
                <c:pt idx="529">
                  <c:v>769.76</c:v>
                </c:pt>
                <c:pt idx="530">
                  <c:v>752.26</c:v>
                </c:pt>
                <c:pt idx="531">
                  <c:v>758.99</c:v>
                </c:pt>
                <c:pt idx="532">
                  <c:v>768.76</c:v>
                </c:pt>
                <c:pt idx="533">
                  <c:v>703.12</c:v>
                </c:pt>
                <c:pt idx="534">
                  <c:v>667.66</c:v>
                </c:pt>
                <c:pt idx="535">
                  <c:v>604.5</c:v>
                </c:pt>
                <c:pt idx="536">
                  <c:v>631.1</c:v>
                </c:pt>
                <c:pt idx="537">
                  <c:v>669.98</c:v>
                </c:pt>
                <c:pt idx="538">
                  <c:v>673.71</c:v>
                </c:pt>
                <c:pt idx="539">
                  <c:v>638.56</c:v>
                </c:pt>
                <c:pt idx="540">
                  <c:v>657.87</c:v>
                </c:pt>
                <c:pt idx="541">
                  <c:v>648.43</c:v>
                </c:pt>
                <c:pt idx="542">
                  <c:v>639.42</c:v>
                </c:pt>
                <c:pt idx="543">
                  <c:v>673.49</c:v>
                </c:pt>
                <c:pt idx="544">
                  <c:v>678.19</c:v>
                </c:pt>
                <c:pt idx="545">
                  <c:v>704.95</c:v>
                </c:pt>
                <c:pt idx="546">
                  <c:v>663.55</c:v>
                </c:pt>
                <c:pt idx="547">
                  <c:v>681.98</c:v>
                </c:pt>
                <c:pt idx="548">
                  <c:v>669.87</c:v>
                </c:pt>
                <c:pt idx="549">
                  <c:v>678.79</c:v>
                </c:pt>
                <c:pt idx="550">
                  <c:v>641.97</c:v>
                </c:pt>
                <c:pt idx="551">
                  <c:v>667.33</c:v>
                </c:pt>
                <c:pt idx="552">
                  <c:v>657.61</c:v>
                </c:pt>
                <c:pt idx="553">
                  <c:v>652.44</c:v>
                </c:pt>
                <c:pt idx="554">
                  <c:v>650.97</c:v>
                </c:pt>
                <c:pt idx="555">
                  <c:v>666.56</c:v>
                </c:pt>
                <c:pt idx="556">
                  <c:v>655.34</c:v>
                </c:pt>
                <c:pt idx="557">
                  <c:v>661.65</c:v>
                </c:pt>
                <c:pt idx="558">
                  <c:v>667.48</c:v>
                </c:pt>
                <c:pt idx="559">
                  <c:v>666.32</c:v>
                </c:pt>
                <c:pt idx="560">
                  <c:v>680</c:v>
                </c:pt>
                <c:pt idx="561">
                  <c:v>675.5</c:v>
                </c:pt>
                <c:pt idx="562">
                  <c:v>673.98</c:v>
                </c:pt>
                <c:pt idx="563">
                  <c:v>666.92</c:v>
                </c:pt>
                <c:pt idx="564">
                  <c:v>667.28</c:v>
                </c:pt>
                <c:pt idx="565">
                  <c:v>654.67</c:v>
                </c:pt>
                <c:pt idx="566">
                  <c:v>657.5</c:v>
                </c:pt>
                <c:pt idx="567">
                  <c:v>661</c:v>
                </c:pt>
                <c:pt idx="568">
                  <c:v>657.79</c:v>
                </c:pt>
                <c:pt idx="569">
                  <c:v>654.06</c:v>
                </c:pt>
                <c:pt idx="570">
                  <c:v>657.35</c:v>
                </c:pt>
                <c:pt idx="571">
                  <c:v>657.4</c:v>
                </c:pt>
                <c:pt idx="572">
                  <c:v>657</c:v>
                </c:pt>
                <c:pt idx="573">
                  <c:v>655.87</c:v>
                </c:pt>
                <c:pt idx="574">
                  <c:v>626.97</c:v>
                </c:pt>
                <c:pt idx="575">
                  <c:v>605.2</c:v>
                </c:pt>
                <c:pt idx="576">
                  <c:v>537.47</c:v>
                </c:pt>
                <c:pt idx="577">
                  <c:v>573.36</c:v>
                </c:pt>
                <c:pt idx="578">
                  <c:v>587.5</c:v>
                </c:pt>
                <c:pt idx="579">
                  <c:v>583</c:v>
                </c:pt>
                <c:pt idx="580">
                  <c:v>591.71</c:v>
                </c:pt>
                <c:pt idx="581">
                  <c:v>595.14</c:v>
                </c:pt>
                <c:pt idx="582">
                  <c:v>591.48</c:v>
                </c:pt>
                <c:pt idx="583">
                  <c:v>586.45</c:v>
                </c:pt>
                <c:pt idx="584">
                  <c:v>594.94</c:v>
                </c:pt>
                <c:pt idx="585">
                  <c:v>587.91</c:v>
                </c:pt>
                <c:pt idx="586">
                  <c:v>587.74</c:v>
                </c:pt>
                <c:pt idx="587">
                  <c:v>586.45</c:v>
                </c:pt>
                <c:pt idx="588">
                  <c:v>574.99</c:v>
                </c:pt>
                <c:pt idx="589">
                  <c:v>567.79</c:v>
                </c:pt>
                <c:pt idx="590">
                  <c:v>579.02</c:v>
                </c:pt>
                <c:pt idx="591">
                  <c:v>574.45</c:v>
                </c:pt>
                <c:pt idx="592">
                  <c:v>574.09</c:v>
                </c:pt>
                <c:pt idx="593">
                  <c:v>573.67</c:v>
                </c:pt>
                <c:pt idx="594">
                  <c:v>581.87</c:v>
                </c:pt>
                <c:pt idx="595">
                  <c:v>581.29</c:v>
                </c:pt>
                <c:pt idx="596">
                  <c:v>585.2</c:v>
                </c:pt>
                <c:pt idx="597">
                  <c:v>582.39</c:v>
                </c:pt>
                <c:pt idx="598">
                  <c:v>578.47</c:v>
                </c:pt>
                <c:pt idx="599">
                  <c:v>575.58</c:v>
                </c:pt>
                <c:pt idx="600">
                  <c:v>579.29</c:v>
                </c:pt>
                <c:pt idx="601">
                  <c:v>570.84</c:v>
                </c:pt>
                <c:pt idx="602">
                  <c:v>575.41</c:v>
                </c:pt>
                <c:pt idx="603">
                  <c:v>573.21</c:v>
                </c:pt>
                <c:pt idx="604">
                  <c:v>574.95</c:v>
                </c:pt>
                <c:pt idx="605">
                  <c:v>572.89</c:v>
                </c:pt>
                <c:pt idx="606">
                  <c:v>573.02</c:v>
                </c:pt>
                <c:pt idx="607">
                  <c:v>576.21</c:v>
                </c:pt>
                <c:pt idx="608">
                  <c:v>600.91</c:v>
                </c:pt>
                <c:pt idx="609">
                  <c:v>611.92</c:v>
                </c:pt>
                <c:pt idx="610">
                  <c:v>605.69</c:v>
                </c:pt>
                <c:pt idx="611">
                  <c:v>612.99</c:v>
                </c:pt>
                <c:pt idx="612">
                  <c:v>615.21</c:v>
                </c:pt>
                <c:pt idx="613">
                  <c:v>627.97</c:v>
                </c:pt>
                <c:pt idx="614">
                  <c:v>622.07</c:v>
                </c:pt>
                <c:pt idx="615">
                  <c:v>623.74</c:v>
                </c:pt>
                <c:pt idx="616">
                  <c:v>607.94</c:v>
                </c:pt>
                <c:pt idx="617">
                  <c:v>606.74</c:v>
                </c:pt>
                <c:pt idx="618">
                  <c:v>608.63</c:v>
                </c:pt>
                <c:pt idx="619">
                  <c:v>608.43</c:v>
                </c:pt>
                <c:pt idx="620">
                  <c:v>605.44</c:v>
                </c:pt>
                <c:pt idx="621">
                  <c:v>607.93</c:v>
                </c:pt>
                <c:pt idx="622">
                  <c:v>607.92</c:v>
                </c:pt>
                <c:pt idx="623">
                  <c:v>611.4</c:v>
                </c:pt>
                <c:pt idx="624">
                  <c:v>608.6</c:v>
                </c:pt>
                <c:pt idx="625">
                  <c:v>605.6</c:v>
                </c:pt>
                <c:pt idx="626">
                  <c:v>597</c:v>
                </c:pt>
                <c:pt idx="627">
                  <c:v>596.21</c:v>
                </c:pt>
                <c:pt idx="628">
                  <c:v>602.96</c:v>
                </c:pt>
                <c:pt idx="629">
                  <c:v>603.68</c:v>
                </c:pt>
                <c:pt idx="630">
                  <c:v>601.67</c:v>
                </c:pt>
                <c:pt idx="631">
                  <c:v>607.08</c:v>
                </c:pt>
                <c:pt idx="632">
                  <c:v>605.71</c:v>
                </c:pt>
                <c:pt idx="633">
                  <c:v>605.04</c:v>
                </c:pt>
                <c:pt idx="634">
                  <c:v>605.99</c:v>
                </c:pt>
                <c:pt idx="635">
                  <c:v>608.99</c:v>
                </c:pt>
                <c:pt idx="636">
                  <c:v>615.65</c:v>
                </c:pt>
                <c:pt idx="637">
                  <c:v>612.4</c:v>
                </c:pt>
                <c:pt idx="638">
                  <c:v>612.99</c:v>
                </c:pt>
                <c:pt idx="639">
                  <c:v>610.34</c:v>
                </c:pt>
                <c:pt idx="640">
                  <c:v>613.16</c:v>
                </c:pt>
                <c:pt idx="641">
                  <c:v>611.88</c:v>
                </c:pt>
                <c:pt idx="642">
                  <c:v>617.98</c:v>
                </c:pt>
                <c:pt idx="643">
                  <c:v>619.5</c:v>
                </c:pt>
                <c:pt idx="644">
                  <c:v>617.42</c:v>
                </c:pt>
                <c:pt idx="645">
                  <c:v>618.72</c:v>
                </c:pt>
                <c:pt idx="646">
                  <c:v>642.12</c:v>
                </c:pt>
                <c:pt idx="647">
                  <c:v>635.79</c:v>
                </c:pt>
                <c:pt idx="648">
                  <c:v>635.66</c:v>
                </c:pt>
                <c:pt idx="649">
                  <c:v>638.03</c:v>
                </c:pt>
                <c:pt idx="650">
                  <c:v>638.16</c:v>
                </c:pt>
                <c:pt idx="651">
                  <c:v>641.92</c:v>
                </c:pt>
                <c:pt idx="652">
                  <c:v>639.56</c:v>
                </c:pt>
                <c:pt idx="653">
                  <c:v>635.11</c:v>
                </c:pt>
                <c:pt idx="654">
                  <c:v>629.79</c:v>
                </c:pt>
                <c:pt idx="655">
                  <c:v>628.05</c:v>
                </c:pt>
                <c:pt idx="656">
                  <c:v>630.83</c:v>
                </c:pt>
                <c:pt idx="657">
                  <c:v>652.75</c:v>
                </c:pt>
                <c:pt idx="658">
                  <c:v>651.04</c:v>
                </c:pt>
                <c:pt idx="659">
                  <c:v>649.98</c:v>
                </c:pt>
                <c:pt idx="660">
                  <c:v>654.3</c:v>
                </c:pt>
                <c:pt idx="661">
                  <c:v>674</c:v>
                </c:pt>
                <c:pt idx="662">
                  <c:v>691.21</c:v>
                </c:pt>
                <c:pt idx="663">
                  <c:v>689.95</c:v>
                </c:pt>
                <c:pt idx="664">
                  <c:v>714.28</c:v>
                </c:pt>
                <c:pt idx="665">
                  <c:v>697.41</c:v>
                </c:pt>
                <c:pt idx="666">
                  <c:v>696.9</c:v>
                </c:pt>
                <c:pt idx="667">
                  <c:v>730.7</c:v>
                </c:pt>
                <c:pt idx="668">
                  <c:v>744.6</c:v>
                </c:pt>
                <c:pt idx="669">
                  <c:v>690</c:v>
                </c:pt>
                <c:pt idx="670">
                  <c:v>706.32</c:v>
                </c:pt>
                <c:pt idx="671">
                  <c:v>706.99</c:v>
                </c:pt>
                <c:pt idx="672">
                  <c:v>717.02</c:v>
                </c:pt>
                <c:pt idx="673">
                  <c:v>706.42</c:v>
                </c:pt>
                <c:pt idx="674">
                  <c:v>711.15</c:v>
                </c:pt>
                <c:pt idx="675">
                  <c:v>720.97</c:v>
                </c:pt>
                <c:pt idx="676">
                  <c:v>712.91</c:v>
                </c:pt>
                <c:pt idx="677">
                  <c:v>716.9</c:v>
                </c:pt>
                <c:pt idx="678">
                  <c:v>704.53</c:v>
                </c:pt>
                <c:pt idx="679">
                  <c:v>704.01</c:v>
                </c:pt>
                <c:pt idx="680">
                  <c:v>708.32</c:v>
                </c:pt>
                <c:pt idx="681">
                  <c:v>712.29</c:v>
                </c:pt>
                <c:pt idx="682">
                  <c:v>739.85</c:v>
                </c:pt>
                <c:pt idx="683">
                  <c:v>730.71</c:v>
                </c:pt>
                <c:pt idx="684">
                  <c:v>748.54</c:v>
                </c:pt>
                <c:pt idx="685">
                  <c:v>750.77</c:v>
                </c:pt>
                <c:pt idx="686">
                  <c:v>731.99</c:v>
                </c:pt>
                <c:pt idx="687">
                  <c:v>736.4</c:v>
                </c:pt>
                <c:pt idx="688">
                  <c:v>746.66</c:v>
                </c:pt>
                <c:pt idx="689">
                  <c:v>741.52</c:v>
                </c:pt>
                <c:pt idx="690">
                  <c:v>737.99</c:v>
                </c:pt>
                <c:pt idx="691">
                  <c:v>739.74</c:v>
                </c:pt>
                <c:pt idx="692">
                  <c:v>735.7</c:v>
                </c:pt>
                <c:pt idx="693">
                  <c:v>729.24</c:v>
                </c:pt>
                <c:pt idx="694">
                  <c:v>729.77</c:v>
                </c:pt>
                <c:pt idx="695">
                  <c:v>732.37</c:v>
                </c:pt>
                <c:pt idx="696">
                  <c:v>742.69</c:v>
                </c:pt>
                <c:pt idx="697">
                  <c:v>754</c:v>
                </c:pt>
                <c:pt idx="698">
                  <c:v>769.25</c:v>
                </c:pt>
                <c:pt idx="699">
                  <c:v>766.98</c:v>
                </c:pt>
                <c:pt idx="700">
                  <c:v>767.99</c:v>
                </c:pt>
                <c:pt idx="701">
                  <c:v>752</c:v>
                </c:pt>
                <c:pt idx="702">
                  <c:v>759.8</c:v>
                </c:pt>
                <c:pt idx="703">
                  <c:v>764.34</c:v>
                </c:pt>
                <c:pt idx="704">
                  <c:v>767.89</c:v>
                </c:pt>
                <c:pt idx="705">
                  <c:v>773.22</c:v>
                </c:pt>
                <c:pt idx="706">
                  <c:v>775.87</c:v>
                </c:pt>
                <c:pt idx="707">
                  <c:v>771.05</c:v>
                </c:pt>
                <c:pt idx="708">
                  <c:v>778.94</c:v>
                </c:pt>
                <c:pt idx="709">
                  <c:v>776.18</c:v>
                </c:pt>
                <c:pt idx="710">
                  <c:v>777.66</c:v>
                </c:pt>
                <c:pt idx="711">
                  <c:v>776.16</c:v>
                </c:pt>
                <c:pt idx="712">
                  <c:v>780.98</c:v>
                </c:pt>
                <c:pt idx="713">
                  <c:v>788.57</c:v>
                </c:pt>
                <c:pt idx="714">
                  <c:v>790.72</c:v>
                </c:pt>
                <c:pt idx="715">
                  <c:v>790.81</c:v>
                </c:pt>
                <c:pt idx="716">
                  <c:v>798.99</c:v>
                </c:pt>
                <c:pt idx="717">
                  <c:v>834.5</c:v>
                </c:pt>
                <c:pt idx="718">
                  <c:v>856.02</c:v>
                </c:pt>
                <c:pt idx="719">
                  <c:v>917.26</c:v>
                </c:pt>
                <c:pt idx="720">
                  <c:v>891.5</c:v>
                </c:pt>
                <c:pt idx="721">
                  <c:v>896.12</c:v>
                </c:pt>
                <c:pt idx="722">
                  <c:v>902.09</c:v>
                </c:pt>
                <c:pt idx="723">
                  <c:v>925.2</c:v>
                </c:pt>
                <c:pt idx="724">
                  <c:v>982.17</c:v>
                </c:pt>
                <c:pt idx="725">
                  <c:v>970.72</c:v>
                </c:pt>
                <c:pt idx="726">
                  <c:v>960.81</c:v>
                </c:pt>
                <c:pt idx="727">
                  <c:v>973.37</c:v>
                </c:pt>
                <c:pt idx="728">
                  <c:v>992.95</c:v>
                </c:pt>
                <c:pt idx="729">
                  <c:v>1011.45</c:v>
                </c:pt>
                <c:pt idx="730">
                  <c:v>1020.67</c:v>
                </c:pt>
                <c:pt idx="731">
                  <c:v>1130.3</c:v>
                </c:pt>
                <c:pt idx="732">
                  <c:v>1007</c:v>
                </c:pt>
                <c:pt idx="733">
                  <c:v>895.71</c:v>
                </c:pt>
                <c:pt idx="734">
                  <c:v>909</c:v>
                </c:pt>
                <c:pt idx="735">
                  <c:v>923.33</c:v>
                </c:pt>
                <c:pt idx="736">
                  <c:v>902.66</c:v>
                </c:pt>
                <c:pt idx="737">
                  <c:v>907</c:v>
                </c:pt>
                <c:pt idx="738">
                  <c:v>795.77</c:v>
                </c:pt>
                <c:pt idx="739">
                  <c:v>812.25</c:v>
                </c:pt>
                <c:pt idx="740">
                  <c:v>831.42</c:v>
                </c:pt>
                <c:pt idx="741">
                  <c:v>828</c:v>
                </c:pt>
                <c:pt idx="742">
                  <c:v>833.31</c:v>
                </c:pt>
                <c:pt idx="743">
                  <c:v>834.41</c:v>
                </c:pt>
                <c:pt idx="744">
                  <c:v>906</c:v>
                </c:pt>
                <c:pt idx="745">
                  <c:v>887.99</c:v>
                </c:pt>
                <c:pt idx="746">
                  <c:v>902.92</c:v>
                </c:pt>
                <c:pt idx="747">
                  <c:v>894.31</c:v>
                </c:pt>
                <c:pt idx="748">
                  <c:v>925.06</c:v>
                </c:pt>
                <c:pt idx="749">
                  <c:v>931.22</c:v>
                </c:pt>
                <c:pt idx="750">
                  <c:v>910.7</c:v>
                </c:pt>
                <c:pt idx="751">
                  <c:v>887</c:v>
                </c:pt>
                <c:pt idx="752">
                  <c:v>896</c:v>
                </c:pt>
                <c:pt idx="753">
                  <c:v>917.02</c:v>
                </c:pt>
                <c:pt idx="754">
                  <c:v>922.63</c:v>
                </c:pt>
                <c:pt idx="755">
                  <c:v>924.98</c:v>
                </c:pt>
                <c:pt idx="756">
                  <c:v>916.54</c:v>
                </c:pt>
                <c:pt idx="757">
                  <c:v>923.23</c:v>
                </c:pt>
                <c:pt idx="758">
                  <c:v>970.01</c:v>
                </c:pt>
                <c:pt idx="759">
                  <c:v>992.75</c:v>
                </c:pt>
                <c:pt idx="760">
                  <c:v>1008.38</c:v>
                </c:pt>
                <c:pt idx="761">
                  <c:v>1018</c:v>
                </c:pt>
                <c:pt idx="762">
                  <c:v>1035.54</c:v>
                </c:pt>
                <c:pt idx="763">
                  <c:v>1016.32</c:v>
                </c:pt>
                <c:pt idx="764">
                  <c:v>1022.58</c:v>
                </c:pt>
                <c:pt idx="765">
                  <c:v>1053.96</c:v>
                </c:pt>
                <c:pt idx="766">
                  <c:v>1056.7</c:v>
                </c:pt>
                <c:pt idx="767">
                  <c:v>994.24</c:v>
                </c:pt>
                <c:pt idx="768">
                  <c:v>1001.99</c:v>
                </c:pt>
                <c:pt idx="769">
                  <c:v>1018.65</c:v>
                </c:pt>
                <c:pt idx="770">
                  <c:v>1010</c:v>
                </c:pt>
                <c:pt idx="771">
                  <c:v>1002.82</c:v>
                </c:pt>
                <c:pt idx="772">
                  <c:v>1013.92</c:v>
                </c:pt>
                <c:pt idx="773">
                  <c:v>1014.53</c:v>
                </c:pt>
                <c:pt idx="774">
                  <c:v>1038.94</c:v>
                </c:pt>
                <c:pt idx="775">
                  <c:v>1057.3</c:v>
                </c:pt>
                <c:pt idx="776">
                  <c:v>1062.15</c:v>
                </c:pt>
                <c:pt idx="777">
                  <c:v>1059.88</c:v>
                </c:pt>
                <c:pt idx="778">
                  <c:v>1089.82</c:v>
                </c:pt>
                <c:pt idx="779">
                  <c:v>1128.29</c:v>
                </c:pt>
                <c:pt idx="780">
                  <c:v>1128.71</c:v>
                </c:pt>
                <c:pt idx="781">
                  <c:v>1186.9</c:v>
                </c:pt>
                <c:pt idx="782">
                  <c:v>1186.91</c:v>
                </c:pt>
                <c:pt idx="783">
                  <c:v>1158</c:v>
                </c:pt>
                <c:pt idx="784">
                  <c:v>1184.91</c:v>
                </c:pt>
                <c:pt idx="785">
                  <c:v>1195.81</c:v>
                </c:pt>
                <c:pt idx="786">
                  <c:v>1195.08</c:v>
                </c:pt>
                <c:pt idx="787">
                  <c:v>1230</c:v>
                </c:pt>
                <c:pt idx="788">
                  <c:v>1269.17</c:v>
                </c:pt>
                <c:pt idx="789">
                  <c:v>1292.86</c:v>
                </c:pt>
                <c:pt idx="790">
                  <c:v>1273.97</c:v>
                </c:pt>
                <c:pt idx="791">
                  <c:v>1278.98</c:v>
                </c:pt>
                <c:pt idx="792">
                  <c:v>1284.99</c:v>
                </c:pt>
                <c:pt idx="793">
                  <c:v>1237.36</c:v>
                </c:pt>
                <c:pt idx="794">
                  <c:v>1150.22</c:v>
                </c:pt>
                <c:pt idx="795">
                  <c:v>1197.3</c:v>
                </c:pt>
                <c:pt idx="796">
                  <c:v>1109.01</c:v>
                </c:pt>
                <c:pt idx="797">
                  <c:v>1188.11</c:v>
                </c:pt>
                <c:pt idx="798">
                  <c:v>1235.58</c:v>
                </c:pt>
                <c:pt idx="799">
                  <c:v>1245.49</c:v>
                </c:pt>
                <c:pt idx="800">
                  <c:v>1247.42</c:v>
                </c:pt>
                <c:pt idx="801">
                  <c:v>1263</c:v>
                </c:pt>
                <c:pt idx="802">
                  <c:v>1175.11</c:v>
                </c:pt>
                <c:pt idx="803">
                  <c:v>1069.57</c:v>
                </c:pt>
                <c:pt idx="804">
                  <c:v>970</c:v>
                </c:pt>
                <c:pt idx="805">
                  <c:v>1019.49</c:v>
                </c:pt>
                <c:pt idx="806">
                  <c:v>1044.96</c:v>
                </c:pt>
                <c:pt idx="807">
                  <c:v>1114.42</c:v>
                </c:pt>
                <c:pt idx="808">
                  <c:v>1034.57</c:v>
                </c:pt>
                <c:pt idx="809">
                  <c:v>1025.14</c:v>
                </c:pt>
                <c:pt idx="810">
                  <c:v>934.87</c:v>
                </c:pt>
                <c:pt idx="811">
                  <c:v>963.72</c:v>
                </c:pt>
                <c:pt idx="812">
                  <c:v>973.08</c:v>
                </c:pt>
                <c:pt idx="813">
                  <c:v>1042.08</c:v>
                </c:pt>
                <c:pt idx="814">
                  <c:v>1045.4</c:v>
                </c:pt>
                <c:pt idx="815">
                  <c:v>1043.27</c:v>
                </c:pt>
                <c:pt idx="816">
                  <c:v>1042.34</c:v>
                </c:pt>
                <c:pt idx="817">
                  <c:v>1088.99</c:v>
                </c:pt>
                <c:pt idx="818">
                  <c:v>1092</c:v>
                </c:pt>
                <c:pt idx="819">
                  <c:v>1113.99</c:v>
                </c:pt>
                <c:pt idx="820">
                  <c:v>1152.6</c:v>
                </c:pt>
                <c:pt idx="821">
                  <c:v>1143.99</c:v>
                </c:pt>
                <c:pt idx="822">
                  <c:v>1132.99</c:v>
                </c:pt>
                <c:pt idx="823">
                  <c:v>1192.3</c:v>
                </c:pt>
                <c:pt idx="824">
                  <c:v>1194</c:v>
                </c:pt>
                <c:pt idx="825">
                  <c:v>1184.5</c:v>
                </c:pt>
                <c:pt idx="826">
                  <c:v>1210.97</c:v>
                </c:pt>
                <c:pt idx="827">
                  <c:v>1210</c:v>
                </c:pt>
                <c:pt idx="828">
                  <c:v>1223.99</c:v>
                </c:pt>
                <c:pt idx="829">
                  <c:v>1214.17</c:v>
                </c:pt>
                <c:pt idx="830">
                  <c:v>1177.05</c:v>
                </c:pt>
                <c:pt idx="831">
                  <c:v>1173.74</c:v>
                </c:pt>
                <c:pt idx="832">
                  <c:v>1178.85</c:v>
                </c:pt>
                <c:pt idx="833">
                  <c:v>1177.99</c:v>
                </c:pt>
                <c:pt idx="834">
                  <c:v>1189.91</c:v>
                </c:pt>
                <c:pt idx="835">
                  <c:v>1201.94</c:v>
                </c:pt>
                <c:pt idx="836">
                  <c:v>1214.21</c:v>
                </c:pt>
                <c:pt idx="837">
                  <c:v>1236.15</c:v>
                </c:pt>
                <c:pt idx="838">
                  <c:v>1249.99</c:v>
                </c:pt>
                <c:pt idx="839">
                  <c:v>1247</c:v>
                </c:pt>
                <c:pt idx="840">
                  <c:v>1251.98</c:v>
                </c:pt>
                <c:pt idx="841">
                  <c:v>1257.29</c:v>
                </c:pt>
                <c:pt idx="842">
                  <c:v>1281.16</c:v>
                </c:pt>
                <c:pt idx="843">
                  <c:v>1298.44</c:v>
                </c:pt>
                <c:pt idx="844">
                  <c:v>1349.26</c:v>
                </c:pt>
                <c:pt idx="845">
                  <c:v>1353.34</c:v>
                </c:pt>
                <c:pt idx="846">
                  <c:v>1365.43</c:v>
                </c:pt>
                <c:pt idx="847">
                  <c:v>1384.55</c:v>
                </c:pt>
                <c:pt idx="848">
                  <c:v>1436.5</c:v>
                </c:pt>
                <c:pt idx="849">
                  <c:v>1471.99</c:v>
                </c:pt>
                <c:pt idx="850">
                  <c:v>1533</c:v>
                </c:pt>
                <c:pt idx="851">
                  <c:v>1563.39</c:v>
                </c:pt>
                <c:pt idx="852">
                  <c:v>1551.3</c:v>
                </c:pt>
                <c:pt idx="853">
                  <c:v>1585.39</c:v>
                </c:pt>
                <c:pt idx="854">
                  <c:v>1609.57</c:v>
                </c:pt>
                <c:pt idx="855">
                  <c:v>1713</c:v>
                </c:pt>
                <c:pt idx="856">
                  <c:v>1720.43</c:v>
                </c:pt>
                <c:pt idx="857">
                  <c:v>1794.99</c:v>
                </c:pt>
                <c:pt idx="858">
                  <c:v>1837.93</c:v>
                </c:pt>
                <c:pt idx="859">
                  <c:v>1695.61</c:v>
                </c:pt>
                <c:pt idx="860">
                  <c:v>1792.73</c:v>
                </c:pt>
                <c:pt idx="861">
                  <c:v>1799.99</c:v>
                </c:pt>
                <c:pt idx="862">
                  <c:v>1747.81</c:v>
                </c:pt>
                <c:pt idx="863">
                  <c:v>1777.48</c:v>
                </c:pt>
                <c:pt idx="864">
                  <c:v>1813.23</c:v>
                </c:pt>
                <c:pt idx="865">
                  <c:v>1899.16</c:v>
                </c:pt>
                <c:pt idx="866">
                  <c:v>1976.23</c:v>
                </c:pt>
                <c:pt idx="867">
                  <c:v>2058.91</c:v>
                </c:pt>
                <c:pt idx="868">
                  <c:v>2057</c:v>
                </c:pt>
                <c:pt idx="869">
                  <c:v>2123.29</c:v>
                </c:pt>
                <c:pt idx="870">
                  <c:v>2272.75</c:v>
                </c:pt>
                <c:pt idx="871">
                  <c:v>2432.97</c:v>
                </c:pt>
                <c:pt idx="872">
                  <c:v>2355</c:v>
                </c:pt>
                <c:pt idx="873">
                  <c:v>2272.7</c:v>
                </c:pt>
                <c:pt idx="874">
                  <c:v>2099.99</c:v>
                </c:pt>
                <c:pt idx="875">
                  <c:v>2232.78</c:v>
                </c:pt>
                <c:pt idx="876">
                  <c:v>2279.48</c:v>
                </c:pt>
                <c:pt idx="877">
                  <c:v>2191.58</c:v>
                </c:pt>
                <c:pt idx="878">
                  <c:v>2303.29</c:v>
                </c:pt>
                <c:pt idx="879">
                  <c:v>2419.99</c:v>
                </c:pt>
                <c:pt idx="880">
                  <c:v>2478.99</c:v>
                </c:pt>
                <c:pt idx="881">
                  <c:v>2548.05</c:v>
                </c:pt>
                <c:pt idx="882">
                  <c:v>2521.36</c:v>
                </c:pt>
                <c:pt idx="883">
                  <c:v>2698</c:v>
                </c:pt>
                <c:pt idx="884">
                  <c:v>2871.29</c:v>
                </c:pt>
                <c:pt idx="885">
                  <c:v>2685.64</c:v>
                </c:pt>
                <c:pt idx="886">
                  <c:v>2799.73</c:v>
                </c:pt>
                <c:pt idx="887">
                  <c:v>2811.39</c:v>
                </c:pt>
                <c:pt idx="888">
                  <c:v>2931.15</c:v>
                </c:pt>
                <c:pt idx="889">
                  <c:v>2998.98</c:v>
                </c:pt>
                <c:pt idx="890">
                  <c:v>2655.71</c:v>
                </c:pt>
                <c:pt idx="891">
                  <c:v>2709.01</c:v>
                </c:pt>
                <c:pt idx="892">
                  <c:v>2432.21</c:v>
                </c:pt>
                <c:pt idx="893">
                  <c:v>2409.98</c:v>
                </c:pt>
                <c:pt idx="894">
                  <c:v>2480.43</c:v>
                </c:pt>
                <c:pt idx="895">
                  <c:v>2634.94</c:v>
                </c:pt>
                <c:pt idx="896">
                  <c:v>2515.25</c:v>
                </c:pt>
                <c:pt idx="897">
                  <c:v>2596.98</c:v>
                </c:pt>
                <c:pt idx="898">
                  <c:v>2725.08</c:v>
                </c:pt>
                <c:pt idx="899">
                  <c:v>2643.35</c:v>
                </c:pt>
                <c:pt idx="900">
                  <c:v>2679.99</c:v>
                </c:pt>
                <c:pt idx="901">
                  <c:v>2690.76</c:v>
                </c:pt>
                <c:pt idx="902">
                  <c:v>2574.84</c:v>
                </c:pt>
                <c:pt idx="903">
                  <c:v>2505.61</c:v>
                </c:pt>
                <c:pt idx="904">
                  <c:v>2407.91</c:v>
                </c:pt>
                <c:pt idx="905">
                  <c:v>2575.75</c:v>
                </c:pt>
                <c:pt idx="906">
                  <c:v>2553.12</c:v>
                </c:pt>
                <c:pt idx="907">
                  <c:v>2530</c:v>
                </c:pt>
                <c:pt idx="908">
                  <c:v>2455.19</c:v>
                </c:pt>
                <c:pt idx="909">
                  <c:v>2423.63</c:v>
                </c:pt>
                <c:pt idx="910">
                  <c:v>2516.66</c:v>
                </c:pt>
                <c:pt idx="911">
                  <c:v>2542.41</c:v>
                </c:pt>
                <c:pt idx="912">
                  <c:v>2602</c:v>
                </c:pt>
                <c:pt idx="913">
                  <c:v>2616.96</c:v>
                </c:pt>
                <c:pt idx="914">
                  <c:v>2604.84</c:v>
                </c:pt>
                <c:pt idx="915">
                  <c:v>2501.15</c:v>
                </c:pt>
                <c:pt idx="916">
                  <c:v>2561.11</c:v>
                </c:pt>
                <c:pt idx="917">
                  <c:v>2508.99</c:v>
                </c:pt>
                <c:pt idx="918">
                  <c:v>2331.05</c:v>
                </c:pt>
                <c:pt idx="919">
                  <c:v>2310.01</c:v>
                </c:pt>
                <c:pt idx="920">
                  <c:v>2383.42</c:v>
                </c:pt>
                <c:pt idx="921">
                  <c:v>2340</c:v>
                </c:pt>
                <c:pt idx="922">
                  <c:v>2217.24</c:v>
                </c:pt>
                <c:pt idx="923">
                  <c:v>1964.31</c:v>
                </c:pt>
                <c:pt idx="924">
                  <c:v>1911.78</c:v>
                </c:pt>
                <c:pt idx="925">
                  <c:v>2235.19</c:v>
                </c:pt>
                <c:pt idx="926">
                  <c:v>2308.15</c:v>
                </c:pt>
                <c:pt idx="927">
                  <c:v>2258.99</c:v>
                </c:pt>
                <c:pt idx="928">
                  <c:v>2873.48</c:v>
                </c:pt>
                <c:pt idx="929">
                  <c:v>2657.45</c:v>
                </c:pt>
                <c:pt idx="930">
                  <c:v>2825.27</c:v>
                </c:pt>
                <c:pt idx="931">
                  <c:v>2754.28</c:v>
                </c:pt>
                <c:pt idx="932">
                  <c:v>2762.26</c:v>
                </c:pt>
                <c:pt idx="933">
                  <c:v>2564</c:v>
                </c:pt>
                <c:pt idx="934">
                  <c:v>2525.99</c:v>
                </c:pt>
                <c:pt idx="935">
                  <c:v>2664.99</c:v>
                </c:pt>
                <c:pt idx="936">
                  <c:v>2786.07</c:v>
                </c:pt>
                <c:pt idx="937">
                  <c:v>2700.21</c:v>
                </c:pt>
                <c:pt idx="938">
                  <c:v>2723.99</c:v>
                </c:pt>
                <c:pt idx="939">
                  <c:v>2856.88</c:v>
                </c:pt>
                <c:pt idx="940">
                  <c:v>2732.59</c:v>
                </c:pt>
                <c:pt idx="941">
                  <c:v>2699.9</c:v>
                </c:pt>
                <c:pt idx="942">
                  <c:v>2787.02</c:v>
                </c:pt>
                <c:pt idx="943">
                  <c:v>2857.34</c:v>
                </c:pt>
                <c:pt idx="944">
                  <c:v>3243.49</c:v>
                </c:pt>
                <c:pt idx="945">
                  <c:v>3222.22</c:v>
                </c:pt>
                <c:pt idx="946">
                  <c:v>3398.23</c:v>
                </c:pt>
                <c:pt idx="947">
                  <c:v>3422.43</c:v>
                </c:pt>
                <c:pt idx="948">
                  <c:v>3342.8</c:v>
                </c:pt>
                <c:pt idx="949">
                  <c:v>3444.98</c:v>
                </c:pt>
                <c:pt idx="950">
                  <c:v>3656.15</c:v>
                </c:pt>
                <c:pt idx="951">
                  <c:v>3874</c:v>
                </c:pt>
                <c:pt idx="952">
                  <c:v>4060.47</c:v>
                </c:pt>
                <c:pt idx="953">
                  <c:v>4320.6</c:v>
                </c:pt>
                <c:pt idx="954">
                  <c:v>4159.93</c:v>
                </c:pt>
                <c:pt idx="955">
                  <c:v>4370.01</c:v>
                </c:pt>
                <c:pt idx="956">
                  <c:v>4280.01</c:v>
                </c:pt>
                <c:pt idx="957">
                  <c:v>4101.72</c:v>
                </c:pt>
                <c:pt idx="958">
                  <c:v>4157.41</c:v>
                </c:pt>
                <c:pt idx="959">
                  <c:v>4050.99</c:v>
                </c:pt>
                <c:pt idx="960">
                  <c:v>4002</c:v>
                </c:pt>
                <c:pt idx="961">
                  <c:v>4092</c:v>
                </c:pt>
                <c:pt idx="962">
                  <c:v>4143.49</c:v>
                </c:pt>
                <c:pt idx="963">
                  <c:v>4312.03</c:v>
                </c:pt>
                <c:pt idx="964">
                  <c:v>4360</c:v>
                </c:pt>
                <c:pt idx="965">
                  <c:v>4344.32</c:v>
                </c:pt>
                <c:pt idx="966">
                  <c:v>4340.11</c:v>
                </c:pt>
                <c:pt idx="967">
                  <c:v>4384.99</c:v>
                </c:pt>
                <c:pt idx="968">
                  <c:v>4599</c:v>
                </c:pt>
                <c:pt idx="969">
                  <c:v>4581.98</c:v>
                </c:pt>
                <c:pt idx="970">
                  <c:v>4743.94</c:v>
                </c:pt>
                <c:pt idx="971">
                  <c:v>4947.99</c:v>
                </c:pt>
                <c:pt idx="972">
                  <c:v>4649.99</c:v>
                </c:pt>
                <c:pt idx="973">
                  <c:v>4626.05</c:v>
                </c:pt>
                <c:pt idx="974">
                  <c:v>4498.25</c:v>
                </c:pt>
                <c:pt idx="975">
                  <c:v>4432.51</c:v>
                </c:pt>
                <c:pt idx="976">
                  <c:v>4616.18</c:v>
                </c:pt>
                <c:pt idx="977">
                  <c:v>4624.18</c:v>
                </c:pt>
                <c:pt idx="978">
                  <c:v>4350</c:v>
                </c:pt>
                <c:pt idx="979">
                  <c:v>4334.36</c:v>
                </c:pt>
                <c:pt idx="980">
                  <c:v>4251.36</c:v>
                </c:pt>
                <c:pt idx="981">
                  <c:v>4210.72</c:v>
                </c:pt>
                <c:pt idx="982">
                  <c:v>4164.52</c:v>
                </c:pt>
                <c:pt idx="983">
                  <c:v>3855.32</c:v>
                </c:pt>
                <c:pt idx="984">
                  <c:v>3250.4</c:v>
                </c:pt>
                <c:pt idx="985">
                  <c:v>3740.02</c:v>
                </c:pt>
                <c:pt idx="986">
                  <c:v>3726.51</c:v>
                </c:pt>
                <c:pt idx="987">
                  <c:v>3719.97</c:v>
                </c:pt>
                <c:pt idx="988">
                  <c:v>4100</c:v>
                </c:pt>
                <c:pt idx="989">
                  <c:v>3910.11</c:v>
                </c:pt>
                <c:pt idx="990">
                  <c:v>3872.06</c:v>
                </c:pt>
                <c:pt idx="991">
                  <c:v>3617.47</c:v>
                </c:pt>
                <c:pt idx="992">
                  <c:v>3619.01</c:v>
                </c:pt>
                <c:pt idx="993">
                  <c:v>3787.33</c:v>
                </c:pt>
                <c:pt idx="994">
                  <c:v>3669.01</c:v>
                </c:pt>
                <c:pt idx="995">
                  <c:v>3919.78</c:v>
                </c:pt>
                <c:pt idx="996">
                  <c:v>3885.09</c:v>
                </c:pt>
                <c:pt idx="997">
                  <c:v>4200</c:v>
                </c:pt>
                <c:pt idx="998">
                  <c:v>4189.42</c:v>
                </c:pt>
                <c:pt idx="999">
                  <c:v>4156.99</c:v>
                </c:pt>
                <c:pt idx="1000">
                  <c:v>4339</c:v>
                </c:pt>
                <c:pt idx="1001">
                  <c:v>4394.81</c:v>
                </c:pt>
                <c:pt idx="1002">
                  <c:v>4392.71</c:v>
                </c:pt>
                <c:pt idx="1003">
                  <c:v>4307.99</c:v>
                </c:pt>
                <c:pt idx="1004">
                  <c:v>4214.84</c:v>
                </c:pt>
                <c:pt idx="1005">
                  <c:v>4320.04</c:v>
                </c:pt>
                <c:pt idx="1006">
                  <c:v>4362.99</c:v>
                </c:pt>
                <c:pt idx="1007">
                  <c:v>4425</c:v>
                </c:pt>
                <c:pt idx="1008">
                  <c:v>4603.49</c:v>
                </c:pt>
                <c:pt idx="1009">
                  <c:v>4769.55</c:v>
                </c:pt>
                <c:pt idx="1010">
                  <c:v>4750</c:v>
                </c:pt>
                <c:pt idx="1011">
                  <c:v>4814.99</c:v>
                </c:pt>
                <c:pt idx="1012">
                  <c:v>5440</c:v>
                </c:pt>
                <c:pt idx="1013">
                  <c:v>5624.8</c:v>
                </c:pt>
                <c:pt idx="1014">
                  <c:v>5819.13</c:v>
                </c:pt>
                <c:pt idx="1015">
                  <c:v>5693.7</c:v>
                </c:pt>
                <c:pt idx="1016">
                  <c:v>5754.9</c:v>
                </c:pt>
                <c:pt idx="1017">
                  <c:v>5594</c:v>
                </c:pt>
                <c:pt idx="1018">
                  <c:v>5574.44</c:v>
                </c:pt>
                <c:pt idx="1019">
                  <c:v>5704.01</c:v>
                </c:pt>
                <c:pt idx="1020">
                  <c:v>5989.1</c:v>
                </c:pt>
                <c:pt idx="1021">
                  <c:v>6024.86</c:v>
                </c:pt>
                <c:pt idx="1022">
                  <c:v>6005.05</c:v>
                </c:pt>
                <c:pt idx="1023">
                  <c:v>5905.99</c:v>
                </c:pt>
                <c:pt idx="1024">
                  <c:v>5525.43</c:v>
                </c:pt>
                <c:pt idx="1025">
                  <c:v>5739.97</c:v>
                </c:pt>
                <c:pt idx="1026">
                  <c:v>5891.61</c:v>
                </c:pt>
                <c:pt idx="1027">
                  <c:v>5780</c:v>
                </c:pt>
                <c:pt idx="1028">
                  <c:v>5752.01</c:v>
                </c:pt>
                <c:pt idx="1029">
                  <c:v>6140.01</c:v>
                </c:pt>
                <c:pt idx="1030">
                  <c:v>6124.16</c:v>
                </c:pt>
                <c:pt idx="1031">
                  <c:v>6445.01</c:v>
                </c:pt>
                <c:pt idx="1032">
                  <c:v>6783.69</c:v>
                </c:pt>
                <c:pt idx="1033">
                  <c:v>7039.98</c:v>
                </c:pt>
                <c:pt idx="1034">
                  <c:v>7170.01</c:v>
                </c:pt>
                <c:pt idx="1035">
                  <c:v>7412.55</c:v>
                </c:pt>
                <c:pt idx="1036">
                  <c:v>7392</c:v>
                </c:pt>
                <c:pt idx="1037">
                  <c:v>6969.76</c:v>
                </c:pt>
                <c:pt idx="1038">
                  <c:v>7126.63</c:v>
                </c:pt>
                <c:pt idx="1039">
                  <c:v>7467.96</c:v>
                </c:pt>
                <c:pt idx="1040">
                  <c:v>7156</c:v>
                </c:pt>
                <c:pt idx="1041">
                  <c:v>6577.62</c:v>
                </c:pt>
                <c:pt idx="1042">
                  <c:v>6346.7</c:v>
                </c:pt>
                <c:pt idx="1043">
                  <c:v>5886.35</c:v>
                </c:pt>
                <c:pt idx="1044">
                  <c:v>6535.87</c:v>
                </c:pt>
                <c:pt idx="1045">
                  <c:v>6605</c:v>
                </c:pt>
                <c:pt idx="1046">
                  <c:v>7294</c:v>
                </c:pt>
                <c:pt idx="1047">
                  <c:v>7838.53</c:v>
                </c:pt>
                <c:pt idx="1048">
                  <c:v>7714.71</c:v>
                </c:pt>
                <c:pt idx="1049">
                  <c:v>7777.01</c:v>
                </c:pt>
                <c:pt idx="1050">
                  <c:v>8031.82</c:v>
                </c:pt>
                <c:pt idx="1051">
                  <c:v>8256.01</c:v>
                </c:pt>
                <c:pt idx="1052">
                  <c:v>8109</c:v>
                </c:pt>
                <c:pt idx="1053">
                  <c:v>8250</c:v>
                </c:pt>
                <c:pt idx="1054">
                  <c:v>8031.16</c:v>
                </c:pt>
                <c:pt idx="1055">
                  <c:v>8215.01</c:v>
                </c:pt>
                <c:pt idx="1056">
                  <c:v>8795.5</c:v>
                </c:pt>
                <c:pt idx="1057">
                  <c:v>9401.11</c:v>
                </c:pt>
                <c:pt idx="1058">
                  <c:v>9768.71</c:v>
                </c:pt>
                <c:pt idx="1059">
                  <c:v>9949</c:v>
                </c:pt>
                <c:pt idx="1060">
                  <c:v>9935.98</c:v>
                </c:pt>
                <c:pt idx="1061">
                  <c:v>9903</c:v>
                </c:pt>
                <c:pt idx="1062">
                  <c:v>10869.84</c:v>
                </c:pt>
                <c:pt idx="1063">
                  <c:v>10930.24</c:v>
                </c:pt>
                <c:pt idx="1064">
                  <c:v>11290</c:v>
                </c:pt>
                <c:pt idx="1065">
                  <c:v>11643.98</c:v>
                </c:pt>
                <c:pt idx="1066">
                  <c:v>11718.35</c:v>
                </c:pt>
                <c:pt idx="1067">
                  <c:v>14090</c:v>
                </c:pt>
                <c:pt idx="1068">
                  <c:v>17390.01</c:v>
                </c:pt>
                <c:pt idx="1069">
                  <c:v>16367.03</c:v>
                </c:pt>
                <c:pt idx="1070">
                  <c:v>15309.98</c:v>
                </c:pt>
                <c:pt idx="1071">
                  <c:v>15290.01</c:v>
                </c:pt>
                <c:pt idx="1072">
                  <c:v>16885.76</c:v>
                </c:pt>
                <c:pt idx="1073">
                  <c:v>17730.12</c:v>
                </c:pt>
                <c:pt idx="1074">
                  <c:v>16689.61</c:v>
                </c:pt>
                <c:pt idx="1075">
                  <c:v>16749.78</c:v>
                </c:pt>
                <c:pt idx="1076">
                  <c:v>17738.67</c:v>
                </c:pt>
                <c:pt idx="1077">
                  <c:v>19650.01</c:v>
                </c:pt>
                <c:pt idx="1078">
                  <c:v>19378.99</c:v>
                </c:pt>
                <c:pt idx="1079">
                  <c:v>19039.01</c:v>
                </c:pt>
                <c:pt idx="1080">
                  <c:v>17838.73</c:v>
                </c:pt>
                <c:pt idx="1081">
                  <c:v>16496.89</c:v>
                </c:pt>
                <c:pt idx="1082">
                  <c:v>15758.8</c:v>
                </c:pt>
                <c:pt idx="1083">
                  <c:v>14210.57</c:v>
                </c:pt>
                <c:pt idx="1084">
                  <c:v>15075.89</c:v>
                </c:pt>
                <c:pt idx="1085">
                  <c:v>14221.94</c:v>
                </c:pt>
                <c:pt idx="1086">
                  <c:v>14171.98</c:v>
                </c:pt>
                <c:pt idx="1087">
                  <c:v>15790.88</c:v>
                </c:pt>
                <c:pt idx="1088">
                  <c:v>15367.08</c:v>
                </c:pt>
                <c:pt idx="1089">
                  <c:v>14450.01</c:v>
                </c:pt>
                <c:pt idx="1090">
                  <c:v>14565.05</c:v>
                </c:pt>
                <c:pt idx="1091">
                  <c:v>12839.99</c:v>
                </c:pt>
                <c:pt idx="1092">
                  <c:v>13863.13</c:v>
                </c:pt>
                <c:pt idx="1093">
                  <c:v>13480.01</c:v>
                </c:pt>
                <c:pt idx="1094">
                  <c:v>14781.51</c:v>
                </c:pt>
                <c:pt idx="1095">
                  <c:v>15098.14</c:v>
                </c:pt>
                <c:pt idx="1096">
                  <c:v>15144.99</c:v>
                </c:pt>
                <c:pt idx="1097">
                  <c:v>16960.01</c:v>
                </c:pt>
                <c:pt idx="1098">
                  <c:v>17098.99</c:v>
                </c:pt>
                <c:pt idx="1099">
                  <c:v>16174.22</c:v>
                </c:pt>
                <c:pt idx="1100">
                  <c:v>14993.74</c:v>
                </c:pt>
                <c:pt idx="1101">
                  <c:v>14480.99</c:v>
                </c:pt>
                <c:pt idx="1102">
                  <c:v>14875.18</c:v>
                </c:pt>
                <c:pt idx="1103">
                  <c:v>13308.06</c:v>
                </c:pt>
                <c:pt idx="1104">
                  <c:v>13820</c:v>
                </c:pt>
                <c:pt idx="1105">
                  <c:v>14187.95</c:v>
                </c:pt>
                <c:pt idx="1106">
                  <c:v>13656.23</c:v>
                </c:pt>
                <c:pt idx="1107">
                  <c:v>13590</c:v>
                </c:pt>
                <c:pt idx="1108">
                  <c:v>11570.01</c:v>
                </c:pt>
                <c:pt idx="1109">
                  <c:v>11200.01</c:v>
                </c:pt>
                <c:pt idx="1110">
                  <c:v>11305.53</c:v>
                </c:pt>
                <c:pt idx="1111">
                  <c:v>11498.99</c:v>
                </c:pt>
                <c:pt idx="1112">
                  <c:v>12762.8</c:v>
                </c:pt>
                <c:pt idx="1113">
                  <c:v>11518.17</c:v>
                </c:pt>
                <c:pt idx="1114">
                  <c:v>10766.7</c:v>
                </c:pt>
                <c:pt idx="1115">
                  <c:v>10824.94</c:v>
                </c:pt>
                <c:pt idx="1116">
                  <c:v>11356.79</c:v>
                </c:pt>
                <c:pt idx="1117">
                  <c:v>11118</c:v>
                </c:pt>
                <c:pt idx="1118">
                  <c:v>11086.89</c:v>
                </c:pt>
                <c:pt idx="1119">
                  <c:v>11319</c:v>
                </c:pt>
                <c:pt idx="1120">
                  <c:v>11536</c:v>
                </c:pt>
                <c:pt idx="1121">
                  <c:v>11123.01</c:v>
                </c:pt>
                <c:pt idx="1122">
                  <c:v>9995</c:v>
                </c:pt>
                <c:pt idx="1123">
                  <c:v>10099.99</c:v>
                </c:pt>
                <c:pt idx="1124">
                  <c:v>9014.23</c:v>
                </c:pt>
                <c:pt idx="1125">
                  <c:v>8787.52</c:v>
                </c:pt>
                <c:pt idx="1126">
                  <c:v>9240</c:v>
                </c:pt>
                <c:pt idx="1127">
                  <c:v>8167.91</c:v>
                </c:pt>
                <c:pt idx="1128">
                  <c:v>6905.19</c:v>
                </c:pt>
                <c:pt idx="1129">
                  <c:v>7688.46</c:v>
                </c:pt>
                <c:pt idx="1130">
                  <c:v>7575.75</c:v>
                </c:pt>
                <c:pt idx="1131">
                  <c:v>8218.1</c:v>
                </c:pt>
                <c:pt idx="1132">
                  <c:v>8671.01</c:v>
                </c:pt>
                <c:pt idx="1133">
                  <c:v>8547.49</c:v>
                </c:pt>
                <c:pt idx="1134">
                  <c:v>8072.99</c:v>
                </c:pt>
                <c:pt idx="1135">
                  <c:v>8872.28</c:v>
                </c:pt>
                <c:pt idx="1136">
                  <c:v>8520.01</c:v>
                </c:pt>
                <c:pt idx="1137">
                  <c:v>9472.98</c:v>
                </c:pt>
                <c:pt idx="1138">
                  <c:v>10031.23</c:v>
                </c:pt>
                <c:pt idx="1139">
                  <c:v>10167.49</c:v>
                </c:pt>
                <c:pt idx="1140">
                  <c:v>11121.5</c:v>
                </c:pt>
                <c:pt idx="1141">
                  <c:v>10380.04</c:v>
                </c:pt>
                <c:pt idx="1142">
                  <c:v>11140</c:v>
                </c:pt>
                <c:pt idx="1143">
                  <c:v>11235.57</c:v>
                </c:pt>
                <c:pt idx="1144">
                  <c:v>10454.27</c:v>
                </c:pt>
                <c:pt idx="1145">
                  <c:v>9830</c:v>
                </c:pt>
                <c:pt idx="1146">
                  <c:v>10144.99</c:v>
                </c:pt>
                <c:pt idx="1147">
                  <c:v>9688.62</c:v>
                </c:pt>
                <c:pt idx="1148">
                  <c:v>9597.99</c:v>
                </c:pt>
                <c:pt idx="1149">
                  <c:v>10300</c:v>
                </c:pt>
                <c:pt idx="1150">
                  <c:v>10566.57</c:v>
                </c:pt>
                <c:pt idx="1151">
                  <c:v>10307.27</c:v>
                </c:pt>
                <c:pt idx="1152">
                  <c:v>10895.92</c:v>
                </c:pt>
                <c:pt idx="1153">
                  <c:v>11000</c:v>
                </c:pt>
                <c:pt idx="1154">
                  <c:v>11432.5</c:v>
                </c:pt>
                <c:pt idx="1155">
                  <c:v>11469.9</c:v>
                </c:pt>
                <c:pt idx="1156">
                  <c:v>11377.54</c:v>
                </c:pt>
                <c:pt idx="1157">
                  <c:v>10700</c:v>
                </c:pt>
                <c:pt idx="1158">
                  <c:v>9920</c:v>
                </c:pt>
                <c:pt idx="1159">
                  <c:v>9304.9</c:v>
                </c:pt>
                <c:pt idx="1160">
                  <c:v>9255</c:v>
                </c:pt>
                <c:pt idx="1161">
                  <c:v>8795.44</c:v>
                </c:pt>
                <c:pt idx="1162">
                  <c:v>9533.88</c:v>
                </c:pt>
                <c:pt idx="1163">
                  <c:v>9120</c:v>
                </c:pt>
                <c:pt idx="1164">
                  <c:v>9145.41</c:v>
                </c:pt>
                <c:pt idx="1165">
                  <c:v>8207.03</c:v>
                </c:pt>
                <c:pt idx="1166">
                  <c:v>8259.99</c:v>
                </c:pt>
                <c:pt idx="1167">
                  <c:v>8275</c:v>
                </c:pt>
                <c:pt idx="1168">
                  <c:v>7865.02</c:v>
                </c:pt>
                <c:pt idx="1169">
                  <c:v>8192</c:v>
                </c:pt>
                <c:pt idx="1170">
                  <c:v>8589</c:v>
                </c:pt>
                <c:pt idx="1171">
                  <c:v>8900</c:v>
                </c:pt>
                <c:pt idx="1172">
                  <c:v>8891.81</c:v>
                </c:pt>
                <c:pt idx="1173">
                  <c:v>8715.09</c:v>
                </c:pt>
                <c:pt idx="1174">
                  <c:v>8927.1</c:v>
                </c:pt>
                <c:pt idx="1175">
                  <c:v>8531.34</c:v>
                </c:pt>
                <c:pt idx="1176">
                  <c:v>8453</c:v>
                </c:pt>
                <c:pt idx="1177">
                  <c:v>8145</c:v>
                </c:pt>
                <c:pt idx="1178">
                  <c:v>7793.61</c:v>
                </c:pt>
                <c:pt idx="1179">
                  <c:v>7942.72</c:v>
                </c:pt>
                <c:pt idx="1180">
                  <c:v>7079.99</c:v>
                </c:pt>
                <c:pt idx="1181">
                  <c:v>6848.01</c:v>
                </c:pt>
                <c:pt idx="1182">
                  <c:v>6928.5</c:v>
                </c:pt>
                <c:pt idx="1183">
                  <c:v>6816.01</c:v>
                </c:pt>
                <c:pt idx="1184">
                  <c:v>7045.01</c:v>
                </c:pt>
                <c:pt idx="1185">
                  <c:v>7424.9</c:v>
                </c:pt>
                <c:pt idx="1186">
                  <c:v>6791.68</c:v>
                </c:pt>
                <c:pt idx="1187">
                  <c:v>6785.85</c:v>
                </c:pt>
                <c:pt idx="1188">
                  <c:v>6619.01</c:v>
                </c:pt>
                <c:pt idx="1189">
                  <c:v>6894.01</c:v>
                </c:pt>
                <c:pt idx="1190">
                  <c:v>7020.01</c:v>
                </c:pt>
                <c:pt idx="1191">
                  <c:v>6771.13</c:v>
                </c:pt>
                <c:pt idx="1192">
                  <c:v>6824.99</c:v>
                </c:pt>
                <c:pt idx="1193">
                  <c:v>6942.99</c:v>
                </c:pt>
                <c:pt idx="1194">
                  <c:v>7916</c:v>
                </c:pt>
                <c:pt idx="1195">
                  <c:v>7893.19</c:v>
                </c:pt>
                <c:pt idx="1196">
                  <c:v>8003.11</c:v>
                </c:pt>
                <c:pt idx="1197">
                  <c:v>8355.25</c:v>
                </c:pt>
                <c:pt idx="1198">
                  <c:v>8048.93</c:v>
                </c:pt>
                <c:pt idx="1199">
                  <c:v>7892.1</c:v>
                </c:pt>
                <c:pt idx="1200">
                  <c:v>8152.05</c:v>
                </c:pt>
                <c:pt idx="1201">
                  <c:v>8274</c:v>
                </c:pt>
                <c:pt idx="1202">
                  <c:v>8866.27</c:v>
                </c:pt>
                <c:pt idx="1203">
                  <c:v>8915.42</c:v>
                </c:pt>
                <c:pt idx="1204">
                  <c:v>8795.01</c:v>
                </c:pt>
                <c:pt idx="1205">
                  <c:v>8931.3</c:v>
                </c:pt>
                <c:pt idx="1206">
                  <c:v>9650</c:v>
                </c:pt>
                <c:pt idx="1207">
                  <c:v>8865.98</c:v>
                </c:pt>
                <c:pt idx="1208">
                  <c:v>9272.11</c:v>
                </c:pt>
                <c:pt idx="1209">
                  <c:v>8922.55</c:v>
                </c:pt>
                <c:pt idx="1210">
                  <c:v>9329.99</c:v>
                </c:pt>
                <c:pt idx="1211">
                  <c:v>9389.01</c:v>
                </c:pt>
                <c:pt idx="1212">
                  <c:v>9243.82</c:v>
                </c:pt>
                <c:pt idx="1213">
                  <c:v>9072.29</c:v>
                </c:pt>
                <c:pt idx="1214">
                  <c:v>9190.48</c:v>
                </c:pt>
                <c:pt idx="1215">
                  <c:v>9725.74</c:v>
                </c:pt>
                <c:pt idx="1216">
                  <c:v>9685</c:v>
                </c:pt>
                <c:pt idx="1217">
                  <c:v>9800</c:v>
                </c:pt>
                <c:pt idx="1218">
                  <c:v>9600</c:v>
                </c:pt>
                <c:pt idx="1219">
                  <c:v>9356.25</c:v>
                </c:pt>
                <c:pt idx="1220">
                  <c:v>9177.81</c:v>
                </c:pt>
                <c:pt idx="1221">
                  <c:v>9300.08</c:v>
                </c:pt>
                <c:pt idx="1222">
                  <c:v>9010.51</c:v>
                </c:pt>
                <c:pt idx="1223">
                  <c:v>8403.33</c:v>
                </c:pt>
                <c:pt idx="1224">
                  <c:v>8475</c:v>
                </c:pt>
                <c:pt idx="1225">
                  <c:v>8686.1</c:v>
                </c:pt>
                <c:pt idx="1226">
                  <c:v>8670</c:v>
                </c:pt>
                <c:pt idx="1227">
                  <c:v>8477.46</c:v>
                </c:pt>
                <c:pt idx="1228">
                  <c:v>8344</c:v>
                </c:pt>
                <c:pt idx="1229">
                  <c:v>8059</c:v>
                </c:pt>
                <c:pt idx="1230">
                  <c:v>8238.51</c:v>
                </c:pt>
                <c:pt idx="1231">
                  <c:v>8235.6</c:v>
                </c:pt>
                <c:pt idx="1232">
                  <c:v>8516.86</c:v>
                </c:pt>
                <c:pt idx="1233">
                  <c:v>8393.44</c:v>
                </c:pt>
                <c:pt idx="1234">
                  <c:v>7987.7</c:v>
                </c:pt>
                <c:pt idx="1235">
                  <c:v>7505</c:v>
                </c:pt>
                <c:pt idx="1236">
                  <c:v>7584.15</c:v>
                </c:pt>
                <c:pt idx="1237">
                  <c:v>7459.11</c:v>
                </c:pt>
                <c:pt idx="1238">
                  <c:v>7337.95</c:v>
                </c:pt>
                <c:pt idx="1239">
                  <c:v>7346.64</c:v>
                </c:pt>
                <c:pt idx="1240">
                  <c:v>7107.94</c:v>
                </c:pt>
                <c:pt idx="1241">
                  <c:v>7460</c:v>
                </c:pt>
                <c:pt idx="1242">
                  <c:v>7380.01</c:v>
                </c:pt>
                <c:pt idx="1243">
                  <c:v>7485</c:v>
                </c:pt>
                <c:pt idx="1244">
                  <c:v>7514.32</c:v>
                </c:pt>
                <c:pt idx="1245">
                  <c:v>7636.42</c:v>
                </c:pt>
                <c:pt idx="1246">
                  <c:v>7706.37</c:v>
                </c:pt>
                <c:pt idx="1247">
                  <c:v>7487.37</c:v>
                </c:pt>
                <c:pt idx="1248">
                  <c:v>7612.51</c:v>
                </c:pt>
                <c:pt idx="1249">
                  <c:v>7655</c:v>
                </c:pt>
                <c:pt idx="1250">
                  <c:v>7684.93</c:v>
                </c:pt>
                <c:pt idx="1251">
                  <c:v>7618.83</c:v>
                </c:pt>
                <c:pt idx="1252">
                  <c:v>7496.4</c:v>
                </c:pt>
                <c:pt idx="1253">
                  <c:v>6770.31</c:v>
                </c:pt>
                <c:pt idx="1254">
                  <c:v>6881</c:v>
                </c:pt>
                <c:pt idx="1255">
                  <c:v>6544.99</c:v>
                </c:pt>
                <c:pt idx="1256">
                  <c:v>6302.32</c:v>
                </c:pt>
                <c:pt idx="1257">
                  <c:v>6638.49</c:v>
                </c:pt>
                <c:pt idx="1258">
                  <c:v>6391.22</c:v>
                </c:pt>
                <c:pt idx="1259">
                  <c:v>6484.29</c:v>
                </c:pt>
                <c:pt idx="1260">
                  <c:v>6447.16</c:v>
                </c:pt>
                <c:pt idx="1261">
                  <c:v>6709.02</c:v>
                </c:pt>
                <c:pt idx="1262">
                  <c:v>6736.41</c:v>
                </c:pt>
                <c:pt idx="1263">
                  <c:v>6756.1</c:v>
                </c:pt>
                <c:pt idx="1264">
                  <c:v>6719.01</c:v>
                </c:pt>
                <c:pt idx="1265">
                  <c:v>6059.82</c:v>
                </c:pt>
                <c:pt idx="1266">
                  <c:v>6178.29</c:v>
                </c:pt>
                <c:pt idx="1267">
                  <c:v>6149.99</c:v>
                </c:pt>
                <c:pt idx="1268">
                  <c:v>6246.01</c:v>
                </c:pt>
                <c:pt idx="1269">
                  <c:v>6074</c:v>
                </c:pt>
                <c:pt idx="1270">
                  <c:v>6132.17</c:v>
                </c:pt>
                <c:pt idx="1271">
                  <c:v>5851.66</c:v>
                </c:pt>
                <c:pt idx="1272">
                  <c:v>6202.36</c:v>
                </c:pt>
                <c:pt idx="1273">
                  <c:v>6383.19</c:v>
                </c:pt>
                <c:pt idx="1274">
                  <c:v>6349.5</c:v>
                </c:pt>
                <c:pt idx="1275">
                  <c:v>6611.79</c:v>
                </c:pt>
                <c:pt idx="1276">
                  <c:v>6502.62</c:v>
                </c:pt>
                <c:pt idx="1277">
                  <c:v>6587.47</c:v>
                </c:pt>
                <c:pt idx="1278">
                  <c:v>6532.95</c:v>
                </c:pt>
                <c:pt idx="1279">
                  <c:v>6600</c:v>
                </c:pt>
                <c:pt idx="1280">
                  <c:v>6753.28</c:v>
                </c:pt>
                <c:pt idx="1281">
                  <c:v>6701.97</c:v>
                </c:pt>
                <c:pt idx="1282">
                  <c:v>6664.01</c:v>
                </c:pt>
                <c:pt idx="1283">
                  <c:v>6303.7</c:v>
                </c:pt>
                <c:pt idx="1284">
                  <c:v>6390.04</c:v>
                </c:pt>
                <c:pt idx="1285">
                  <c:v>6249.75</c:v>
                </c:pt>
                <c:pt idx="1286">
                  <c:v>6216.29</c:v>
                </c:pt>
                <c:pt idx="1287">
                  <c:v>6248.65</c:v>
                </c:pt>
                <c:pt idx="1288">
                  <c:v>6348.73</c:v>
                </c:pt>
                <c:pt idx="1289">
                  <c:v>6728.81</c:v>
                </c:pt>
                <c:pt idx="1290">
                  <c:v>7315.01</c:v>
                </c:pt>
                <c:pt idx="1291">
                  <c:v>7378.99</c:v>
                </c:pt>
                <c:pt idx="1292">
                  <c:v>7470.01</c:v>
                </c:pt>
                <c:pt idx="1293">
                  <c:v>7334.46</c:v>
                </c:pt>
                <c:pt idx="1294">
                  <c:v>7408</c:v>
                </c:pt>
                <c:pt idx="1295">
                  <c:v>7397.8</c:v>
                </c:pt>
                <c:pt idx="1296">
                  <c:v>7720.09</c:v>
                </c:pt>
                <c:pt idx="1297">
                  <c:v>8385.5</c:v>
                </c:pt>
                <c:pt idx="1298">
                  <c:v>8157.15</c:v>
                </c:pt>
                <c:pt idx="1299">
                  <c:v>7931.99</c:v>
                </c:pt>
                <c:pt idx="1300">
                  <c:v>8184.21</c:v>
                </c:pt>
                <c:pt idx="1301">
                  <c:v>8228.9</c:v>
                </c:pt>
                <c:pt idx="1302">
                  <c:v>8216.34</c:v>
                </c:pt>
                <c:pt idx="1303">
                  <c:v>8170.01</c:v>
                </c:pt>
                <c:pt idx="1304">
                  <c:v>7727.27</c:v>
                </c:pt>
                <c:pt idx="1305">
                  <c:v>7603.99</c:v>
                </c:pt>
                <c:pt idx="1306">
                  <c:v>7533.92</c:v>
                </c:pt>
                <c:pt idx="1307">
                  <c:v>7414.08</c:v>
                </c:pt>
                <c:pt idx="1308">
                  <c:v>7005</c:v>
                </c:pt>
                <c:pt idx="1309">
                  <c:v>7030.01</c:v>
                </c:pt>
                <c:pt idx="1310">
                  <c:v>6938</c:v>
                </c:pt>
                <c:pt idx="1311">
                  <c:v>6718.22</c:v>
                </c:pt>
                <c:pt idx="1312">
                  <c:v>6282.5</c:v>
                </c:pt>
                <c:pt idx="1313">
                  <c:v>6546.45</c:v>
                </c:pt>
                <c:pt idx="1314">
                  <c:v>6146.01</c:v>
                </c:pt>
                <c:pt idx="1315">
                  <c:v>6235.56</c:v>
                </c:pt>
                <c:pt idx="1316">
                  <c:v>6316.01</c:v>
                </c:pt>
                <c:pt idx="1317">
                  <c:v>6253.67</c:v>
                </c:pt>
                <c:pt idx="1318">
                  <c:v>6195.01</c:v>
                </c:pt>
                <c:pt idx="1319">
                  <c:v>6269.01</c:v>
                </c:pt>
                <c:pt idx="1320">
                  <c:v>6315.9</c:v>
                </c:pt>
                <c:pt idx="1321">
                  <c:v>6585.49</c:v>
                </c:pt>
                <c:pt idx="1322">
                  <c:v>6396.64</c:v>
                </c:pt>
                <c:pt idx="1323">
                  <c:v>6489.53</c:v>
                </c:pt>
                <c:pt idx="1324">
                  <c:v>6258.74</c:v>
                </c:pt>
                <c:pt idx="1325">
                  <c:v>6475.89</c:v>
                </c:pt>
                <c:pt idx="1326">
                  <c:v>6359.99</c:v>
                </c:pt>
                <c:pt idx="1327">
                  <c:v>6526.36</c:v>
                </c:pt>
                <c:pt idx="1328">
                  <c:v>6690.88</c:v>
                </c:pt>
                <c:pt idx="1329">
                  <c:v>6737.52</c:v>
                </c:pt>
                <c:pt idx="1330">
                  <c:v>6709.98</c:v>
                </c:pt>
                <c:pt idx="1331">
                  <c:v>6911.9</c:v>
                </c:pt>
                <c:pt idx="1332">
                  <c:v>7071.01</c:v>
                </c:pt>
                <c:pt idx="1333">
                  <c:v>7030.9</c:v>
                </c:pt>
                <c:pt idx="1334">
                  <c:v>6983</c:v>
                </c:pt>
                <c:pt idx="1335">
                  <c:v>7015.01</c:v>
                </c:pt>
                <c:pt idx="1336">
                  <c:v>7191.08</c:v>
                </c:pt>
                <c:pt idx="1337">
                  <c:v>7295</c:v>
                </c:pt>
                <c:pt idx="1338">
                  <c:v>7256.98</c:v>
                </c:pt>
                <c:pt idx="1339">
                  <c:v>7360</c:v>
                </c:pt>
                <c:pt idx="1340">
                  <c:v>6687.96</c:v>
                </c:pt>
                <c:pt idx="1341">
                  <c:v>6495</c:v>
                </c:pt>
                <c:pt idx="1342">
                  <c:v>6395.01</c:v>
                </c:pt>
                <c:pt idx="1343">
                  <c:v>6188</c:v>
                </c:pt>
                <c:pt idx="1344">
                  <c:v>6235.01</c:v>
                </c:pt>
                <c:pt idx="1345">
                  <c:v>6300</c:v>
                </c:pt>
                <c:pt idx="1346">
                  <c:v>6282.53</c:v>
                </c:pt>
                <c:pt idx="1347">
                  <c:v>6326</c:v>
                </c:pt>
                <c:pt idx="1348">
                  <c:v>6485.99</c:v>
                </c:pt>
                <c:pt idx="1349">
                  <c:v>6478.04</c:v>
                </c:pt>
                <c:pt idx="1350">
                  <c:v>6518.68</c:v>
                </c:pt>
                <c:pt idx="1351">
                  <c:v>6498</c:v>
                </c:pt>
                <c:pt idx="1352">
                  <c:v>6250.7</c:v>
                </c:pt>
                <c:pt idx="1353">
                  <c:v>6335.7</c:v>
                </c:pt>
                <c:pt idx="1354">
                  <c:v>6386.94</c:v>
                </c:pt>
                <c:pt idx="1355">
                  <c:v>6493.11</c:v>
                </c:pt>
                <c:pt idx="1356">
                  <c:v>6750</c:v>
                </c:pt>
                <c:pt idx="1357">
                  <c:v>6707.33</c:v>
                </c:pt>
                <c:pt idx="1358">
                  <c:v>6696.99</c:v>
                </c:pt>
                <c:pt idx="1359">
                  <c:v>6582.09</c:v>
                </c:pt>
                <c:pt idx="1360">
                  <c:v>6436.89</c:v>
                </c:pt>
                <c:pt idx="1361">
                  <c:v>6455.66</c:v>
                </c:pt>
                <c:pt idx="1362">
                  <c:v>6680.01</c:v>
                </c:pt>
                <c:pt idx="1363">
                  <c:v>6620.01</c:v>
                </c:pt>
                <c:pt idx="1364">
                  <c:v>6581</c:v>
                </c:pt>
                <c:pt idx="1365">
                  <c:v>6605</c:v>
                </c:pt>
                <c:pt idx="1366">
                  <c:v>6572.83</c:v>
                </c:pt>
                <c:pt idx="1367">
                  <c:v>6498.46</c:v>
                </c:pt>
                <c:pt idx="1368">
                  <c:v>6466.03</c:v>
                </c:pt>
                <c:pt idx="1369">
                  <c:v>6547.45</c:v>
                </c:pt>
                <c:pt idx="1370">
                  <c:v>6593.94</c:v>
                </c:pt>
                <c:pt idx="1371">
                  <c:v>6552.43</c:v>
                </c:pt>
                <c:pt idx="1372">
                  <c:v>6570</c:v>
                </c:pt>
                <c:pt idx="1373">
                  <c:v>6608.07</c:v>
                </c:pt>
                <c:pt idx="1374">
                  <c:v>6589.48</c:v>
                </c:pt>
                <c:pt idx="1375">
                  <c:v>6524.56</c:v>
                </c:pt>
                <c:pt idx="1376">
                  <c:v>6154.69</c:v>
                </c:pt>
                <c:pt idx="1377">
                  <c:v>6188.01</c:v>
                </c:pt>
                <c:pt idx="1378">
                  <c:v>6196</c:v>
                </c:pt>
                <c:pt idx="1379">
                  <c:v>6183.49</c:v>
                </c:pt>
                <c:pt idx="1380">
                  <c:v>6440.42</c:v>
                </c:pt>
                <c:pt idx="1381">
                  <c:v>6457.11</c:v>
                </c:pt>
                <c:pt idx="1382">
                  <c:v>6443.7</c:v>
                </c:pt>
                <c:pt idx="1383">
                  <c:v>6394.96</c:v>
                </c:pt>
                <c:pt idx="1384">
                  <c:v>6382.99</c:v>
                </c:pt>
                <c:pt idx="1385">
                  <c:v>6414</c:v>
                </c:pt>
                <c:pt idx="1386">
                  <c:v>6415.88</c:v>
                </c:pt>
                <c:pt idx="1387">
                  <c:v>6407.65</c:v>
                </c:pt>
                <c:pt idx="1388">
                  <c:v>6395.14</c:v>
                </c:pt>
                <c:pt idx="1389">
                  <c:v>6415.98</c:v>
                </c:pt>
                <c:pt idx="1390">
                  <c:v>6395.58</c:v>
                </c:pt>
                <c:pt idx="1391">
                  <c:v>6404.87</c:v>
                </c:pt>
                <c:pt idx="1392">
                  <c:v>6409.12</c:v>
                </c:pt>
                <c:pt idx="1393">
                  <c:v>6403.62</c:v>
                </c:pt>
                <c:pt idx="1394">
                  <c:v>6266</c:v>
                </c:pt>
                <c:pt idx="1395">
                  <c:v>6267.63</c:v>
                </c:pt>
                <c:pt idx="1396">
                  <c:v>6304.18</c:v>
                </c:pt>
                <c:pt idx="1397">
                  <c:v>6344</c:v>
                </c:pt>
                <c:pt idx="1398">
                  <c:v>6349.8</c:v>
                </c:pt>
                <c:pt idx="1399">
                  <c:v>6331.96</c:v>
                </c:pt>
                <c:pt idx="1400">
                  <c:v>6423.28</c:v>
                </c:pt>
                <c:pt idx="1401">
                  <c:v>6404</c:v>
                </c:pt>
                <c:pt idx="1402">
                  <c:v>6448.5</c:v>
                </c:pt>
                <c:pt idx="1403">
                  <c:v>6503.12</c:v>
                </c:pt>
                <c:pt idx="1404">
                  <c:v>6406.24</c:v>
                </c:pt>
                <c:pt idx="1405">
                  <c:v>6334.89</c:v>
                </c:pt>
                <c:pt idx="1406">
                  <c:v>6347.42</c:v>
                </c:pt>
                <c:pt idx="1407">
                  <c:v>6357.6</c:v>
                </c:pt>
                <c:pt idx="1408">
                  <c:v>6327.87</c:v>
                </c:pt>
                <c:pt idx="1409">
                  <c:v>6259.34</c:v>
                </c:pt>
                <c:pt idx="1410">
                  <c:v>5605.46</c:v>
                </c:pt>
                <c:pt idx="1411">
                  <c:v>5579.52</c:v>
                </c:pt>
                <c:pt idx="1412">
                  <c:v>5512.24</c:v>
                </c:pt>
                <c:pt idx="1413">
                  <c:v>5504.17</c:v>
                </c:pt>
                <c:pt idx="1414">
                  <c:v>5560</c:v>
                </c:pt>
                <c:pt idx="1415">
                  <c:v>4733.5</c:v>
                </c:pt>
                <c:pt idx="1416">
                  <c:v>4349.23</c:v>
                </c:pt>
                <c:pt idx="1417">
                  <c:v>4545.11</c:v>
                </c:pt>
                <c:pt idx="1418">
                  <c:v>4265.36</c:v>
                </c:pt>
                <c:pt idx="1419">
                  <c:v>4283.8</c:v>
                </c:pt>
                <c:pt idx="1420">
                  <c:v>3774.99</c:v>
                </c:pt>
                <c:pt idx="1421">
                  <c:v>3936.69</c:v>
                </c:pt>
                <c:pt idx="1422">
                  <c:v>3731.32</c:v>
                </c:pt>
                <c:pt idx="1423">
                  <c:v>3775</c:v>
                </c:pt>
                <c:pt idx="1424">
                  <c:v>4225.03</c:v>
                </c:pt>
                <c:pt idx="1425">
                  <c:v>4248</c:v>
                </c:pt>
                <c:pt idx="1426">
                  <c:v>3976</c:v>
                </c:pt>
                <c:pt idx="1427">
                  <c:v>4142.01</c:v>
                </c:pt>
                <c:pt idx="1428">
                  <c:v>4103.19</c:v>
                </c:pt>
                <c:pt idx="1429">
                  <c:v>3833.47</c:v>
                </c:pt>
                <c:pt idx="1430">
                  <c:v>3901.84</c:v>
                </c:pt>
                <c:pt idx="1431">
                  <c:v>3694.39</c:v>
                </c:pt>
                <c:pt idx="1432">
                  <c:v>3433.26</c:v>
                </c:pt>
                <c:pt idx="1433">
                  <c:v>3380.01</c:v>
                </c:pt>
                <c:pt idx="1434">
                  <c:v>3401</c:v>
                </c:pt>
                <c:pt idx="1435">
                  <c:v>3531.18</c:v>
                </c:pt>
                <c:pt idx="1436">
                  <c:v>3410.15</c:v>
                </c:pt>
                <c:pt idx="1437">
                  <c:v>3349.36</c:v>
                </c:pt>
                <c:pt idx="1438">
                  <c:v>3430.24</c:v>
                </c:pt>
                <c:pt idx="1439">
                  <c:v>3265</c:v>
                </c:pt>
                <c:pt idx="1440">
                  <c:v>3195.71</c:v>
                </c:pt>
                <c:pt idx="1441">
                  <c:v>3183</c:v>
                </c:pt>
                <c:pt idx="1442">
                  <c:v>3195</c:v>
                </c:pt>
                <c:pt idx="1443">
                  <c:v>3496.82</c:v>
                </c:pt>
                <c:pt idx="1444">
                  <c:v>3667.77</c:v>
                </c:pt>
                <c:pt idx="1445">
                  <c:v>3682.51</c:v>
                </c:pt>
                <c:pt idx="1446">
                  <c:v>4075.34</c:v>
                </c:pt>
                <c:pt idx="1447">
                  <c:v>3839.06</c:v>
                </c:pt>
                <c:pt idx="1448">
                  <c:v>3980.46</c:v>
                </c:pt>
                <c:pt idx="1449">
                  <c:v>3944.93</c:v>
                </c:pt>
                <c:pt idx="1450">
                  <c:v>4034</c:v>
                </c:pt>
                <c:pt idx="1451">
                  <c:v>3780</c:v>
                </c:pt>
                <c:pt idx="1452">
                  <c:v>3809.88</c:v>
                </c:pt>
                <c:pt idx="1453">
                  <c:v>3589.89</c:v>
                </c:pt>
                <c:pt idx="1454">
                  <c:v>3888.06</c:v>
                </c:pt>
                <c:pt idx="1455">
                  <c:v>3729.31</c:v>
                </c:pt>
                <c:pt idx="1456">
                  <c:v>3829</c:v>
                </c:pt>
                <c:pt idx="1457">
                  <c:v>3691.86</c:v>
                </c:pt>
                <c:pt idx="1458">
                  <c:v>3826.1</c:v>
                </c:pt>
                <c:pt idx="1459">
                  <c:v>3890.79</c:v>
                </c:pt>
                <c:pt idx="1460">
                  <c:v>3787.57</c:v>
                </c:pt>
                <c:pt idx="1461">
                  <c:v>3820.25</c:v>
                </c:pt>
                <c:pt idx="1462">
                  <c:v>3798.62</c:v>
                </c:pt>
                <c:pt idx="1463">
                  <c:v>4040.99</c:v>
                </c:pt>
                <c:pt idx="1464">
                  <c:v>4006.01</c:v>
                </c:pt>
                <c:pt idx="1465">
                  <c:v>3993.86</c:v>
                </c:pt>
                <c:pt idx="1466">
                  <c:v>4004.12</c:v>
                </c:pt>
                <c:pt idx="1467">
                  <c:v>3626.12</c:v>
                </c:pt>
                <c:pt idx="1468">
                  <c:v>3635.69</c:v>
                </c:pt>
                <c:pt idx="1469">
                  <c:v>3619.41</c:v>
                </c:pt>
                <c:pt idx="1470">
                  <c:v>3514.24</c:v>
                </c:pt>
                <c:pt idx="1471">
                  <c:v>3664.19</c:v>
                </c:pt>
                <c:pt idx="1472">
                  <c:v>3580.76</c:v>
                </c:pt>
                <c:pt idx="1473">
                  <c:v>3609.71</c:v>
                </c:pt>
                <c:pt idx="1474">
                  <c:v>3640.65</c:v>
                </c:pt>
                <c:pt idx="1475">
                  <c:v>3607.85</c:v>
                </c:pt>
                <c:pt idx="1476">
                  <c:v>3682.65</c:v>
                </c:pt>
                <c:pt idx="1477">
                  <c:v>3536.19</c:v>
                </c:pt>
                <c:pt idx="1478">
                  <c:v>3531.76</c:v>
                </c:pt>
                <c:pt idx="1479">
                  <c:v>3577.03</c:v>
                </c:pt>
                <c:pt idx="1480">
                  <c:v>3553.01</c:v>
                </c:pt>
                <c:pt idx="1481">
                  <c:v>3568.97</c:v>
                </c:pt>
                <c:pt idx="1482">
                  <c:v>3562.17</c:v>
                </c:pt>
                <c:pt idx="1483">
                  <c:v>3556.07</c:v>
                </c:pt>
                <c:pt idx="1484">
                  <c:v>3531.02</c:v>
                </c:pt>
                <c:pt idx="1485">
                  <c:v>3429.95</c:v>
                </c:pt>
                <c:pt idx="1486">
                  <c:v>3397.42</c:v>
                </c:pt>
                <c:pt idx="1487">
                  <c:v>3437.55</c:v>
                </c:pt>
                <c:pt idx="1488">
                  <c:v>3411.5</c:v>
                </c:pt>
                <c:pt idx="1489">
                  <c:v>3437.5</c:v>
                </c:pt>
                <c:pt idx="1490">
                  <c:v>3468.43</c:v>
                </c:pt>
                <c:pt idx="1491">
                  <c:v>3414.78</c:v>
                </c:pt>
                <c:pt idx="1492">
                  <c:v>3409.57</c:v>
                </c:pt>
                <c:pt idx="1493">
                  <c:v>3428.4</c:v>
                </c:pt>
                <c:pt idx="1494">
                  <c:v>3367.36</c:v>
                </c:pt>
                <c:pt idx="1495">
                  <c:v>3359</c:v>
                </c:pt>
                <c:pt idx="1496">
                  <c:v>3621.99</c:v>
                </c:pt>
                <c:pt idx="1497">
                  <c:v>3623.73</c:v>
                </c:pt>
                <c:pt idx="1498">
                  <c:v>3648.84</c:v>
                </c:pt>
                <c:pt idx="1499">
                  <c:v>3590.36</c:v>
                </c:pt>
                <c:pt idx="1500">
                  <c:v>3588.06</c:v>
                </c:pt>
                <c:pt idx="1501">
                  <c:v>3576.68</c:v>
                </c:pt>
                <c:pt idx="1502">
                  <c:v>3561.5</c:v>
                </c:pt>
                <c:pt idx="1503">
                  <c:v>3566.59</c:v>
                </c:pt>
                <c:pt idx="1504">
                  <c:v>3582.37</c:v>
                </c:pt>
                <c:pt idx="1505">
                  <c:v>3625.08</c:v>
                </c:pt>
                <c:pt idx="1506">
                  <c:v>3867</c:v>
                </c:pt>
                <c:pt idx="1507">
                  <c:v>3888.01</c:v>
                </c:pt>
                <c:pt idx="1508">
                  <c:v>3938.99</c:v>
                </c:pt>
                <c:pt idx="1509">
                  <c:v>3897.71</c:v>
                </c:pt>
                <c:pt idx="1510">
                  <c:v>3942.02</c:v>
                </c:pt>
                <c:pt idx="1511">
                  <c:v>4110</c:v>
                </c:pt>
                <c:pt idx="1512">
                  <c:v>3734.22</c:v>
                </c:pt>
                <c:pt idx="1513">
                  <c:v>3818.79</c:v>
                </c:pt>
                <c:pt idx="1514">
                  <c:v>3799.48</c:v>
                </c:pt>
                <c:pt idx="1515">
                  <c:v>3799.91</c:v>
                </c:pt>
                <c:pt idx="1516">
                  <c:v>3792.14</c:v>
                </c:pt>
                <c:pt idx="1517">
                  <c:v>3806.17</c:v>
                </c:pt>
                <c:pt idx="1518">
                  <c:v>3809.7</c:v>
                </c:pt>
                <c:pt idx="1519">
                  <c:v>3786.93</c:v>
                </c:pt>
                <c:pt idx="1520">
                  <c:v>3700.72</c:v>
                </c:pt>
                <c:pt idx="1521">
                  <c:v>3844.59</c:v>
                </c:pt>
                <c:pt idx="1522">
                  <c:v>3851.89</c:v>
                </c:pt>
                <c:pt idx="1523">
                  <c:v>3857.05</c:v>
                </c:pt>
                <c:pt idx="1524">
                  <c:v>3843.12</c:v>
                </c:pt>
                <c:pt idx="1525">
                  <c:v>3917</c:v>
                </c:pt>
                <c:pt idx="1526">
                  <c:v>3900.93</c:v>
                </c:pt>
                <c:pt idx="1527">
                  <c:v>3849.68</c:v>
                </c:pt>
                <c:pt idx="1528">
                  <c:v>3860</c:v>
                </c:pt>
                <c:pt idx="1529">
                  <c:v>3851.02</c:v>
                </c:pt>
                <c:pt idx="1530">
                  <c:v>3853.95</c:v>
                </c:pt>
                <c:pt idx="1531">
                  <c:v>3902.8</c:v>
                </c:pt>
                <c:pt idx="1532">
                  <c:v>3990</c:v>
                </c:pt>
                <c:pt idx="1533">
                  <c:v>3967.01</c:v>
                </c:pt>
                <c:pt idx="1534">
                  <c:v>3970.5</c:v>
                </c:pt>
                <c:pt idx="1535">
                  <c:v>4000.85</c:v>
                </c:pt>
                <c:pt idx="1536">
                  <c:v>4031.85</c:v>
                </c:pt>
                <c:pt idx="1537">
                  <c:v>3972.76</c:v>
                </c:pt>
                <c:pt idx="1538">
                  <c:v>3983.78</c:v>
                </c:pt>
                <c:pt idx="1539">
                  <c:v>3983.43</c:v>
                </c:pt>
                <c:pt idx="1540">
                  <c:v>3969.52</c:v>
                </c:pt>
                <c:pt idx="1541">
                  <c:v>3907.53</c:v>
                </c:pt>
                <c:pt idx="1542">
                  <c:v>3921.45</c:v>
                </c:pt>
                <c:pt idx="1543">
                  <c:v>4026.53</c:v>
                </c:pt>
                <c:pt idx="1544">
                  <c:v>4011.17</c:v>
                </c:pt>
                <c:pt idx="1545">
                  <c:v>4091.01</c:v>
                </c:pt>
                <c:pt idx="1546">
                  <c:v>4094.14</c:v>
                </c:pt>
                <c:pt idx="1547">
                  <c:v>4094.99</c:v>
                </c:pt>
                <c:pt idx="1548">
                  <c:v>4137</c:v>
                </c:pt>
                <c:pt idx="1549">
                  <c:v>4901.93</c:v>
                </c:pt>
                <c:pt idx="1550">
                  <c:v>4975.97</c:v>
                </c:pt>
                <c:pt idx="1551">
                  <c:v>4906.49</c:v>
                </c:pt>
                <c:pt idx="1552">
                  <c:v>5040.66</c:v>
                </c:pt>
                <c:pt idx="1553">
                  <c:v>5049.22</c:v>
                </c:pt>
                <c:pt idx="1554">
                  <c:v>5194.79</c:v>
                </c:pt>
                <c:pt idx="1555">
                  <c:v>5285.54</c:v>
                </c:pt>
                <c:pt idx="1556">
                  <c:v>5187.21</c:v>
                </c:pt>
                <c:pt idx="1557">
                  <c:v>5318.58</c:v>
                </c:pt>
                <c:pt idx="1558">
                  <c:v>5041.3</c:v>
                </c:pt>
                <c:pt idx="1559">
                  <c:v>5078.19</c:v>
                </c:pt>
                <c:pt idx="1560">
                  <c:v>5066.22</c:v>
                </c:pt>
                <c:pt idx="1561">
                  <c:v>5164.27</c:v>
                </c:pt>
                <c:pt idx="1562">
                  <c:v>5029.99</c:v>
                </c:pt>
                <c:pt idx="1563">
                  <c:v>5202.9</c:v>
                </c:pt>
                <c:pt idx="1564">
                  <c:v>5227</c:v>
                </c:pt>
                <c:pt idx="1565">
                  <c:v>5280.49</c:v>
                </c:pt>
                <c:pt idx="1566">
                  <c:v>5290.36</c:v>
                </c:pt>
                <c:pt idx="1567">
                  <c:v>5319.89</c:v>
                </c:pt>
                <c:pt idx="1568">
                  <c:v>5297.64</c:v>
                </c:pt>
                <c:pt idx="1569">
                  <c:v>5387.6</c:v>
                </c:pt>
                <c:pt idx="1570">
                  <c:v>5532.75</c:v>
                </c:pt>
                <c:pt idx="1571">
                  <c:v>5441.9</c:v>
                </c:pt>
                <c:pt idx="1572">
                  <c:v>5134.81</c:v>
                </c:pt>
                <c:pt idx="1573">
                  <c:v>5159.51</c:v>
                </c:pt>
                <c:pt idx="1574">
                  <c:v>5170.6</c:v>
                </c:pt>
                <c:pt idx="1575">
                  <c:v>5155</c:v>
                </c:pt>
                <c:pt idx="1576">
                  <c:v>5148.25</c:v>
                </c:pt>
                <c:pt idx="1577">
                  <c:v>5270.69</c:v>
                </c:pt>
                <c:pt idx="1578">
                  <c:v>5321.15</c:v>
                </c:pt>
                <c:pt idx="1579">
                  <c:v>5390.01</c:v>
                </c:pt>
                <c:pt idx="1580">
                  <c:v>5657.4</c:v>
                </c:pt>
                <c:pt idx="1581">
                  <c:v>5770.01</c:v>
                </c:pt>
                <c:pt idx="1582">
                  <c:v>5715.86</c:v>
                </c:pt>
                <c:pt idx="1583">
                  <c:v>5687.9</c:v>
                </c:pt>
                <c:pt idx="1584">
                  <c:v>5748.45</c:v>
                </c:pt>
                <c:pt idx="1585">
                  <c:v>5948.41</c:v>
                </c:pt>
                <c:pt idx="1586">
                  <c:v>6153.09</c:v>
                </c:pt>
                <c:pt idx="1587">
                  <c:v>6343.14</c:v>
                </c:pt>
                <c:pt idx="1588">
                  <c:v>7219.95</c:v>
                </c:pt>
                <c:pt idx="1589">
                  <c:v>6979.76</c:v>
                </c:pt>
                <c:pt idx="1590">
                  <c:v>7824.93</c:v>
                </c:pt>
                <c:pt idx="1591">
                  <c:v>7990.92</c:v>
                </c:pt>
                <c:pt idx="1592">
                  <c:v>8203.32</c:v>
                </c:pt>
                <c:pt idx="1593">
                  <c:v>7878.96</c:v>
                </c:pt>
                <c:pt idx="1594">
                  <c:v>7363.69</c:v>
                </c:pt>
                <c:pt idx="1595">
                  <c:v>7262.4</c:v>
                </c:pt>
                <c:pt idx="1596">
                  <c:v>8200</c:v>
                </c:pt>
                <c:pt idx="1597">
                  <c:v>7999.54</c:v>
                </c:pt>
                <c:pt idx="1598">
                  <c:v>7951.7</c:v>
                </c:pt>
                <c:pt idx="1599">
                  <c:v>7626.48</c:v>
                </c:pt>
                <c:pt idx="1600">
                  <c:v>7881.98</c:v>
                </c:pt>
                <c:pt idx="1601">
                  <c:v>7994.88</c:v>
                </c:pt>
                <c:pt idx="1602">
                  <c:v>8067.41</c:v>
                </c:pt>
                <c:pt idx="1603">
                  <c:v>8760.03</c:v>
                </c:pt>
                <c:pt idx="1604">
                  <c:v>8783.25</c:v>
                </c:pt>
                <c:pt idx="1605">
                  <c:v>8686.5</c:v>
                </c:pt>
                <c:pt idx="1606">
                  <c:v>8660.5</c:v>
                </c:pt>
                <c:pt idx="1607">
                  <c:v>8273.57</c:v>
                </c:pt>
                <c:pt idx="1608">
                  <c:v>8550.18</c:v>
                </c:pt>
                <c:pt idx="1609">
                  <c:v>8558.01</c:v>
                </c:pt>
                <c:pt idx="1610">
                  <c:v>8741.17</c:v>
                </c:pt>
                <c:pt idx="1611">
                  <c:v>8015.01</c:v>
                </c:pt>
                <c:pt idx="1612">
                  <c:v>7688.26</c:v>
                </c:pt>
                <c:pt idx="1613">
                  <c:v>7766.91</c:v>
                </c:pt>
                <c:pt idx="1614">
                  <c:v>7812.15</c:v>
                </c:pt>
                <c:pt idx="1615">
                  <c:v>7992.17</c:v>
                </c:pt>
                <c:pt idx="1616">
                  <c:v>7938.64</c:v>
                </c:pt>
                <c:pt idx="1617">
                  <c:v>7623.84</c:v>
                </c:pt>
                <c:pt idx="1618">
                  <c:v>8046.13</c:v>
                </c:pt>
                <c:pt idx="1619">
                  <c:v>7918.2</c:v>
                </c:pt>
                <c:pt idx="1620">
                  <c:v>8169.01</c:v>
                </c:pt>
                <c:pt idx="1621">
                  <c:v>8256</c:v>
                </c:pt>
                <c:pt idx="1622">
                  <c:v>8693.98</c:v>
                </c:pt>
                <c:pt idx="1623">
                  <c:v>8861.33</c:v>
                </c:pt>
                <c:pt idx="1624">
                  <c:v>8996.95</c:v>
                </c:pt>
                <c:pt idx="1625">
                  <c:v>9346.47</c:v>
                </c:pt>
                <c:pt idx="1626">
                  <c:v>9089.99</c:v>
                </c:pt>
                <c:pt idx="1627">
                  <c:v>9283.99</c:v>
                </c:pt>
                <c:pt idx="1628">
                  <c:v>9542.6</c:v>
                </c:pt>
                <c:pt idx="1629">
                  <c:v>10175.88</c:v>
                </c:pt>
                <c:pt idx="1630">
                  <c:v>10658.3</c:v>
                </c:pt>
                <c:pt idx="1631">
                  <c:v>10808.53</c:v>
                </c:pt>
                <c:pt idx="1632">
                  <c:v>11040.03</c:v>
                </c:pt>
                <c:pt idx="1633">
                  <c:v>11736.99</c:v>
                </c:pt>
                <c:pt idx="1634">
                  <c:v>12902.52</c:v>
                </c:pt>
                <c:pt idx="1635">
                  <c:v>11127.4</c:v>
                </c:pt>
                <c:pt idx="1636">
                  <c:v>12317.73</c:v>
                </c:pt>
                <c:pt idx="1637">
                  <c:v>11913.73</c:v>
                </c:pt>
                <c:pt idx="1638">
                  <c:v>10778.74</c:v>
                </c:pt>
                <c:pt idx="1639">
                  <c:v>10570.62</c:v>
                </c:pt>
                <c:pt idx="1640">
                  <c:v>10885.01</c:v>
                </c:pt>
                <c:pt idx="1641">
                  <c:v>12022.61</c:v>
                </c:pt>
                <c:pt idx="1642">
                  <c:v>11130.95</c:v>
                </c:pt>
                <c:pt idx="1643">
                  <c:v>11038.61</c:v>
                </c:pt>
                <c:pt idx="1644">
                  <c:v>11187.8</c:v>
                </c:pt>
                <c:pt idx="1645">
                  <c:v>11478.9</c:v>
                </c:pt>
                <c:pt idx="1646">
                  <c:v>12298.31</c:v>
                </c:pt>
                <c:pt idx="1647">
                  <c:v>12559.46</c:v>
                </c:pt>
                <c:pt idx="1648">
                  <c:v>12083.13</c:v>
                </c:pt>
                <c:pt idx="1649">
                  <c:v>11323.95</c:v>
                </c:pt>
                <c:pt idx="1650">
                  <c:v>11811.99</c:v>
                </c:pt>
                <c:pt idx="1651">
                  <c:v>11408.1</c:v>
                </c:pt>
                <c:pt idx="1652">
                  <c:v>10190.36</c:v>
                </c:pt>
                <c:pt idx="1653">
                  <c:v>10855.56</c:v>
                </c:pt>
                <c:pt idx="1654">
                  <c:v>9436</c:v>
                </c:pt>
                <c:pt idx="1655">
                  <c:v>9708.55</c:v>
                </c:pt>
                <c:pt idx="1656">
                  <c:v>10654.25</c:v>
                </c:pt>
                <c:pt idx="1657">
                  <c:v>10548.04</c:v>
                </c:pt>
                <c:pt idx="1658">
                  <c:v>10754.92</c:v>
                </c:pt>
                <c:pt idx="1659">
                  <c:v>10633.54</c:v>
                </c:pt>
                <c:pt idx="1660">
                  <c:v>10304.64</c:v>
                </c:pt>
                <c:pt idx="1661">
                  <c:v>9833.19</c:v>
                </c:pt>
                <c:pt idx="1662">
                  <c:v>9751.24</c:v>
                </c:pt>
                <c:pt idx="1663">
                  <c:v>9880.67</c:v>
                </c:pt>
                <c:pt idx="1664">
                  <c:v>9841.96</c:v>
                </c:pt>
                <c:pt idx="1665">
                  <c:v>9468.92</c:v>
                </c:pt>
                <c:pt idx="1666">
                  <c:v>9549.7</c:v>
                </c:pt>
                <c:pt idx="1667">
                  <c:v>9503.32</c:v>
                </c:pt>
                <c:pt idx="1668">
                  <c:v>9580</c:v>
                </c:pt>
                <c:pt idx="1669">
                  <c:v>10099</c:v>
                </c:pt>
                <c:pt idx="1670">
                  <c:v>10417.24</c:v>
                </c:pt>
                <c:pt idx="1671">
                  <c:v>10533.07</c:v>
                </c:pt>
                <c:pt idx="1672">
                  <c:v>10820.75</c:v>
                </c:pt>
                <c:pt idx="1673">
                  <c:v>10997.82</c:v>
                </c:pt>
                <c:pt idx="1674">
                  <c:v>11775.14</c:v>
                </c:pt>
                <c:pt idx="1675">
                  <c:v>11440.08</c:v>
                </c:pt>
                <c:pt idx="1676">
                  <c:v>12014.41</c:v>
                </c:pt>
                <c:pt idx="1677">
                  <c:v>12017.89</c:v>
                </c:pt>
                <c:pt idx="1678">
                  <c:v>11889</c:v>
                </c:pt>
                <c:pt idx="1679">
                  <c:v>11283.82</c:v>
                </c:pt>
                <c:pt idx="1680">
                  <c:v>11531.95</c:v>
                </c:pt>
                <c:pt idx="1681">
                  <c:v>11387.38</c:v>
                </c:pt>
                <c:pt idx="1682">
                  <c:v>10855.58</c:v>
                </c:pt>
                <c:pt idx="1683">
                  <c:v>10105.34</c:v>
                </c:pt>
                <c:pt idx="1684">
                  <c:v>10280.96</c:v>
                </c:pt>
                <c:pt idx="1685">
                  <c:v>10368.83</c:v>
                </c:pt>
                <c:pt idx="1686">
                  <c:v>10218.37</c:v>
                </c:pt>
                <c:pt idx="1687">
                  <c:v>10309.04</c:v>
                </c:pt>
                <c:pt idx="1688">
                  <c:v>10935.67</c:v>
                </c:pt>
                <c:pt idx="1689">
                  <c:v>10770.99</c:v>
                </c:pt>
                <c:pt idx="1690">
                  <c:v>10137.75</c:v>
                </c:pt>
                <c:pt idx="1691">
                  <c:v>10088.89</c:v>
                </c:pt>
                <c:pt idx="1692">
                  <c:v>10415.01</c:v>
                </c:pt>
                <c:pt idx="1693">
                  <c:v>10156</c:v>
                </c:pt>
                <c:pt idx="1694">
                  <c:v>10148.5</c:v>
                </c:pt>
                <c:pt idx="1695">
                  <c:v>10373.75</c:v>
                </c:pt>
                <c:pt idx="1696">
                  <c:v>10170.16</c:v>
                </c:pt>
                <c:pt idx="1697">
                  <c:v>9710.38</c:v>
                </c:pt>
                <c:pt idx="1698">
                  <c:v>9525</c:v>
                </c:pt>
                <c:pt idx="1699">
                  <c:v>9580.6</c:v>
                </c:pt>
                <c:pt idx="1700">
                  <c:v>9593.95</c:v>
                </c:pt>
                <c:pt idx="1701">
                  <c:v>9769.64</c:v>
                </c:pt>
                <c:pt idx="1702">
                  <c:v>10405.05</c:v>
                </c:pt>
                <c:pt idx="1703">
                  <c:v>10628.46</c:v>
                </c:pt>
                <c:pt idx="1704">
                  <c:v>10585.67</c:v>
                </c:pt>
                <c:pt idx="1705">
                  <c:v>10574.27</c:v>
                </c:pt>
                <c:pt idx="1706">
                  <c:v>10318.8</c:v>
                </c:pt>
                <c:pt idx="1707">
                  <c:v>10484.87</c:v>
                </c:pt>
                <c:pt idx="1708">
                  <c:v>10395.17</c:v>
                </c:pt>
                <c:pt idx="1709">
                  <c:v>10310.01</c:v>
                </c:pt>
                <c:pt idx="1710">
                  <c:v>10090.01</c:v>
                </c:pt>
                <c:pt idx="1711">
                  <c:v>10169.49</c:v>
                </c:pt>
                <c:pt idx="1712">
                  <c:v>10437.19</c:v>
                </c:pt>
                <c:pt idx="1713">
                  <c:v>10381.91</c:v>
                </c:pt>
                <c:pt idx="1714">
                  <c:v>10360.2</c:v>
                </c:pt>
                <c:pt idx="1715">
                  <c:v>10306.65</c:v>
                </c:pt>
                <c:pt idx="1716">
                  <c:v>10268.77</c:v>
                </c:pt>
                <c:pt idx="1717">
                  <c:v>10185.14</c:v>
                </c:pt>
                <c:pt idx="1718">
                  <c:v>10155.26</c:v>
                </c:pt>
                <c:pt idx="1719">
                  <c:v>10304.94</c:v>
                </c:pt>
                <c:pt idx="1720">
                  <c:v>10168.44</c:v>
                </c:pt>
                <c:pt idx="1721">
                  <c:v>9982.39</c:v>
                </c:pt>
                <c:pt idx="1722">
                  <c:v>10035</c:v>
                </c:pt>
                <c:pt idx="1723">
                  <c:v>9683.89</c:v>
                </c:pt>
                <c:pt idx="1724">
                  <c:v>8556.43</c:v>
                </c:pt>
                <c:pt idx="1725">
                  <c:v>8446.57</c:v>
                </c:pt>
                <c:pt idx="1726">
                  <c:v>8063</c:v>
                </c:pt>
                <c:pt idx="1727">
                  <c:v>8193.98</c:v>
                </c:pt>
                <c:pt idx="1728">
                  <c:v>8228.22</c:v>
                </c:pt>
                <c:pt idx="1729">
                  <c:v>8063.06</c:v>
                </c:pt>
                <c:pt idx="1730">
                  <c:v>8305.14</c:v>
                </c:pt>
                <c:pt idx="1731">
                  <c:v>8323.43</c:v>
                </c:pt>
                <c:pt idx="1732">
                  <c:v>8396</c:v>
                </c:pt>
                <c:pt idx="1733">
                  <c:v>8241.25</c:v>
                </c:pt>
                <c:pt idx="1734">
                  <c:v>8159.71</c:v>
                </c:pt>
                <c:pt idx="1735">
                  <c:v>8152.99</c:v>
                </c:pt>
                <c:pt idx="1736">
                  <c:v>7862.67</c:v>
                </c:pt>
                <c:pt idx="1737">
                  <c:v>8224.82</c:v>
                </c:pt>
                <c:pt idx="1738">
                  <c:v>8186.73</c:v>
                </c:pt>
                <c:pt idx="1739">
                  <c:v>8600</c:v>
                </c:pt>
                <c:pt idx="1740">
                  <c:v>8589.01</c:v>
                </c:pt>
                <c:pt idx="1741">
                  <c:v>8263.64</c:v>
                </c:pt>
                <c:pt idx="1742">
                  <c:v>8304.1</c:v>
                </c:pt>
                <c:pt idx="1743">
                  <c:v>8280.01</c:v>
                </c:pt>
                <c:pt idx="1744">
                  <c:v>8363</c:v>
                </c:pt>
                <c:pt idx="1745">
                  <c:v>8156.52</c:v>
                </c:pt>
                <c:pt idx="1746">
                  <c:v>7993</c:v>
                </c:pt>
                <c:pt idx="1747">
                  <c:v>8077</c:v>
                </c:pt>
                <c:pt idx="1748">
                  <c:v>7954.16</c:v>
                </c:pt>
                <c:pt idx="1749">
                  <c:v>7965.27</c:v>
                </c:pt>
                <c:pt idx="1750">
                  <c:v>8235.44</c:v>
                </c:pt>
                <c:pt idx="1751">
                  <c:v>8214.58</c:v>
                </c:pt>
                <c:pt idx="1752">
                  <c:v>8008.04</c:v>
                </c:pt>
                <c:pt idx="1753">
                  <c:v>7473.42</c:v>
                </c:pt>
                <c:pt idx="1754">
                  <c:v>7439.29</c:v>
                </c:pt>
                <c:pt idx="1755">
                  <c:v>8704.85</c:v>
                </c:pt>
                <c:pt idx="1756">
                  <c:v>9281.27</c:v>
                </c:pt>
                <c:pt idx="1757">
                  <c:v>9570.58</c:v>
                </c:pt>
                <c:pt idx="1758">
                  <c:v>9221.96</c:v>
                </c:pt>
                <c:pt idx="1759">
                  <c:v>9431.27</c:v>
                </c:pt>
                <c:pt idx="1760">
                  <c:v>9175.77</c:v>
                </c:pt>
                <c:pt idx="1761">
                  <c:v>9146.75</c:v>
                </c:pt>
                <c:pt idx="1762">
                  <c:v>9268</c:v>
                </c:pt>
                <c:pt idx="1763">
                  <c:v>9320</c:v>
                </c:pt>
                <c:pt idx="1764">
                  <c:v>9215.01</c:v>
                </c:pt>
                <c:pt idx="1765">
                  <c:v>9414</c:v>
                </c:pt>
                <c:pt idx="1766">
                  <c:v>9314.99</c:v>
                </c:pt>
                <c:pt idx="1767">
                  <c:v>9343.11</c:v>
                </c:pt>
                <c:pt idx="1768">
                  <c:v>9196.71</c:v>
                </c:pt>
                <c:pt idx="1769">
                  <c:v>8758.69</c:v>
                </c:pt>
                <c:pt idx="1770">
                  <c:v>8798.38</c:v>
                </c:pt>
                <c:pt idx="1771">
                  <c:v>9036.82</c:v>
                </c:pt>
                <c:pt idx="1772">
                  <c:v>8720.61</c:v>
                </c:pt>
                <c:pt idx="1773">
                  <c:v>8823.65</c:v>
                </c:pt>
                <c:pt idx="1774">
                  <c:v>8765.61</c:v>
                </c:pt>
                <c:pt idx="1775">
                  <c:v>8630.01</c:v>
                </c:pt>
                <c:pt idx="1776">
                  <c:v>8460</c:v>
                </c:pt>
                <c:pt idx="1777">
                  <c:v>8488</c:v>
                </c:pt>
                <c:pt idx="1778">
                  <c:v>8500.01</c:v>
                </c:pt>
                <c:pt idx="1779">
                  <c:v>8160.73</c:v>
                </c:pt>
                <c:pt idx="1780">
                  <c:v>8123.36</c:v>
                </c:pt>
                <c:pt idx="1781">
                  <c:v>8082.96</c:v>
                </c:pt>
                <c:pt idx="1782">
                  <c:v>7618.76</c:v>
                </c:pt>
                <c:pt idx="1783">
                  <c:v>7296.45</c:v>
                </c:pt>
                <c:pt idx="1784">
                  <c:v>7338.92</c:v>
                </c:pt>
                <c:pt idx="1785">
                  <c:v>6906.25</c:v>
                </c:pt>
                <c:pt idx="1786">
                  <c:v>7125</c:v>
                </c:pt>
                <c:pt idx="1787">
                  <c:v>7155</c:v>
                </c:pt>
                <c:pt idx="1788">
                  <c:v>7539.4</c:v>
                </c:pt>
                <c:pt idx="1789">
                  <c:v>7413.05</c:v>
                </c:pt>
                <c:pt idx="1790">
                  <c:v>7751.29</c:v>
                </c:pt>
                <c:pt idx="1791">
                  <c:v>7551.7</c:v>
                </c:pt>
                <c:pt idx="1792">
                  <c:v>7413.84</c:v>
                </c:pt>
                <c:pt idx="1793">
                  <c:v>7315.09</c:v>
                </c:pt>
                <c:pt idx="1794">
                  <c:v>7296</c:v>
                </c:pt>
                <c:pt idx="1795">
                  <c:v>7185.57</c:v>
                </c:pt>
                <c:pt idx="1796">
                  <c:v>7388.75</c:v>
                </c:pt>
                <c:pt idx="1797">
                  <c:v>7560.76</c:v>
                </c:pt>
                <c:pt idx="1798">
                  <c:v>7502.2</c:v>
                </c:pt>
                <c:pt idx="1799">
                  <c:v>7520</c:v>
                </c:pt>
                <c:pt idx="1800">
                  <c:v>7332.69</c:v>
                </c:pt>
                <c:pt idx="1801">
                  <c:v>7215.69</c:v>
                </c:pt>
                <c:pt idx="1802">
                  <c:v>7275.17</c:v>
                </c:pt>
                <c:pt idx="1803">
                  <c:v>7194.19</c:v>
                </c:pt>
                <c:pt idx="1804">
                  <c:v>7249.25</c:v>
                </c:pt>
                <c:pt idx="1805">
                  <c:v>7059.55</c:v>
                </c:pt>
                <c:pt idx="1806">
                  <c:v>7111</c:v>
                </c:pt>
                <c:pt idx="1807">
                  <c:v>6877.04</c:v>
                </c:pt>
                <c:pt idx="1808">
                  <c:v>6618.62</c:v>
                </c:pt>
                <c:pt idx="1809">
                  <c:v>7309.12</c:v>
                </c:pt>
                <c:pt idx="1810">
                  <c:v>7153.99</c:v>
                </c:pt>
                <c:pt idx="1811">
                  <c:v>7189.87</c:v>
                </c:pt>
                <c:pt idx="1812">
                  <c:v>7143.01</c:v>
                </c:pt>
                <c:pt idx="1813">
                  <c:v>7550</c:v>
                </c:pt>
                <c:pt idx="1814">
                  <c:v>7318.18</c:v>
                </c:pt>
                <c:pt idx="1815">
                  <c:v>7259.87</c:v>
                </c:pt>
                <c:pt idx="1816">
                  <c:v>7194.76</c:v>
                </c:pt>
                <c:pt idx="1817">
                  <c:v>7195</c:v>
                </c:pt>
                <c:pt idx="1818">
                  <c:v>7247.35</c:v>
                </c:pt>
                <c:pt idx="1819">
                  <c:v>7303.7</c:v>
                </c:pt>
                <c:pt idx="1820">
                  <c:v>7378.53</c:v>
                </c:pt>
                <c:pt idx="1821">
                  <c:v>7191</c:v>
                </c:pt>
                <c:pt idx="1822">
                  <c:v>7158.01</c:v>
                </c:pt>
                <c:pt idx="1823">
                  <c:v>7174.32</c:v>
                </c:pt>
                <c:pt idx="1824">
                  <c:v>6945.01</c:v>
                </c:pt>
                <c:pt idx="1825">
                  <c:v>7335.54</c:v>
                </c:pt>
                <c:pt idx="1826">
                  <c:v>7353.5</c:v>
                </c:pt>
                <c:pt idx="1827">
                  <c:v>7348.69</c:v>
                </c:pt>
                <c:pt idx="1828">
                  <c:v>7773.48</c:v>
                </c:pt>
                <c:pt idx="1829">
                  <c:v>8169.95</c:v>
                </c:pt>
                <c:pt idx="1830">
                  <c:v>8035.08</c:v>
                </c:pt>
                <c:pt idx="1831">
                  <c:v>7813.78</c:v>
                </c:pt>
                <c:pt idx="1832">
                  <c:v>8183.89</c:v>
                </c:pt>
                <c:pt idx="1833">
                  <c:v>8002.89</c:v>
                </c:pt>
                <c:pt idx="1834">
                  <c:v>8192.66</c:v>
                </c:pt>
                <c:pt idx="1835">
                  <c:v>8109.62</c:v>
                </c:pt>
                <c:pt idx="1836">
                  <c:v>8757.18</c:v>
                </c:pt>
                <c:pt idx="1837">
                  <c:v>8831.86</c:v>
                </c:pt>
                <c:pt idx="1838">
                  <c:v>8727.22</c:v>
                </c:pt>
                <c:pt idx="1839">
                  <c:v>8875.81</c:v>
                </c:pt>
                <c:pt idx="1840">
                  <c:v>8901</c:v>
                </c:pt>
                <c:pt idx="1841">
                  <c:v>8710.41</c:v>
                </c:pt>
                <c:pt idx="1842">
                  <c:v>8633.67</c:v>
                </c:pt>
                <c:pt idx="1843">
                  <c:v>8730</c:v>
                </c:pt>
                <c:pt idx="1844">
                  <c:v>8665</c:v>
                </c:pt>
                <c:pt idx="1845">
                  <c:v>8386.63</c:v>
                </c:pt>
                <c:pt idx="1846">
                  <c:v>8424.96</c:v>
                </c:pt>
                <c:pt idx="1847">
                  <c:v>8304.04</c:v>
                </c:pt>
                <c:pt idx="1848">
                  <c:v>8632.92</c:v>
                </c:pt>
                <c:pt idx="1849">
                  <c:v>8903.24</c:v>
                </c:pt>
                <c:pt idx="1850">
                  <c:v>9417.64</c:v>
                </c:pt>
                <c:pt idx="1851">
                  <c:v>9270</c:v>
                </c:pt>
                <c:pt idx="1852">
                  <c:v>9493.61</c:v>
                </c:pt>
                <c:pt idx="1853">
                  <c:v>9343.28</c:v>
                </c:pt>
                <c:pt idx="1854">
                  <c:v>9375.06</c:v>
                </c:pt>
                <c:pt idx="1855">
                  <c:v>9314.06</c:v>
                </c:pt>
                <c:pt idx="1856">
                  <c:v>9282.29</c:v>
                </c:pt>
                <c:pt idx="1857">
                  <c:v>9158.57</c:v>
                </c:pt>
                <c:pt idx="1858">
                  <c:v>9623.44</c:v>
                </c:pt>
                <c:pt idx="1859">
                  <c:v>9765.96</c:v>
                </c:pt>
                <c:pt idx="1860">
                  <c:v>9804.98</c:v>
                </c:pt>
                <c:pt idx="1861">
                  <c:v>9911.13</c:v>
                </c:pt>
                <c:pt idx="1862">
                  <c:v>10174.81</c:v>
                </c:pt>
                <c:pt idx="1863">
                  <c:v>9854.5</c:v>
                </c:pt>
                <c:pt idx="1864">
                  <c:v>10279.99</c:v>
                </c:pt>
                <c:pt idx="1865">
                  <c:v>10344.01</c:v>
                </c:pt>
                <c:pt idx="1866">
                  <c:v>10239.57</c:v>
                </c:pt>
                <c:pt idx="1867">
                  <c:v>10380</c:v>
                </c:pt>
                <c:pt idx="1868">
                  <c:v>9901.34</c:v>
                </c:pt>
                <c:pt idx="1869">
                  <c:v>9915.04</c:v>
                </c:pt>
                <c:pt idx="1870">
                  <c:v>9711.95</c:v>
                </c:pt>
                <c:pt idx="1871">
                  <c:v>10191.51</c:v>
                </c:pt>
                <c:pt idx="1872">
                  <c:v>9591.54</c:v>
                </c:pt>
                <c:pt idx="1873">
                  <c:v>9610.05</c:v>
                </c:pt>
                <c:pt idx="1874">
                  <c:v>9697.01</c:v>
                </c:pt>
                <c:pt idx="1875">
                  <c:v>9668.26</c:v>
                </c:pt>
                <c:pt idx="1876">
                  <c:v>9964.16</c:v>
                </c:pt>
                <c:pt idx="1877">
                  <c:v>9668.08</c:v>
                </c:pt>
                <c:pt idx="1878">
                  <c:v>9301.01</c:v>
                </c:pt>
                <c:pt idx="1879">
                  <c:v>8776.01</c:v>
                </c:pt>
                <c:pt idx="1880">
                  <c:v>8816.71</c:v>
                </c:pt>
                <c:pt idx="1881">
                  <c:v>8713.16</c:v>
                </c:pt>
                <c:pt idx="1882">
                  <c:v>8552.08</c:v>
                </c:pt>
                <c:pt idx="1883">
                  <c:v>8490.3</c:v>
                </c:pt>
                <c:pt idx="1884">
                  <c:v>8923.52</c:v>
                </c:pt>
                <c:pt idx="1885">
                  <c:v>8769.67</c:v>
                </c:pt>
                <c:pt idx="1886">
                  <c:v>8765</c:v>
                </c:pt>
                <c:pt idx="1887">
                  <c:v>9053.56</c:v>
                </c:pt>
                <c:pt idx="1888">
                  <c:v>9162.98</c:v>
                </c:pt>
                <c:pt idx="1889">
                  <c:v>8885.68</c:v>
                </c:pt>
                <c:pt idx="1890">
                  <c:v>8068</c:v>
                </c:pt>
                <c:pt idx="1891">
                  <c:v>7945.03</c:v>
                </c:pt>
                <c:pt idx="1892">
                  <c:v>7887.01</c:v>
                </c:pt>
                <c:pt idx="1893">
                  <c:v>7957.02</c:v>
                </c:pt>
                <c:pt idx="1894">
                  <c:v>4980</c:v>
                </c:pt>
                <c:pt idx="1895">
                  <c:v>5592.77</c:v>
                </c:pt>
                <c:pt idx="1896">
                  <c:v>5182.62</c:v>
                </c:pt>
                <c:pt idx="1897">
                  <c:v>5327.12</c:v>
                </c:pt>
                <c:pt idx="1898">
                  <c:v>5074.2</c:v>
                </c:pt>
                <c:pt idx="1899">
                  <c:v>5361.77</c:v>
                </c:pt>
                <c:pt idx="1900">
                  <c:v>5426.71</c:v>
                </c:pt>
                <c:pt idx="1901">
                  <c:v>6219.99</c:v>
                </c:pt>
                <c:pt idx="1902">
                  <c:v>6215.4</c:v>
                </c:pt>
                <c:pt idx="1903">
                  <c:v>6168.72</c:v>
                </c:pt>
                <c:pt idx="1904">
                  <c:v>5791.69</c:v>
                </c:pt>
                <c:pt idx="1905">
                  <c:v>6583.38</c:v>
                </c:pt>
                <c:pt idx="1906">
                  <c:v>6742.21</c:v>
                </c:pt>
                <c:pt idx="1907">
                  <c:v>6752.83</c:v>
                </c:pt>
                <c:pt idx="1908">
                  <c:v>6772.2</c:v>
                </c:pt>
                <c:pt idx="1909">
                  <c:v>6320.46</c:v>
                </c:pt>
                <c:pt idx="1910">
                  <c:v>6269.81</c:v>
                </c:pt>
                <c:pt idx="1911">
                  <c:v>5897.55</c:v>
                </c:pt>
                <c:pt idx="1912">
                  <c:v>6401.26</c:v>
                </c:pt>
                <c:pt idx="1913">
                  <c:v>6434.73</c:v>
                </c:pt>
                <c:pt idx="1914">
                  <c:v>6719.39</c:v>
                </c:pt>
                <c:pt idx="1915">
                  <c:v>6789.84</c:v>
                </c:pt>
                <c:pt idx="1916">
                  <c:v>6727.99</c:v>
                </c:pt>
                <c:pt idx="1917">
                  <c:v>6896.6</c:v>
                </c:pt>
                <c:pt idx="1918">
                  <c:v>6779.75</c:v>
                </c:pt>
                <c:pt idx="1919">
                  <c:v>7320.07</c:v>
                </c:pt>
                <c:pt idx="1920">
                  <c:v>7204.58</c:v>
                </c:pt>
                <c:pt idx="1921">
                  <c:v>7343.65</c:v>
                </c:pt>
                <c:pt idx="1922">
                  <c:v>7294.69</c:v>
                </c:pt>
                <c:pt idx="1923">
                  <c:v>6892.54</c:v>
                </c:pt>
                <c:pt idx="1924">
                  <c:v>6891.43</c:v>
                </c:pt>
                <c:pt idx="1925">
                  <c:v>6860.97</c:v>
                </c:pt>
                <c:pt idx="1926">
                  <c:v>6871</c:v>
                </c:pt>
                <c:pt idx="1927">
                  <c:v>6865.72</c:v>
                </c:pt>
                <c:pt idx="1928">
                  <c:v>6576.76</c:v>
                </c:pt>
                <c:pt idx="1929">
                  <c:v>7123.29</c:v>
                </c:pt>
                <c:pt idx="1930">
                  <c:v>7055.22</c:v>
                </c:pt>
                <c:pt idx="1931">
                  <c:v>7271.53</c:v>
                </c:pt>
                <c:pt idx="1932">
                  <c:v>7125.31</c:v>
                </c:pt>
                <c:pt idx="1933">
                  <c:v>6832.57</c:v>
                </c:pt>
                <c:pt idx="1934">
                  <c:v>6845</c:v>
                </c:pt>
                <c:pt idx="1935">
                  <c:v>7143.99</c:v>
                </c:pt>
                <c:pt idx="1936">
                  <c:v>7479.06</c:v>
                </c:pt>
                <c:pt idx="1937">
                  <c:v>7514.64</c:v>
                </c:pt>
                <c:pt idx="1938">
                  <c:v>7535.69</c:v>
                </c:pt>
                <c:pt idx="1939">
                  <c:v>7765.79</c:v>
                </c:pt>
                <c:pt idx="1940">
                  <c:v>7773</c:v>
                </c:pt>
                <c:pt idx="1941">
                  <c:v>7774.39</c:v>
                </c:pt>
                <c:pt idx="1942">
                  <c:v>8789.1</c:v>
                </c:pt>
                <c:pt idx="1943">
                  <c:v>8652.3</c:v>
                </c:pt>
                <c:pt idx="1944">
                  <c:v>8813.9</c:v>
                </c:pt>
                <c:pt idx="1945">
                  <c:v>8992</c:v>
                </c:pt>
                <c:pt idx="1946">
                  <c:v>8917.63</c:v>
                </c:pt>
                <c:pt idx="1947">
                  <c:v>8900.29</c:v>
                </c:pt>
                <c:pt idx="1948">
                  <c:v>9037.69</c:v>
                </c:pt>
                <c:pt idx="1949">
                  <c:v>9132.24</c:v>
                </c:pt>
                <c:pt idx="1950">
                  <c:v>10007.56</c:v>
                </c:pt>
                <c:pt idx="1951">
                  <c:v>9790.23</c:v>
                </c:pt>
                <c:pt idx="1952">
                  <c:v>9554.91</c:v>
                </c:pt>
                <c:pt idx="1953">
                  <c:v>8773.89</c:v>
                </c:pt>
                <c:pt idx="1954">
                  <c:v>8557.37</c:v>
                </c:pt>
                <c:pt idx="1955">
                  <c:v>8809.14</c:v>
                </c:pt>
                <c:pt idx="1956">
                  <c:v>9335.84</c:v>
                </c:pt>
                <c:pt idx="1957">
                  <c:v>9815.22</c:v>
                </c:pt>
                <c:pt idx="1958">
                  <c:v>9331.18</c:v>
                </c:pt>
                <c:pt idx="1959">
                  <c:v>9353.26</c:v>
                </c:pt>
                <c:pt idx="1960">
                  <c:v>9700.33</c:v>
                </c:pt>
                <c:pt idx="1961">
                  <c:v>9733.21</c:v>
                </c:pt>
                <c:pt idx="1962">
                  <c:v>9783.91</c:v>
                </c:pt>
                <c:pt idx="1963">
                  <c:v>9497.76</c:v>
                </c:pt>
                <c:pt idx="1964">
                  <c:v>9039.12</c:v>
                </c:pt>
                <c:pt idx="1965">
                  <c:v>9173.23</c:v>
                </c:pt>
                <c:pt idx="1966">
                  <c:v>9166.02</c:v>
                </c:pt>
                <c:pt idx="1967">
                  <c:v>8673.64</c:v>
                </c:pt>
                <c:pt idx="1968">
                  <c:v>8892.39</c:v>
                </c:pt>
                <c:pt idx="1969">
                  <c:v>8836.77</c:v>
                </c:pt>
                <c:pt idx="1970">
                  <c:v>9200</c:v>
                </c:pt>
                <c:pt idx="1971">
                  <c:v>9593.72</c:v>
                </c:pt>
                <c:pt idx="1972">
                  <c:v>9426.87</c:v>
                </c:pt>
                <c:pt idx="1973">
                  <c:v>9684.6</c:v>
                </c:pt>
                <c:pt idx="1974">
                  <c:v>9435.8</c:v>
                </c:pt>
                <c:pt idx="1975">
                  <c:v>10212.38</c:v>
                </c:pt>
                <c:pt idx="1976">
                  <c:v>9509.35</c:v>
                </c:pt>
                <c:pt idx="1977">
                  <c:v>9672.67</c:v>
                </c:pt>
                <c:pt idx="1978">
                  <c:v>9799.57</c:v>
                </c:pt>
                <c:pt idx="1979">
                  <c:v>9568.95</c:v>
                </c:pt>
                <c:pt idx="1980">
                  <c:v>9665.36</c:v>
                </c:pt>
                <c:pt idx="1981">
                  <c:v>9764</c:v>
                </c:pt>
                <c:pt idx="1982">
                  <c:v>9833.94</c:v>
                </c:pt>
                <c:pt idx="1983">
                  <c:v>9778.6</c:v>
                </c:pt>
                <c:pt idx="1984">
                  <c:v>9899.18</c:v>
                </c:pt>
                <c:pt idx="1985">
                  <c:v>9258.7</c:v>
                </c:pt>
                <c:pt idx="1986">
                  <c:v>9466.77</c:v>
                </c:pt>
                <c:pt idx="1987">
                  <c:v>9477.17</c:v>
                </c:pt>
                <c:pt idx="1988">
                  <c:v>9315.71</c:v>
                </c:pt>
                <c:pt idx="1989">
                  <c:v>9437.23</c:v>
                </c:pt>
                <c:pt idx="1990">
                  <c:v>9534.8</c:v>
                </c:pt>
                <c:pt idx="1991">
                  <c:v>9460.53</c:v>
                </c:pt>
                <c:pt idx="1992">
                  <c:v>9368.15</c:v>
                </c:pt>
                <c:pt idx="1993">
                  <c:v>9285.54</c:v>
                </c:pt>
                <c:pt idx="1994">
                  <c:v>9361.81</c:v>
                </c:pt>
                <c:pt idx="1995">
                  <c:v>9279.68</c:v>
                </c:pt>
                <c:pt idx="1996">
                  <c:v>9700.91</c:v>
                </c:pt>
                <c:pt idx="1997">
                  <c:v>9623.74</c:v>
                </c:pt>
                <c:pt idx="1998">
                  <c:v>9284.1</c:v>
                </c:pt>
                <c:pt idx="1999">
                  <c:v>9232.84</c:v>
                </c:pt>
                <c:pt idx="2000">
                  <c:v>9157.22</c:v>
                </c:pt>
                <c:pt idx="2001">
                  <c:v>9001.24</c:v>
                </c:pt>
                <c:pt idx="2002">
                  <c:v>9122.56</c:v>
                </c:pt>
                <c:pt idx="2003">
                  <c:v>9191.05</c:v>
                </c:pt>
                <c:pt idx="2004">
                  <c:v>9129.47</c:v>
                </c:pt>
                <c:pt idx="2005">
                  <c:v>9239.09</c:v>
                </c:pt>
                <c:pt idx="2006">
                  <c:v>9088.54</c:v>
                </c:pt>
                <c:pt idx="2007">
                  <c:v>9050.05</c:v>
                </c:pt>
                <c:pt idx="2008">
                  <c:v>9138.22</c:v>
                </c:pt>
                <c:pt idx="2009">
                  <c:v>9088.52</c:v>
                </c:pt>
                <c:pt idx="2010">
                  <c:v>9331.69</c:v>
                </c:pt>
                <c:pt idx="2011">
                  <c:v>9263.56</c:v>
                </c:pt>
                <c:pt idx="2012">
                  <c:v>9436.01</c:v>
                </c:pt>
                <c:pt idx="2013">
                  <c:v>9230.48</c:v>
                </c:pt>
                <c:pt idx="2014">
                  <c:v>9298.16</c:v>
                </c:pt>
                <c:pt idx="2015">
                  <c:v>9235</c:v>
                </c:pt>
                <c:pt idx="2016">
                  <c:v>9313.77</c:v>
                </c:pt>
                <c:pt idx="2017">
                  <c:v>9230.14</c:v>
                </c:pt>
                <c:pt idx="2018">
                  <c:v>9258.34</c:v>
                </c:pt>
                <c:pt idx="2019">
                  <c:v>9194.51</c:v>
                </c:pt>
                <c:pt idx="2020">
                  <c:v>9130.91</c:v>
                </c:pt>
                <c:pt idx="2021">
                  <c:v>9147.65</c:v>
                </c:pt>
                <c:pt idx="2022">
                  <c:v>9174.6</c:v>
                </c:pt>
                <c:pt idx="2023">
                  <c:v>9221.71</c:v>
                </c:pt>
                <c:pt idx="2024">
                  <c:v>9161.13</c:v>
                </c:pt>
                <c:pt idx="2025">
                  <c:v>9396.65</c:v>
                </c:pt>
                <c:pt idx="2026">
                  <c:v>9546.31</c:v>
                </c:pt>
                <c:pt idx="2027">
                  <c:v>9612.05</c:v>
                </c:pt>
                <c:pt idx="2028">
                  <c:v>9553.41</c:v>
                </c:pt>
                <c:pt idx="2029">
                  <c:v>9709.02</c:v>
                </c:pt>
                <c:pt idx="2030">
                  <c:v>9944.58</c:v>
                </c:pt>
                <c:pt idx="2031">
                  <c:v>11108.44</c:v>
                </c:pt>
                <c:pt idx="2032">
                  <c:v>10952.85</c:v>
                </c:pt>
                <c:pt idx="2033">
                  <c:v>11100.39</c:v>
                </c:pt>
                <c:pt idx="2034">
                  <c:v>11139.67</c:v>
                </c:pt>
                <c:pt idx="2035">
                  <c:v>11372.76</c:v>
                </c:pt>
                <c:pt idx="2036">
                  <c:v>11805.82</c:v>
                </c:pt>
                <c:pt idx="2037">
                  <c:v>11050.03</c:v>
                </c:pt>
                <c:pt idx="2038">
                  <c:v>11235.44</c:v>
                </c:pt>
                <c:pt idx="2039">
                  <c:v>11198.04</c:v>
                </c:pt>
                <c:pt idx="2040">
                  <c:v>11737.59</c:v>
                </c:pt>
                <c:pt idx="2041">
                  <c:v>11766.62</c:v>
                </c:pt>
                <c:pt idx="2042">
                  <c:v>11598.96</c:v>
                </c:pt>
                <c:pt idx="2043">
                  <c:v>11780.14</c:v>
                </c:pt>
                <c:pt idx="2044">
                  <c:v>11692.76</c:v>
                </c:pt>
                <c:pt idx="2045">
                  <c:v>11896.19</c:v>
                </c:pt>
                <c:pt idx="2046">
                  <c:v>11387.01</c:v>
                </c:pt>
                <c:pt idx="2047">
                  <c:v>11563.16</c:v>
                </c:pt>
                <c:pt idx="2048">
                  <c:v>11824.99</c:v>
                </c:pt>
                <c:pt idx="2049">
                  <c:v>11785.29</c:v>
                </c:pt>
                <c:pt idx="2050">
                  <c:v>11854.27</c:v>
                </c:pt>
                <c:pt idx="2051">
                  <c:v>11924</c:v>
                </c:pt>
                <c:pt idx="2052">
                  <c:v>12325.1</c:v>
                </c:pt>
                <c:pt idx="2053">
                  <c:v>11983.52</c:v>
                </c:pt>
                <c:pt idx="2054">
                  <c:v>11764.8</c:v>
                </c:pt>
                <c:pt idx="2055">
                  <c:v>11856.24</c:v>
                </c:pt>
                <c:pt idx="2056">
                  <c:v>11526.32</c:v>
                </c:pt>
                <c:pt idx="2057">
                  <c:v>11675.78</c:v>
                </c:pt>
                <c:pt idx="2058">
                  <c:v>11650.03</c:v>
                </c:pt>
                <c:pt idx="2059">
                  <c:v>11762.34</c:v>
                </c:pt>
                <c:pt idx="2060">
                  <c:v>11324.86</c:v>
                </c:pt>
                <c:pt idx="2061">
                  <c:v>11460.01</c:v>
                </c:pt>
                <c:pt idx="2062">
                  <c:v>11341.73</c:v>
                </c:pt>
                <c:pt idx="2063">
                  <c:v>11540</c:v>
                </c:pt>
                <c:pt idx="2064">
                  <c:v>11468.56</c:v>
                </c:pt>
                <c:pt idx="2065">
                  <c:v>11724.99</c:v>
                </c:pt>
                <c:pt idx="2066">
                  <c:v>11665.93</c:v>
                </c:pt>
                <c:pt idx="2067">
                  <c:v>11911.74</c:v>
                </c:pt>
                <c:pt idx="2068">
                  <c:v>11390.12</c:v>
                </c:pt>
                <c:pt idx="2069">
                  <c:v>10225.82</c:v>
                </c:pt>
                <c:pt idx="2070">
                  <c:v>10152.97</c:v>
                </c:pt>
                <c:pt idx="2071">
                  <c:v>10255.2</c:v>
                </c:pt>
                <c:pt idx="2072">
                  <c:v>10389.85</c:v>
                </c:pt>
                <c:pt idx="2073">
                  <c:v>10123.21</c:v>
                </c:pt>
                <c:pt idx="2074">
                  <c:v>10235</c:v>
                </c:pt>
                <c:pt idx="2075">
                  <c:v>10345.95</c:v>
                </c:pt>
                <c:pt idx="2076">
                  <c:v>10399.99</c:v>
                </c:pt>
                <c:pt idx="2077">
                  <c:v>10444.01</c:v>
                </c:pt>
                <c:pt idx="2078">
                  <c:v>10336.28</c:v>
                </c:pt>
                <c:pt idx="2079">
                  <c:v>10679.33</c:v>
                </c:pt>
                <c:pt idx="2080">
                  <c:v>10789.8</c:v>
                </c:pt>
                <c:pt idx="2081">
                  <c:v>10953.38</c:v>
                </c:pt>
                <c:pt idx="2082">
                  <c:v>10947.83</c:v>
                </c:pt>
                <c:pt idx="2083">
                  <c:v>10942.2</c:v>
                </c:pt>
                <c:pt idx="2084">
                  <c:v>11075.33</c:v>
                </c:pt>
                <c:pt idx="2085">
                  <c:v>10911.59</c:v>
                </c:pt>
                <c:pt idx="2086">
                  <c:v>10425.85</c:v>
                </c:pt>
                <c:pt idx="2087">
                  <c:v>10529.01</c:v>
                </c:pt>
                <c:pt idx="2088">
                  <c:v>10230.11</c:v>
                </c:pt>
                <c:pt idx="2089">
                  <c:v>10741</c:v>
                </c:pt>
                <c:pt idx="2090">
                  <c:v>10693.3</c:v>
                </c:pt>
                <c:pt idx="2091">
                  <c:v>10730.23</c:v>
                </c:pt>
                <c:pt idx="2092">
                  <c:v>10792.18</c:v>
                </c:pt>
                <c:pt idx="2093">
                  <c:v>10681.01</c:v>
                </c:pt>
                <c:pt idx="2094">
                  <c:v>10845.9</c:v>
                </c:pt>
                <c:pt idx="2095">
                  <c:v>10783.24</c:v>
                </c:pt>
                <c:pt idx="2096">
                  <c:v>10598.64</c:v>
                </c:pt>
                <c:pt idx="2097">
                  <c:v>10577.92</c:v>
                </c:pt>
                <c:pt idx="2098">
                  <c:v>10545.21</c:v>
                </c:pt>
                <c:pt idx="2099">
                  <c:v>10662.36</c:v>
                </c:pt>
                <c:pt idx="2100">
                  <c:v>10800</c:v>
                </c:pt>
                <c:pt idx="2101">
                  <c:v>10594.15</c:v>
                </c:pt>
                <c:pt idx="2102">
                  <c:v>10671.23</c:v>
                </c:pt>
                <c:pt idx="2103">
                  <c:v>10926.71</c:v>
                </c:pt>
                <c:pt idx="2104">
                  <c:v>11059.3</c:v>
                </c:pt>
                <c:pt idx="2105">
                  <c:v>11303.56</c:v>
                </c:pt>
                <c:pt idx="2106">
                  <c:v>11370.45</c:v>
                </c:pt>
                <c:pt idx="2107">
                  <c:v>11534.83</c:v>
                </c:pt>
                <c:pt idx="2108">
                  <c:v>11434.36</c:v>
                </c:pt>
                <c:pt idx="2109">
                  <c:v>11426.87</c:v>
                </c:pt>
                <c:pt idx="2110">
                  <c:v>11509.25</c:v>
                </c:pt>
                <c:pt idx="2111">
                  <c:v>11329.33</c:v>
                </c:pt>
                <c:pt idx="2112">
                  <c:v>11365.96</c:v>
                </c:pt>
                <c:pt idx="2113">
                  <c:v>11516.56</c:v>
                </c:pt>
                <c:pt idx="2114">
                  <c:v>11765.09</c:v>
                </c:pt>
                <c:pt idx="2115">
                  <c:v>11917.34</c:v>
                </c:pt>
                <c:pt idx="2116">
                  <c:v>12836.37</c:v>
                </c:pt>
                <c:pt idx="2117">
                  <c:v>12977.02</c:v>
                </c:pt>
                <c:pt idx="2118">
                  <c:v>12943.03</c:v>
                </c:pt>
                <c:pt idx="2119">
                  <c:v>13120.87</c:v>
                </c:pt>
                <c:pt idx="2120">
                  <c:v>13050.32</c:v>
                </c:pt>
                <c:pt idx="2121">
                  <c:v>13072.95</c:v>
                </c:pt>
                <c:pt idx="2122">
                  <c:v>13698.18</c:v>
                </c:pt>
                <c:pt idx="2123">
                  <c:v>13280</c:v>
                </c:pt>
                <c:pt idx="2124">
                  <c:v>13460</c:v>
                </c:pt>
                <c:pt idx="2125">
                  <c:v>13582.97</c:v>
                </c:pt>
                <c:pt idx="2126">
                  <c:v>13745.02</c:v>
                </c:pt>
                <c:pt idx="2127">
                  <c:v>13784.52</c:v>
                </c:pt>
                <c:pt idx="2128">
                  <c:v>13573.93</c:v>
                </c:pt>
                <c:pt idx="2129">
                  <c:v>14050.59</c:v>
                </c:pt>
                <c:pt idx="2130">
                  <c:v>14160</c:v>
                </c:pt>
                <c:pt idx="2131">
                  <c:v>15636.6</c:v>
                </c:pt>
                <c:pt idx="2132">
                  <c:v>15596.33</c:v>
                </c:pt>
                <c:pt idx="2133">
                  <c:v>14814.62</c:v>
                </c:pt>
                <c:pt idx="2134">
                  <c:v>15487.88</c:v>
                </c:pt>
                <c:pt idx="2135">
                  <c:v>15334.37</c:v>
                </c:pt>
                <c:pt idx="2136">
                  <c:v>15325.25</c:v>
                </c:pt>
                <c:pt idx="2137">
                  <c:v>15723.81</c:v>
                </c:pt>
                <c:pt idx="2138">
                  <c:v>16319.72</c:v>
                </c:pt>
                <c:pt idx="2139">
                  <c:v>16339.59</c:v>
                </c:pt>
                <c:pt idx="2140">
                  <c:v>16093.3</c:v>
                </c:pt>
                <c:pt idx="2141">
                  <c:v>15946.64</c:v>
                </c:pt>
                <c:pt idx="2142">
                  <c:v>16714.58</c:v>
                </c:pt>
                <c:pt idx="2143">
                  <c:v>17660.9</c:v>
                </c:pt>
                <c:pt idx="2144">
                  <c:v>17802.82</c:v>
                </c:pt>
                <c:pt idx="2145">
                  <c:v>17804.44</c:v>
                </c:pt>
                <c:pt idx="2146">
                  <c:v>18702.87</c:v>
                </c:pt>
                <c:pt idx="2147">
                  <c:v>18710.14</c:v>
                </c:pt>
                <c:pt idx="2148">
                  <c:v>18477.48</c:v>
                </c:pt>
                <c:pt idx="2149">
                  <c:v>18391.21</c:v>
                </c:pt>
                <c:pt idx="2150">
                  <c:v>19185.07</c:v>
                </c:pt>
                <c:pt idx="2151">
                  <c:v>18706.15</c:v>
                </c:pt>
                <c:pt idx="2152">
                  <c:v>17173</c:v>
                </c:pt>
                <c:pt idx="2153">
                  <c:v>17156.99</c:v>
                </c:pt>
                <c:pt idx="2154">
                  <c:v>17718.3</c:v>
                </c:pt>
                <c:pt idx="2155">
                  <c:v>18238.52</c:v>
                </c:pt>
                <c:pt idx="2156">
                  <c:v>19727</c:v>
                </c:pt>
                <c:pt idx="2157">
                  <c:v>18763.35</c:v>
                </c:pt>
                <c:pt idx="2158">
                  <c:v>19245.61</c:v>
                </c:pt>
                <c:pt idx="2159">
                  <c:v>19430.07</c:v>
                </c:pt>
                <c:pt idx="2160">
                  <c:v>18692.32</c:v>
                </c:pt>
                <c:pt idx="2161">
                  <c:v>19156.82</c:v>
                </c:pt>
                <c:pt idx="2162">
                  <c:v>19397.08</c:v>
                </c:pt>
                <c:pt idx="2163">
                  <c:v>19202.88</c:v>
                </c:pt>
                <c:pt idx="2164">
                  <c:v>18311.76</c:v>
                </c:pt>
                <c:pt idx="2165">
                  <c:v>18550.01</c:v>
                </c:pt>
                <c:pt idx="2166">
                  <c:v>18286.8</c:v>
                </c:pt>
                <c:pt idx="2167">
                  <c:v>18048.14</c:v>
                </c:pt>
                <c:pt idx="2168">
                  <c:v>18826.36</c:v>
                </c:pt>
                <c:pt idx="2169">
                  <c:v>19133.04</c:v>
                </c:pt>
                <c:pt idx="2170">
                  <c:v>19288.43</c:v>
                </c:pt>
                <c:pt idx="2171">
                  <c:v>19451.34</c:v>
                </c:pt>
                <c:pt idx="2172">
                  <c:v>21384.63</c:v>
                </c:pt>
                <c:pt idx="2173">
                  <c:v>22830.34</c:v>
                </c:pt>
                <c:pt idx="2174">
                  <c:v>23169.26</c:v>
                </c:pt>
                <c:pt idx="2175">
                  <c:v>23814.91</c:v>
                </c:pt>
                <c:pt idx="2176">
                  <c:v>23451.68</c:v>
                </c:pt>
                <c:pt idx="2177">
                  <c:v>22777.26</c:v>
                </c:pt>
                <c:pt idx="2178">
                  <c:v>23839.99</c:v>
                </c:pt>
                <c:pt idx="2179">
                  <c:v>23196.57</c:v>
                </c:pt>
                <c:pt idx="2180">
                  <c:v>23740.01</c:v>
                </c:pt>
                <c:pt idx="2181">
                  <c:v>24736.42</c:v>
                </c:pt>
                <c:pt idx="2182">
                  <c:v>26519.1</c:v>
                </c:pt>
                <c:pt idx="2183">
                  <c:v>26320.06</c:v>
                </c:pt>
                <c:pt idx="2184">
                  <c:v>27044.14</c:v>
                </c:pt>
                <c:pt idx="2185">
                  <c:v>27407.85</c:v>
                </c:pt>
                <c:pt idx="2186">
                  <c:v>28934.56</c:v>
                </c:pt>
                <c:pt idx="2187">
                  <c:v>29026.97</c:v>
                </c:pt>
                <c:pt idx="2188">
                  <c:v>29391.09</c:v>
                </c:pt>
                <c:pt idx="2189">
                  <c:v>32244.73</c:v>
                </c:pt>
                <c:pt idx="2190">
                  <c:v>33134.1</c:v>
                </c:pt>
                <c:pt idx="2191">
                  <c:v>32127.31</c:v>
                </c:pt>
                <c:pt idx="2192">
                  <c:v>34131.23</c:v>
                </c:pt>
                <c:pt idx="2193">
                  <c:v>36979.81</c:v>
                </c:pt>
                <c:pt idx="2194">
                  <c:v>39573.39</c:v>
                </c:pt>
                <c:pt idx="2195">
                  <c:v>40666.72</c:v>
                </c:pt>
                <c:pt idx="2196">
                  <c:v>40346.3</c:v>
                </c:pt>
                <c:pt idx="2197">
                  <c:v>38242.02</c:v>
                </c:pt>
                <c:pt idx="2198">
                  <c:v>35474.31</c:v>
                </c:pt>
                <c:pt idx="2199">
                  <c:v>33968.43</c:v>
                </c:pt>
                <c:pt idx="2200">
                  <c:v>37520.66</c:v>
                </c:pt>
                <c:pt idx="2201">
                  <c:v>39171.12</c:v>
                </c:pt>
                <c:pt idx="2202">
                  <c:v>36868.39</c:v>
                </c:pt>
                <c:pt idx="2203">
                  <c:v>35869.47</c:v>
                </c:pt>
                <c:pt idx="2204">
                  <c:v>35931.15</c:v>
                </c:pt>
                <c:pt idx="2205">
                  <c:v>36765.97</c:v>
                </c:pt>
                <c:pt idx="2206">
                  <c:v>35673.03</c:v>
                </c:pt>
                <c:pt idx="2207">
                  <c:v>35570.44</c:v>
                </c:pt>
                <c:pt idx="2208">
                  <c:v>30647.26</c:v>
                </c:pt>
                <c:pt idx="2209">
                  <c:v>32885.51</c:v>
                </c:pt>
                <c:pt idx="2210">
                  <c:v>32021.33</c:v>
                </c:pt>
                <c:pt idx="2211">
                  <c:v>32250.01</c:v>
                </c:pt>
                <c:pt idx="2212">
                  <c:v>31979</c:v>
                </c:pt>
                <c:pt idx="2213">
                  <c:v>32579.82</c:v>
                </c:pt>
                <c:pt idx="2214">
                  <c:v>30552.06</c:v>
                </c:pt>
                <c:pt idx="2215">
                  <c:v>33484.8</c:v>
                </c:pt>
                <c:pt idx="2216">
                  <c:v>34330.14</c:v>
                </c:pt>
                <c:pt idx="2217">
                  <c:v>34229.25</c:v>
                </c:pt>
                <c:pt idx="2218">
                  <c:v>33076.09</c:v>
                </c:pt>
                <c:pt idx="2219">
                  <c:v>33457.6</c:v>
                </c:pt>
                <c:pt idx="2220">
                  <c:v>35511.07</c:v>
                </c:pt>
                <c:pt idx="2221">
                  <c:v>37769.41</c:v>
                </c:pt>
                <c:pt idx="2222">
                  <c:v>37070.87</c:v>
                </c:pt>
                <c:pt idx="2223">
                  <c:v>38376.86</c:v>
                </c:pt>
                <c:pt idx="2224">
                  <c:v>38995.52</c:v>
                </c:pt>
                <c:pt idx="2225">
                  <c:v>38888.74</c:v>
                </c:pt>
                <c:pt idx="2226">
                  <c:v>46674.44</c:v>
                </c:pt>
                <c:pt idx="2227">
                  <c:v>46595.44</c:v>
                </c:pt>
                <c:pt idx="2228">
                  <c:v>44887.29</c:v>
                </c:pt>
                <c:pt idx="2229">
                  <c:v>48121</c:v>
                </c:pt>
                <c:pt idx="2230">
                  <c:v>47524.18</c:v>
                </c:pt>
                <c:pt idx="2231">
                  <c:v>47274.23</c:v>
                </c:pt>
                <c:pt idx="2232">
                  <c:v>48703.26</c:v>
                </c:pt>
                <c:pt idx="2233">
                  <c:v>47911.87</c:v>
                </c:pt>
                <c:pt idx="2234">
                  <c:v>49257.23</c:v>
                </c:pt>
                <c:pt idx="2235">
                  <c:v>52269.84</c:v>
                </c:pt>
                <c:pt idx="2236">
                  <c:v>51644.16</c:v>
                </c:pt>
                <c:pt idx="2237">
                  <c:v>56029.51</c:v>
                </c:pt>
                <c:pt idx="2238">
                  <c:v>55960.05</c:v>
                </c:pt>
                <c:pt idx="2239">
                  <c:v>57538.47</c:v>
                </c:pt>
                <c:pt idx="2240">
                  <c:v>54130.33</c:v>
                </c:pt>
                <c:pt idx="2241">
                  <c:v>48972.11</c:v>
                </c:pt>
                <c:pt idx="2242">
                  <c:v>49789.99</c:v>
                </c:pt>
                <c:pt idx="2243">
                  <c:v>46927.73</c:v>
                </c:pt>
                <c:pt idx="2244">
                  <c:v>46360.17</c:v>
                </c:pt>
                <c:pt idx="2245">
                  <c:v>45973.56</c:v>
                </c:pt>
                <c:pt idx="2246">
                  <c:v>45352.29</c:v>
                </c:pt>
                <c:pt idx="2247">
                  <c:v>49652.19</c:v>
                </c:pt>
                <c:pt idx="2248">
                  <c:v>48368.22</c:v>
                </c:pt>
                <c:pt idx="2249">
                  <c:v>50164.67</c:v>
                </c:pt>
                <c:pt idx="2250">
                  <c:v>48327.39</c:v>
                </c:pt>
                <c:pt idx="2251">
                  <c:v>48908.09</c:v>
                </c:pt>
                <c:pt idx="2252">
                  <c:v>48986.85</c:v>
                </c:pt>
                <c:pt idx="2253">
                  <c:v>50858.34</c:v>
                </c:pt>
                <c:pt idx="2254">
                  <c:v>52472.59</c:v>
                </c:pt>
                <c:pt idx="2255">
                  <c:v>54999.99</c:v>
                </c:pt>
                <c:pt idx="2256">
                  <c:v>56046.27</c:v>
                </c:pt>
                <c:pt idx="2257">
                  <c:v>57911.02</c:v>
                </c:pt>
                <c:pt idx="2258">
                  <c:v>57174.89</c:v>
                </c:pt>
                <c:pt idx="2259">
                  <c:v>61130.22</c:v>
                </c:pt>
                <c:pt idx="2260">
                  <c:v>59192.98</c:v>
                </c:pt>
                <c:pt idx="2261">
                  <c:v>55430.19</c:v>
                </c:pt>
                <c:pt idx="2262">
                  <c:v>57126.52</c:v>
                </c:pt>
                <c:pt idx="2263">
                  <c:v>59221.23</c:v>
                </c:pt>
                <c:pt idx="2264">
                  <c:v>57562.46</c:v>
                </c:pt>
                <c:pt idx="2265">
                  <c:v>58001.29</c:v>
                </c:pt>
                <c:pt idx="2266">
                  <c:v>58051.01</c:v>
                </c:pt>
                <c:pt idx="2267">
                  <c:v>57402.03</c:v>
                </c:pt>
                <c:pt idx="2268">
                  <c:v>54230.21</c:v>
                </c:pt>
                <c:pt idx="2269">
                  <c:v>54268.81</c:v>
                </c:pt>
                <c:pt idx="2270">
                  <c:v>52294.65</c:v>
                </c:pt>
                <c:pt idx="2271">
                  <c:v>51386.2</c:v>
                </c:pt>
                <c:pt idx="2272">
                  <c:v>55314.11</c:v>
                </c:pt>
                <c:pt idx="2273">
                  <c:v>55932.18</c:v>
                </c:pt>
                <c:pt idx="2274">
                  <c:v>55821.59</c:v>
                </c:pt>
                <c:pt idx="2275">
                  <c:v>57630.72</c:v>
                </c:pt>
                <c:pt idx="2276">
                  <c:v>58800</c:v>
                </c:pt>
                <c:pt idx="2277">
                  <c:v>58837.71</c:v>
                </c:pt>
                <c:pt idx="2278">
                  <c:v>58768.84</c:v>
                </c:pt>
                <c:pt idx="2279">
                  <c:v>59019.55</c:v>
                </c:pt>
                <c:pt idx="2280">
                  <c:v>56731</c:v>
                </c:pt>
                <c:pt idx="2281">
                  <c:v>58266.39</c:v>
                </c:pt>
                <c:pt idx="2282">
                  <c:v>59200</c:v>
                </c:pt>
                <c:pt idx="2283">
                  <c:v>58018.31</c:v>
                </c:pt>
                <c:pt idx="2284">
                  <c:v>55962.11</c:v>
                </c:pt>
                <c:pt idx="2285">
                  <c:v>58108.65</c:v>
                </c:pt>
                <c:pt idx="2286">
                  <c:v>58126.14</c:v>
                </c:pt>
                <c:pt idx="2287">
                  <c:v>60039.35</c:v>
                </c:pt>
                <c:pt idx="2288">
                  <c:v>60133.37</c:v>
                </c:pt>
                <c:pt idx="2289">
                  <c:v>59903.04</c:v>
                </c:pt>
                <c:pt idx="2290">
                  <c:v>63660.94</c:v>
                </c:pt>
                <c:pt idx="2291">
                  <c:v>63283.43</c:v>
                </c:pt>
                <c:pt idx="2292">
                  <c:v>63346.93</c:v>
                </c:pt>
                <c:pt idx="2293">
                  <c:v>61486.08</c:v>
                </c:pt>
                <c:pt idx="2294">
                  <c:v>60199.33</c:v>
                </c:pt>
                <c:pt idx="2295">
                  <c:v>56351.2</c:v>
                </c:pt>
                <c:pt idx="2296">
                  <c:v>55797.39</c:v>
                </c:pt>
                <c:pt idx="2297">
                  <c:v>56514.9</c:v>
                </c:pt>
                <c:pt idx="2298">
                  <c:v>53919.48</c:v>
                </c:pt>
                <c:pt idx="2299">
                  <c:v>51653.27</c:v>
                </c:pt>
                <c:pt idx="2300">
                  <c:v>51231.69</c:v>
                </c:pt>
                <c:pt idx="2301">
                  <c:v>50167.5</c:v>
                </c:pt>
                <c:pt idx="2302">
                  <c:v>49272.06</c:v>
                </c:pt>
                <c:pt idx="2303">
                  <c:v>53969.71</c:v>
                </c:pt>
                <c:pt idx="2304">
                  <c:v>55120.81</c:v>
                </c:pt>
                <c:pt idx="2305">
                  <c:v>54964.11</c:v>
                </c:pt>
                <c:pt idx="2306">
                  <c:v>53562.87</c:v>
                </c:pt>
                <c:pt idx="2307">
                  <c:v>57640.17</c:v>
                </c:pt>
                <c:pt idx="2308">
                  <c:v>57868.94</c:v>
                </c:pt>
                <c:pt idx="2309">
                  <c:v>56631.64</c:v>
                </c:pt>
                <c:pt idx="2310">
                  <c:v>57213.29</c:v>
                </c:pt>
                <c:pt idx="2311">
                  <c:v>53128.68</c:v>
                </c:pt>
                <c:pt idx="2312">
                  <c:v>57518.01</c:v>
                </c:pt>
                <c:pt idx="2313">
                  <c:v>56485.77</c:v>
                </c:pt>
                <c:pt idx="2314">
                  <c:v>57373.88</c:v>
                </c:pt>
                <c:pt idx="2315">
                  <c:v>59045.17</c:v>
                </c:pt>
                <c:pt idx="2316">
                  <c:v>58410.34</c:v>
                </c:pt>
                <c:pt idx="2317">
                  <c:v>55936.77</c:v>
                </c:pt>
                <c:pt idx="2318">
                  <c:v>56719</c:v>
                </c:pt>
                <c:pt idx="2319">
                  <c:v>49095.57</c:v>
                </c:pt>
                <c:pt idx="2320">
                  <c:v>49635.45</c:v>
                </c:pt>
                <c:pt idx="2321">
                  <c:v>49923.92</c:v>
                </c:pt>
                <c:pt idx="2322">
                  <c:v>46984.74</c:v>
                </c:pt>
                <c:pt idx="2323">
                  <c:v>46523.31</c:v>
                </c:pt>
                <c:pt idx="2324">
                  <c:v>43768.74</c:v>
                </c:pt>
                <c:pt idx="2325">
                  <c:v>42989.8</c:v>
                </c:pt>
                <c:pt idx="2326">
                  <c:v>37236.61</c:v>
                </c:pt>
                <c:pt idx="2327">
                  <c:v>40749.78</c:v>
                </c:pt>
                <c:pt idx="2328">
                  <c:v>37425</c:v>
                </c:pt>
                <c:pt idx="2329">
                  <c:v>37383.34</c:v>
                </c:pt>
                <c:pt idx="2330">
                  <c:v>34927.4</c:v>
                </c:pt>
                <c:pt idx="2331">
                  <c:v>38725.06</c:v>
                </c:pt>
                <c:pt idx="2332">
                  <c:v>38370</c:v>
                </c:pt>
                <c:pt idx="2333">
                  <c:v>39213.41</c:v>
                </c:pt>
                <c:pt idx="2334">
                  <c:v>38368.17</c:v>
                </c:pt>
                <c:pt idx="2335">
                  <c:v>35770</c:v>
                </c:pt>
                <c:pt idx="2336">
                  <c:v>34621.64</c:v>
                </c:pt>
                <c:pt idx="2337">
                  <c:v>35545.27</c:v>
                </c:pt>
                <c:pt idx="2338">
                  <c:v>37153.71</c:v>
                </c:pt>
                <c:pt idx="2339">
                  <c:v>36764.58</c:v>
                </c:pt>
                <c:pt idx="2340">
                  <c:v>37501.36</c:v>
                </c:pt>
                <c:pt idx="2341">
                  <c:v>39215.09</c:v>
                </c:pt>
                <c:pt idx="2342">
                  <c:v>36895.48</c:v>
                </c:pt>
                <c:pt idx="2343">
                  <c:v>35565</c:v>
                </c:pt>
                <c:pt idx="2344">
                  <c:v>35873.42</c:v>
                </c:pt>
                <c:pt idx="2345">
                  <c:v>33816.09</c:v>
                </c:pt>
                <c:pt idx="2346">
                  <c:v>33432.26</c:v>
                </c:pt>
                <c:pt idx="2347">
                  <c:v>37357.02</c:v>
                </c:pt>
                <c:pt idx="2348">
                  <c:v>36717.51</c:v>
                </c:pt>
                <c:pt idx="2349">
                  <c:v>37282.15</c:v>
                </c:pt>
                <c:pt idx="2350">
                  <c:v>35609.66</c:v>
                </c:pt>
                <c:pt idx="2351">
                  <c:v>39122.03</c:v>
                </c:pt>
                <c:pt idx="2352">
                  <c:v>40496.92</c:v>
                </c:pt>
                <c:pt idx="2353">
                  <c:v>40093.93</c:v>
                </c:pt>
                <c:pt idx="2354">
                  <c:v>38394.4</c:v>
                </c:pt>
                <c:pt idx="2355">
                  <c:v>38027.63</c:v>
                </c:pt>
                <c:pt idx="2356">
                  <c:v>35777.39</c:v>
                </c:pt>
                <c:pt idx="2357">
                  <c:v>35498.24</c:v>
                </c:pt>
                <c:pt idx="2358">
                  <c:v>35565.82</c:v>
                </c:pt>
                <c:pt idx="2359">
                  <c:v>31686.69</c:v>
                </c:pt>
                <c:pt idx="2360">
                  <c:v>32508.26</c:v>
                </c:pt>
                <c:pt idx="2361">
                  <c:v>33688.35</c:v>
                </c:pt>
                <c:pt idx="2362">
                  <c:v>34695.34</c:v>
                </c:pt>
                <c:pt idx="2363">
                  <c:v>31704.87</c:v>
                </c:pt>
                <c:pt idx="2364">
                  <c:v>32265.95</c:v>
                </c:pt>
                <c:pt idx="2365">
                  <c:v>34596.99</c:v>
                </c:pt>
                <c:pt idx="2366">
                  <c:v>34541.8</c:v>
                </c:pt>
                <c:pt idx="2367">
                  <c:v>35928.75</c:v>
                </c:pt>
                <c:pt idx="2368">
                  <c:v>34995.83</c:v>
                </c:pt>
                <c:pt idx="2369">
                  <c:v>33538.49</c:v>
                </c:pt>
                <c:pt idx="2370">
                  <c:v>33832.49</c:v>
                </c:pt>
                <c:pt idx="2371">
                  <c:v>34633.93</c:v>
                </c:pt>
                <c:pt idx="2372">
                  <c:v>35126.9</c:v>
                </c:pt>
                <c:pt idx="2373">
                  <c:v>33673.22</c:v>
                </c:pt>
                <c:pt idx="2374">
                  <c:v>34193.9</c:v>
                </c:pt>
                <c:pt idx="2375">
                  <c:v>33791</c:v>
                </c:pt>
                <c:pt idx="2376">
                  <c:v>32878.23</c:v>
                </c:pt>
                <c:pt idx="2377">
                  <c:v>33766.87</c:v>
                </c:pt>
                <c:pt idx="2378">
                  <c:v>33547.19</c:v>
                </c:pt>
                <c:pt idx="2379">
                  <c:v>34236.21</c:v>
                </c:pt>
                <c:pt idx="2380">
                  <c:v>33096.86</c:v>
                </c:pt>
                <c:pt idx="2381">
                  <c:v>32768.54</c:v>
                </c:pt>
                <c:pt idx="2382">
                  <c:v>32817.18</c:v>
                </c:pt>
                <c:pt idx="2383">
                  <c:v>31891.09</c:v>
                </c:pt>
                <c:pt idx="2384">
                  <c:v>31408.78</c:v>
                </c:pt>
                <c:pt idx="2385">
                  <c:v>31503.78</c:v>
                </c:pt>
                <c:pt idx="2386">
                  <c:v>31753.02</c:v>
                </c:pt>
                <c:pt idx="2387">
                  <c:v>30849.9</c:v>
                </c:pt>
                <c:pt idx="2388">
                  <c:v>29788.61</c:v>
                </c:pt>
                <c:pt idx="2389">
                  <c:v>32086.04</c:v>
                </c:pt>
                <c:pt idx="2390">
                  <c:v>32327.95</c:v>
                </c:pt>
                <c:pt idx="2391">
                  <c:v>33700</c:v>
                </c:pt>
                <c:pt idx="2392">
                  <c:v>34275.43</c:v>
                </c:pt>
                <c:pt idx="2393">
                  <c:v>35368.57</c:v>
                </c:pt>
                <c:pt idx="2394">
                  <c:v>37269.12</c:v>
                </c:pt>
                <c:pt idx="2395">
                  <c:v>39381.82</c:v>
                </c:pt>
                <c:pt idx="2396">
                  <c:v>40031.56</c:v>
                </c:pt>
                <c:pt idx="2397">
                  <c:v>40024.94</c:v>
                </c:pt>
                <c:pt idx="2398">
                  <c:v>42188.95</c:v>
                </c:pt>
                <c:pt idx="2399">
                  <c:v>41472.42</c:v>
                </c:pt>
                <c:pt idx="2400">
                  <c:v>39816.76</c:v>
                </c:pt>
                <c:pt idx="2401">
                  <c:v>39146.69</c:v>
                </c:pt>
                <c:pt idx="2402">
                  <c:v>38207.27</c:v>
                </c:pt>
                <c:pt idx="2403">
                  <c:v>39730</c:v>
                </c:pt>
                <c:pt idx="2404">
                  <c:v>40893.75</c:v>
                </c:pt>
                <c:pt idx="2405">
                  <c:v>42827.76</c:v>
                </c:pt>
                <c:pt idx="2406">
                  <c:v>44488.87</c:v>
                </c:pt>
                <c:pt idx="2407">
                  <c:v>43933.26</c:v>
                </c:pt>
                <c:pt idx="2408">
                  <c:v>46208.5</c:v>
                </c:pt>
                <c:pt idx="2409">
                  <c:v>45565.76</c:v>
                </c:pt>
                <c:pt idx="2410">
                  <c:v>45482.95</c:v>
                </c:pt>
                <c:pt idx="2411">
                  <c:v>44454.37</c:v>
                </c:pt>
                <c:pt idx="2412">
                  <c:v>47765.41</c:v>
                </c:pt>
                <c:pt idx="2413">
                  <c:v>47134.61</c:v>
                </c:pt>
                <c:pt idx="2414">
                  <c:v>47090</c:v>
                </c:pt>
                <c:pt idx="2415">
                  <c:v>45930.71</c:v>
                </c:pt>
                <c:pt idx="2416">
                  <c:v>44718.51</c:v>
                </c:pt>
                <c:pt idx="2417">
                  <c:v>44735.2</c:v>
                </c:pt>
                <c:pt idx="2418">
                  <c:v>46736.74</c:v>
                </c:pt>
                <c:pt idx="2419">
                  <c:v>49350.99</c:v>
                </c:pt>
                <c:pt idx="2420">
                  <c:v>48896.95</c:v>
                </c:pt>
                <c:pt idx="2421">
                  <c:v>49328.47</c:v>
                </c:pt>
                <c:pt idx="2422">
                  <c:v>49464.66</c:v>
                </c:pt>
                <c:pt idx="2423">
                  <c:v>47770.4</c:v>
                </c:pt>
                <c:pt idx="2424">
                  <c:v>48985.05</c:v>
                </c:pt>
                <c:pt idx="2425">
                  <c:v>46770.6</c:v>
                </c:pt>
                <c:pt idx="2426">
                  <c:v>49082.04</c:v>
                </c:pt>
                <c:pt idx="2427">
                  <c:v>48963.41</c:v>
                </c:pt>
                <c:pt idx="2428">
                  <c:v>48770.78</c:v>
                </c:pt>
                <c:pt idx="2429">
                  <c:v>46924.16</c:v>
                </c:pt>
                <c:pt idx="2430">
                  <c:v>47065.73</c:v>
                </c:pt>
                <c:pt idx="2431">
                  <c:v>48889.19</c:v>
                </c:pt>
                <c:pt idx="2432">
                  <c:v>49273.33</c:v>
                </c:pt>
                <c:pt idx="2433">
                  <c:v>49919.31</c:v>
                </c:pt>
                <c:pt idx="2434">
                  <c:v>49949.07</c:v>
                </c:pt>
                <c:pt idx="2435">
                  <c:v>51782.76</c:v>
                </c:pt>
                <c:pt idx="2436">
                  <c:v>52691.2</c:v>
                </c:pt>
                <c:pt idx="2437">
                  <c:v>46943.82</c:v>
                </c:pt>
                <c:pt idx="2438">
                  <c:v>46022.48</c:v>
                </c:pt>
                <c:pt idx="2439">
                  <c:v>46414.58</c:v>
                </c:pt>
                <c:pt idx="2440">
                  <c:v>44897.75</c:v>
                </c:pt>
                <c:pt idx="2441">
                  <c:v>45127.48</c:v>
                </c:pt>
                <c:pt idx="2442">
                  <c:v>46010.13</c:v>
                </c:pt>
                <c:pt idx="2443">
                  <c:v>44969.02</c:v>
                </c:pt>
                <c:pt idx="2444">
                  <c:v>47096.48</c:v>
                </c:pt>
                <c:pt idx="2445">
                  <c:v>48106.71</c:v>
                </c:pt>
                <c:pt idx="2446">
                  <c:v>47772.7</c:v>
                </c:pt>
                <c:pt idx="2447">
                  <c:v>47337.8</c:v>
                </c:pt>
                <c:pt idx="2448">
                  <c:v>48300.04</c:v>
                </c:pt>
                <c:pt idx="2449">
                  <c:v>47270.75</c:v>
                </c:pt>
                <c:pt idx="2450">
                  <c:v>42991.14</c:v>
                </c:pt>
                <c:pt idx="2451">
                  <c:v>40656.13</c:v>
                </c:pt>
                <c:pt idx="2452">
                  <c:v>43544.09</c:v>
                </c:pt>
                <c:pt idx="2453">
                  <c:v>44892.71</c:v>
                </c:pt>
                <c:pt idx="2454">
                  <c:v>42816.65</c:v>
                </c:pt>
                <c:pt idx="2455">
                  <c:v>42682.26</c:v>
                </c:pt>
                <c:pt idx="2456">
                  <c:v>43142.04</c:v>
                </c:pt>
                <c:pt idx="2457">
                  <c:v>42214.52</c:v>
                </c:pt>
                <c:pt idx="2458">
                  <c:v>41006.19</c:v>
                </c:pt>
                <c:pt idx="2459">
                  <c:v>41522.49</c:v>
                </c:pt>
                <c:pt idx="2460">
                  <c:v>43834.03</c:v>
                </c:pt>
                <c:pt idx="2461">
                  <c:v>48145.34</c:v>
                </c:pt>
                <c:pt idx="2462">
                  <c:v>47692.85</c:v>
                </c:pt>
                <c:pt idx="2463">
                  <c:v>48179.83</c:v>
                </c:pt>
                <c:pt idx="2464">
                  <c:v>49248.68</c:v>
                </c:pt>
                <c:pt idx="2465">
                  <c:v>51441.74</c:v>
                </c:pt>
                <c:pt idx="2466">
                  <c:v>55278.64</c:v>
                </c:pt>
                <c:pt idx="2467">
                  <c:v>53844.74</c:v>
                </c:pt>
                <c:pt idx="2468">
                  <c:v>53983.21</c:v>
                </c:pt>
                <c:pt idx="2469">
                  <c:v>54951.3</c:v>
                </c:pt>
                <c:pt idx="2470">
                  <c:v>54655.3</c:v>
                </c:pt>
                <c:pt idx="2471">
                  <c:v>57440.05</c:v>
                </c:pt>
                <c:pt idx="2472">
                  <c:v>56019.29</c:v>
                </c:pt>
                <c:pt idx="2473">
                  <c:v>57372.59</c:v>
                </c:pt>
                <c:pt idx="2474">
                  <c:v>57327.09</c:v>
                </c:pt>
                <c:pt idx="2475">
                  <c:v>61682.48</c:v>
                </c:pt>
                <c:pt idx="2476">
                  <c:v>60880.85</c:v>
                </c:pt>
                <c:pt idx="2477">
                  <c:v>61541.01</c:v>
                </c:pt>
                <c:pt idx="2478">
                  <c:v>62036.95</c:v>
                </c:pt>
                <c:pt idx="2479">
                  <c:v>64353.53</c:v>
                </c:pt>
                <c:pt idx="2480">
                  <c:v>66005.17</c:v>
                </c:pt>
                <c:pt idx="2481">
                  <c:v>62152.09</c:v>
                </c:pt>
                <c:pt idx="2482">
                  <c:v>60671.75</c:v>
                </c:pt>
                <c:pt idx="2483">
                  <c:v>61308.09</c:v>
                </c:pt>
                <c:pt idx="2484">
                  <c:v>60889.41</c:v>
                </c:pt>
                <c:pt idx="2485">
                  <c:v>63102.83</c:v>
                </c:pt>
                <c:pt idx="2486">
                  <c:v>60341.21</c:v>
                </c:pt>
                <c:pt idx="2487">
                  <c:v>58517.61</c:v>
                </c:pt>
                <c:pt idx="2488">
                  <c:v>60577.62</c:v>
                </c:pt>
                <c:pt idx="2489">
                  <c:v>62316.4</c:v>
                </c:pt>
                <c:pt idx="2490">
                  <c:v>62062.88</c:v>
                </c:pt>
                <c:pt idx="2491">
                  <c:v>61333.45</c:v>
                </c:pt>
                <c:pt idx="2492">
                  <c:v>60950</c:v>
                </c:pt>
                <c:pt idx="2493">
                  <c:v>63357.2</c:v>
                </c:pt>
                <c:pt idx="2494">
                  <c:v>62944.4</c:v>
                </c:pt>
                <c:pt idx="2495">
                  <c:v>61499.24</c:v>
                </c:pt>
                <c:pt idx="2496">
                  <c:v>61000.01</c:v>
                </c:pt>
                <c:pt idx="2497">
                  <c:v>61539.3</c:v>
                </c:pt>
                <c:pt idx="2498">
                  <c:v>63433.66</c:v>
                </c:pt>
                <c:pt idx="2499">
                  <c:v>67510.06</c:v>
                </c:pt>
                <c:pt idx="2500">
                  <c:v>66967.98</c:v>
                </c:pt>
                <c:pt idx="2501">
                  <c:v>64896.86</c:v>
                </c:pt>
                <c:pt idx="2502">
                  <c:v>64793.69</c:v>
                </c:pt>
                <c:pt idx="2503">
                  <c:v>64158.51</c:v>
                </c:pt>
                <c:pt idx="2504">
                  <c:v>64482.54</c:v>
                </c:pt>
                <c:pt idx="2505">
                  <c:v>65714.05</c:v>
                </c:pt>
                <c:pt idx="2506">
                  <c:v>63441.68</c:v>
                </c:pt>
                <c:pt idx="2507">
                  <c:v>60147.32</c:v>
                </c:pt>
                <c:pt idx="2508">
                  <c:v>60314.28</c:v>
                </c:pt>
                <c:pt idx="2509">
                  <c:v>57017.38</c:v>
                </c:pt>
                <c:pt idx="2510">
                  <c:v>58187.85</c:v>
                </c:pt>
                <c:pt idx="2511">
                  <c:v>59771.71</c:v>
                </c:pt>
                <c:pt idx="2512">
                  <c:v>58742.9</c:v>
                </c:pt>
                <c:pt idx="2513">
                  <c:v>56254.57</c:v>
                </c:pt>
                <c:pt idx="2514">
                  <c:v>57599.99</c:v>
                </c:pt>
                <c:pt idx="2515">
                  <c:v>57255.24</c:v>
                </c:pt>
                <c:pt idx="2516">
                  <c:v>59022.44</c:v>
                </c:pt>
                <c:pt idx="2517">
                  <c:v>53839.39</c:v>
                </c:pt>
                <c:pt idx="2518">
                  <c:v>54665.93</c:v>
                </c:pt>
                <c:pt idx="2519">
                  <c:v>57471.87</c:v>
                </c:pt>
                <c:pt idx="2520">
                  <c:v>57828.33</c:v>
                </c:pt>
                <c:pt idx="2521">
                  <c:v>56879.47</c:v>
                </c:pt>
                <c:pt idx="2522">
                  <c:v>57228.47</c:v>
                </c:pt>
                <c:pt idx="2523">
                  <c:v>56566.29</c:v>
                </c:pt>
                <c:pt idx="2524">
                  <c:v>53681.96</c:v>
                </c:pt>
                <c:pt idx="2525">
                  <c:v>49335</c:v>
                </c:pt>
                <c:pt idx="2526">
                  <c:v>49511.76</c:v>
                </c:pt>
                <c:pt idx="2527">
                  <c:v>50588.91</c:v>
                </c:pt>
                <c:pt idx="2528">
                  <c:v>50676.09</c:v>
                </c:pt>
                <c:pt idx="2529">
                  <c:v>50531.51</c:v>
                </c:pt>
                <c:pt idx="2530">
                  <c:v>47639.07</c:v>
                </c:pt>
                <c:pt idx="2531">
                  <c:v>47268.48</c:v>
                </c:pt>
                <c:pt idx="2532">
                  <c:v>49432.46</c:v>
                </c:pt>
                <c:pt idx="2533">
                  <c:v>50065.39</c:v>
                </c:pt>
                <c:pt idx="2534">
                  <c:v>46639.86</c:v>
                </c:pt>
                <c:pt idx="2535">
                  <c:v>48343.16</c:v>
                </c:pt>
                <c:pt idx="2536">
                  <c:v>48885.97</c:v>
                </c:pt>
                <c:pt idx="2537">
                  <c:v>47605.48</c:v>
                </c:pt>
                <c:pt idx="2538">
                  <c:v>46240.15</c:v>
                </c:pt>
                <c:pt idx="2539">
                  <c:v>46813.13</c:v>
                </c:pt>
                <c:pt idx="2540">
                  <c:v>46683.77</c:v>
                </c:pt>
                <c:pt idx="2541">
                  <c:v>46963.71</c:v>
                </c:pt>
                <c:pt idx="2542">
                  <c:v>48954.47</c:v>
                </c:pt>
                <c:pt idx="2543">
                  <c:v>48646.94</c:v>
                </c:pt>
                <c:pt idx="2544">
                  <c:v>50840.46</c:v>
                </c:pt>
                <c:pt idx="2545">
                  <c:v>50815.7</c:v>
                </c:pt>
                <c:pt idx="2546">
                  <c:v>50395.07</c:v>
                </c:pt>
                <c:pt idx="2547">
                  <c:v>50841.73</c:v>
                </c:pt>
                <c:pt idx="2548">
                  <c:v>50663.26</c:v>
                </c:pt>
                <c:pt idx="2549">
                  <c:v>47594.55</c:v>
                </c:pt>
                <c:pt idx="2550">
                  <c:v>46518.8</c:v>
                </c:pt>
                <c:pt idx="2551">
                  <c:v>47097.85</c:v>
                </c:pt>
                <c:pt idx="2552">
                  <c:v>46244.63</c:v>
                </c:pt>
                <c:pt idx="2553">
                  <c:v>47748.83</c:v>
                </c:pt>
                <c:pt idx="2554">
                  <c:v>47258.52</c:v>
                </c:pt>
                <c:pt idx="2555">
                  <c:v>46519.76</c:v>
                </c:pt>
                <c:pt idx="2556">
                  <c:v>45889.4</c:v>
                </c:pt>
                <c:pt idx="2557">
                  <c:v>43422.85</c:v>
                </c:pt>
                <c:pt idx="2558">
                  <c:v>43133.33</c:v>
                </c:pt>
                <c:pt idx="2559">
                  <c:v>41656.16</c:v>
                </c:pt>
                <c:pt idx="2560">
                  <c:v>41667.48</c:v>
                </c:pt>
                <c:pt idx="2561">
                  <c:v>41838.78</c:v>
                </c:pt>
                <c:pt idx="2562">
                  <c:v>41872.47</c:v>
                </c:pt>
                <c:pt idx="2563">
                  <c:v>42771.24</c:v>
                </c:pt>
                <c:pt idx="2564">
                  <c:v>43884.25</c:v>
                </c:pt>
                <c:pt idx="2565">
                  <c:v>42617.64</c:v>
                </c:pt>
                <c:pt idx="2566">
                  <c:v>43158.68</c:v>
                </c:pt>
                <c:pt idx="2567">
                  <c:v>43082.34</c:v>
                </c:pt>
                <c:pt idx="2568">
                  <c:v>43137.67</c:v>
                </c:pt>
                <c:pt idx="2569">
                  <c:v>42285.47</c:v>
                </c:pt>
                <c:pt idx="2570">
                  <c:v>42411.61</c:v>
                </c:pt>
                <c:pt idx="2571">
                  <c:v>41723.49</c:v>
                </c:pt>
                <c:pt idx="2572">
                  <c:v>40696.22</c:v>
                </c:pt>
                <c:pt idx="2573">
                  <c:v>36513.29</c:v>
                </c:pt>
                <c:pt idx="2574">
                  <c:v>35108.16</c:v>
                </c:pt>
                <c:pt idx="2575">
                  <c:v>36233.04</c:v>
                </c:pt>
                <c:pt idx="2576">
                  <c:v>36643.49</c:v>
                </c:pt>
                <c:pt idx="2577">
                  <c:v>36976.64</c:v>
                </c:pt>
                <c:pt idx="2578">
                  <c:v>36838.9</c:v>
                </c:pt>
                <c:pt idx="2579">
                  <c:v>37139.68</c:v>
                </c:pt>
                <c:pt idx="2580">
                  <c:v>37677.8</c:v>
                </c:pt>
                <c:pt idx="2581">
                  <c:v>38166.62</c:v>
                </c:pt>
                <c:pt idx="2582">
                  <c:v>37918.6</c:v>
                </c:pt>
                <c:pt idx="2583">
                  <c:v>38430.3</c:v>
                </c:pt>
                <c:pt idx="2584">
                  <c:v>38745.11</c:v>
                </c:pt>
                <c:pt idx="2585">
                  <c:v>36905.98</c:v>
                </c:pt>
                <c:pt idx="2586">
                  <c:v>37238.31</c:v>
                </c:pt>
                <c:pt idx="2587">
                  <c:v>41545.39</c:v>
                </c:pt>
                <c:pt idx="2588">
                  <c:v>41447.5</c:v>
                </c:pt>
                <c:pt idx="2589">
                  <c:v>42496.61</c:v>
                </c:pt>
                <c:pt idx="2590">
                  <c:v>43897.96</c:v>
                </c:pt>
                <c:pt idx="2591">
                  <c:v>44147.59</c:v>
                </c:pt>
                <c:pt idx="2592">
                  <c:v>44402.94</c:v>
                </c:pt>
                <c:pt idx="2593">
                  <c:v>43477.29</c:v>
                </c:pt>
                <c:pt idx="2594">
                  <c:v>42391.54</c:v>
                </c:pt>
                <c:pt idx="2595">
                  <c:v>42217.48</c:v>
                </c:pt>
                <c:pt idx="2596">
                  <c:v>42097.33</c:v>
                </c:pt>
                <c:pt idx="2597">
                  <c:v>42572.56</c:v>
                </c:pt>
                <c:pt idx="2598">
                  <c:v>44469.73</c:v>
                </c:pt>
                <c:pt idx="2599">
                  <c:v>43897.22</c:v>
                </c:pt>
                <c:pt idx="2600">
                  <c:v>40553.82</c:v>
                </c:pt>
                <c:pt idx="2601">
                  <c:v>39993.11</c:v>
                </c:pt>
                <c:pt idx="2602">
                  <c:v>40089.18</c:v>
                </c:pt>
                <c:pt idx="2603">
                  <c:v>38426.4</c:v>
                </c:pt>
                <c:pt idx="2604">
                  <c:v>37075.4</c:v>
                </c:pt>
                <c:pt idx="2605">
                  <c:v>38261.46</c:v>
                </c:pt>
                <c:pt idx="2606">
                  <c:v>37225</c:v>
                </c:pt>
                <c:pt idx="2607">
                  <c:v>38367.61</c:v>
                </c:pt>
                <c:pt idx="2608">
                  <c:v>39212.8</c:v>
                </c:pt>
                <c:pt idx="2609">
                  <c:v>39138.21</c:v>
                </c:pt>
                <c:pt idx="2610">
                  <c:v>37700</c:v>
                </c:pt>
                <c:pt idx="2611">
                  <c:v>43206.02</c:v>
                </c:pt>
                <c:pt idx="2612">
                  <c:v>44412.2</c:v>
                </c:pt>
                <c:pt idx="2613">
                  <c:v>43862.75</c:v>
                </c:pt>
                <c:pt idx="2614">
                  <c:v>42432</c:v>
                </c:pt>
                <c:pt idx="2615">
                  <c:v>39205.77</c:v>
                </c:pt>
                <c:pt idx="2616">
                  <c:v>39390.89</c:v>
                </c:pt>
                <c:pt idx="2617">
                  <c:v>38432.11</c:v>
                </c:pt>
                <c:pt idx="2618">
                  <c:v>38004.69</c:v>
                </c:pt>
                <c:pt idx="2619">
                  <c:v>38724.21</c:v>
                </c:pt>
                <c:pt idx="2620">
                  <c:v>41985.86</c:v>
                </c:pt>
                <c:pt idx="2621">
                  <c:v>39454.87</c:v>
                </c:pt>
                <c:pt idx="2622">
                  <c:v>38670.76</c:v>
                </c:pt>
                <c:pt idx="2623">
                  <c:v>38767.98</c:v>
                </c:pt>
                <c:pt idx="2624">
                  <c:v>37780.14</c:v>
                </c:pt>
                <c:pt idx="2625">
                  <c:v>39644.88</c:v>
                </c:pt>
                <c:pt idx="2626">
                  <c:v>39361.36</c:v>
                </c:pt>
                <c:pt idx="2627">
                  <c:v>41109.85</c:v>
                </c:pt>
                <c:pt idx="2628">
                  <c:v>40964.07</c:v>
                </c:pt>
                <c:pt idx="2629">
                  <c:v>41806.03</c:v>
                </c:pt>
                <c:pt idx="2630">
                  <c:v>42219.55</c:v>
                </c:pt>
                <c:pt idx="2631">
                  <c:v>41271.13</c:v>
                </c:pt>
                <c:pt idx="2632">
                  <c:v>41009.98</c:v>
                </c:pt>
                <c:pt idx="2633">
                  <c:v>42359.88</c:v>
                </c:pt>
                <c:pt idx="2634">
                  <c:v>42940.28</c:v>
                </c:pt>
                <c:pt idx="2635">
                  <c:v>43979.48</c:v>
                </c:pt>
                <c:pt idx="2636">
                  <c:v>44355.11</c:v>
                </c:pt>
                <c:pt idx="2637">
                  <c:v>44548.42</c:v>
                </c:pt>
                <c:pt idx="2638">
                  <c:v>46819.78</c:v>
                </c:pt>
                <c:pt idx="2639">
                  <c:v>47191.31</c:v>
                </c:pt>
                <c:pt idx="2640">
                  <c:v>47430.74</c:v>
                </c:pt>
                <c:pt idx="2641">
                  <c:v>47022.82</c:v>
                </c:pt>
                <c:pt idx="2642">
                  <c:v>45475.83</c:v>
                </c:pt>
                <c:pt idx="2643">
                  <c:v>46222.43</c:v>
                </c:pt>
                <c:pt idx="2644">
                  <c:v>45871.46</c:v>
                </c:pt>
                <c:pt idx="2645">
                  <c:v>46358.05</c:v>
                </c:pt>
                <c:pt idx="2646">
                  <c:v>46568.89</c:v>
                </c:pt>
                <c:pt idx="2647">
                  <c:v>45449.25</c:v>
                </c:pt>
                <c:pt idx="2648">
                  <c:v>43206.04</c:v>
                </c:pt>
                <c:pt idx="2649">
                  <c:v>43432.08</c:v>
                </c:pt>
                <c:pt idx="2650">
                  <c:v>42281.5</c:v>
                </c:pt>
                <c:pt idx="2651">
                  <c:v>42773.37</c:v>
                </c:pt>
                <c:pt idx="2652">
                  <c:v>42177.2</c:v>
                </c:pt>
                <c:pt idx="2653">
                  <c:v>39615.2</c:v>
                </c:pt>
                <c:pt idx="2654">
                  <c:v>40105.2</c:v>
                </c:pt>
                <c:pt idx="2655">
                  <c:v>41101.04</c:v>
                </c:pt>
                <c:pt idx="2656">
                  <c:v>39910.05</c:v>
                </c:pt>
                <c:pt idx="2657">
                  <c:v>40566.6</c:v>
                </c:pt>
                <c:pt idx="2658">
                  <c:v>40378.25</c:v>
                </c:pt>
                <c:pt idx="2659">
                  <c:v>39670.73</c:v>
                </c:pt>
                <c:pt idx="2660">
                  <c:v>40817.48</c:v>
                </c:pt>
                <c:pt idx="2661">
                  <c:v>41480.25</c:v>
                </c:pt>
                <c:pt idx="2662">
                  <c:v>41350.25</c:v>
                </c:pt>
                <c:pt idx="2663">
                  <c:v>40464.52</c:v>
                </c:pt>
                <c:pt idx="2664">
                  <c:v>39708.2</c:v>
                </c:pt>
                <c:pt idx="2665">
                  <c:v>39468.1</c:v>
                </c:pt>
                <c:pt idx="2666">
                  <c:v>39489.71</c:v>
                </c:pt>
                <c:pt idx="2667">
                  <c:v>40490.41</c:v>
                </c:pt>
                <c:pt idx="2668">
                  <c:v>38102.78</c:v>
                </c:pt>
                <c:pt idx="2669">
                  <c:v>39188.42</c:v>
                </c:pt>
                <c:pt idx="2670">
                  <c:v>39737.71</c:v>
                </c:pt>
                <c:pt idx="2671">
                  <c:v>38597.17</c:v>
                </c:pt>
                <c:pt idx="2672">
                  <c:v>37658.53</c:v>
                </c:pt>
                <c:pt idx="2673">
                  <c:v>38496.42</c:v>
                </c:pt>
                <c:pt idx="2674">
                  <c:v>38488.36</c:v>
                </c:pt>
                <c:pt idx="2675">
                  <c:v>37708.41</c:v>
                </c:pt>
                <c:pt idx="2676">
                  <c:v>39671.83</c:v>
                </c:pt>
                <c:pt idx="2677">
                  <c:v>36516.79</c:v>
                </c:pt>
                <c:pt idx="2678">
                  <c:v>36013.22</c:v>
                </c:pt>
                <c:pt idx="2679">
                  <c:v>35445.54</c:v>
                </c:pt>
                <c:pt idx="2680">
                  <c:v>34089.76</c:v>
                </c:pt>
                <c:pt idx="2681">
                  <c:v>30176.73</c:v>
                </c:pt>
                <c:pt idx="2682">
                  <c:v>30961.83</c:v>
                </c:pt>
                <c:pt idx="2683">
                  <c:v>29027.82</c:v>
                </c:pt>
                <c:pt idx="2684">
                  <c:v>28959.93</c:v>
                </c:pt>
                <c:pt idx="2685">
                  <c:v>29292.4</c:v>
                </c:pt>
                <c:pt idx="2686">
                  <c:v>30012.62</c:v>
                </c:pt>
                <c:pt idx="2687">
                  <c:v>31258.75</c:v>
                </c:pt>
                <c:pt idx="2688">
                  <c:v>29854.67</c:v>
                </c:pt>
                <c:pt idx="2689">
                  <c:v>30391.04</c:v>
                </c:pt>
                <c:pt idx="2690">
                  <c:v>28762.93</c:v>
                </c:pt>
                <c:pt idx="2691">
                  <c:v>30258.84</c:v>
                </c:pt>
                <c:pt idx="2692">
                  <c:v>29138.15</c:v>
                </c:pt>
                <c:pt idx="2693">
                  <c:v>29426.6</c:v>
                </c:pt>
                <c:pt idx="2694">
                  <c:v>30221.12</c:v>
                </c:pt>
                <c:pt idx="2695">
                  <c:v>29095.68</c:v>
                </c:pt>
                <c:pt idx="2696">
                  <c:v>29605.66</c:v>
                </c:pt>
                <c:pt idx="2697">
                  <c:v>29487.83</c:v>
                </c:pt>
                <c:pt idx="2698">
                  <c:v>29160.96</c:v>
                </c:pt>
                <c:pt idx="2699">
                  <c:v>28608.55</c:v>
                </c:pt>
                <c:pt idx="2700">
                  <c:v>28974.3</c:v>
                </c:pt>
                <c:pt idx="2701">
                  <c:v>29441.17</c:v>
                </c:pt>
                <c:pt idx="2702">
                  <c:v>31691.54</c:v>
                </c:pt>
                <c:pt idx="2703">
                  <c:v>31804.27</c:v>
                </c:pt>
                <c:pt idx="2704">
                  <c:v>29779.16</c:v>
                </c:pt>
                <c:pt idx="2705">
                  <c:v>30428.98</c:v>
                </c:pt>
                <c:pt idx="2706">
                  <c:v>29684.67</c:v>
                </c:pt>
                <c:pt idx="2707">
                  <c:v>29832.02</c:v>
                </c:pt>
                <c:pt idx="2708">
                  <c:v>29893.98</c:v>
                </c:pt>
                <c:pt idx="2709">
                  <c:v>31324.88</c:v>
                </c:pt>
                <c:pt idx="2710">
                  <c:v>31073.76</c:v>
                </c:pt>
                <c:pt idx="2711">
                  <c:v>30195.33</c:v>
                </c:pt>
                <c:pt idx="2712">
                  <c:v>30070.71</c:v>
                </c:pt>
                <c:pt idx="2713">
                  <c:v>29061.88</c:v>
                </c:pt>
                <c:pt idx="2714">
                  <c:v>28381.45</c:v>
                </c:pt>
                <c:pt idx="2715">
                  <c:v>26633.35</c:v>
                </c:pt>
                <c:pt idx="2716">
                  <c:v>22333</c:v>
                </c:pt>
                <c:pt idx="2717">
                  <c:v>22122.57</c:v>
                </c:pt>
                <c:pt idx="2718">
                  <c:v>22544.07</c:v>
                </c:pt>
                <c:pt idx="2719">
                  <c:v>20336.62</c:v>
                </c:pt>
                <c:pt idx="2720">
                  <c:v>20421.22</c:v>
                </c:pt>
                <c:pt idx="2721">
                  <c:v>18989.21</c:v>
                </c:pt>
                <c:pt idx="2722">
                  <c:v>20520.28</c:v>
                </c:pt>
                <c:pt idx="2723">
                  <c:v>20534.33</c:v>
                </c:pt>
                <c:pt idx="2724">
                  <c:v>20675.12</c:v>
                </c:pt>
                <c:pt idx="2725">
                  <c:v>19997.23</c:v>
                </c:pt>
                <c:pt idx="2726">
                  <c:v>21121.55</c:v>
                </c:pt>
                <c:pt idx="2727">
                  <c:v>21206.32</c:v>
                </c:pt>
                <c:pt idx="2728">
                  <c:v>21474.76</c:v>
                </c:pt>
                <c:pt idx="2729">
                  <c:v>21025.22</c:v>
                </c:pt>
                <c:pt idx="2730">
                  <c:v>20718.74</c:v>
                </c:pt>
                <c:pt idx="2731">
                  <c:v>20251.34</c:v>
                </c:pt>
                <c:pt idx="2732">
                  <c:v>20094.43</c:v>
                </c:pt>
                <c:pt idx="2733">
                  <c:v>19837.58</c:v>
                </c:pt>
                <c:pt idx="2734">
                  <c:v>19270.3</c:v>
                </c:pt>
                <c:pt idx="2735">
                  <c:v>19210.52</c:v>
                </c:pt>
                <c:pt idx="2736">
                  <c:v>19283.07</c:v>
                </c:pt>
                <c:pt idx="2737">
                  <c:v>20205.89</c:v>
                </c:pt>
                <c:pt idx="2738">
                  <c:v>20171.1</c:v>
                </c:pt>
                <c:pt idx="2739">
                  <c:v>20556.8</c:v>
                </c:pt>
                <c:pt idx="2740">
                  <c:v>21657.39</c:v>
                </c:pt>
                <c:pt idx="2741">
                  <c:v>21582.54</c:v>
                </c:pt>
                <c:pt idx="2742">
                  <c:v>21573.37</c:v>
                </c:pt>
                <c:pt idx="2743">
                  <c:v>20806.95</c:v>
                </c:pt>
                <c:pt idx="2744">
                  <c:v>19942.91</c:v>
                </c:pt>
                <c:pt idx="2745">
                  <c:v>19302.71</c:v>
                </c:pt>
                <c:pt idx="2746">
                  <c:v>20206.62</c:v>
                </c:pt>
                <c:pt idx="2747">
                  <c:v>20583.48</c:v>
                </c:pt>
                <c:pt idx="2748">
                  <c:v>20838.39</c:v>
                </c:pt>
                <c:pt idx="2749">
                  <c:v>21195.28</c:v>
                </c:pt>
                <c:pt idx="2750">
                  <c:v>20762.12</c:v>
                </c:pt>
                <c:pt idx="2751">
                  <c:v>22368.75</c:v>
                </c:pt>
                <c:pt idx="2752">
                  <c:v>23410.92</c:v>
                </c:pt>
                <c:pt idx="2753">
                  <c:v>23237.11</c:v>
                </c:pt>
                <c:pt idx="2754">
                  <c:v>23140.92</c:v>
                </c:pt>
                <c:pt idx="2755">
                  <c:v>22706.35</c:v>
                </c:pt>
                <c:pt idx="2756">
                  <c:v>22457.13</c:v>
                </c:pt>
                <c:pt idx="2757">
                  <c:v>22592.39</c:v>
                </c:pt>
                <c:pt idx="2758">
                  <c:v>21248.31</c:v>
                </c:pt>
                <c:pt idx="2759">
                  <c:v>21277.3</c:v>
                </c:pt>
                <c:pt idx="2760">
                  <c:v>22986.74</c:v>
                </c:pt>
                <c:pt idx="2761">
                  <c:v>23875.62</c:v>
                </c:pt>
                <c:pt idx="2762">
                  <c:v>23817.5</c:v>
                </c:pt>
                <c:pt idx="2763">
                  <c:v>23643.31</c:v>
                </c:pt>
                <c:pt idx="2764">
                  <c:v>23296.14</c:v>
                </c:pt>
                <c:pt idx="2765">
                  <c:v>23250.19</c:v>
                </c:pt>
                <c:pt idx="2766">
                  <c:v>23005.22</c:v>
                </c:pt>
                <c:pt idx="2767">
                  <c:v>22820.48</c:v>
                </c:pt>
                <c:pt idx="2768">
                  <c:v>22604.63</c:v>
                </c:pt>
                <c:pt idx="2769">
                  <c:v>23285.14</c:v>
                </c:pt>
                <c:pt idx="2770">
                  <c:v>22960.16</c:v>
                </c:pt>
                <c:pt idx="2771">
                  <c:v>23187.41</c:v>
                </c:pt>
                <c:pt idx="2772">
                  <c:v>23824.9</c:v>
                </c:pt>
                <c:pt idx="2773">
                  <c:v>23138.91</c:v>
                </c:pt>
                <c:pt idx="2774">
                  <c:v>23982.75</c:v>
                </c:pt>
                <c:pt idx="2775">
                  <c:v>23956.28</c:v>
                </c:pt>
                <c:pt idx="2776">
                  <c:v>24398.29</c:v>
                </c:pt>
                <c:pt idx="2777">
                  <c:v>24447.08</c:v>
                </c:pt>
                <c:pt idx="2778">
                  <c:v>24301.71</c:v>
                </c:pt>
                <c:pt idx="2779">
                  <c:v>24092.27</c:v>
                </c:pt>
                <c:pt idx="2780">
                  <c:v>23861.8</c:v>
                </c:pt>
                <c:pt idx="2781">
                  <c:v>23357.89</c:v>
                </c:pt>
                <c:pt idx="2782">
                  <c:v>23175.9</c:v>
                </c:pt>
                <c:pt idx="2783">
                  <c:v>20850.04</c:v>
                </c:pt>
                <c:pt idx="2784">
                  <c:v>21151.45</c:v>
                </c:pt>
                <c:pt idx="2785">
                  <c:v>21513.86</c:v>
                </c:pt>
                <c:pt idx="2786">
                  <c:v>21403.82</c:v>
                </c:pt>
                <c:pt idx="2787">
                  <c:v>21529.34</c:v>
                </c:pt>
                <c:pt idx="2788">
                  <c:v>21358.67</c:v>
                </c:pt>
                <c:pt idx="2789">
                  <c:v>21518.35</c:v>
                </c:pt>
                <c:pt idx="2790">
                  <c:v>20230.18</c:v>
                </c:pt>
                <c:pt idx="2791">
                  <c:v>20018.43</c:v>
                </c:pt>
                <c:pt idx="2792">
                  <c:v>19582.83</c:v>
                </c:pt>
                <c:pt idx="2793">
                  <c:v>20291.07</c:v>
                </c:pt>
                <c:pt idx="2794">
                  <c:v>19835.7</c:v>
                </c:pt>
                <c:pt idx="2795">
                  <c:v>20025.48</c:v>
                </c:pt>
                <c:pt idx="2796">
                  <c:v>20112.51</c:v>
                </c:pt>
                <c:pt idx="2797">
                  <c:v>19946.87</c:v>
                </c:pt>
                <c:pt idx="2798">
                  <c:v>19840.11</c:v>
                </c:pt>
                <c:pt idx="2799">
                  <c:v>20006.54</c:v>
                </c:pt>
                <c:pt idx="2800">
                  <c:v>19807.74</c:v>
                </c:pt>
                <c:pt idx="2801">
                  <c:v>18777</c:v>
                </c:pt>
                <c:pt idx="2802">
                  <c:v>19286.23</c:v>
                </c:pt>
                <c:pt idx="2803">
                  <c:v>19320.01</c:v>
                </c:pt>
                <c:pt idx="2804">
                  <c:v>21355.55</c:v>
                </c:pt>
                <c:pt idx="2805">
                  <c:v>21660.39</c:v>
                </c:pt>
                <c:pt idx="2806">
                  <c:v>21818.08</c:v>
                </c:pt>
                <c:pt idx="2807">
                  <c:v>22412.6</c:v>
                </c:pt>
                <c:pt idx="2808">
                  <c:v>20164.09</c:v>
                </c:pt>
                <c:pt idx="2809">
                  <c:v>20216.63</c:v>
                </c:pt>
                <c:pt idx="2810">
                  <c:v>19690.75</c:v>
                </c:pt>
                <c:pt idx="2811">
                  <c:v>19784.17</c:v>
                </c:pt>
                <c:pt idx="2812">
                  <c:v>20117.18</c:v>
                </c:pt>
                <c:pt idx="2813">
                  <c:v>19425.05</c:v>
                </c:pt>
                <c:pt idx="2814">
                  <c:v>19553.1</c:v>
                </c:pt>
                <c:pt idx="2815">
                  <c:v>18869.22</c:v>
                </c:pt>
                <c:pt idx="2816">
                  <c:v>18488.54</c:v>
                </c:pt>
                <c:pt idx="2817">
                  <c:v>19402.35</c:v>
                </c:pt>
                <c:pt idx="2818">
                  <c:v>19304.43</c:v>
                </c:pt>
                <c:pt idx="2819">
                  <c:v>18944.06</c:v>
                </c:pt>
                <c:pt idx="2820">
                  <c:v>18788.61</c:v>
                </c:pt>
                <c:pt idx="2821">
                  <c:v>19224.81</c:v>
                </c:pt>
                <c:pt idx="2822">
                  <c:v>19072.97</c:v>
                </c:pt>
                <c:pt idx="2823">
                  <c:v>19407.62</c:v>
                </c:pt>
                <c:pt idx="2824">
                  <c:v>19610.61</c:v>
                </c:pt>
                <c:pt idx="2825">
                  <c:v>19415.8</c:v>
                </c:pt>
                <c:pt idx="2826">
                  <c:v>19308.76</c:v>
                </c:pt>
                <c:pt idx="2827">
                  <c:v>19072.29</c:v>
                </c:pt>
                <c:pt idx="2828">
                  <c:v>19640.84</c:v>
                </c:pt>
                <c:pt idx="2829">
                  <c:v>20344.37</c:v>
                </c:pt>
                <c:pt idx="2830">
                  <c:v>20152.33</c:v>
                </c:pt>
                <c:pt idx="2831">
                  <c:v>19962.19</c:v>
                </c:pt>
                <c:pt idx="2832">
                  <c:v>19524.22</c:v>
                </c:pt>
                <c:pt idx="2833">
                  <c:v>19409.72</c:v>
                </c:pt>
                <c:pt idx="2834">
                  <c:v>19437.02</c:v>
                </c:pt>
                <c:pt idx="2835">
                  <c:v>19104.67</c:v>
                </c:pt>
                <c:pt idx="2836">
                  <c:v>19069.69</c:v>
                </c:pt>
                <c:pt idx="2837">
                  <c:v>19157.32</c:v>
                </c:pt>
                <c:pt idx="2838">
                  <c:v>19382.53</c:v>
                </c:pt>
                <c:pt idx="2839">
                  <c:v>19187.64</c:v>
                </c:pt>
                <c:pt idx="2840">
                  <c:v>19074.41</c:v>
                </c:pt>
                <c:pt idx="2841">
                  <c:v>19270.79</c:v>
                </c:pt>
                <c:pt idx="2842">
                  <c:v>19565.96</c:v>
                </c:pt>
                <c:pt idx="2843">
                  <c:v>19334.77</c:v>
                </c:pt>
                <c:pt idx="2844">
                  <c:v>19122.17</c:v>
                </c:pt>
                <c:pt idx="2845">
                  <c:v>19046.77</c:v>
                </c:pt>
                <c:pt idx="2846">
                  <c:v>19172.57</c:v>
                </c:pt>
                <c:pt idx="2847">
                  <c:v>19210.62</c:v>
                </c:pt>
                <c:pt idx="2848">
                  <c:v>19563.5</c:v>
                </c:pt>
                <c:pt idx="2849">
                  <c:v>19332.45</c:v>
                </c:pt>
                <c:pt idx="2850">
                  <c:v>20113.74</c:v>
                </c:pt>
                <c:pt idx="2851">
                  <c:v>20760.56</c:v>
                </c:pt>
                <c:pt idx="2852">
                  <c:v>20287.17</c:v>
                </c:pt>
                <c:pt idx="2853">
                  <c:v>20594.01</c:v>
                </c:pt>
                <c:pt idx="2854">
                  <c:v>20831.19</c:v>
                </c:pt>
                <c:pt idx="2855">
                  <c:v>20634.95</c:v>
                </c:pt>
                <c:pt idx="2856">
                  <c:v>20472.79</c:v>
                </c:pt>
                <c:pt idx="2857">
                  <c:v>20479.49</c:v>
                </c:pt>
                <c:pt idx="2858">
                  <c:v>20148.56</c:v>
                </c:pt>
                <c:pt idx="2859">
                  <c:v>20205.32</c:v>
                </c:pt>
                <c:pt idx="2860">
                  <c:v>21157.96</c:v>
                </c:pt>
                <c:pt idx="2861">
                  <c:v>21304.72</c:v>
                </c:pt>
                <c:pt idx="2862">
                  <c:v>20912.34</c:v>
                </c:pt>
                <c:pt idx="2863">
                  <c:v>20578.77</c:v>
                </c:pt>
                <c:pt idx="2864">
                  <c:v>18561.6</c:v>
                </c:pt>
                <c:pt idx="2865">
                  <c:v>15850.62</c:v>
                </c:pt>
                <c:pt idx="2866">
                  <c:v>17573.15</c:v>
                </c:pt>
                <c:pt idx="2867">
                  <c:v>16997.14</c:v>
                </c:pt>
                <c:pt idx="2868">
                  <c:v>16777.73</c:v>
                </c:pt>
                <c:pt idx="2869">
                  <c:v>16290.62</c:v>
                </c:pt>
                <c:pt idx="2870">
                  <c:v>16576.49</c:v>
                </c:pt>
                <c:pt idx="2871">
                  <c:v>16869.14</c:v>
                </c:pt>
                <c:pt idx="2872">
                  <c:v>16660.48</c:v>
                </c:pt>
                <c:pt idx="2873">
                  <c:v>16677.36</c:v>
                </c:pt>
                <c:pt idx="2874">
                  <c:v>16673.07</c:v>
                </c:pt>
                <c:pt idx="2875">
                  <c:v>16667.74</c:v>
                </c:pt>
                <c:pt idx="2876">
                  <c:v>16261.22</c:v>
                </c:pt>
                <c:pt idx="2877">
                  <c:v>15755.75</c:v>
                </c:pt>
                <c:pt idx="2878">
                  <c:v>16206.32</c:v>
                </c:pt>
                <c:pt idx="2879">
                  <c:v>16597.46</c:v>
                </c:pt>
                <c:pt idx="2880">
                  <c:v>16579.3</c:v>
                </c:pt>
                <c:pt idx="2881">
                  <c:v>16508.49</c:v>
                </c:pt>
                <c:pt idx="2882">
                  <c:v>16452.39</c:v>
                </c:pt>
                <c:pt idx="2883">
                  <c:v>16428.77</c:v>
                </c:pt>
                <c:pt idx="2884">
                  <c:v>16193.89</c:v>
                </c:pt>
                <c:pt idx="2885">
                  <c:v>16441.63</c:v>
                </c:pt>
                <c:pt idx="2886">
                  <c:v>17179.78</c:v>
                </c:pt>
                <c:pt idx="2887">
                  <c:v>16980.55</c:v>
                </c:pt>
                <c:pt idx="2888">
                  <c:v>17099.27</c:v>
                </c:pt>
                <c:pt idx="2889">
                  <c:v>16883.68</c:v>
                </c:pt>
                <c:pt idx="2890">
                  <c:v>17102.35</c:v>
                </c:pt>
                <c:pt idx="2891">
                  <c:v>16970.79</c:v>
                </c:pt>
                <c:pt idx="2892">
                  <c:v>17089.95</c:v>
                </c:pt>
                <c:pt idx="2893">
                  <c:v>16844.05</c:v>
                </c:pt>
                <c:pt idx="2894">
                  <c:v>17228.23</c:v>
                </c:pt>
                <c:pt idx="2895">
                  <c:v>17129.01</c:v>
                </c:pt>
                <c:pt idx="2896">
                  <c:v>17131.03</c:v>
                </c:pt>
                <c:pt idx="2897">
                  <c:v>17087.42</c:v>
                </c:pt>
                <c:pt idx="2898">
                  <c:v>17209.62</c:v>
                </c:pt>
                <c:pt idx="2899">
                  <c:v>17763.65</c:v>
                </c:pt>
                <c:pt idx="2900">
                  <c:v>17815.79</c:v>
                </c:pt>
                <c:pt idx="2901">
                  <c:v>17358</c:v>
                </c:pt>
                <c:pt idx="2902">
                  <c:v>16627.33</c:v>
                </c:pt>
                <c:pt idx="2903">
                  <c:v>16785.87</c:v>
                </c:pt>
                <c:pt idx="2904">
                  <c:v>16754.6</c:v>
                </c:pt>
                <c:pt idx="2905">
                  <c:v>16453.07</c:v>
                </c:pt>
                <c:pt idx="2906">
                  <c:v>16893.02</c:v>
                </c:pt>
                <c:pt idx="2907">
                  <c:v>16821.03</c:v>
                </c:pt>
                <c:pt idx="2908">
                  <c:v>16819.21</c:v>
                </c:pt>
                <c:pt idx="2909">
                  <c:v>16776.77</c:v>
                </c:pt>
                <c:pt idx="2910">
                  <c:v>16833.61</c:v>
                </c:pt>
                <c:pt idx="2911">
                  <c:v>16831.17</c:v>
                </c:pt>
                <c:pt idx="2912">
                  <c:v>16940.82</c:v>
                </c:pt>
                <c:pt idx="2913">
                  <c:v>16693.38</c:v>
                </c:pt>
                <c:pt idx="2914">
                  <c:v>16539.02</c:v>
                </c:pt>
                <c:pt idx="2915">
                  <c:v>16626.11</c:v>
                </c:pt>
                <c:pt idx="2916">
                  <c:v>16606.43</c:v>
                </c:pt>
                <c:pt idx="2917">
                  <c:v>16531</c:v>
                </c:pt>
                <c:pt idx="2918">
                  <c:v>16615.18</c:v>
                </c:pt>
                <c:pt idx="2919">
                  <c:v>16660.83</c:v>
                </c:pt>
                <c:pt idx="2920">
                  <c:v>16670.38</c:v>
                </c:pt>
                <c:pt idx="2921">
                  <c:v>16850.4</c:v>
                </c:pt>
                <c:pt idx="2922">
                  <c:v>16824.98</c:v>
                </c:pt>
                <c:pt idx="2923">
                  <c:v>16950.6</c:v>
                </c:pt>
                <c:pt idx="2924">
                  <c:v>16945.34</c:v>
                </c:pt>
                <c:pt idx="2925">
                  <c:v>17134.34</c:v>
                </c:pt>
                <c:pt idx="2926">
                  <c:v>17181.15</c:v>
                </c:pt>
                <c:pt idx="2927">
                  <c:v>17444.75</c:v>
                </c:pt>
                <c:pt idx="2928">
                  <c:v>17942.22</c:v>
                </c:pt>
                <c:pt idx="2929">
                  <c:v>18863.74</c:v>
                </c:pt>
                <c:pt idx="2930">
                  <c:v>19909.21</c:v>
                </c:pt>
                <c:pt idx="2931">
                  <c:v>20970.85</c:v>
                </c:pt>
                <c:pt idx="2932">
                  <c:v>20871.25</c:v>
                </c:pt>
                <c:pt idx="2933">
                  <c:v>21186.93</c:v>
                </c:pt>
                <c:pt idx="2934">
                  <c:v>21153.37</c:v>
                </c:pt>
                <c:pt idx="2935">
                  <c:v>20710.89</c:v>
                </c:pt>
                <c:pt idx="2936">
                  <c:v>21088.14</c:v>
                </c:pt>
                <c:pt idx="2937">
                  <c:v>22686.85</c:v>
                </c:pt>
                <c:pt idx="2938">
                  <c:v>22785.59</c:v>
                </c:pt>
                <c:pt idx="2939">
                  <c:v>22706.71</c:v>
                </c:pt>
                <c:pt idx="2940">
                  <c:v>22915.32</c:v>
                </c:pt>
                <c:pt idx="2941">
                  <c:v>22612.34</c:v>
                </c:pt>
                <c:pt idx="2942">
                  <c:v>23072.42</c:v>
                </c:pt>
                <c:pt idx="2943">
                  <c:v>23028.35</c:v>
                </c:pt>
                <c:pt idx="2944">
                  <c:v>23072.62</c:v>
                </c:pt>
                <c:pt idx="2945">
                  <c:v>23034.71</c:v>
                </c:pt>
                <c:pt idx="2946">
                  <c:v>23736.52</c:v>
                </c:pt>
                <c:pt idx="2947">
                  <c:v>22832.32</c:v>
                </c:pt>
                <c:pt idx="2948">
                  <c:v>23134.74</c:v>
                </c:pt>
                <c:pt idx="2949">
                  <c:v>23740.02</c:v>
                </c:pt>
                <c:pt idx="2950">
                  <c:v>23548.98</c:v>
                </c:pt>
                <c:pt idx="2951">
                  <c:v>23426.4</c:v>
                </c:pt>
                <c:pt idx="2952">
                  <c:v>23318.95</c:v>
                </c:pt>
                <c:pt idx="2953">
                  <c:v>22938.03</c:v>
                </c:pt>
                <c:pt idx="2954">
                  <c:v>22751.79</c:v>
                </c:pt>
                <c:pt idx="2955">
                  <c:v>23260.42</c:v>
                </c:pt>
                <c:pt idx="2956">
                  <c:v>22973.38</c:v>
                </c:pt>
                <c:pt idx="2957">
                  <c:v>21804.16</c:v>
                </c:pt>
                <c:pt idx="2958">
                  <c:v>21629.58</c:v>
                </c:pt>
                <c:pt idx="2959">
                  <c:v>21857.51</c:v>
                </c:pt>
                <c:pt idx="2960">
                  <c:v>21784.08</c:v>
                </c:pt>
                <c:pt idx="2961">
                  <c:v>21786.33</c:v>
                </c:pt>
                <c:pt idx="2962">
                  <c:v>22193.69</c:v>
                </c:pt>
                <c:pt idx="2963">
                  <c:v>24340.76</c:v>
                </c:pt>
                <c:pt idx="2964">
                  <c:v>23468.21</c:v>
                </c:pt>
                <c:pt idx="2965">
                  <c:v>24562.04</c:v>
                </c:pt>
                <c:pt idx="2966">
                  <c:v>24626.23</c:v>
                </c:pt>
                <c:pt idx="2967">
                  <c:v>24316.05</c:v>
                </c:pt>
                <c:pt idx="2968">
                  <c:v>24835.63</c:v>
                </c:pt>
                <c:pt idx="2969">
                  <c:v>24447.91</c:v>
                </c:pt>
                <c:pt idx="2970">
                  <c:v>24187.63</c:v>
                </c:pt>
                <c:pt idx="2971">
                  <c:v>23938.48</c:v>
                </c:pt>
                <c:pt idx="2972">
                  <c:v>23181.45</c:v>
                </c:pt>
                <c:pt idx="2973">
                  <c:v>23157.01</c:v>
                </c:pt>
                <c:pt idx="2974">
                  <c:v>23551.19</c:v>
                </c:pt>
                <c:pt idx="2975">
                  <c:v>23479.61</c:v>
                </c:pt>
                <c:pt idx="2976">
                  <c:v>23146.93</c:v>
                </c:pt>
                <c:pt idx="2977">
                  <c:v>23634.46</c:v>
                </c:pt>
                <c:pt idx="2978">
                  <c:v>23469.09</c:v>
                </c:pt>
                <c:pt idx="2979">
                  <c:v>22343.55</c:v>
                </c:pt>
                <c:pt idx="2980">
                  <c:v>22345.17</c:v>
                </c:pt>
                <c:pt idx="2981">
                  <c:v>22429.5</c:v>
                </c:pt>
                <c:pt idx="2982">
                  <c:v>22419.33</c:v>
                </c:pt>
                <c:pt idx="2983">
                  <c:v>22198.95</c:v>
                </c:pt>
                <c:pt idx="2984">
                  <c:v>21712.64</c:v>
                </c:pt>
                <c:pt idx="2985">
                  <c:v>20364.09</c:v>
                </c:pt>
                <c:pt idx="2986">
                  <c:v>20227.02</c:v>
                </c:pt>
                <c:pt idx="2987">
                  <c:v>20607.79</c:v>
                </c:pt>
                <c:pt idx="2988">
                  <c:v>22284.36</c:v>
                </c:pt>
                <c:pt idx="2989">
                  <c:v>24239.87</c:v>
                </c:pt>
                <c:pt idx="2990">
                  <c:v>24786.83</c:v>
                </c:pt>
                <c:pt idx="2991">
                  <c:v>24350.57</c:v>
                </c:pt>
                <c:pt idx="2992">
                  <c:v>25040.11</c:v>
                </c:pt>
                <c:pt idx="2993">
                  <c:v>27442.51</c:v>
                </c:pt>
                <c:pt idx="2994">
                  <c:v>26991.27</c:v>
                </c:pt>
                <c:pt idx="2995">
                  <c:v>28050.01</c:v>
                </c:pt>
                <c:pt idx="2996">
                  <c:v>27818.07</c:v>
                </c:pt>
                <c:pt idx="2997">
                  <c:v>28195.56</c:v>
                </c:pt>
                <c:pt idx="2998">
                  <c:v>27324.09</c:v>
                </c:pt>
                <c:pt idx="2999">
                  <c:v>28361.31</c:v>
                </c:pt>
                <c:pt idx="3000">
                  <c:v>27488.93</c:v>
                </c:pt>
                <c:pt idx="3001">
                  <c:v>27485.45</c:v>
                </c:pt>
                <c:pt idx="3002">
                  <c:v>27987.14</c:v>
                </c:pt>
                <c:pt idx="3003">
                  <c:v>27139.64</c:v>
                </c:pt>
                <c:pt idx="3004">
                  <c:v>27273.12</c:v>
                </c:pt>
                <c:pt idx="3005">
                  <c:v>28366.67</c:v>
                </c:pt>
                <c:pt idx="3006">
                  <c:v>28036.88</c:v>
                </c:pt>
                <c:pt idx="3007">
                  <c:v>28492.72</c:v>
                </c:pt>
                <c:pt idx="3008">
                  <c:v>28471.82</c:v>
                </c:pt>
                <c:pt idx="3009">
                  <c:v>28179.21</c:v>
                </c:pt>
                <c:pt idx="3010">
                  <c:v>27807.81</c:v>
                </c:pt>
                <c:pt idx="3011">
                  <c:v>28172.02</c:v>
                </c:pt>
                <c:pt idx="3012">
                  <c:v>28187.68</c:v>
                </c:pt>
                <c:pt idx="3013">
                  <c:v>28053.47</c:v>
                </c:pt>
                <c:pt idx="3014">
                  <c:v>27927.15</c:v>
                </c:pt>
                <c:pt idx="3015">
                  <c:v>27959.5</c:v>
                </c:pt>
                <c:pt idx="3016">
                  <c:v>28337.04</c:v>
                </c:pt>
                <c:pt idx="3017">
                  <c:v>29678.68</c:v>
                </c:pt>
                <c:pt idx="3018">
                  <c:v>30243.93</c:v>
                </c:pt>
                <c:pt idx="3019">
                  <c:v>29913.06</c:v>
                </c:pt>
                <c:pt idx="3020">
                  <c:v>30412.73</c:v>
                </c:pt>
                <c:pt idx="3021">
                  <c:v>30493.72</c:v>
                </c:pt>
                <c:pt idx="3022">
                  <c:v>30319.72</c:v>
                </c:pt>
                <c:pt idx="3023">
                  <c:v>30328.02</c:v>
                </c:pt>
                <c:pt idx="3024">
                  <c:v>29449.98</c:v>
                </c:pt>
                <c:pt idx="3025">
                  <c:v>30382.37</c:v>
                </c:pt>
                <c:pt idx="3026">
                  <c:v>28814.51</c:v>
                </c:pt>
                <c:pt idx="3027">
                  <c:v>28235.24</c:v>
                </c:pt>
                <c:pt idx="3028">
                  <c:v>27259</c:v>
                </c:pt>
                <c:pt idx="3029">
                  <c:v>27812.19</c:v>
                </c:pt>
                <c:pt idx="3030">
                  <c:v>27582.31</c:v>
                </c:pt>
                <c:pt idx="3031">
                  <c:v>27518.81</c:v>
                </c:pt>
                <c:pt idx="3032">
                  <c:v>28321.6</c:v>
                </c:pt>
                <c:pt idx="3033">
                  <c:v>28406.04</c:v>
                </c:pt>
                <c:pt idx="3034">
                  <c:v>29502.8</c:v>
                </c:pt>
                <c:pt idx="3035">
                  <c:v>29344.36</c:v>
                </c:pt>
                <c:pt idx="3036">
                  <c:v>29249.66</c:v>
                </c:pt>
                <c:pt idx="3037">
                  <c:v>29271.16</c:v>
                </c:pt>
                <c:pt idx="3038">
                  <c:v>28056.44</c:v>
                </c:pt>
                <c:pt idx="3039">
                  <c:v>28682.78</c:v>
                </c:pt>
                <c:pt idx="3040">
                  <c:v>29047.44</c:v>
                </c:pt>
                <c:pt idx="3041">
                  <c:v>28861.56</c:v>
                </c:pt>
                <c:pt idx="3042">
                  <c:v>29514.95</c:v>
                </c:pt>
                <c:pt idx="3043">
                  <c:v>28907.66</c:v>
                </c:pt>
                <c:pt idx="3044">
                  <c:v>28425</c:v>
                </c:pt>
                <c:pt idx="3045">
                  <c:v>27682.7</c:v>
                </c:pt>
                <c:pt idx="3046">
                  <c:v>27647.15</c:v>
                </c:pt>
                <c:pt idx="3047">
                  <c:v>27620.2</c:v>
                </c:pt>
                <c:pt idx="3048">
                  <c:v>27007.95</c:v>
                </c:pt>
                <c:pt idx="3049">
                  <c:v>26811.54</c:v>
                </c:pt>
                <c:pt idx="3050">
                  <c:v>26790.49</c:v>
                </c:pt>
                <c:pt idx="3051">
                  <c:v>26931.38</c:v>
                </c:pt>
                <c:pt idx="3052">
                  <c:v>27178.3</c:v>
                </c:pt>
                <c:pt idx="3053">
                  <c:v>27041.08</c:v>
                </c:pt>
                <c:pt idx="3054">
                  <c:v>27417.13</c:v>
                </c:pt>
                <c:pt idx="3055">
                  <c:v>26829.49</c:v>
                </c:pt>
                <c:pt idx="3056">
                  <c:v>26877.99</c:v>
                </c:pt>
                <c:pt idx="3057">
                  <c:v>27116.58</c:v>
                </c:pt>
                <c:pt idx="3058">
                  <c:v>26749.85</c:v>
                </c:pt>
                <c:pt idx="3059">
                  <c:v>26854.54</c:v>
                </c:pt>
                <c:pt idx="3060">
                  <c:v>27223.75</c:v>
                </c:pt>
                <c:pt idx="3061">
                  <c:v>26321.63</c:v>
                </c:pt>
                <c:pt idx="3062">
                  <c:v>26488.5</c:v>
                </c:pt>
                <c:pt idx="3063">
                  <c:v>26728.06</c:v>
                </c:pt>
                <c:pt idx="3064">
                  <c:v>26883.76</c:v>
                </c:pt>
                <c:pt idx="3065">
                  <c:v>28099.42</c:v>
                </c:pt>
                <c:pt idx="3066">
                  <c:v>27755.32</c:v>
                </c:pt>
                <c:pt idx="3067">
                  <c:v>27696.65</c:v>
                </c:pt>
                <c:pt idx="3068">
                  <c:v>27222.9</c:v>
                </c:pt>
                <c:pt idx="3069">
                  <c:v>26837.1</c:v>
                </c:pt>
                <c:pt idx="3070">
                  <c:v>27250.49</c:v>
                </c:pt>
                <c:pt idx="3071">
                  <c:v>27073.69</c:v>
                </c:pt>
                <c:pt idx="3072">
                  <c:v>27107.67</c:v>
                </c:pt>
                <c:pt idx="3073">
                  <c:v>25751.24</c:v>
                </c:pt>
                <c:pt idx="3074">
                  <c:v>27245.8</c:v>
                </c:pt>
                <c:pt idx="3075">
                  <c:v>26347.69</c:v>
                </c:pt>
                <c:pt idx="3076">
                  <c:v>26504.81</c:v>
                </c:pt>
                <c:pt idx="3077">
                  <c:v>26483.2</c:v>
                </c:pt>
                <c:pt idx="3078">
                  <c:v>25831.06</c:v>
                </c:pt>
                <c:pt idx="3079">
                  <c:v>25946.74</c:v>
                </c:pt>
                <c:pt idx="3080">
                  <c:v>25906.91</c:v>
                </c:pt>
                <c:pt idx="3081">
                  <c:v>25933.04</c:v>
                </c:pt>
                <c:pt idx="3082">
                  <c:v>25103.81</c:v>
                </c:pt>
                <c:pt idx="3083">
                  <c:v>25542.36</c:v>
                </c:pt>
                <c:pt idx="3084">
                  <c:v>26341.33</c:v>
                </c:pt>
                <c:pt idx="3085">
                  <c:v>26511.06</c:v>
                </c:pt>
                <c:pt idx="3086">
                  <c:v>26326.27</c:v>
                </c:pt>
                <c:pt idx="3087">
                  <c:v>26822.19</c:v>
                </c:pt>
                <c:pt idx="3088">
                  <c:v>28315.01</c:v>
                </c:pt>
                <c:pt idx="3089">
                  <c:v>29998.22</c:v>
                </c:pt>
                <c:pt idx="3090">
                  <c:v>29885.29</c:v>
                </c:pt>
                <c:pt idx="3091">
                  <c:v>30692.18</c:v>
                </c:pt>
                <c:pt idx="3092">
                  <c:v>30556.69</c:v>
                </c:pt>
                <c:pt idx="3093">
                  <c:v>30488.37</c:v>
                </c:pt>
                <c:pt idx="3094">
                  <c:v>30279.98</c:v>
                </c:pt>
                <c:pt idx="3095">
                  <c:v>30702.1</c:v>
                </c:pt>
                <c:pt idx="3096">
                  <c:v>30102.6</c:v>
                </c:pt>
                <c:pt idx="3097">
                  <c:v>30441.4</c:v>
                </c:pt>
                <c:pt idx="3098">
                  <c:v>30475.82</c:v>
                </c:pt>
                <c:pt idx="3099">
                  <c:v>30585</c:v>
                </c:pt>
                <c:pt idx="3100">
                  <c:v>30616.01</c:v>
                </c:pt>
                <c:pt idx="3101">
                  <c:v>31163.19</c:v>
                </c:pt>
                <c:pt idx="3102">
                  <c:v>30766.91</c:v>
                </c:pt>
                <c:pt idx="3103">
                  <c:v>30492.71</c:v>
                </c:pt>
                <c:pt idx="3104">
                  <c:v>29910.89</c:v>
                </c:pt>
                <c:pt idx="3105">
                  <c:v>30337.33</c:v>
                </c:pt>
                <c:pt idx="3106">
                  <c:v>30301.5</c:v>
                </c:pt>
                <c:pt idx="3107">
                  <c:v>30171.1</c:v>
                </c:pt>
                <c:pt idx="3108">
                  <c:v>30427.52</c:v>
                </c:pt>
                <c:pt idx="3109">
                  <c:v>30636.22</c:v>
                </c:pt>
                <c:pt idx="3110">
                  <c:v>30379.01</c:v>
                </c:pt>
                <c:pt idx="3111">
                  <c:v>31471.53</c:v>
                </c:pt>
                <c:pt idx="3112">
                  <c:v>30312.82</c:v>
                </c:pt>
                <c:pt idx="3113">
                  <c:v>30300.67</c:v>
                </c:pt>
                <c:pt idx="3114">
                  <c:v>30236.12</c:v>
                </c:pt>
                <c:pt idx="3115">
                  <c:v>30150.4</c:v>
                </c:pt>
                <c:pt idx="3116">
                  <c:v>29860.85</c:v>
                </c:pt>
                <c:pt idx="3117">
                  <c:v>29918.57</c:v>
                </c:pt>
                <c:pt idx="3118">
                  <c:v>29807.9</c:v>
                </c:pt>
                <c:pt idx="3119">
                  <c:v>29907.14</c:v>
                </c:pt>
                <c:pt idx="3120">
                  <c:v>29806.09</c:v>
                </c:pt>
                <c:pt idx="3121">
                  <c:v>30082.77</c:v>
                </c:pt>
                <c:pt idx="3122">
                  <c:v>29171.26</c:v>
                </c:pt>
                <c:pt idx="3123">
                  <c:v>29221.74</c:v>
                </c:pt>
                <c:pt idx="3124">
                  <c:v>29351.49</c:v>
                </c:pt>
                <c:pt idx="3125">
                  <c:v>29213.16</c:v>
                </c:pt>
                <c:pt idx="3126">
                  <c:v>29311.22</c:v>
                </c:pt>
                <c:pt idx="3127">
                  <c:v>29357.88</c:v>
                </c:pt>
                <c:pt idx="3128">
                  <c:v>29277.85</c:v>
                </c:pt>
                <c:pt idx="3129">
                  <c:v>29223.31</c:v>
                </c:pt>
                <c:pt idx="3130">
                  <c:v>29728.88</c:v>
                </c:pt>
                <c:pt idx="3131">
                  <c:v>29155.83</c:v>
                </c:pt>
                <c:pt idx="3132">
                  <c:v>29168.14</c:v>
                </c:pt>
                <c:pt idx="3133">
                  <c:v>29073.7</c:v>
                </c:pt>
                <c:pt idx="3134">
                  <c:v>29045.71</c:v>
                </c:pt>
                <c:pt idx="3135">
                  <c:v>29040.44</c:v>
                </c:pt>
                <c:pt idx="3136">
                  <c:v>29179.01</c:v>
                </c:pt>
                <c:pt idx="3137">
                  <c:v>29774.42</c:v>
                </c:pt>
                <c:pt idx="3138">
                  <c:v>29561.54</c:v>
                </c:pt>
                <c:pt idx="3139">
                  <c:v>29418.09</c:v>
                </c:pt>
                <c:pt idx="3140">
                  <c:v>29400.05</c:v>
                </c:pt>
                <c:pt idx="3141">
                  <c:v>29416.98</c:v>
                </c:pt>
                <c:pt idx="3142">
                  <c:v>29267.56</c:v>
                </c:pt>
                <c:pt idx="3143">
                  <c:v>29397.35</c:v>
                </c:pt>
                <c:pt idx="3144">
                  <c:v>29165.96</c:v>
                </c:pt>
                <c:pt idx="3145">
                  <c:v>28694.33</c:v>
                </c:pt>
                <c:pt idx="3146">
                  <c:v>26600.98</c:v>
                </c:pt>
                <c:pt idx="3147">
                  <c:v>26043.99</c:v>
                </c:pt>
                <c:pt idx="3148">
                  <c:v>26081.24</c:v>
                </c:pt>
                <c:pt idx="3149">
                  <c:v>26187.2</c:v>
                </c:pt>
                <c:pt idx="3150">
                  <c:v>26128.18</c:v>
                </c:pt>
                <c:pt idx="3151">
                  <c:v>26038.42</c:v>
                </c:pt>
                <c:pt idx="3152">
                  <c:v>26429.54</c:v>
                </c:pt>
                <c:pt idx="3153">
                  <c:v>26168.12</c:v>
                </c:pt>
                <c:pt idx="3154">
                  <c:v>26054.38</c:v>
                </c:pt>
                <c:pt idx="3155">
                  <c:v>26004.15</c:v>
                </c:pt>
                <c:pt idx="3156">
                  <c:v>26089.28</c:v>
                </c:pt>
                <c:pt idx="3157">
                  <c:v>26102.51</c:v>
                </c:pt>
                <c:pt idx="3158">
                  <c:v>27713.68</c:v>
                </c:pt>
                <c:pt idx="3159">
                  <c:v>27297.11</c:v>
                </c:pt>
                <c:pt idx="3160">
                  <c:v>25922.51</c:v>
                </c:pt>
                <c:pt idx="3161">
                  <c:v>25802.02</c:v>
                </c:pt>
                <c:pt idx="3162">
                  <c:v>25871.43</c:v>
                </c:pt>
                <c:pt idx="3163">
                  <c:v>25972.64</c:v>
                </c:pt>
                <c:pt idx="3164">
                  <c:v>25814.79</c:v>
                </c:pt>
                <c:pt idx="3165">
                  <c:v>25778.03</c:v>
                </c:pt>
                <c:pt idx="3166">
                  <c:v>25748.1</c:v>
                </c:pt>
                <c:pt idx="3167">
                  <c:v>26267.36</c:v>
                </c:pt>
                <c:pt idx="3168">
                  <c:v>25906.35</c:v>
                </c:pt>
                <c:pt idx="3169">
                  <c:v>25898.48</c:v>
                </c:pt>
                <c:pt idx="3170">
                  <c:v>25835.33</c:v>
                </c:pt>
                <c:pt idx="3171">
                  <c:v>25161.68</c:v>
                </c:pt>
                <c:pt idx="3172">
                  <c:v>25852.36</c:v>
                </c:pt>
                <c:pt idx="3173">
                  <c:v>26216.13</c:v>
                </c:pt>
                <c:pt idx="3174">
                  <c:v>26531.31</c:v>
                </c:pt>
                <c:pt idx="3175">
                  <c:v>26620.02</c:v>
                </c:pt>
                <c:pt idx="3176">
                  <c:v>26569.87</c:v>
                </c:pt>
                <c:pt idx="3177">
                  <c:v>26533.6</c:v>
                </c:pt>
                <c:pt idx="3178">
                  <c:v>26767.54</c:v>
                </c:pt>
                <c:pt idx="3179">
                  <c:v>27199.35</c:v>
                </c:pt>
                <c:pt idx="3180">
                  <c:v>27119.41</c:v>
                </c:pt>
                <c:pt idx="3181">
                  <c:v>26567.29</c:v>
                </c:pt>
                <c:pt idx="3182">
                  <c:v>26582.63</c:v>
                </c:pt>
                <c:pt idx="3183">
                  <c:v>26580.31</c:v>
                </c:pt>
                <c:pt idx="3184">
                  <c:v>26229.29</c:v>
                </c:pt>
                <c:pt idx="3185">
                  <c:v>26296.86</c:v>
                </c:pt>
                <c:pt idx="3186">
                  <c:v>26200.13</c:v>
                </c:pt>
                <c:pt idx="3187">
                  <c:v>26351.82</c:v>
                </c:pt>
                <c:pt idx="3188">
                  <c:v>27035.82</c:v>
                </c:pt>
                <c:pt idx="3189">
                  <c:v>26900.3</c:v>
                </c:pt>
                <c:pt idx="3190">
                  <c:v>26959.4</c:v>
                </c:pt>
                <c:pt idx="3191">
                  <c:v>27994.89</c:v>
                </c:pt>
                <c:pt idx="3192">
                  <c:v>27517.12</c:v>
                </c:pt>
                <c:pt idx="3193">
                  <c:v>27421.92</c:v>
                </c:pt>
                <c:pt idx="3194">
                  <c:v>27782.29</c:v>
                </c:pt>
                <c:pt idx="3195">
                  <c:v>27419.39</c:v>
                </c:pt>
                <c:pt idx="3196">
                  <c:v>27949.12</c:v>
                </c:pt>
                <c:pt idx="3197">
                  <c:v>27974.08</c:v>
                </c:pt>
                <c:pt idx="3198">
                  <c:v>27937.62</c:v>
                </c:pt>
                <c:pt idx="3199">
                  <c:v>27587.43</c:v>
                </c:pt>
                <c:pt idx="3200">
                  <c:v>27391.73</c:v>
                </c:pt>
                <c:pt idx="3201">
                  <c:v>26851.85</c:v>
                </c:pt>
                <c:pt idx="3202">
                  <c:v>26745.5</c:v>
                </c:pt>
                <c:pt idx="3203">
                  <c:v>26859.1</c:v>
                </c:pt>
                <c:pt idx="3204">
                  <c:v>26857.29</c:v>
                </c:pt>
                <c:pt idx="3205">
                  <c:v>27155.34</c:v>
                </c:pt>
                <c:pt idx="3206">
                  <c:v>28534.29</c:v>
                </c:pt>
                <c:pt idx="3207">
                  <c:v>28408.19</c:v>
                </c:pt>
                <c:pt idx="3208">
                  <c:v>28309.35</c:v>
                </c:pt>
                <c:pt idx="3209">
                  <c:v>28734.51</c:v>
                </c:pt>
                <c:pt idx="3210">
                  <c:v>29686.66</c:v>
                </c:pt>
                <c:pt idx="3211">
                  <c:v>29929.08</c:v>
                </c:pt>
                <c:pt idx="3212">
                  <c:v>29988.13</c:v>
                </c:pt>
                <c:pt idx="3213">
                  <c:v>33106.86</c:v>
                </c:pt>
                <c:pt idx="3214">
                  <c:v>33919.92</c:v>
                </c:pt>
                <c:pt idx="3215">
                  <c:v>34489.91</c:v>
                </c:pt>
                <c:pt idx="3216">
                  <c:v>34140</c:v>
                </c:pt>
                <c:pt idx="3217">
                  <c:v>33905.16</c:v>
                </c:pt>
                <c:pt idx="3218">
                  <c:v>34071.32</c:v>
                </c:pt>
                <c:pt idx="3219">
                  <c:v>34557.72</c:v>
                </c:pt>
                <c:pt idx="3220">
                  <c:v>34485.49</c:v>
                </c:pt>
                <c:pt idx="3221">
                  <c:v>34667.88</c:v>
                </c:pt>
                <c:pt idx="3222">
                  <c:v>35469.43</c:v>
                </c:pt>
                <c:pt idx="3223">
                  <c:v>34935.25</c:v>
                </c:pt>
                <c:pt idx="3224">
                  <c:v>34735.91</c:v>
                </c:pt>
                <c:pt idx="3225">
                  <c:v>35095</c:v>
                </c:pt>
                <c:pt idx="3226">
                  <c:v>35015.86</c:v>
                </c:pt>
                <c:pt idx="3227">
                  <c:v>35063.96</c:v>
                </c:pt>
                <c:pt idx="3228">
                  <c:v>35420.95</c:v>
                </c:pt>
                <c:pt idx="3229">
                  <c:v>35581.68</c:v>
                </c:pt>
                <c:pt idx="3230">
                  <c:v>36669.3</c:v>
                </c:pt>
                <c:pt idx="3231">
                  <c:v>37305.81</c:v>
                </c:pt>
                <c:pt idx="3232">
                  <c:v>37156.47</c:v>
                </c:pt>
                <c:pt idx="3233">
                  <c:v>37093.34</c:v>
                </c:pt>
                <c:pt idx="3234">
                  <c:v>36470.45</c:v>
                </c:pt>
                <c:pt idx="3235">
                  <c:v>35552.8</c:v>
                </c:pt>
                <c:pt idx="3236">
                  <c:v>37876.32</c:v>
                </c:pt>
                <c:pt idx="3237">
                  <c:v>36150.03</c:v>
                </c:pt>
                <c:pt idx="3238">
                  <c:v>36626.6</c:v>
                </c:pt>
                <c:pt idx="3239">
                  <c:v>36595.55</c:v>
                </c:pt>
                <c:pt idx="3240">
                  <c:v>37392.52</c:v>
                </c:pt>
                <c:pt idx="3241">
                  <c:v>37476.08</c:v>
                </c:pt>
                <c:pt idx="3242">
                  <c:v>35734.18</c:v>
                </c:pt>
                <c:pt idx="3243">
                  <c:v>37443.86</c:v>
                </c:pt>
                <c:pt idx="3244">
                  <c:v>37298</c:v>
                </c:pt>
                <c:pt idx="3245">
                  <c:v>37745.94</c:v>
                </c:pt>
                <c:pt idx="3246">
                  <c:v>37801.75</c:v>
                </c:pt>
                <c:pt idx="3247">
                  <c:v>37470.52</c:v>
                </c:pt>
                <c:pt idx="3248">
                  <c:v>37244.39</c:v>
                </c:pt>
                <c:pt idx="3249">
                  <c:v>37840.46</c:v>
                </c:pt>
                <c:pt idx="3250">
                  <c:v>37864.76</c:v>
                </c:pt>
                <c:pt idx="3251">
                  <c:v>37743</c:v>
                </c:pt>
                <c:pt idx="3252">
                  <c:v>38714</c:v>
                </c:pt>
                <c:pt idx="3253">
                  <c:v>39467.65</c:v>
                </c:pt>
                <c:pt idx="3254">
                  <c:v>40028.84</c:v>
                </c:pt>
                <c:pt idx="3255">
                  <c:v>41856.31</c:v>
                </c:pt>
                <c:pt idx="3256">
                  <c:v>44060.06</c:v>
                </c:pt>
                <c:pt idx="3257">
                  <c:v>43778.51</c:v>
                </c:pt>
                <c:pt idx="3258">
                  <c:v>43305.91</c:v>
                </c:pt>
                <c:pt idx="3259">
                  <c:v>44223.94</c:v>
                </c:pt>
                <c:pt idx="3260">
                  <c:v>43734.7</c:v>
                </c:pt>
                <c:pt idx="3261">
                  <c:v>43773.63</c:v>
                </c:pt>
                <c:pt idx="3262">
                  <c:v>41205.53</c:v>
                </c:pt>
                <c:pt idx="3263">
                  <c:v>41452.65</c:v>
                </c:pt>
                <c:pt idx="3264">
                  <c:v>42927.11</c:v>
                </c:pt>
                <c:pt idx="3265">
                  <c:v>43031.34</c:v>
                </c:pt>
                <c:pt idx="3266">
                  <c:v>41939.81</c:v>
                </c:pt>
                <c:pt idx="3267">
                  <c:v>42230</c:v>
                </c:pt>
                <c:pt idx="3268">
                  <c:v>41387.55</c:v>
                </c:pt>
                <c:pt idx="3269">
                  <c:v>42638.28</c:v>
                </c:pt>
                <c:pt idx="3270">
                  <c:v>42252.2</c:v>
                </c:pt>
                <c:pt idx="3271">
                  <c:v>43647.01</c:v>
                </c:pt>
                <c:pt idx="3272">
                  <c:v>43876.98</c:v>
                </c:pt>
                <c:pt idx="3273">
                  <c:v>44015.6</c:v>
                </c:pt>
                <c:pt idx="3274">
                  <c:v>43715.59</c:v>
                </c:pt>
                <c:pt idx="3275">
                  <c:v>43006.55</c:v>
                </c:pt>
                <c:pt idx="3276">
                  <c:v>43603.68</c:v>
                </c:pt>
                <c:pt idx="3277">
                  <c:v>42520.26</c:v>
                </c:pt>
                <c:pt idx="3278">
                  <c:v>43444.45</c:v>
                </c:pt>
                <c:pt idx="3279">
                  <c:v>42613.04</c:v>
                </c:pt>
                <c:pt idx="3280">
                  <c:v>42056.3</c:v>
                </c:pt>
                <c:pt idx="3281">
                  <c:v>42164.76</c:v>
                </c:pt>
                <c:pt idx="3282">
                  <c:v>42300.78</c:v>
                </c:pt>
                <c:pt idx="3283">
                  <c:v>44229.57</c:v>
                </c:pt>
                <c:pt idx="3284">
                  <c:v>45030.04</c:v>
                </c:pt>
                <c:pt idx="3285">
                  <c:v>42836.3</c:v>
                </c:pt>
                <c:pt idx="3286">
                  <c:v>44230.11</c:v>
                </c:pt>
                <c:pt idx="3287">
                  <c:v>44174.5</c:v>
                </c:pt>
                <c:pt idx="3288">
                  <c:v>44000</c:v>
                </c:pt>
                <c:pt idx="3289">
                  <c:v>43923.68</c:v>
                </c:pt>
                <c:pt idx="3290">
                  <c:v>47000.31</c:v>
                </c:pt>
                <c:pt idx="3291">
                  <c:v>46103</c:v>
                </c:pt>
                <c:pt idx="3292">
                  <c:v>46590.34</c:v>
                </c:pt>
                <c:pt idx="3293">
                  <c:v>46324.98</c:v>
                </c:pt>
                <c:pt idx="3294">
                  <c:v>42797.41</c:v>
                </c:pt>
                <c:pt idx="3295">
                  <c:v>42829.8</c:v>
                </c:pt>
                <c:pt idx="3296">
                  <c:v>41715.82</c:v>
                </c:pt>
                <c:pt idx="3297">
                  <c:v>42500</c:v>
                </c:pt>
                <c:pt idx="3298">
                  <c:v>43152.59</c:v>
                </c:pt>
                <c:pt idx="3299">
                  <c:v>42705.07</c:v>
                </c:pt>
                <c:pt idx="3300">
                  <c:v>41234.95</c:v>
                </c:pt>
                <c:pt idx="3301">
                  <c:v>41633.68</c:v>
                </c:pt>
                <c:pt idx="3302">
                  <c:v>41664.79</c:v>
                </c:pt>
                <c:pt idx="3303">
                  <c:v>41565.85</c:v>
                </c:pt>
                <c:pt idx="3304">
                  <c:v>39547.64</c:v>
                </c:pt>
                <c:pt idx="3305">
                  <c:v>39866.78</c:v>
                </c:pt>
                <c:pt idx="3306">
                  <c:v>40051.8</c:v>
                </c:pt>
                <c:pt idx="3307">
                  <c:v>39944.5</c:v>
                </c:pt>
                <c:pt idx="3308">
                  <c:v>41792.29</c:v>
                </c:pt>
                <c:pt idx="3309">
                  <c:v>42144.13</c:v>
                </c:pt>
                <c:pt idx="3310">
                  <c:v>41991.74</c:v>
                </c:pt>
                <c:pt idx="3311">
                  <c:v>43272.35</c:v>
                </c:pt>
                <c:pt idx="3312">
                  <c:v>42985.96</c:v>
                </c:pt>
                <c:pt idx="3313">
                  <c:v>42599.49</c:v>
                </c:pt>
                <c:pt idx="3314">
                  <c:v>43090.14</c:v>
                </c:pt>
                <c:pt idx="3315">
                  <c:v>43187.41</c:v>
                </c:pt>
                <c:pt idx="3316">
                  <c:v>42987.78</c:v>
                </c:pt>
                <c:pt idx="3317">
                  <c:v>42566.63</c:v>
                </c:pt>
                <c:pt idx="3318">
                  <c:v>42654.6</c:v>
                </c:pt>
                <c:pt idx="3319">
                  <c:v>43093.37</c:v>
                </c:pt>
                <c:pt idx="3320">
                  <c:v>44393.14</c:v>
                </c:pt>
                <c:pt idx="3321">
                  <c:v>45345.8</c:v>
                </c:pt>
                <c:pt idx="3322">
                  <c:v>47154.45</c:v>
                </c:pt>
                <c:pt idx="3323">
                  <c:v>47798.39</c:v>
                </c:pt>
                <c:pt idx="3324">
                  <c:v>48312.28</c:v>
                </c:pt>
                <c:pt idx="3325">
                  <c:v>49961</c:v>
                </c:pt>
                <c:pt idx="3326">
                  <c:v>49691.47</c:v>
                </c:pt>
                <c:pt idx="3327">
                  <c:v>51833.46</c:v>
                </c:pt>
                <c:pt idx="3328">
                  <c:v>51935.86</c:v>
                </c:pt>
                <c:pt idx="3329">
                  <c:v>52181.12</c:v>
                </c:pt>
                <c:pt idx="3330">
                  <c:v>51677.7</c:v>
                </c:pt>
                <c:pt idx="3331">
                  <c:v>52160.7</c:v>
                </c:pt>
                <c:pt idx="3332">
                  <c:v>51766.22</c:v>
                </c:pt>
                <c:pt idx="3333">
                  <c:v>52284.38</c:v>
                </c:pt>
                <c:pt idx="3334">
                  <c:v>51833.99</c:v>
                </c:pt>
                <c:pt idx="3335">
                  <c:v>51262.51</c:v>
                </c:pt>
                <c:pt idx="3336">
                  <c:v>50751.19</c:v>
                </c:pt>
                <c:pt idx="3337">
                  <c:v>51553.18</c:v>
                </c:pt>
                <c:pt idx="3338">
                  <c:v>51729.95</c:v>
                </c:pt>
                <c:pt idx="3339">
                  <c:v>54559</c:v>
                </c:pt>
                <c:pt idx="3340">
                  <c:v>57064.29</c:v>
                </c:pt>
                <c:pt idx="3341">
                  <c:v>62479.39</c:v>
                </c:pt>
                <c:pt idx="3342">
                  <c:v>61240.13</c:v>
                </c:pt>
                <c:pt idx="3343">
                  <c:v>62468.47</c:v>
                </c:pt>
                <c:pt idx="3344">
                  <c:v>62026.06</c:v>
                </c:pt>
                <c:pt idx="3345">
                  <c:v>63209.21</c:v>
                </c:pt>
                <c:pt idx="3346">
                  <c:v>68277.61</c:v>
                </c:pt>
                <c:pt idx="3347">
                  <c:v>63893.71</c:v>
                </c:pt>
                <c:pt idx="3348">
                  <c:v>66092.71</c:v>
                </c:pt>
                <c:pt idx="3349">
                  <c:v>66914.79</c:v>
                </c:pt>
                <c:pt idx="3350">
                  <c:v>68313.7</c:v>
                </c:pt>
                <c:pt idx="3351">
                  <c:v>68503.25</c:v>
                </c:pt>
                <c:pt idx="3352">
                  <c:v>68997.88</c:v>
                </c:pt>
                <c:pt idx="3353">
                  <c:v>72202.19</c:v>
                </c:pt>
                <c:pt idx="3354">
                  <c:v>71471.62</c:v>
                </c:pt>
                <c:pt idx="3355">
                  <c:v>73098.48</c:v>
                </c:pt>
                <c:pt idx="3356">
                  <c:v>71456.55</c:v>
                </c:pt>
                <c:pt idx="3357">
                  <c:v>69492.42</c:v>
                </c:pt>
                <c:pt idx="3358">
                  <c:v>65521.12</c:v>
                </c:pt>
                <c:pt idx="3359">
                  <c:v>68360.1</c:v>
                </c:pt>
                <c:pt idx="3360">
                  <c:v>67566.95</c:v>
                </c:pt>
                <c:pt idx="3361">
                  <c:v>61977.96</c:v>
                </c:pt>
                <c:pt idx="3362">
                  <c:v>67862.33</c:v>
                </c:pt>
                <c:pt idx="3363">
                  <c:v>65505.11</c:v>
                </c:pt>
                <c:pt idx="3364">
                  <c:v>63712.44</c:v>
                </c:pt>
                <c:pt idx="3365">
                  <c:v>64032.45</c:v>
                </c:pt>
                <c:pt idx="3366">
                  <c:v>67297.56</c:v>
                </c:pt>
                <c:pt idx="3367">
                  <c:v>69914.45</c:v>
                </c:pt>
                <c:pt idx="3368">
                  <c:v>69976.26</c:v>
                </c:pt>
                <c:pt idx="3369">
                  <c:v>69372.26</c:v>
                </c:pt>
                <c:pt idx="3370">
                  <c:v>70770.78</c:v>
                </c:pt>
                <c:pt idx="3371">
                  <c:v>69933.54</c:v>
                </c:pt>
                <c:pt idx="3372">
                  <c:v>69654.17</c:v>
                </c:pt>
                <c:pt idx="3373">
                  <c:v>71213.11</c:v>
                </c:pt>
                <c:pt idx="3374">
                  <c:v>69702.13</c:v>
                </c:pt>
                <c:pt idx="3375">
                  <c:v>65478.7</c:v>
                </c:pt>
                <c:pt idx="3376">
                  <c:v>65982.23</c:v>
                </c:pt>
                <c:pt idx="3377">
                  <c:v>68415.92</c:v>
                </c:pt>
                <c:pt idx="3378">
                  <c:v>67878.68</c:v>
                </c:pt>
                <c:pt idx="3379">
                  <c:v>68946.12</c:v>
                </c:pt>
                <c:pt idx="3380">
                  <c:v>69344.77</c:v>
                </c:pt>
                <c:pt idx="3381">
                  <c:v>71607.88</c:v>
                </c:pt>
                <c:pt idx="3382">
                  <c:v>69100.81</c:v>
                </c:pt>
                <c:pt idx="3383">
                  <c:v>70554.77</c:v>
                </c:pt>
                <c:pt idx="3384">
                  <c:v>70001.36</c:v>
                </c:pt>
                <c:pt idx="3385">
                  <c:v>67107.27</c:v>
                </c:pt>
                <c:pt idx="3386">
                  <c:v>64034</c:v>
                </c:pt>
                <c:pt idx="3387">
                  <c:v>65643.19</c:v>
                </c:pt>
                <c:pt idx="3388">
                  <c:v>63359.28</c:v>
                </c:pt>
                <c:pt idx="3389">
                  <c:v>63840</c:v>
                </c:pt>
                <c:pt idx="3390">
                  <c:v>61267.8</c:v>
                </c:pt>
                <c:pt idx="3391">
                  <c:v>63447.36</c:v>
                </c:pt>
                <c:pt idx="3392">
                  <c:v>63836.5</c:v>
                </c:pt>
                <c:pt idx="3393">
                  <c:v>64905.95</c:v>
                </c:pt>
                <c:pt idx="3394">
                  <c:v>64950.7</c:v>
                </c:pt>
                <c:pt idx="3395">
                  <c:v>66828.83</c:v>
                </c:pt>
                <c:pt idx="3396">
                  <c:v>66472.3</c:v>
                </c:pt>
                <c:pt idx="3397">
                  <c:v>64198.5</c:v>
                </c:pt>
                <c:pt idx="3398">
                  <c:v>64510.14</c:v>
                </c:pt>
                <c:pt idx="3399">
                  <c:v>63747.32</c:v>
                </c:pt>
                <c:pt idx="3400">
                  <c:v>63445.48</c:v>
                </c:pt>
                <c:pt idx="3401">
                  <c:v>62991.27</c:v>
                </c:pt>
                <c:pt idx="3402">
                  <c:v>63804.4</c:v>
                </c:pt>
                <c:pt idx="3403">
                  <c:v>60690.8</c:v>
                </c:pt>
                <c:pt idx="3404">
                  <c:v>58278.09</c:v>
                </c:pt>
                <c:pt idx="3405">
                  <c:v>59071.21</c:v>
                </c:pt>
                <c:pt idx="3406">
                  <c:v>62855.86</c:v>
                </c:pt>
                <c:pt idx="3407">
                  <c:v>63994.27</c:v>
                </c:pt>
                <c:pt idx="3408">
                  <c:v>64058.54</c:v>
                </c:pt>
                <c:pt idx="3409">
                  <c:v>63145.67</c:v>
                </c:pt>
                <c:pt idx="3410">
                  <c:v>62344.02</c:v>
                </c:pt>
                <c:pt idx="3411">
                  <c:v>61156.89</c:v>
                </c:pt>
                <c:pt idx="3412">
                  <c:v>63088.62</c:v>
                </c:pt>
                <c:pt idx="3413">
                  <c:v>60801.1</c:v>
                </c:pt>
                <c:pt idx="3414">
                  <c:v>60790.01</c:v>
                </c:pt>
                <c:pt idx="3415">
                  <c:v>61493.64</c:v>
                </c:pt>
                <c:pt idx="3416">
                  <c:v>62909.03</c:v>
                </c:pt>
                <c:pt idx="3417">
                  <c:v>61558.14</c:v>
                </c:pt>
                <c:pt idx="3418">
                  <c:v>66293.39</c:v>
                </c:pt>
                <c:pt idx="3419">
                  <c:v>65282.62</c:v>
                </c:pt>
                <c:pt idx="3420">
                  <c:v>66941.22</c:v>
                </c:pt>
                <c:pt idx="3421">
                  <c:v>66982.74</c:v>
                </c:pt>
                <c:pt idx="3422">
                  <c:v>66267.1</c:v>
                </c:pt>
                <c:pt idx="3423">
                  <c:v>71466.21</c:v>
                </c:pt>
                <c:pt idx="3424">
                  <c:v>70191.19</c:v>
                </c:pt>
                <c:pt idx="3425">
                  <c:v>69145.91</c:v>
                </c:pt>
                <c:pt idx="3426">
                  <c:v>67903.82</c:v>
                </c:pt>
                <c:pt idx="3427">
                  <c:v>68567.61</c:v>
                </c:pt>
                <c:pt idx="3428">
                  <c:v>69304.6</c:v>
                </c:pt>
                <c:pt idx="3429">
                  <c:v>68474.6</c:v>
                </c:pt>
                <c:pt idx="3430">
                  <c:v>69363.83</c:v>
                </c:pt>
                <c:pt idx="3431">
                  <c:v>68350.32</c:v>
                </c:pt>
                <c:pt idx="3432">
                  <c:v>67573.57</c:v>
                </c:pt>
                <c:pt idx="3433">
                  <c:v>68356.11</c:v>
                </c:pt>
                <c:pt idx="3434">
                  <c:v>67506.03</c:v>
                </c:pt>
                <c:pt idx="3435">
                  <c:v>67719.96</c:v>
                </c:pt>
                <c:pt idx="3436">
                  <c:v>67721.84</c:v>
                </c:pt>
                <c:pt idx="3437">
                  <c:v>68794.57</c:v>
                </c:pt>
                <c:pt idx="3438">
                  <c:v>70596.56</c:v>
                </c:pt>
                <c:pt idx="3439">
                  <c:v>71164.39</c:v>
                </c:pt>
                <c:pt idx="3440">
                  <c:v>70770.7</c:v>
                </c:pt>
                <c:pt idx="3441">
                  <c:v>69283.58</c:v>
                </c:pt>
                <c:pt idx="3442">
                  <c:v>69305.9</c:v>
                </c:pt>
                <c:pt idx="3443">
                  <c:v>69654.99</c:v>
                </c:pt>
                <c:pt idx="3444">
                  <c:v>69490.62</c:v>
                </c:pt>
                <c:pt idx="3445">
                  <c:v>67316.44</c:v>
                </c:pt>
                <c:pt idx="3446">
                  <c:v>68270.98</c:v>
                </c:pt>
                <c:pt idx="3447">
                  <c:v>66764.3</c:v>
                </c:pt>
                <c:pt idx="3448">
                  <c:v>66022.42</c:v>
                </c:pt>
                <c:pt idx="3449">
                  <c:v>66154.97</c:v>
                </c:pt>
                <c:pt idx="3450">
                  <c:v>66613.62</c:v>
                </c:pt>
                <c:pt idx="3451">
                  <c:v>66517.55</c:v>
                </c:pt>
                <c:pt idx="3452">
                  <c:v>65126.6</c:v>
                </c:pt>
                <c:pt idx="3453">
                  <c:v>64903.53</c:v>
                </c:pt>
                <c:pt idx="3454">
                  <c:v>64842.53</c:v>
                </c:pt>
                <c:pt idx="3455">
                  <c:v>64136.38</c:v>
                </c:pt>
                <c:pt idx="3456">
                  <c:v>64258.23</c:v>
                </c:pt>
                <c:pt idx="3457">
                  <c:v>63214.36</c:v>
                </c:pt>
                <c:pt idx="3458">
                  <c:v>60236.01</c:v>
                </c:pt>
                <c:pt idx="3459">
                  <c:v>61820.98</c:v>
                </c:pt>
                <c:pt idx="3460">
                  <c:v>60794.33</c:v>
                </c:pt>
                <c:pt idx="3461">
                  <c:v>61622.64</c:v>
                </c:pt>
                <c:pt idx="3462">
                  <c:v>60322.28</c:v>
                </c:pt>
                <c:pt idx="3463">
                  <c:v>60890.24</c:v>
                </c:pt>
                <c:pt idx="3464">
                  <c:v>62678.1</c:v>
                </c:pt>
                <c:pt idx="3465">
                  <c:v>62870.34</c:v>
                </c:pt>
                <c:pt idx="3466">
                  <c:v>62056.54</c:v>
                </c:pt>
                <c:pt idx="3467">
                  <c:v>60187.34</c:v>
                </c:pt>
                <c:pt idx="3468">
                  <c:v>57171.19</c:v>
                </c:pt>
                <c:pt idx="3469">
                  <c:v>56624.69</c:v>
                </c:pt>
                <c:pt idx="3470">
                  <c:v>58219.33</c:v>
                </c:pt>
                <c:pt idx="3471">
                  <c:v>55913.47</c:v>
                </c:pt>
                <c:pt idx="3472">
                  <c:v>56684.73</c:v>
                </c:pt>
                <c:pt idx="3473">
                  <c:v>57995.57</c:v>
                </c:pt>
                <c:pt idx="3474">
                  <c:v>57653.32</c:v>
                </c:pt>
                <c:pt idx="3475">
                  <c:v>57384.82</c:v>
                </c:pt>
                <c:pt idx="3476">
                  <c:v>57910.59</c:v>
                </c:pt>
                <c:pt idx="3477">
                  <c:v>59251.21</c:v>
                </c:pt>
                <c:pt idx="3478">
                  <c:v>60798.13</c:v>
                </c:pt>
                <c:pt idx="3479">
                  <c:v>64772.57</c:v>
                </c:pt>
                <c:pt idx="3480">
                  <c:v>65045.81</c:v>
                </c:pt>
                <c:pt idx="3481">
                  <c:v>64157.33</c:v>
                </c:pt>
                <c:pt idx="3482">
                  <c:v>63999.59</c:v>
                </c:pt>
                <c:pt idx="3483">
                  <c:v>66771.26</c:v>
                </c:pt>
                <c:pt idx="3484">
                  <c:v>67216.19</c:v>
                </c:pt>
                <c:pt idx="3485">
                  <c:v>68239.64</c:v>
                </c:pt>
                <c:pt idx="3486">
                  <c:v>67585.54</c:v>
                </c:pt>
                <c:pt idx="3487">
                  <c:v>65923.74</c:v>
                </c:pt>
                <c:pt idx="3488">
                  <c:v>65430.69</c:v>
                </c:pt>
                <c:pt idx="3489">
                  <c:v>65816.21</c:v>
                </c:pt>
                <c:pt idx="3490">
                  <c:v>67929.7</c:v>
                </c:pt>
                <c:pt idx="3491">
                  <c:v>67805.48</c:v>
                </c:pt>
                <c:pt idx="3492">
                  <c:v>68274.59</c:v>
                </c:pt>
                <c:pt idx="3493">
                  <c:v>66827.89</c:v>
                </c:pt>
                <c:pt idx="3494">
                  <c:v>66200.81</c:v>
                </c:pt>
                <c:pt idx="3495">
                  <c:v>64607.71</c:v>
                </c:pt>
                <c:pt idx="3496">
                  <c:v>65342.4</c:v>
                </c:pt>
                <c:pt idx="3497">
                  <c:v>61466.66</c:v>
                </c:pt>
                <c:pt idx="3498">
                  <c:v>60631.11</c:v>
                </c:pt>
                <c:pt idx="3499">
                  <c:v>58181.05</c:v>
                </c:pt>
                <c:pt idx="3500">
                  <c:v>54025.9</c:v>
                </c:pt>
                <c:pt idx="3501">
                  <c:v>56096.88</c:v>
                </c:pt>
                <c:pt idx="3502">
                  <c:v>55100.98</c:v>
                </c:pt>
                <c:pt idx="3503">
                  <c:v>61644.69</c:v>
                </c:pt>
                <c:pt idx="3504">
                  <c:v>60818.65</c:v>
                </c:pt>
                <c:pt idx="3505">
                  <c:v>60941.77</c:v>
                </c:pt>
                <c:pt idx="3506">
                  <c:v>58732.95</c:v>
                </c:pt>
                <c:pt idx="3507">
                  <c:v>59337.91</c:v>
                </c:pt>
                <c:pt idx="3508">
                  <c:v>60596.01</c:v>
                </c:pt>
                <c:pt idx="3509">
                  <c:v>58779.3</c:v>
                </c:pt>
                <c:pt idx="3510">
                  <c:v>57502.3</c:v>
                </c:pt>
                <c:pt idx="3511">
                  <c:v>58879.72</c:v>
                </c:pt>
                <c:pt idx="3512">
                  <c:v>59477.15</c:v>
                </c:pt>
                <c:pt idx="3513">
                  <c:v>58448.05</c:v>
                </c:pt>
                <c:pt idx="3514">
                  <c:v>59469.51</c:v>
                </c:pt>
                <c:pt idx="3515">
                  <c:v>59062.49</c:v>
                </c:pt>
                <c:pt idx="3516">
                  <c:v>61193.87</c:v>
                </c:pt>
                <c:pt idx="3517">
                  <c:v>60378.7</c:v>
                </c:pt>
                <c:pt idx="3518">
                  <c:v>64130.87</c:v>
                </c:pt>
                <c:pt idx="3519">
                  <c:v>64157.87</c:v>
                </c:pt>
                <c:pt idx="3520">
                  <c:v>64286.9</c:v>
                </c:pt>
                <c:pt idx="3521">
                  <c:v>62838.55</c:v>
                </c:pt>
                <c:pt idx="3522">
                  <c:v>59398.77</c:v>
                </c:pt>
                <c:pt idx="3523">
                  <c:v>59024</c:v>
                </c:pt>
                <c:pt idx="3524">
                  <c:v>59371.27</c:v>
                </c:pt>
                <c:pt idx="3525">
                  <c:v>59113.86</c:v>
                </c:pt>
                <c:pt idx="3526">
                  <c:v>58956.52</c:v>
                </c:pt>
                <c:pt idx="3527">
                  <c:v>57347.49</c:v>
                </c:pt>
                <c:pt idx="3528">
                  <c:v>59140.6</c:v>
                </c:pt>
                <c:pt idx="3529">
                  <c:v>57474.64</c:v>
                </c:pt>
                <c:pt idx="3530">
                  <c:v>57994.01</c:v>
                </c:pt>
                <c:pt idx="3531">
                  <c:v>56152.01</c:v>
                </c:pt>
                <c:pt idx="3532">
                  <c:v>53930.39</c:v>
                </c:pt>
                <c:pt idx="3533">
                  <c:v>54178.64</c:v>
                </c:pt>
                <c:pt idx="3534">
                  <c:v>57053.9</c:v>
                </c:pt>
                <c:pt idx="3535">
                  <c:v>57645.59</c:v>
                </c:pt>
                <c:pt idx="3536">
                  <c:v>57352.79</c:v>
                </c:pt>
                <c:pt idx="3537">
                  <c:v>58137.54</c:v>
                </c:pt>
                <c:pt idx="3538">
                  <c:v>60543.35</c:v>
                </c:pt>
                <c:pt idx="3539">
                  <c:v>60012.35</c:v>
                </c:pt>
                <c:pt idx="3540">
                  <c:v>59122.33</c:v>
                </c:pt>
                <c:pt idx="3541">
                  <c:v>58208.75</c:v>
                </c:pt>
                <c:pt idx="3542">
                  <c:v>60312.6</c:v>
                </c:pt>
                <c:pt idx="3543">
                  <c:v>61769.18</c:v>
                </c:pt>
                <c:pt idx="3544">
                  <c:v>62960.14</c:v>
                </c:pt>
                <c:pt idx="3545">
                  <c:v>63210.69</c:v>
                </c:pt>
                <c:pt idx="3546">
                  <c:v>63362.74</c:v>
                </c:pt>
                <c:pt idx="3547">
                  <c:v>63577.66</c:v>
                </c:pt>
                <c:pt idx="3548">
                  <c:v>63338.87</c:v>
                </c:pt>
                <c:pt idx="3549">
                  <c:v>64272.93</c:v>
                </c:pt>
                <c:pt idx="3550">
                  <c:v>63130.89</c:v>
                </c:pt>
                <c:pt idx="3551">
                  <c:v>65177.21</c:v>
                </c:pt>
                <c:pt idx="3552">
                  <c:v>65789</c:v>
                </c:pt>
                <c:pt idx="3553">
                  <c:v>65858.99</c:v>
                </c:pt>
                <c:pt idx="3554">
                  <c:v>65600.01</c:v>
                </c:pt>
                <c:pt idx="3555">
                  <c:v>63301.25</c:v>
                </c:pt>
                <c:pt idx="3556">
                  <c:v>60790</c:v>
                </c:pt>
                <c:pt idx="3557">
                  <c:v>60631.37</c:v>
                </c:pt>
                <c:pt idx="3558">
                  <c:v>60744.99</c:v>
                </c:pt>
                <c:pt idx="3559">
                  <c:v>62090.71</c:v>
                </c:pt>
                <c:pt idx="3560">
                  <c:v>62051.29</c:v>
                </c:pt>
                <c:pt idx="3561">
                  <c:v>62810.86</c:v>
                </c:pt>
                <c:pt idx="3562">
                  <c:v>62200.28</c:v>
                </c:pt>
                <c:pt idx="3563">
                  <c:v>62122.02</c:v>
                </c:pt>
                <c:pt idx="3564">
                  <c:v>60578.28</c:v>
                </c:pt>
                <c:pt idx="3565">
                  <c:v>60279.53</c:v>
                </c:pt>
                <c:pt idx="3566">
                  <c:v>62518.75</c:v>
                </c:pt>
                <c:pt idx="3567">
                  <c:v>63187.47</c:v>
                </c:pt>
                <c:pt idx="3568">
                  <c:v>62845.3</c:v>
                </c:pt>
                <c:pt idx="3569">
                  <c:v>66065.65</c:v>
                </c:pt>
                <c:pt idx="3570">
                  <c:v>67056.6</c:v>
                </c:pt>
                <c:pt idx="3571">
                  <c:v>67608.44</c:v>
                </c:pt>
                <c:pt idx="3572">
                  <c:v>67402.33</c:v>
                </c:pt>
                <c:pt idx="3573">
                  <c:v>68426.11</c:v>
                </c:pt>
                <c:pt idx="3574">
                  <c:v>68363.73</c:v>
                </c:pt>
                <c:pt idx="3575">
                  <c:v>69014.86</c:v>
                </c:pt>
                <c:pt idx="3576">
                  <c:v>67346.15</c:v>
                </c:pt>
                <c:pt idx="3577">
                  <c:v>67380.08</c:v>
                </c:pt>
                <c:pt idx="3578">
                  <c:v>66601.11</c:v>
                </c:pt>
                <c:pt idx="3579">
                  <c:v>68156.84</c:v>
                </c:pt>
                <c:pt idx="3580">
                  <c:v>66564.51</c:v>
                </c:pt>
                <c:pt idx="3581">
                  <c:v>67012.56</c:v>
                </c:pt>
                <c:pt idx="3582">
                  <c:v>67943.19</c:v>
                </c:pt>
                <c:pt idx="3583">
                  <c:v>69924.5</c:v>
                </c:pt>
                <c:pt idx="3584">
                  <c:v>72724.35</c:v>
                </c:pt>
                <c:pt idx="3585">
                  <c:v>72322.91</c:v>
                </c:pt>
                <c:pt idx="3586">
                  <c:v>70197.83</c:v>
                </c:pt>
                <c:pt idx="3587">
                  <c:v>69467.29</c:v>
                </c:pt>
                <c:pt idx="3588">
                  <c:v>69358.94</c:v>
                </c:pt>
                <c:pt idx="3589">
                  <c:v>68738.18</c:v>
                </c:pt>
                <c:pt idx="3590">
                  <c:v>67807.48</c:v>
                </c:pt>
                <c:pt idx="3591">
                  <c:v>69380.73</c:v>
                </c:pt>
                <c:pt idx="3592">
                  <c:v>75646.55</c:v>
                </c:pt>
                <c:pt idx="3593">
                  <c:v>75920</c:v>
                </c:pt>
                <c:pt idx="3594">
                  <c:v>76566.73</c:v>
                </c:pt>
                <c:pt idx="3595">
                  <c:v>76716.06</c:v>
                </c:pt>
                <c:pt idx="3596">
                  <c:v>80428.92</c:v>
                </c:pt>
                <c:pt idx="3597">
                  <c:v>88770.73</c:v>
                </c:pt>
                <c:pt idx="3598">
                  <c:v>88035.43</c:v>
                </c:pt>
                <c:pt idx="3599">
                  <c:v>90493.82</c:v>
                </c:pt>
                <c:pt idx="3600">
                  <c:v>87340.4</c:v>
                </c:pt>
                <c:pt idx="3601">
                  <c:v>91058.36</c:v>
                </c:pt>
                <c:pt idx="3602">
                  <c:v>90636.24</c:v>
                </c:pt>
                <c:pt idx="3603">
                  <c:v>89886.69</c:v>
                </c:pt>
                <c:pt idx="3604">
                  <c:v>90520.3</c:v>
                </c:pt>
                <c:pt idx="3605">
                  <c:v>92435.89</c:v>
                </c:pt>
                <c:pt idx="3606">
                  <c:v>94393.15</c:v>
                </c:pt>
                <c:pt idx="3607">
                  <c:v>98439.09</c:v>
                </c:pt>
                <c:pt idx="3608">
                  <c:v>99024.03</c:v>
                </c:pt>
                <c:pt idx="3609">
                  <c:v>97778.77</c:v>
                </c:pt>
                <c:pt idx="3610">
                  <c:v>98028.18</c:v>
                </c:pt>
                <c:pt idx="3611">
                  <c:v>93000.01</c:v>
                </c:pt>
                <c:pt idx="3612">
                  <c:v>91929.54</c:v>
                </c:pt>
                <c:pt idx="3613">
                  <c:v>95951.19</c:v>
                </c:pt>
                <c:pt idx="3614">
                  <c:v>95665.53</c:v>
                </c:pt>
                <c:pt idx="3615">
                  <c:v>97490.56</c:v>
                </c:pt>
                <c:pt idx="3616">
                  <c:v>96465.42</c:v>
                </c:pt>
                <c:pt idx="3617">
                  <c:v>97263.18</c:v>
                </c:pt>
                <c:pt idx="3618">
                  <c:v>95862.89</c:v>
                </c:pt>
                <c:pt idx="3619">
                  <c:v>95924.52</c:v>
                </c:pt>
                <c:pt idx="3620">
                  <c:v>98746.24</c:v>
                </c:pt>
                <c:pt idx="3621">
                  <c:v>97044.23</c:v>
                </c:pt>
                <c:pt idx="3622">
                  <c:v>99891.35</c:v>
                </c:pt>
                <c:pt idx="3623">
                  <c:v>99929.32</c:v>
                </c:pt>
                <c:pt idx="3624">
                  <c:v>101174.99</c:v>
                </c:pt>
                <c:pt idx="3625">
                  <c:v>97324.81</c:v>
                </c:pt>
                <c:pt idx="3626">
                  <c:v>96660.76</c:v>
                </c:pt>
                <c:pt idx="3627">
                  <c:v>101202.11</c:v>
                </c:pt>
                <c:pt idx="3628">
                  <c:v>100030.47</c:v>
                </c:pt>
                <c:pt idx="3629">
                  <c:v>101428.75</c:v>
                </c:pt>
                <c:pt idx="3630">
                  <c:v>101399.99</c:v>
                </c:pt>
                <c:pt idx="3631">
                  <c:v>104447.76</c:v>
                </c:pt>
                <c:pt idx="3632">
                  <c:v>106099.81</c:v>
                </c:pt>
                <c:pt idx="3633">
                  <c:v>106136.99</c:v>
                </c:pt>
                <c:pt idx="3634">
                  <c:v>100150.73</c:v>
                </c:pt>
                <c:pt idx="3635">
                  <c:v>97372.21</c:v>
                </c:pt>
                <c:pt idx="3636">
                  <c:v>97765</c:v>
                </c:pt>
                <c:pt idx="3637">
                  <c:v>97230.08</c:v>
                </c:pt>
                <c:pt idx="3638">
                  <c:v>95087.75</c:v>
                </c:pt>
                <c:pt idx="3639">
                  <c:v>94764.56</c:v>
                </c:pt>
                <c:pt idx="3640">
                  <c:v>98594.47</c:v>
                </c:pt>
                <c:pt idx="3641">
                  <c:v>99346.28</c:v>
                </c:pt>
                <c:pt idx="3642">
                  <c:v>95669.49</c:v>
                </c:pt>
                <c:pt idx="3643">
                  <c:v>94171.89</c:v>
                </c:pt>
                <c:pt idx="3644">
                  <c:v>95130.82</c:v>
                </c:pt>
                <c:pt idx="3645">
                  <c:v>93563.35</c:v>
                </c:pt>
                <c:pt idx="3646">
                  <c:v>92620.71</c:v>
                </c:pt>
                <c:pt idx="3647">
                  <c:v>93354.22</c:v>
                </c:pt>
                <c:pt idx="3648">
                  <c:v>94383.59</c:v>
                </c:pt>
                <c:pt idx="3649">
                  <c:v>96903.19</c:v>
                </c:pt>
                <c:pt idx="3650">
                  <c:v>98136.51</c:v>
                </c:pt>
                <c:pt idx="3651">
                  <c:v>98209.85</c:v>
                </c:pt>
                <c:pt idx="3652">
                  <c:v>98345.33</c:v>
                </c:pt>
                <c:pt idx="3653">
                  <c:v>102279.41</c:v>
                </c:pt>
                <c:pt idx="3654">
                  <c:v>96941.98</c:v>
                </c:pt>
                <c:pt idx="3655">
                  <c:v>95036.63</c:v>
                </c:pt>
                <c:pt idx="3656">
                  <c:v>92547.44</c:v>
                </c:pt>
                <c:pt idx="3657">
                  <c:v>94701.18</c:v>
                </c:pt>
                <c:pt idx="3658">
                  <c:v>94565.02</c:v>
                </c:pt>
                <c:pt idx="3659">
                  <c:v>94509.62</c:v>
                </c:pt>
                <c:pt idx="3660">
                  <c:v>94506.45</c:v>
                </c:pt>
                <c:pt idx="3661">
                  <c:v>96534.96</c:v>
                </c:pt>
                <c:pt idx="3662">
                  <c:v>100510.23</c:v>
                </c:pt>
                <c:pt idx="3663">
                  <c:v>99981.78</c:v>
                </c:pt>
                <c:pt idx="3664">
                  <c:v>104107</c:v>
                </c:pt>
                <c:pt idx="3665">
                  <c:v>104435</c:v>
                </c:pt>
                <c:pt idx="3666">
                  <c:v>101211.13</c:v>
                </c:pt>
                <c:pt idx="3667">
                  <c:v>102145.43</c:v>
                </c:pt>
                <c:pt idx="3668">
                  <c:v>106159.26</c:v>
                </c:pt>
                <c:pt idx="3669">
                  <c:v>103667.11</c:v>
                </c:pt>
                <c:pt idx="3670">
                  <c:v>103926.36</c:v>
                </c:pt>
                <c:pt idx="3671">
                  <c:v>104850.27</c:v>
                </c:pt>
                <c:pt idx="3672">
                  <c:v>104733.56</c:v>
                </c:pt>
                <c:pt idx="3673">
                  <c:v>102563</c:v>
                </c:pt>
                <c:pt idx="3674">
                  <c:v>102062.42</c:v>
                </c:pt>
                <c:pt idx="3675">
                  <c:v>101290</c:v>
                </c:pt>
                <c:pt idx="3676">
                  <c:v>103747.25</c:v>
                </c:pt>
                <c:pt idx="3677">
                  <c:v>104742.64</c:v>
                </c:pt>
                <c:pt idx="3678">
                  <c:v>102411.26</c:v>
                </c:pt>
                <c:pt idx="3679">
                  <c:v>100623.85</c:v>
                </c:pt>
                <c:pt idx="3680">
                  <c:v>97676.52</c:v>
                </c:pt>
                <c:pt idx="3681">
                  <c:v>101460.2</c:v>
                </c:pt>
                <c:pt idx="3682">
                  <c:v>97795.05</c:v>
                </c:pt>
                <c:pt idx="3683">
                  <c:v>96638.33</c:v>
                </c:pt>
                <c:pt idx="3684">
                  <c:v>96564.62</c:v>
                </c:pt>
                <c:pt idx="3685">
                  <c:v>96537.08</c:v>
                </c:pt>
                <c:pt idx="3686">
                  <c:v>96476.25</c:v>
                </c:pt>
                <c:pt idx="3687">
                  <c:v>96475.82</c:v>
                </c:pt>
                <c:pt idx="3688">
                  <c:v>97444.41</c:v>
                </c:pt>
                <c:pt idx="3689">
                  <c:v>95774.08</c:v>
                </c:pt>
                <c:pt idx="3690">
                  <c:v>97862.53</c:v>
                </c:pt>
                <c:pt idx="3691">
                  <c:v>96625.29</c:v>
                </c:pt>
                <c:pt idx="3692">
                  <c:v>97509.03</c:v>
                </c:pt>
                <c:pt idx="3693">
                  <c:v>97596.94</c:v>
                </c:pt>
                <c:pt idx="3694">
                  <c:v>96119.88</c:v>
                </c:pt>
                <c:pt idx="3695">
                  <c:v>95781.8</c:v>
                </c:pt>
                <c:pt idx="3696">
                  <c:v>95607.4</c:v>
                </c:pt>
                <c:pt idx="3697">
                  <c:v>96632.03</c:v>
                </c:pt>
                <c:pt idx="3698">
                  <c:v>98347.2</c:v>
                </c:pt>
                <c:pt idx="3699">
                  <c:v>96157.03</c:v>
                </c:pt>
                <c:pt idx="3700">
                  <c:v>96582.12</c:v>
                </c:pt>
                <c:pt idx="3701">
                  <c:v>96265.98</c:v>
                </c:pt>
                <c:pt idx="3702">
                  <c:v>91510.82</c:v>
                </c:pt>
                <c:pt idx="3703">
                  <c:v>88583.74</c:v>
                </c:pt>
                <c:pt idx="3704">
                  <c:v>84111.78</c:v>
                </c:pt>
                <c:pt idx="3705">
                  <c:v>84625.19</c:v>
                </c:pt>
                <c:pt idx="3706">
                  <c:v>84297.73</c:v>
                </c:pt>
                <c:pt idx="3707">
                  <c:v>86018.76</c:v>
                </c:pt>
                <c:pt idx="3708">
                  <c:v>94265.48</c:v>
                </c:pt>
                <c:pt idx="3709">
                  <c:v>86161.1</c:v>
                </c:pt>
                <c:pt idx="3710">
                  <c:v>87249.96</c:v>
                </c:pt>
                <c:pt idx="3711">
                  <c:v>90603.73</c:v>
                </c:pt>
                <c:pt idx="3712">
                  <c:v>89921.85</c:v>
                </c:pt>
                <c:pt idx="3713">
                  <c:v>86756.98</c:v>
                </c:pt>
                <c:pt idx="3714">
                  <c:v>86206.69</c:v>
                </c:pt>
                <c:pt idx="3715">
                  <c:v>80699.17</c:v>
                </c:pt>
                <c:pt idx="3716">
                  <c:v>78544.71</c:v>
                </c:pt>
                <c:pt idx="3717">
                  <c:v>82914.51</c:v>
                </c:pt>
                <c:pt idx="3718">
                  <c:v>83659.43</c:v>
                </c:pt>
                <c:pt idx="3719">
                  <c:v>81073.43</c:v>
                </c:pt>
                <c:pt idx="3720">
                  <c:v>83980.49</c:v>
                </c:pt>
                <c:pt idx="3721">
                  <c:v>84351.46</c:v>
                </c:pt>
                <c:pt idx="3722">
                  <c:v>82562.57</c:v>
                </c:pt>
                <c:pt idx="3723">
                  <c:v>84011.4</c:v>
                </c:pt>
                <c:pt idx="3724">
                  <c:v>82698.76</c:v>
                </c:pt>
                <c:pt idx="3725">
                  <c:v>86877.96</c:v>
                </c:pt>
                <c:pt idx="3726">
                  <c:v>84183.42</c:v>
                </c:pt>
                <c:pt idx="3727">
                  <c:v>84061.96</c:v>
                </c:pt>
                <c:pt idx="3728">
                  <c:v>83852.03</c:v>
                </c:pt>
                <c:pt idx="3729">
                  <c:v>86092.94</c:v>
                </c:pt>
                <c:pt idx="3730">
                  <c:v>87523.62</c:v>
                </c:pt>
                <c:pt idx="3731">
                  <c:v>87427.88</c:v>
                </c:pt>
                <c:pt idx="3732">
                  <c:v>86926.01</c:v>
                </c:pt>
                <c:pt idx="3733">
                  <c:v>87217.48</c:v>
                </c:pt>
                <c:pt idx="3734">
                  <c:v>84381.8</c:v>
                </c:pt>
                <c:pt idx="3735">
                  <c:v>82616.83</c:v>
                </c:pt>
                <c:pt idx="3736">
                  <c:v>82379.98</c:v>
                </c:pt>
                <c:pt idx="3737">
                  <c:v>82534.32</c:v>
                </c:pt>
                <c:pt idx="3738">
                  <c:v>85170.37</c:v>
                </c:pt>
                <c:pt idx="3739">
                  <c:v>82490.08</c:v>
                </c:pt>
                <c:pt idx="3740">
                  <c:v>83174.33</c:v>
                </c:pt>
                <c:pt idx="3741">
                  <c:v>83860.16</c:v>
                </c:pt>
                <c:pt idx="3742">
                  <c:v>83498.25</c:v>
                </c:pt>
                <c:pt idx="3743">
                  <c:v>78370.75</c:v>
                </c:pt>
                <c:pt idx="3744">
                  <c:v>79140.01</c:v>
                </c:pt>
                <c:pt idx="3745">
                  <c:v>76251.64</c:v>
                </c:pt>
                <c:pt idx="3746">
                  <c:v>82594.75</c:v>
                </c:pt>
                <c:pt idx="3747">
                  <c:v>79552.34</c:v>
                </c:pt>
                <c:pt idx="3748">
                  <c:v>83380.47</c:v>
                </c:pt>
                <c:pt idx="3749">
                  <c:v>85271.01</c:v>
                </c:pt>
                <c:pt idx="3750">
                  <c:v>83733.07</c:v>
                </c:pt>
                <c:pt idx="3751">
                  <c:v>84590.36</c:v>
                </c:pt>
                <c:pt idx="3752">
                  <c:v>83629.78</c:v>
                </c:pt>
                <c:pt idx="3753">
                  <c:v>84028.72</c:v>
                </c:pt>
                <c:pt idx="3754">
                  <c:v>84961.97</c:v>
                </c:pt>
                <c:pt idx="3755">
                  <c:v>84466.47</c:v>
                </c:pt>
                <c:pt idx="3756">
                  <c:v>85074.99</c:v>
                </c:pt>
                <c:pt idx="3757">
                  <c:v>85177.34</c:v>
                </c:pt>
                <c:pt idx="3758">
                  <c:v>87522.07</c:v>
                </c:pt>
                <c:pt idx="3759">
                  <c:v>93489.1</c:v>
                </c:pt>
                <c:pt idx="3760">
                  <c:v>93740.92</c:v>
                </c:pt>
                <c:pt idx="3761">
                  <c:v>94021.96</c:v>
                </c:pt>
                <c:pt idx="3762">
                  <c:v>94708.79</c:v>
                </c:pt>
                <c:pt idx="3763">
                  <c:v>94666.64</c:v>
                </c:pt>
                <c:pt idx="3764">
                  <c:v>93780.57</c:v>
                </c:pt>
                <c:pt idx="3765">
                  <c:v>95042.57</c:v>
                </c:pt>
                <c:pt idx="3766">
                  <c:v>94271.09</c:v>
                </c:pt>
                <c:pt idx="3767">
                  <c:v>94182.54</c:v>
                </c:pt>
                <c:pt idx="3768">
                  <c:v>96524.98</c:v>
                </c:pt>
                <c:pt idx="3769">
                  <c:v>96929.81</c:v>
                </c:pt>
                <c:pt idx="3770">
                  <c:v>95861.33</c:v>
                </c:pt>
                <c:pt idx="3771">
                  <c:v>94272.55</c:v>
                </c:pt>
                <c:pt idx="3772">
                  <c:v>94733.99</c:v>
                </c:pt>
                <c:pt idx="3773">
                  <c:v>96839.17</c:v>
                </c:pt>
                <c:pt idx="3774">
                  <c:v>97058.32</c:v>
                </c:pt>
                <c:pt idx="3775">
                  <c:v>103253.49</c:v>
                </c:pt>
                <c:pt idx="3776">
                  <c:v>102986.96</c:v>
                </c:pt>
                <c:pt idx="3777">
                  <c:v>104821.19</c:v>
                </c:pt>
                <c:pt idx="3778">
                  <c:v>104137.62</c:v>
                </c:pt>
                <c:pt idx="3779">
                  <c:v>102800.21</c:v>
                </c:pt>
                <c:pt idx="3780">
                  <c:v>104131.06</c:v>
                </c:pt>
                <c:pt idx="3781">
                  <c:v>103545.38</c:v>
                </c:pt>
                <c:pt idx="3782">
                  <c:v>103786.43</c:v>
                </c:pt>
                <c:pt idx="3783">
                  <c:v>103500.03</c:v>
                </c:pt>
                <c:pt idx="3784">
                  <c:v>103161.07</c:v>
                </c:pt>
                <c:pt idx="3785">
                  <c:v>106473.46</c:v>
                </c:pt>
                <c:pt idx="3786">
                  <c:v>105616.18</c:v>
                </c:pt>
                <c:pt idx="3787">
                  <c:v>106883.24</c:v>
                </c:pt>
                <c:pt idx="3788">
                  <c:v>109699.54</c:v>
                </c:pt>
                <c:pt idx="3789">
                  <c:v>111722.53</c:v>
                </c:pt>
                <c:pt idx="3790">
                  <c:v>107329.61</c:v>
                </c:pt>
                <c:pt idx="3791">
                  <c:v>107794.01</c:v>
                </c:pt>
                <c:pt idx="3792">
                  <c:v>109048.68</c:v>
                </c:pt>
                <c:pt idx="3793">
                  <c:v>109464.32</c:v>
                </c:pt>
                <c:pt idx="3794">
                  <c:v>108978.46</c:v>
                </c:pt>
                <c:pt idx="3795">
                  <c:v>107819.29</c:v>
                </c:pt>
                <c:pt idx="3796">
                  <c:v>105572.58</c:v>
                </c:pt>
                <c:pt idx="3797">
                  <c:v>104033.26</c:v>
                </c:pt>
                <c:pt idx="3798">
                  <c:v>104645.87</c:v>
                </c:pt>
                <c:pt idx="3799">
                  <c:v>105697.94</c:v>
                </c:pt>
                <c:pt idx="3800">
                  <c:v>105904.94</c:v>
                </c:pt>
                <c:pt idx="3801">
                  <c:v>105447.82</c:v>
                </c:pt>
                <c:pt idx="3802">
                  <c:v>104753.38</c:v>
                </c:pt>
                <c:pt idx="3803">
                  <c:v>101570.2</c:v>
                </c:pt>
                <c:pt idx="3804">
                  <c:v>104397.99</c:v>
                </c:pt>
                <c:pt idx="3805">
                  <c:v>105619.02</c:v>
                </c:pt>
                <c:pt idx="3806">
                  <c:v>105784.4</c:v>
                </c:pt>
                <c:pt idx="3807">
                  <c:v>110301.15</c:v>
                </c:pt>
                <c:pt idx="3808">
                  <c:v>110300.24</c:v>
                </c:pt>
                <c:pt idx="3809">
                  <c:v>108669.37</c:v>
                </c:pt>
                <c:pt idx="3810">
                  <c:v>105721.05</c:v>
                </c:pt>
                <c:pt idx="3811">
                  <c:v>106118.7</c:v>
                </c:pt>
                <c:pt idx="3812">
                  <c:v>105465.42</c:v>
                </c:pt>
                <c:pt idx="3813">
                  <c:v>105599.25</c:v>
                </c:pt>
                <c:pt idx="3814">
                  <c:v>106853.38</c:v>
                </c:pt>
                <c:pt idx="3815">
                  <c:v>104590.44</c:v>
                </c:pt>
                <c:pt idx="3816">
                  <c:v>104915.6</c:v>
                </c:pt>
                <c:pt idx="3817">
                  <c:v>104671.9</c:v>
                </c:pt>
                <c:pt idx="3818">
                  <c:v>103317.8</c:v>
                </c:pt>
                <c:pt idx="3819">
                  <c:v>102160.03</c:v>
                </c:pt>
                <c:pt idx="3820">
                  <c:v>100996.87</c:v>
                </c:pt>
                <c:pt idx="3821">
                  <c:v>105419.39</c:v>
                </c:pt>
                <c:pt idx="3822">
                  <c:v>106141</c:v>
                </c:pt>
                <c:pt idx="3823">
                  <c:v>107400.22</c:v>
                </c:pt>
                <c:pt idx="3824">
                  <c:v>107029.64</c:v>
                </c:pt>
                <c:pt idx="3825">
                  <c:v>107113.38</c:v>
                </c:pt>
                <c:pt idx="3826">
                  <c:v>107352.2</c:v>
                </c:pt>
                <c:pt idx="3827">
                  <c:v>108386.44</c:v>
                </c:pt>
                <c:pt idx="3828">
                  <c:v>107173.21</c:v>
                </c:pt>
                <c:pt idx="3829">
                  <c:v>105711.78</c:v>
                </c:pt>
                <c:pt idx="3830">
                  <c:v>108888.32</c:v>
                </c:pt>
                <c:pt idx="3831">
                  <c:v>109628.83</c:v>
                </c:pt>
                <c:pt idx="3832">
                  <c:v>108028.6</c:v>
                </c:pt>
                <c:pt idx="3833">
                  <c:v>108246.65</c:v>
                </c:pt>
                <c:pt idx="3834">
                  <c:v>109217.98</c:v>
                </c:pt>
                <c:pt idx="3835">
                  <c:v>108269.84</c:v>
                </c:pt>
                <c:pt idx="3836">
                  <c:v>108958.04</c:v>
                </c:pt>
                <c:pt idx="3837">
                  <c:v>111282.85</c:v>
                </c:pt>
                <c:pt idx="3838">
                  <c:v>116031.3</c:v>
                </c:pt>
                <c:pt idx="3839">
                  <c:v>117582.16</c:v>
                </c:pt>
                <c:pt idx="3840">
                  <c:v>117472.65</c:v>
                </c:pt>
                <c:pt idx="3841">
                  <c:v>119130.81</c:v>
                </c:pt>
                <c:pt idx="3842">
                  <c:v>119863.71</c:v>
                </c:pt>
                <c:pt idx="3843">
                  <c:v>117781.64</c:v>
                </c:pt>
                <c:pt idx="3844">
                  <c:v>118681.68</c:v>
                </c:pt>
                <c:pt idx="3845">
                  <c:v>119273.69</c:v>
                </c:pt>
                <c:pt idx="3846">
                  <c:v>118023.05</c:v>
                </c:pt>
                <c:pt idx="3847">
                  <c:v>117914.17</c:v>
                </c:pt>
                <c:pt idx="3848">
                  <c:v>117312.7</c:v>
                </c:pt>
                <c:pt idx="3849">
                  <c:v>117428.79</c:v>
                </c:pt>
                <c:pt idx="3850">
                  <c:v>120026.42</c:v>
                </c:pt>
                <c:pt idx="3851">
                  <c:v>118810.44</c:v>
                </c:pt>
                <c:pt idx="3852">
                  <c:v>118397.04</c:v>
                </c:pt>
                <c:pt idx="3853">
                  <c:v>117633.27</c:v>
                </c:pt>
                <c:pt idx="3854">
                  <c:v>117969.63</c:v>
                </c:pt>
                <c:pt idx="3855">
                  <c:v>119465.52</c:v>
                </c:pt>
                <c:pt idx="3856">
                  <c:v>118070.59</c:v>
                </c:pt>
                <c:pt idx="3857">
                  <c:v>117933.39</c:v>
                </c:pt>
                <c:pt idx="3858">
                  <c:v>117830.15</c:v>
                </c:pt>
                <c:pt idx="3859">
                  <c:v>115761.13</c:v>
                </c:pt>
                <c:pt idx="3860">
                  <c:v>113248.73</c:v>
                </c:pt>
                <c:pt idx="3861">
                  <c:v>112542.74</c:v>
                </c:pt>
                <c:pt idx="3862">
                  <c:v>114215.73</c:v>
                </c:pt>
                <c:pt idx="3863">
                  <c:v>115051.85</c:v>
                </c:pt>
                <c:pt idx="3864">
                  <c:v>114112.95</c:v>
                </c:pt>
                <c:pt idx="3865">
                  <c:v>115028.83</c:v>
                </c:pt>
                <c:pt idx="3866">
                  <c:v>117515.49</c:v>
                </c:pt>
                <c:pt idx="3867">
                  <c:v>116683.79</c:v>
                </c:pt>
                <c:pt idx="3868">
                  <c:v>116492.51</c:v>
                </c:pt>
                <c:pt idx="3869">
                  <c:v>119309.37</c:v>
                </c:pt>
                <c:pt idx="3870">
                  <c:v>118701.84</c:v>
                </c:pt>
                <c:pt idx="3871">
                  <c:v>120113.18</c:v>
                </c:pt>
                <c:pt idx="3872">
                  <c:v>123365.63</c:v>
                </c:pt>
                <c:pt idx="3873">
                  <c:v>118389.79</c:v>
                </c:pt>
                <c:pt idx="3874">
                  <c:v>117436.96</c:v>
                </c:pt>
                <c:pt idx="3875">
                  <c:v>117455.68</c:v>
                </c:pt>
                <c:pt idx="3876">
                  <c:v>117488.6</c:v>
                </c:pt>
                <c:pt idx="3877">
                  <c:v>116286.76</c:v>
                </c:pt>
                <c:pt idx="3878">
                  <c:v>112856.19</c:v>
                </c:pt>
                <c:pt idx="3879">
                  <c:v>114276</c:v>
                </c:pt>
                <c:pt idx="3880">
                  <c:v>112480.3</c:v>
                </c:pt>
                <c:pt idx="3881">
                  <c:v>116908.68</c:v>
                </c:pt>
                <c:pt idx="3882">
                  <c:v>115383.87</c:v>
                </c:pt>
                <c:pt idx="3883">
                  <c:v>113478</c:v>
                </c:pt>
                <c:pt idx="3884">
                  <c:v>110127.74</c:v>
                </c:pt>
                <c:pt idx="3885">
                  <c:v>111788.01</c:v>
                </c:pt>
                <c:pt idx="3886">
                  <c:v>111253.21</c:v>
                </c:pt>
                <c:pt idx="3887">
                  <c:v>112574.85</c:v>
                </c:pt>
                <c:pt idx="3888">
                  <c:v>108378.32</c:v>
                </c:pt>
                <c:pt idx="3889">
                  <c:v>108827.93</c:v>
                </c:pt>
                <c:pt idx="3890">
                  <c:v>108247.95</c:v>
                </c:pt>
                <c:pt idx="3891">
                  <c:v>109240.55</c:v>
                </c:pt>
                <c:pt idx="3892">
                  <c:v>111247.94</c:v>
                </c:pt>
                <c:pt idx="3893">
                  <c:v>111756.41</c:v>
                </c:pt>
                <c:pt idx="3894">
                  <c:v>110720.79</c:v>
                </c:pt>
                <c:pt idx="3895">
                  <c:v>110670.02</c:v>
                </c:pt>
                <c:pt idx="3896">
                  <c:v>110212.6</c:v>
                </c:pt>
                <c:pt idx="3897">
                  <c:v>111129.61</c:v>
                </c:pt>
                <c:pt idx="3898">
                  <c:v>112072.57</c:v>
                </c:pt>
                <c:pt idx="3899">
                  <c:v>111549.32</c:v>
                </c:pt>
                <c:pt idx="3900">
                  <c:v>113983.97</c:v>
                </c:pt>
                <c:pt idx="3901">
                  <c:v>115540</c:v>
                </c:pt>
                <c:pt idx="3902">
                  <c:v>116106.03</c:v>
                </c:pt>
                <c:pt idx="3903">
                  <c:v>115968.35</c:v>
                </c:pt>
                <c:pt idx="3904">
                  <c:v>115314.13</c:v>
                </c:pt>
                <c:pt idx="3905">
                  <c:v>115381.08</c:v>
                </c:pt>
                <c:pt idx="3906">
                  <c:v>116832.56</c:v>
                </c:pt>
                <c:pt idx="3907">
                  <c:v>116484.4</c:v>
                </c:pt>
                <c:pt idx="3908">
                  <c:v>117117.99</c:v>
                </c:pt>
                <c:pt idx="3909">
                  <c:v>115690.55</c:v>
                </c:pt>
                <c:pt idx="3910">
                  <c:v>115752.4</c:v>
                </c:pt>
                <c:pt idx="3911">
                  <c:v>115282.27</c:v>
                </c:pt>
                <c:pt idx="3912">
                  <c:v>112736.59</c:v>
                </c:pt>
                <c:pt idx="3913">
                  <c:v>112017.21</c:v>
                </c:pt>
                <c:pt idx="3914">
                  <c:v>113348.17</c:v>
                </c:pt>
                <c:pt idx="3915">
                  <c:v>109035.72</c:v>
                </c:pt>
                <c:pt idx="3916">
                  <c:v>109697.29</c:v>
                </c:pt>
                <c:pt idx="3917">
                  <c:v>109681.16</c:v>
                </c:pt>
                <c:pt idx="3918">
                  <c:v>112197.67</c:v>
                </c:pt>
                <c:pt idx="3919">
                  <c:v>114365.07</c:v>
                </c:pt>
                <c:pt idx="3920">
                  <c:v>114067.71</c:v>
                </c:pt>
                <c:pt idx="3921">
                  <c:v>118659.97</c:v>
                </c:pt>
                <c:pt idx="3922">
                  <c:v>120621.32</c:v>
                </c:pt>
                <c:pt idx="3923">
                  <c:v>122318.4</c:v>
                </c:pt>
                <c:pt idx="3924">
                  <c:v>122458.56</c:v>
                </c:pt>
                <c:pt idx="3925">
                  <c:v>123520.79</c:v>
                </c:pt>
                <c:pt idx="3926">
                  <c:v>124720.09</c:v>
                </c:pt>
                <c:pt idx="3927">
                  <c:v>121393.95</c:v>
                </c:pt>
                <c:pt idx="3928">
                  <c:v>123343.25</c:v>
                </c:pt>
                <c:pt idx="3929">
                  <c:v>121714.51</c:v>
                </c:pt>
                <c:pt idx="3930">
                  <c:v>112980.28</c:v>
                </c:pt>
                <c:pt idx="3931">
                  <c:v>110768.89</c:v>
                </c:pt>
                <c:pt idx="3932">
                  <c:v>115067.98</c:v>
                </c:pt>
                <c:pt idx="3933">
                  <c:v>115274.03</c:v>
                </c:pt>
                <c:pt idx="3934">
                  <c:v>113068</c:v>
                </c:pt>
                <c:pt idx="3935">
                  <c:v>110804.12</c:v>
                </c:pt>
                <c:pt idx="3936">
                  <c:v>108198</c:v>
                </c:pt>
                <c:pt idx="3937">
                  <c:v>106463.3</c:v>
                </c:pt>
                <c:pt idx="3938">
                  <c:v>107208.91</c:v>
                </c:pt>
                <c:pt idx="3939">
                  <c:v>108676.78</c:v>
                </c:pt>
                <c:pt idx="3940">
                  <c:v>110568.06</c:v>
                </c:pt>
                <c:pt idx="3941">
                  <c:v>108362.27</c:v>
                </c:pt>
                <c:pt idx="3942">
                  <c:v>107585.98</c:v>
                </c:pt>
                <c:pt idx="3943">
                  <c:v>110116.03</c:v>
                </c:pt>
                <c:pt idx="3944">
                  <c:v>111042.13</c:v>
                </c:pt>
                <c:pt idx="3945">
                  <c:v>111666.21</c:v>
                </c:pt>
                <c:pt idx="3946">
                  <c:v>114548.09</c:v>
                </c:pt>
                <c:pt idx="3947">
                  <c:v>114087.06</c:v>
                </c:pt>
                <c:pt idx="3948">
                  <c:v>112906.75</c:v>
                </c:pt>
                <c:pt idx="3949">
                  <c:v>110032.13</c:v>
                </c:pt>
                <c:pt idx="3950">
                  <c:v>108308.18</c:v>
                </c:pt>
                <c:pt idx="3951">
                  <c:v>109555.27</c:v>
                </c:pt>
                <c:pt idx="3952">
                  <c:v>110052.25</c:v>
                </c:pt>
                <c:pt idx="3953">
                  <c:v>110536.01</c:v>
                </c:pt>
                <c:pt idx="3954">
                  <c:v>106557.98</c:v>
                </c:pt>
                <c:pt idx="3955">
                  <c:v>101468.15</c:v>
                </c:pt>
                <c:pt idx="3956">
                  <c:v>100291.85</c:v>
                </c:pt>
                <c:pt idx="3957">
                  <c:v>103472</c:v>
                </c:pt>
                <c:pt idx="3958">
                  <c:v>101447.93</c:v>
                </c:pt>
                <c:pt idx="3959">
                  <c:v>102882.15</c:v>
                </c:pt>
                <c:pt idx="3960">
                  <c:v>101838.43</c:v>
                </c:pt>
                <c:pt idx="3961">
                  <c:v>106496.49</c:v>
                </c:pt>
                <c:pt idx="3962">
                  <c:v>106071.01</c:v>
                </c:pt>
                <c:pt idx="3963">
                  <c:v>102734.93</c:v>
                </c:pt>
                <c:pt idx="3964">
                  <c:v>101945.44</c:v>
                </c:pt>
                <c:pt idx="3965">
                  <c:v>98906.39</c:v>
                </c:pt>
                <c:pt idx="3966">
                  <c:v>94829.23</c:v>
                </c:pt>
                <c:pt idx="3967">
                  <c:v>95095.36</c:v>
                </c:pt>
                <c:pt idx="3968">
                  <c:v>95197.96</c:v>
                </c:pt>
                <c:pt idx="3969">
                  <c:v>91855.7</c:v>
                </c:pt>
                <c:pt idx="3970">
                  <c:v>92184.51</c:v>
                </c:pt>
                <c:pt idx="3971">
                  <c:v>91783.66</c:v>
                </c:pt>
                <c:pt idx="3972">
                  <c:v>87214</c:v>
                </c:pt>
                <c:pt idx="3973">
                  <c:v>84826</c:v>
                </c:pt>
                <c:pt idx="3974">
                  <c:v>85133.92</c:v>
                </c:pt>
                <c:pt idx="3975">
                  <c:v>86499.25</c:v>
                </c:pt>
                <c:pt idx="3976">
                  <c:v>87981.12</c:v>
                </c:pt>
                <c:pt idx="3977">
                  <c:v>87366.12</c:v>
                </c:pt>
                <c:pt idx="3978">
                  <c:v>90635.53</c:v>
                </c:pt>
                <c:pt idx="3979">
                  <c:v>91094</c:v>
                </c:pt>
                <c:pt idx="3980">
                  <c:v>90919.78</c:v>
                </c:pt>
                <c:pt idx="3981">
                  <c:v>90946.75</c:v>
                </c:pt>
                <c:pt idx="3982">
                  <c:v>87446.89</c:v>
                </c:pt>
                <c:pt idx="3983">
                  <c:v>86628.25</c:v>
                </c:pt>
                <c:pt idx="3984">
                  <c:v>91532.75</c:v>
                </c:pt>
                <c:pt idx="3985">
                  <c:v>93150.03</c:v>
                </c:pt>
                <c:pt idx="3986">
                  <c:v>92353.31</c:v>
                </c:pt>
                <c:pt idx="3987">
                  <c:v>89347.18</c:v>
                </c:pt>
                <c:pt idx="3988">
                  <c:v>89480.46</c:v>
                </c:pt>
                <c:pt idx="3989">
                  <c:v>90435.42</c:v>
                </c:pt>
                <c:pt idx="3990">
                  <c:v>90338.37</c:v>
                </c:pt>
                <c:pt idx="3991">
                  <c:v>92243.57</c:v>
                </c:pt>
                <c:pt idx="3992">
                  <c:v>91194.97</c:v>
                </c:pt>
                <c:pt idx="3993">
                  <c:v>91784.59</c:v>
                </c:pt>
                <c:pt idx="3994">
                  <c:v>90350</c:v>
                </c:pt>
                <c:pt idx="3995">
                  <c:v>90326.01</c:v>
                </c:pt>
                <c:pt idx="3996">
                  <c:v>88460.01</c:v>
                </c:pt>
                <c:pt idx="3997">
                  <c:v>85950</c:v>
                </c:pt>
                <c:pt idx="3998">
                  <c:v>87599.87</c:v>
                </c:pt>
                <c:pt idx="3999">
                  <c:v>86064.34</c:v>
                </c:pt>
                <c:pt idx="4000">
                  <c:v>85352.25</c:v>
                </c:pt>
                <c:pt idx="4001">
                  <c:v>88016.09</c:v>
                </c:pt>
                <c:pt idx="4002">
                  <c:v>88322.39</c:v>
                </c:pt>
                <c:pt idx="4003">
                  <c:v>88716</c:v>
                </c:pt>
                <c:pt idx="4004">
                  <c:v>88837.97</c:v>
                </c:pt>
                <c:pt idx="4005">
                  <c:v>87594.74</c:v>
                </c:pt>
                <c:pt idx="4006">
                  <c:v>87516</c:v>
                </c:pt>
                <c:pt idx="4007">
                  <c:v>87159.35</c:v>
                </c:pt>
                <c:pt idx="4008">
                  <c:v>87280.65</c:v>
                </c:pt>
                <c:pt idx="4009">
                  <c:v>87844.66</c:v>
                </c:pt>
                <c:pt idx="4010">
                  <c:v>88029.48</c:v>
                </c:pt>
                <c:pt idx="4011">
                  <c:v>87055.23</c:v>
                </c:pt>
                <c:pt idx="4012">
                  <c:v>88185.26</c:v>
                </c:pt>
                <c:pt idx="4013">
                  <c:v>87696</c:v>
                </c:pt>
                <c:pt idx="4014">
                  <c:v>88642.88</c:v>
                </c:pt>
                <c:pt idx="4015">
                  <c:v>90112.01</c:v>
                </c:pt>
                <c:pt idx="4016">
                  <c:v>91351.98</c:v>
                </c:pt>
                <c:pt idx="4017">
                  <c:v>92392.38</c:v>
                </c:pt>
                <c:pt idx="4018">
                  <c:v>93891.94</c:v>
                </c:pt>
                <c:pt idx="4019">
                  <c:v>92771.99</c:v>
                </c:pt>
                <c:pt idx="4020">
                  <c:v>91377.92</c:v>
                </c:pt>
                <c:pt idx="4021">
                  <c:v>91246.53</c:v>
                </c:pt>
                <c:pt idx="4022">
                  <c:v>90476.01</c:v>
                </c:pt>
                <c:pt idx="4023">
                  <c:v>90509.91</c:v>
                </c:pt>
                <c:pt idx="4024">
                  <c:v>91538.05</c:v>
                </c:pt>
                <c:pt idx="4025">
                  <c:v>91293.98</c:v>
                </c:pt>
                <c:pt idx="4026">
                  <c:v>95222.7</c:v>
                </c:pt>
                <c:pt idx="4027">
                  <c:v>96852.91</c:v>
                </c:pt>
                <c:pt idx="4028">
                  <c:v>95569.99</c:v>
                </c:pt>
                <c:pt idx="4029">
                  <c:v>95467.76</c:v>
                </c:pt>
                <c:pt idx="4030">
                  <c:v>95015.57</c:v>
                </c:pt>
                <c:pt idx="4031">
                  <c:v>92624.74</c:v>
                </c:pt>
                <c:pt idx="4032">
                  <c:v>92572.21</c:v>
                </c:pt>
                <c:pt idx="4033">
                  <c:v>88916.02</c:v>
                </c:pt>
                <c:pt idx="4034">
                  <c:v>89936.47</c:v>
                </c:pt>
                <c:pt idx="4035">
                  <c:v>89522.33</c:v>
                </c:pt>
                <c:pt idx="4036">
                  <c:v>89365.99</c:v>
                </c:pt>
                <c:pt idx="4037">
                  <c:v>89155.13</c:v>
                </c:pt>
                <c:pt idx="4038">
                  <c:v>86978.89</c:v>
                </c:pt>
                <c:pt idx="4039">
                  <c:v>88136.48</c:v>
                </c:pt>
                <c:pt idx="4040">
                  <c:v>89296</c:v>
                </c:pt>
                <c:pt idx="4041">
                  <c:v>88963.96</c:v>
                </c:pt>
                <c:pt idx="4042">
                  <c:v>83943.96</c:v>
                </c:pt>
                <c:pt idx="4043">
                  <c:v>83986.02</c:v>
                </c:pt>
                <c:pt idx="4044">
                  <c:v>78727.3</c:v>
                </c:pt>
                <c:pt idx="4045">
                  <c:v>77831.33</c:v>
                </c:pt>
                <c:pt idx="4046">
                  <c:v>78938.16</c:v>
                </c:pt>
                <c:pt idx="4047">
                  <c:v>76313.98</c:v>
                </c:pt>
                <c:pt idx="4048">
                  <c:v>72853.79</c:v>
                </c:pt>
                <c:pt idx="4049">
                  <c:v>63845.99</c:v>
                </c:pt>
                <c:pt idx="4050">
                  <c:v>69936.2</c:v>
                </c:pt>
                <c:pt idx="4051">
                  <c:v>69199.99</c:v>
                </c:pt>
                <c:pt idx="4052">
                  <c:v>70477.92</c:v>
                </c:pt>
                <c:pt idx="4053">
                  <c:v>69986.8</c:v>
                </c:pt>
                <c:pt idx="4054">
                  <c:v>69219</c:v>
                </c:pt>
                <c:pt idx="4055">
                  <c:v>67479.13</c:v>
                </c:pt>
                <c:pt idx="4056">
                  <c:v>66001.99</c:v>
                </c:pt>
                <c:pt idx="4057">
                  <c:v>68970.18</c:v>
                </c:pt>
                <c:pt idx="4058">
                  <c:v>69801.43</c:v>
                </c:pt>
                <c:pt idx="4059">
                  <c:v>68913.72</c:v>
                </c:pt>
                <c:pt idx="4060">
                  <c:v>68810.28</c:v>
                </c:pt>
                <c:pt idx="4061">
                  <c:v>67191.37</c:v>
                </c:pt>
                <c:pt idx="4062">
                  <c:v>66533.36</c:v>
                </c:pt>
                <c:pt idx="4063">
                  <c:v>67214.29</c:v>
                </c:pt>
                <c:pt idx="4064">
                  <c:v>67885.32</c:v>
                </c:pt>
                <c:pt idx="4065">
                  <c:v>67969.48</c:v>
                </c:pt>
                <c:pt idx="4066">
                  <c:v>66238.9</c:v>
                </c:pt>
                <c:pt idx="4067">
                  <c:v>64743.99</c:v>
                </c:pt>
                <c:pt idx="4068">
                  <c:v>64290.01</c:v>
                </c:pt>
                <c:pt idx="4069">
                  <c:v>68448.27</c:v>
                </c:pt>
                <c:pt idx="4070">
                  <c:v>67068.86</c:v>
                </c:pt>
                <c:pt idx="4071">
                  <c:v>65950</c:v>
                </c:pt>
                <c:pt idx="4072">
                  <c:v>66680.36</c:v>
                </c:pt>
                <c:pt idx="4073">
                  <c:v>66474.29</c:v>
                </c:pt>
                <c:pt idx="4074">
                  <c:v>69016.92</c:v>
                </c:pt>
                <c:pt idx="4075">
                  <c:v>68222.81</c:v>
                </c:pt>
                <c:pt idx="4076">
                  <c:v>72776.66</c:v>
                </c:pt>
                <c:pt idx="4077">
                  <c:v>70955.49</c:v>
                </c:pt>
                <c:pt idx="4078">
                  <c:v>68350</c:v>
                </c:pt>
                <c:pt idx="4079">
                  <c:v>67193.87</c:v>
                </c:pt>
                <c:pt idx="4080">
                  <c:v>66055.14</c:v>
                </c:pt>
                <c:pt idx="4081">
                  <c:v>68480.54</c:v>
                </c:pt>
                <c:pt idx="4082">
                  <c:v>69847.95</c:v>
                </c:pt>
                <c:pt idx="4083">
                  <c:v>70210.72</c:v>
                </c:pt>
                <c:pt idx="4084">
                  <c:v>70500.54</c:v>
                </c:pt>
                <c:pt idx="4085">
                  <c:v>70838.78</c:v>
                </c:pt>
                <c:pt idx="4086">
                  <c:v>71118.53</c:v>
                </c:pt>
                <c:pt idx="4087">
                  <c:v>72953.27</c:v>
                </c:pt>
                <c:pt idx="4088">
                  <c:v>74758.54</c:v>
                </c:pt>
                <c:pt idx="4089">
                  <c:v>73845.35</c:v>
                </c:pt>
                <c:pt idx="4090">
                  <c:v>71204.95</c:v>
                </c:pt>
                <c:pt idx="4091">
                  <c:v>69858.95</c:v>
                </c:pt>
                <c:pt idx="4092">
                  <c:v>70560.99</c:v>
                </c:pt>
                <c:pt idx="4093">
                  <c:v>68398.68</c:v>
                </c:pt>
                <c:pt idx="4094">
                  <c:v>67977.71</c:v>
                </c:pt>
                <c:pt idx="4095">
                  <c:v>70906</c:v>
                </c:pt>
                <c:pt idx="4096">
                  <c:v>70555.44</c:v>
                </c:pt>
                <c:pt idx="4097">
                  <c:v>71277.56</c:v>
                </c:pt>
                <c:pt idx="4098">
                  <c:v>68762.2</c:v>
                </c:pt>
                <c:pt idx="4099">
                  <c:v>66390.02</c:v>
                </c:pt>
                <c:pt idx="4100">
                  <c:v>66392.04</c:v>
                </c:pt>
                <c:pt idx="4101">
                  <c:v>65862.79</c:v>
                </c:pt>
                <c:pt idx="4102">
                  <c:v>66683.77</c:v>
                </c:pt>
                <c:pt idx="4103">
                  <c:v>68133.96</c:v>
                </c:pt>
                <c:pt idx="4104">
                  <c:v>68100.65</c:v>
                </c:pt>
                <c:pt idx="4105">
                  <c:v>66959.99</c:v>
                </c:pt>
                <c:pt idx="4106">
                  <c:v>66911.51</c:v>
                </c:pt>
                <c:pt idx="4107">
                  <c:v>67284.16</c:v>
                </c:pt>
                <c:pt idx="4108">
                  <c:v>69279.05</c:v>
                </c:pt>
                <c:pt idx="4109">
                  <c:v>68909.06</c:v>
                </c:pt>
                <c:pt idx="4110">
                  <c:v>71872.04</c:v>
                </c:pt>
                <c:pt idx="4111">
                  <c:v>71015.98</c:v>
                </c:pt>
                <c:pt idx="4112">
                  <c:v>71798.73</c:v>
                </c:pt>
                <c:pt idx="4113">
                  <c:v>72905.26</c:v>
                </c:pt>
                <c:pt idx="4114">
                  <c:v>72997.99</c:v>
                </c:pt>
                <c:pt idx="4115">
                  <c:v>70661.26</c:v>
                </c:pt>
                <c:pt idx="4116">
                  <c:v>74505.1</c:v>
                </c:pt>
                <c:pt idx="4117">
                  <c:v>74386.01</c:v>
                </c:pt>
                <c:pt idx="4118">
                  <c:v>74725.02</c:v>
                </c:pt>
                <c:pt idx="4119">
                  <c:v>75124.72</c:v>
                </c:pt>
                <c:pt idx="4120">
                  <c:v>75736.82</c:v>
                </c:pt>
                <c:pt idx="4121">
                  <c:v>73823.14</c:v>
                </c:pt>
                <c:pt idx="4122">
                  <c:v>74201.44</c:v>
                </c:pt>
                <c:pt idx="4123">
                  <c:v>75854.66</c:v>
                </c:pt>
                <c:pt idx="4124">
                  <c:v>76434.02</c:v>
                </c:pt>
                <c:pt idx="4125">
                  <c:v>78416.36</c:v>
                </c:pt>
                <c:pt idx="4126">
                  <c:v>78281.09</c:v>
                </c:pt>
                <c:pt idx="4127">
                  <c:v>77490.01</c:v>
                </c:pt>
                <c:pt idx="4128">
                  <c:v>77650.51</c:v>
                </c:pt>
                <c:pt idx="4129">
                  <c:v>78818.4</c:v>
                </c:pt>
                <c:pt idx="4130">
                  <c:v>77302.47</c:v>
                </c:pt>
                <c:pt idx="4131">
                  <c:v>76361.99</c:v>
                </c:pt>
                <c:pt idx="4132">
                  <c:v>75794.4</c:v>
                </c:pt>
                <c:pt idx="4133">
                  <c:v>76442.08</c:v>
                </c:pt>
                <c:pt idx="4134">
                  <c:v>78285.16</c:v>
                </c:pt>
                <c:pt idx="4135">
                  <c:v>78705.06</c:v>
                </c:pt>
                <c:pt idx="4136">
                  <c:v>78496.31</c:v>
                </c:pt>
                <c:pt idx="4137">
                  <c:v>79926.19</c:v>
                </c:pt>
                <c:pt idx="4138">
                  <c:v>81028.26</c:v>
                </c:pt>
                <c:pt idx="4139">
                  <c:v>81476.51</c:v>
                </c:pt>
                <c:pt idx="4140">
                  <c:v>80047.2</c:v>
                </c:pt>
                <c:pt idx="4141">
                  <c:v>80150.27</c:v>
                </c:pt>
                <c:pt idx="4142">
                  <c:v>80645.62</c:v>
                </c:pt>
                <c:pt idx="4143">
                  <c:v>82103.78</c:v>
                </c:pt>
                <c:pt idx="4144">
                  <c:v>81734.25</c:v>
                </c:pt>
                <c:pt idx="4145">
                  <c:v>80414.77</c:v>
                </c:pt>
                <c:pt idx="4146">
                  <c:v>79371.63</c:v>
                </c:pt>
                <c:pt idx="4147">
                  <c:v>79142.38</c:v>
                </c:pt>
                <c:pt idx="4148">
                  <c:v>79026</c:v>
                </c:pt>
                <c:pt idx="4149">
                  <c:v>78183.58</c:v>
                </c:pt>
                <c:pt idx="4150">
                  <c:v>77269.08</c:v>
                </c:pt>
                <c:pt idx="4151">
                  <c:v>76952.14</c:v>
                </c:pt>
                <c:pt idx="4152">
                  <c:v>76799.23</c:v>
                </c:pt>
                <c:pt idx="4153">
                  <c:v>77494.61</c:v>
                </c:pt>
                <c:pt idx="4154">
                  <c:v>77451.06</c:v>
                </c:pt>
                <c:pt idx="4155">
                  <c:v>75478.44</c:v>
                </c:pt>
                <c:pt idx="4156">
                  <c:v>76627.99</c:v>
                </c:pt>
                <c:pt idx="4157">
                  <c:v>77078.18</c:v>
                </c:pt>
                <c:pt idx="4158">
                  <c:v>77196.83</c:v>
                </c:pt>
                <c:pt idx="4159">
                  <c:v>75834.53</c:v>
                </c:pt>
                <c:pt idx="4160">
                  <c:v>74422.7</c:v>
                </c:pt>
                <c:pt idx="4161">
                  <c:v>74025.1</c:v>
                </c:pt>
                <c:pt idx="4162">
                  <c:v>73897.41</c:v>
                </c:pt>
                <c:pt idx="4163">
                  <c:v>73758.31</c:v>
                </c:pt>
                <c:pt idx="4164">
                  <c:v>73688.35</c:v>
                </c:pt>
                <c:pt idx="4165">
                  <c:v>71263.63</c:v>
                </c:pt>
                <c:pt idx="4166">
                  <c:v>66661.02</c:v>
                </c:pt>
                <c:pt idx="4167">
                  <c:v>64257.19</c:v>
                </c:pt>
                <c:pt idx="4168">
                  <c:v>63742.66</c:v>
                </c:pt>
                <c:pt idx="4169">
                  <c:v>61272.32</c:v>
                </c:pt>
                <c:pt idx="4170">
                  <c:v>60881.64</c:v>
                </c:pt>
                <c:pt idx="4171">
                  <c:v>63216.78</c:v>
                </c:pt>
                <c:pt idx="4172">
                  <c:v>63049.86</c:v>
                </c:pt>
                <c:pt idx="4173">
                  <c:v>61751.94</c:v>
                </c:pt>
                <c:pt idx="4174">
                  <c:v>61570.02</c:v>
                </c:pt>
                <c:pt idx="4175">
                  <c:v>63482.72</c:v>
                </c:pt>
                <c:pt idx="4176">
                  <c:v>63554.96</c:v>
                </c:pt>
                <c:pt idx="4177">
                  <c:v>64374.02</c:v>
                </c:pt>
                <c:pt idx="4178">
                  <c:v>65605.04</c:v>
                </c:pt>
                <c:pt idx="4179">
                  <c:v>66231.94</c:v>
                </c:pt>
                <c:pt idx="4180">
                  <c:v>65679.13</c:v>
                </c:pt>
                <c:pt idx="4181">
                  <c:v>64529.96</c:v>
                </c:pt>
                <c:pt idx="4182">
                  <c:v>62852.71</c:v>
                </c:pt>
                <c:pt idx="4183">
                  <c:v>63522.76</c:v>
                </c:pt>
                <c:pt idx="4184">
                  <c:v>64180</c:v>
                </c:pt>
                <c:pt idx="4185">
                  <c:v>63321.17</c:v>
                </c:pt>
                <c:pt idx="4186">
                  <c:v>63932.91</c:v>
                </c:pt>
                <c:pt idx="4187">
                  <c:v>62689.99</c:v>
                </c:pt>
                <c:pt idx="4188">
                  <c:v>60950</c:v>
                </c:pt>
                <c:pt idx="4189">
                  <c:v>59778.75</c:v>
                </c:pt>
                <c:pt idx="4190">
                  <c:v>59995.84</c:v>
                </c:pt>
                <c:pt idx="4191">
                  <c:v>59964.66</c:v>
                </c:pt>
                <c:pt idx="4192">
                  <c:v>59367.05</c:v>
                </c:pt>
                <c:pt idx="4193">
                  <c:v>60128.09</c:v>
                </c:pt>
                <c:pt idx="4194">
                  <c:v>58585.96</c:v>
                </c:pt>
                <c:pt idx="4195">
                  <c:v>59881.98</c:v>
                </c:pt>
                <c:pt idx="4196">
                  <c:v>61422.31</c:v>
                </c:pt>
                <c:pt idx="4197">
                  <c:v>62537.99</c:v>
                </c:pt>
                <c:pt idx="4198">
                  <c:v>63027.09</c:v>
                </c:pt>
                <c:pt idx="4199">
                  <c:v>63577.07</c:v>
                </c:pt>
                <c:pt idx="4200">
                  <c:v>63980.01</c:v>
                </c:pt>
                <c:pt idx="4201">
                  <c:v>63367.99</c:v>
                </c:pt>
                <c:pt idx="4202">
                  <c:v>62168.43</c:v>
                </c:pt>
                <c:pt idx="4203">
                  <c:v>63156.18</c:v>
                </c:pt>
                <c:pt idx="4204">
                  <c:v>64057.01</c:v>
                </c:pt>
                <c:pt idx="4205">
                  <c:v>63831.03</c:v>
                </c:pt>
                <c:pt idx="4206">
                  <c:v>63809.21</c:v>
                </c:pt>
                <c:pt idx="4207">
                  <c:v>62233.29</c:v>
                </c:pt>
                <c:pt idx="4208">
                  <c:v>64967.74</c:v>
                </c:pt>
                <c:pt idx="4209">
                  <c:v>64755.57</c:v>
                </c:pt>
                <c:pt idx="4210">
                  <c:v>63746.78</c:v>
                </c:pt>
                <c:pt idx="4211">
                  <c:v>63900.18</c:v>
                </c:pt>
                <c:pt idx="4212">
                  <c:v>64793.76</c:v>
                </c:pt>
                <c:pt idx="4213">
                  <c:v>64571.18</c:v>
                </c:pt>
                <c:pt idx="4214">
                  <c:v>65151.3</c:v>
                </c:pt>
                <c:pt idx="4215">
                  <c:v>66553.73</c:v>
                </c:pt>
                <c:pt idx="4216">
                  <c:v>66063.67</c:v>
                </c:pt>
                <c:pt idx="4217">
                  <c:v>65000.99</c:v>
                </c:pt>
                <c:pt idx="4218">
                  <c:v>64108.38</c:v>
                </c:pt>
                <c:pt idx="4219">
                  <c:v>64319.9</c:v>
                </c:pt>
                <c:pt idx="4220">
                  <c:v>65243.31</c:v>
                </c:pt>
                <c:pt idx="4221">
                  <c:v>63692.68</c:v>
                </c:pt>
                <c:pt idx="4222">
                  <c:v>63945.6</c:v>
                </c:pt>
                <c:pt idx="4223">
                  <c:v>63896.15</c:v>
                </c:pt>
                <c:pt idx="4224">
                  <c:v>64817.71</c:v>
                </c:pt>
                <c:pt idx="4225">
                  <c:v>62886.64</c:v>
                </c:pt>
                <c:pt idx="4226">
                  <c:v>62835</c:v>
                </c:pt>
                <c:pt idx="4227">
                  <c:v>63443.93</c:v>
                </c:pt>
                <c:pt idx="4228">
                  <c:v>63503.04</c:v>
                </c:pt>
                <c:pt idx="4229">
                  <c:v>64023.39</c:v>
                </c:pt>
                <c:pt idx="4230">
                  <c:v>64555.45</c:v>
                </c:pt>
                <c:pt idx="4231">
                  <c:v>64291.84</c:v>
                </c:pt>
                <c:pt idx="4232">
                  <c:v>64877.34</c:v>
                </c:pt>
                <c:pt idx="4233">
                  <c:v>64910.12</c:v>
                </c:pt>
                <c:pt idx="4234">
                  <c:v>64855.5</c:v>
                </c:pt>
                <c:pt idx="4235">
                  <c:v>63876.26</c:v>
                </c:pt>
                <c:pt idx="4236">
                  <c:v>63528.48</c:v>
                </c:pt>
                <c:pt idx="4237">
                  <c:v>63402.49</c:v>
                </c:pt>
                <c:pt idx="4238">
                  <c:v>63387.81</c:v>
                </c:pt>
                <c:pt idx="4239">
                  <c:v>62968.43</c:v>
                </c:pt>
                <c:pt idx="4240">
                  <c:v>62999.01</c:v>
                </c:pt>
                <c:pt idx="4241">
                  <c:v>62859.47</c:v>
                </c:pt>
                <c:pt idx="4242">
                  <c:v>64423.92</c:v>
                </c:pt>
                <c:pt idx="4243">
                  <c:v>64625.4</c:v>
                </c:pt>
                <c:pt idx="4244">
                  <c:v>69487.6</c:v>
                </c:pt>
                <c:pt idx="4245">
                  <c:v>73086.97</c:v>
                </c:pt>
                <c:pt idx="4246">
                  <c:v>78126.63</c:v>
                </c:pt>
                <c:pt idx="4247">
                  <c:v>77117.73</c:v>
                </c:pt>
                <c:pt idx="4248">
                  <c:v>77637.69</c:v>
                </c:pt>
                <c:pt idx="4249">
                  <c:v>78981.39</c:v>
                </c:pt>
                <c:pt idx="4250">
                  <c:v>78510.95</c:v>
                </c:pt>
                <c:pt idx="4251">
                  <c:v>78961.93</c:v>
                </c:pt>
                <c:pt idx="4252">
                  <c:v>80209.61</c:v>
                </c:pt>
                <c:pt idx="4253">
                  <c:v>77838.65</c:v>
                </c:pt>
                <c:pt idx="4254">
                  <c:v>78215</c:v>
                </c:pt>
                <c:pt idx="4255">
                  <c:v>77757.98</c:v>
                </c:pt>
                <c:pt idx="4256">
                  <c:v>78603.02</c:v>
                </c:pt>
                <c:pt idx="4257">
                  <c:v>77392.65</c:v>
                </c:pt>
                <c:pt idx="4258">
                  <c:v>77330.23</c:v>
                </c:pt>
                <c:pt idx="4259">
                  <c:v>81129.19</c:v>
                </c:pt>
                <c:pt idx="4260">
                  <c:v>79658.55</c:v>
                </c:pt>
                <c:pt idx="4261">
                  <c:v>79879.24</c:v>
                </c:pt>
                <c:pt idx="4262">
                  <c:v>80309.06</c:v>
                </c:pt>
                <c:pt idx="4263">
                  <c:v>79067.23</c:v>
                </c:pt>
                <c:pt idx="4264">
                  <c:v>78548.91</c:v>
                </c:pt>
                <c:pt idx="4265">
                  <c:v>78303.59</c:v>
                </c:pt>
                <c:pt idx="4266">
                  <c:v>76664.89</c:v>
                </c:pt>
                <c:pt idx="4267">
                  <c:v>77276.5</c:v>
                </c:pt>
                <c:pt idx="4268">
                  <c:v>77270.73</c:v>
                </c:pt>
                <c:pt idx="4269">
                  <c:v>76804.92</c:v>
                </c:pt>
                <c:pt idx="4270">
                  <c:v>78200.38</c:v>
                </c:pt>
                <c:pt idx="4271">
                  <c:v>75656.09</c:v>
                </c:pt>
                <c:pt idx="4272">
                  <c:v>76208.64</c:v>
                </c:pt>
                <c:pt idx="4273">
                  <c:v>76366.4</c:v>
                </c:pt>
                <c:pt idx="4274">
                  <c:v>80844</c:v>
                </c:pt>
                <c:pt idx="4275">
                  <c:v>81186</c:v>
                </c:pt>
                <c:pt idx="4276">
                  <c:v>81253.37</c:v>
                </c:pt>
                <c:pt idx="4277">
                  <c:v>86396.74</c:v>
                </c:pt>
                <c:pt idx="4278">
                  <c:v>86249.98</c:v>
                </c:pt>
                <c:pt idx="4279">
                  <c:v>84452.97</c:v>
                </c:pt>
                <c:pt idx="4280">
                  <c:v>84470.76</c:v>
                </c:pt>
                <c:pt idx="4281">
                  <c:v>84048.07</c:v>
                </c:pt>
                <c:pt idx="4282">
                  <c:v>84337.36</c:v>
                </c:pt>
                <c:pt idx="4283">
                  <c:v>84553.91</c:v>
                </c:pt>
                <c:pt idx="4284">
                  <c:v>83487.03</c:v>
                </c:pt>
                <c:pt idx="4285">
                  <c:v>83636.7</c:v>
                </c:pt>
                <c:pt idx="4286">
                  <c:v>83482.51</c:v>
                </c:pt>
                <c:pt idx="4287">
                  <c:v>84759.64</c:v>
                </c:pt>
                <c:pt idx="4288">
                  <c:v>84478.54</c:v>
                </c:pt>
                <c:pt idx="4289">
                  <c:v>84813.71</c:v>
                </c:pt>
                <c:pt idx="4290">
                  <c:v>86423.68</c:v>
                </c:pt>
                <c:pt idx="4291">
                  <c:v>85820.65</c:v>
                </c:pt>
                <c:pt idx="4292">
                  <c:v>85499.09</c:v>
                </c:pt>
                <c:pt idx="4293">
                  <c:v>83239.49</c:v>
                </c:pt>
                <c:pt idx="4294">
                  <c:v>81657.19</c:v>
                </c:pt>
                <c:pt idx="4295">
                  <c:v>82543.3</c:v>
                </c:pt>
                <c:pt idx="4296">
                  <c:v>82926.27</c:v>
                </c:pt>
                <c:pt idx="4297">
                  <c:v>83683.56</c:v>
                </c:pt>
                <c:pt idx="4298">
                  <c:v>81782.78</c:v>
                </c:pt>
                <c:pt idx="4299">
                  <c:v>83159.9</c:v>
                </c:pt>
                <c:pt idx="4300">
                  <c:v>81694.05</c:v>
                </c:pt>
                <c:pt idx="4301">
                  <c:v>82140.24</c:v>
                </c:pt>
                <c:pt idx="4302">
                  <c:v>81475.05</c:v>
                </c:pt>
                <c:pt idx="4303">
                  <c:v>81310.49</c:v>
                </c:pt>
                <c:pt idx="4304">
                  <c:v>81977.73</c:v>
                </c:pt>
                <c:pt idx="4305">
                  <c:v>81804.35</c:v>
                </c:pt>
                <c:pt idx="4306">
                  <c:v>82850.31</c:v>
                </c:pt>
                <c:pt idx="4307">
                  <c:v>84133.56</c:v>
                </c:pt>
                <c:pt idx="4308">
                  <c:v>81225.62</c:v>
                </c:pt>
                <c:pt idx="4309">
                  <c:v>81026.7</c:v>
                </c:pt>
                <c:pt idx="4310">
                  <c:v>80681.44</c:v>
                </c:pt>
                <c:pt idx="4311">
                  <c:v>79914.39</c:v>
                </c:pt>
                <c:pt idx="4312">
                  <c:v>80056.43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"200-day moving average"</c:f>
              <c:strCache>
                <c:ptCount val="1"/>
                <c:pt idx="0">
                  <c:v>200-day moving average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Clean_Data!$A$201:$A$4314</c:f>
              <c:numCache>
                <c:formatCode>dd\-mmm\-yyyy</c:formatCode>
                <c:ptCount val="4114"/>
                <c:pt idx="0">
                  <c:v>42207</c:v>
                </c:pt>
                <c:pt idx="1">
                  <c:v>42208</c:v>
                </c:pt>
                <c:pt idx="2">
                  <c:v>42209</c:v>
                </c:pt>
                <c:pt idx="3">
                  <c:v>42210</c:v>
                </c:pt>
                <c:pt idx="4">
                  <c:v>42211</c:v>
                </c:pt>
                <c:pt idx="5">
                  <c:v>42212</c:v>
                </c:pt>
                <c:pt idx="6">
                  <c:v>42213</c:v>
                </c:pt>
                <c:pt idx="7">
                  <c:v>42214</c:v>
                </c:pt>
                <c:pt idx="8">
                  <c:v>42215</c:v>
                </c:pt>
                <c:pt idx="9">
                  <c:v>42216</c:v>
                </c:pt>
                <c:pt idx="10">
                  <c:v>42217</c:v>
                </c:pt>
                <c:pt idx="11">
                  <c:v>42218</c:v>
                </c:pt>
                <c:pt idx="12">
                  <c:v>42219</c:v>
                </c:pt>
                <c:pt idx="13">
                  <c:v>42220</c:v>
                </c:pt>
                <c:pt idx="14">
                  <c:v>42221</c:v>
                </c:pt>
                <c:pt idx="15">
                  <c:v>42222</c:v>
                </c:pt>
                <c:pt idx="16">
                  <c:v>42223</c:v>
                </c:pt>
                <c:pt idx="17">
                  <c:v>42224</c:v>
                </c:pt>
                <c:pt idx="18">
                  <c:v>42225</c:v>
                </c:pt>
                <c:pt idx="19">
                  <c:v>42226</c:v>
                </c:pt>
                <c:pt idx="20">
                  <c:v>42227</c:v>
                </c:pt>
                <c:pt idx="21">
                  <c:v>42228</c:v>
                </c:pt>
                <c:pt idx="22">
                  <c:v>42229</c:v>
                </c:pt>
                <c:pt idx="23">
                  <c:v>42230</c:v>
                </c:pt>
                <c:pt idx="24">
                  <c:v>42231</c:v>
                </c:pt>
                <c:pt idx="25">
                  <c:v>42232</c:v>
                </c:pt>
                <c:pt idx="26">
                  <c:v>42233</c:v>
                </c:pt>
                <c:pt idx="27">
                  <c:v>42234</c:v>
                </c:pt>
                <c:pt idx="28">
                  <c:v>42235</c:v>
                </c:pt>
                <c:pt idx="29">
                  <c:v>42236</c:v>
                </c:pt>
                <c:pt idx="30">
                  <c:v>42237</c:v>
                </c:pt>
                <c:pt idx="31">
                  <c:v>42238</c:v>
                </c:pt>
                <c:pt idx="32">
                  <c:v>42239</c:v>
                </c:pt>
                <c:pt idx="33">
                  <c:v>42240</c:v>
                </c:pt>
                <c:pt idx="34">
                  <c:v>42241</c:v>
                </c:pt>
                <c:pt idx="35">
                  <c:v>42242</c:v>
                </c:pt>
                <c:pt idx="36">
                  <c:v>42243</c:v>
                </c:pt>
                <c:pt idx="37">
                  <c:v>42244</c:v>
                </c:pt>
                <c:pt idx="38">
                  <c:v>42245</c:v>
                </c:pt>
                <c:pt idx="39">
                  <c:v>42246</c:v>
                </c:pt>
                <c:pt idx="40">
                  <c:v>42247</c:v>
                </c:pt>
                <c:pt idx="41">
                  <c:v>42248</c:v>
                </c:pt>
                <c:pt idx="42">
                  <c:v>42249</c:v>
                </c:pt>
                <c:pt idx="43">
                  <c:v>42250</c:v>
                </c:pt>
                <c:pt idx="44">
                  <c:v>42251</c:v>
                </c:pt>
                <c:pt idx="45">
                  <c:v>42252</c:v>
                </c:pt>
                <c:pt idx="46">
                  <c:v>42253</c:v>
                </c:pt>
                <c:pt idx="47">
                  <c:v>42254</c:v>
                </c:pt>
                <c:pt idx="48">
                  <c:v>42255</c:v>
                </c:pt>
                <c:pt idx="49">
                  <c:v>42256</c:v>
                </c:pt>
                <c:pt idx="50">
                  <c:v>42257</c:v>
                </c:pt>
                <c:pt idx="51">
                  <c:v>42258</c:v>
                </c:pt>
                <c:pt idx="52">
                  <c:v>42259</c:v>
                </c:pt>
                <c:pt idx="53">
                  <c:v>42260</c:v>
                </c:pt>
                <c:pt idx="54">
                  <c:v>42261</c:v>
                </c:pt>
                <c:pt idx="55">
                  <c:v>42262</c:v>
                </c:pt>
                <c:pt idx="56">
                  <c:v>42263</c:v>
                </c:pt>
                <c:pt idx="57">
                  <c:v>42264</c:v>
                </c:pt>
                <c:pt idx="58">
                  <c:v>42265</c:v>
                </c:pt>
                <c:pt idx="59">
                  <c:v>42266</c:v>
                </c:pt>
                <c:pt idx="60">
                  <c:v>42267</c:v>
                </c:pt>
                <c:pt idx="61">
                  <c:v>42268</c:v>
                </c:pt>
                <c:pt idx="62">
                  <c:v>42269</c:v>
                </c:pt>
                <c:pt idx="63">
                  <c:v>42270</c:v>
                </c:pt>
                <c:pt idx="64">
                  <c:v>42271</c:v>
                </c:pt>
                <c:pt idx="65">
                  <c:v>42272</c:v>
                </c:pt>
                <c:pt idx="66">
                  <c:v>42273</c:v>
                </c:pt>
                <c:pt idx="67">
                  <c:v>42274</c:v>
                </c:pt>
                <c:pt idx="68">
                  <c:v>42275</c:v>
                </c:pt>
                <c:pt idx="69">
                  <c:v>42276</c:v>
                </c:pt>
                <c:pt idx="70">
                  <c:v>42277</c:v>
                </c:pt>
                <c:pt idx="71">
                  <c:v>42278</c:v>
                </c:pt>
                <c:pt idx="72">
                  <c:v>42279</c:v>
                </c:pt>
                <c:pt idx="73">
                  <c:v>42280</c:v>
                </c:pt>
                <c:pt idx="74">
                  <c:v>42281</c:v>
                </c:pt>
                <c:pt idx="75">
                  <c:v>42282</c:v>
                </c:pt>
                <c:pt idx="76">
                  <c:v>42283</c:v>
                </c:pt>
                <c:pt idx="77">
                  <c:v>42284</c:v>
                </c:pt>
                <c:pt idx="78">
                  <c:v>42285</c:v>
                </c:pt>
                <c:pt idx="79">
                  <c:v>42286</c:v>
                </c:pt>
                <c:pt idx="80">
                  <c:v>42287</c:v>
                </c:pt>
                <c:pt idx="81">
                  <c:v>42288</c:v>
                </c:pt>
                <c:pt idx="82">
                  <c:v>42289</c:v>
                </c:pt>
                <c:pt idx="83">
                  <c:v>42290</c:v>
                </c:pt>
                <c:pt idx="84">
                  <c:v>42291</c:v>
                </c:pt>
                <c:pt idx="85">
                  <c:v>42292</c:v>
                </c:pt>
                <c:pt idx="86">
                  <c:v>42293</c:v>
                </c:pt>
                <c:pt idx="87">
                  <c:v>42294</c:v>
                </c:pt>
                <c:pt idx="88">
                  <c:v>42295</c:v>
                </c:pt>
                <c:pt idx="89">
                  <c:v>42296</c:v>
                </c:pt>
                <c:pt idx="90">
                  <c:v>42297</c:v>
                </c:pt>
                <c:pt idx="91">
                  <c:v>42298</c:v>
                </c:pt>
                <c:pt idx="92">
                  <c:v>42299</c:v>
                </c:pt>
                <c:pt idx="93">
                  <c:v>42300</c:v>
                </c:pt>
                <c:pt idx="94">
                  <c:v>42301</c:v>
                </c:pt>
                <c:pt idx="95">
                  <c:v>42302</c:v>
                </c:pt>
                <c:pt idx="96">
                  <c:v>42303</c:v>
                </c:pt>
                <c:pt idx="97">
                  <c:v>42304</c:v>
                </c:pt>
                <c:pt idx="98">
                  <c:v>42305</c:v>
                </c:pt>
                <c:pt idx="99">
                  <c:v>42306</c:v>
                </c:pt>
                <c:pt idx="100">
                  <c:v>42307</c:v>
                </c:pt>
                <c:pt idx="101">
                  <c:v>42308</c:v>
                </c:pt>
                <c:pt idx="102">
                  <c:v>42309</c:v>
                </c:pt>
                <c:pt idx="103">
                  <c:v>42310</c:v>
                </c:pt>
                <c:pt idx="104">
                  <c:v>42311</c:v>
                </c:pt>
                <c:pt idx="105">
                  <c:v>42312</c:v>
                </c:pt>
                <c:pt idx="106">
                  <c:v>42313</c:v>
                </c:pt>
                <c:pt idx="107">
                  <c:v>42314</c:v>
                </c:pt>
                <c:pt idx="108">
                  <c:v>42315</c:v>
                </c:pt>
                <c:pt idx="109">
                  <c:v>42316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42322</c:v>
                </c:pt>
                <c:pt idx="116">
                  <c:v>42323</c:v>
                </c:pt>
                <c:pt idx="117">
                  <c:v>42324</c:v>
                </c:pt>
                <c:pt idx="118">
                  <c:v>42325</c:v>
                </c:pt>
                <c:pt idx="119">
                  <c:v>42326</c:v>
                </c:pt>
                <c:pt idx="120">
                  <c:v>42327</c:v>
                </c:pt>
                <c:pt idx="121">
                  <c:v>42328</c:v>
                </c:pt>
                <c:pt idx="122">
                  <c:v>42329</c:v>
                </c:pt>
                <c:pt idx="123">
                  <c:v>42330</c:v>
                </c:pt>
                <c:pt idx="124">
                  <c:v>42331</c:v>
                </c:pt>
                <c:pt idx="125">
                  <c:v>42332</c:v>
                </c:pt>
                <c:pt idx="126">
                  <c:v>42333</c:v>
                </c:pt>
                <c:pt idx="127">
                  <c:v>42334</c:v>
                </c:pt>
                <c:pt idx="128">
                  <c:v>42335</c:v>
                </c:pt>
                <c:pt idx="129">
                  <c:v>42336</c:v>
                </c:pt>
                <c:pt idx="130">
                  <c:v>42337</c:v>
                </c:pt>
                <c:pt idx="131">
                  <c:v>42338</c:v>
                </c:pt>
                <c:pt idx="132">
                  <c:v>42339</c:v>
                </c:pt>
                <c:pt idx="133">
                  <c:v>42340</c:v>
                </c:pt>
                <c:pt idx="134">
                  <c:v>42341</c:v>
                </c:pt>
                <c:pt idx="135">
                  <c:v>42342</c:v>
                </c:pt>
                <c:pt idx="136">
                  <c:v>42343</c:v>
                </c:pt>
                <c:pt idx="137">
                  <c:v>42344</c:v>
                </c:pt>
                <c:pt idx="138">
                  <c:v>42345</c:v>
                </c:pt>
                <c:pt idx="139">
                  <c:v>42346</c:v>
                </c:pt>
                <c:pt idx="140">
                  <c:v>42347</c:v>
                </c:pt>
                <c:pt idx="141">
                  <c:v>42348</c:v>
                </c:pt>
                <c:pt idx="142">
                  <c:v>42349</c:v>
                </c:pt>
                <c:pt idx="143">
                  <c:v>42350</c:v>
                </c:pt>
                <c:pt idx="144">
                  <c:v>42351</c:v>
                </c:pt>
                <c:pt idx="145">
                  <c:v>42352</c:v>
                </c:pt>
                <c:pt idx="146">
                  <c:v>42353</c:v>
                </c:pt>
                <c:pt idx="147">
                  <c:v>42354</c:v>
                </c:pt>
                <c:pt idx="148">
                  <c:v>42355</c:v>
                </c:pt>
                <c:pt idx="149">
                  <c:v>42356</c:v>
                </c:pt>
                <c:pt idx="150">
                  <c:v>42357</c:v>
                </c:pt>
                <c:pt idx="151">
                  <c:v>42358</c:v>
                </c:pt>
                <c:pt idx="152">
                  <c:v>42359</c:v>
                </c:pt>
                <c:pt idx="153">
                  <c:v>42360</c:v>
                </c:pt>
                <c:pt idx="154">
                  <c:v>42361</c:v>
                </c:pt>
                <c:pt idx="155">
                  <c:v>42362</c:v>
                </c:pt>
                <c:pt idx="156">
                  <c:v>42363</c:v>
                </c:pt>
                <c:pt idx="157">
                  <c:v>42364</c:v>
                </c:pt>
                <c:pt idx="158">
                  <c:v>42365</c:v>
                </c:pt>
                <c:pt idx="159">
                  <c:v>42366</c:v>
                </c:pt>
                <c:pt idx="160">
                  <c:v>42367</c:v>
                </c:pt>
                <c:pt idx="161">
                  <c:v>42368</c:v>
                </c:pt>
                <c:pt idx="162">
                  <c:v>42369</c:v>
                </c:pt>
                <c:pt idx="163">
                  <c:v>42370</c:v>
                </c:pt>
                <c:pt idx="164">
                  <c:v>42371</c:v>
                </c:pt>
                <c:pt idx="165">
                  <c:v>42372</c:v>
                </c:pt>
                <c:pt idx="166">
                  <c:v>42373</c:v>
                </c:pt>
                <c:pt idx="167">
                  <c:v>42374</c:v>
                </c:pt>
                <c:pt idx="168">
                  <c:v>42375</c:v>
                </c:pt>
                <c:pt idx="169">
                  <c:v>42376</c:v>
                </c:pt>
                <c:pt idx="170">
                  <c:v>42377</c:v>
                </c:pt>
                <c:pt idx="171">
                  <c:v>42378</c:v>
                </c:pt>
                <c:pt idx="172">
                  <c:v>42379</c:v>
                </c:pt>
                <c:pt idx="173">
                  <c:v>42380</c:v>
                </c:pt>
                <c:pt idx="174">
                  <c:v>42381</c:v>
                </c:pt>
                <c:pt idx="175">
                  <c:v>42382</c:v>
                </c:pt>
                <c:pt idx="176">
                  <c:v>42383</c:v>
                </c:pt>
                <c:pt idx="177">
                  <c:v>42384</c:v>
                </c:pt>
                <c:pt idx="178">
                  <c:v>42385</c:v>
                </c:pt>
                <c:pt idx="179">
                  <c:v>42386</c:v>
                </c:pt>
                <c:pt idx="180">
                  <c:v>42387</c:v>
                </c:pt>
                <c:pt idx="181">
                  <c:v>42388</c:v>
                </c:pt>
                <c:pt idx="182">
                  <c:v>42389</c:v>
                </c:pt>
                <c:pt idx="183">
                  <c:v>42390</c:v>
                </c:pt>
                <c:pt idx="184">
                  <c:v>42391</c:v>
                </c:pt>
                <c:pt idx="185">
                  <c:v>42392</c:v>
                </c:pt>
                <c:pt idx="186">
                  <c:v>42393</c:v>
                </c:pt>
                <c:pt idx="187">
                  <c:v>42394</c:v>
                </c:pt>
                <c:pt idx="188">
                  <c:v>42395</c:v>
                </c:pt>
                <c:pt idx="189">
                  <c:v>42396</c:v>
                </c:pt>
                <c:pt idx="190">
                  <c:v>42397</c:v>
                </c:pt>
                <c:pt idx="191">
                  <c:v>42398</c:v>
                </c:pt>
                <c:pt idx="192">
                  <c:v>42399</c:v>
                </c:pt>
                <c:pt idx="193">
                  <c:v>42400</c:v>
                </c:pt>
                <c:pt idx="194">
                  <c:v>42401</c:v>
                </c:pt>
                <c:pt idx="195">
                  <c:v>42402</c:v>
                </c:pt>
                <c:pt idx="196">
                  <c:v>42403</c:v>
                </c:pt>
                <c:pt idx="197">
                  <c:v>42404</c:v>
                </c:pt>
                <c:pt idx="198">
                  <c:v>42405</c:v>
                </c:pt>
                <c:pt idx="199">
                  <c:v>42406</c:v>
                </c:pt>
                <c:pt idx="200">
                  <c:v>42407</c:v>
                </c:pt>
                <c:pt idx="201">
                  <c:v>42408</c:v>
                </c:pt>
                <c:pt idx="202">
                  <c:v>42409</c:v>
                </c:pt>
                <c:pt idx="203">
                  <c:v>42410</c:v>
                </c:pt>
                <c:pt idx="204">
                  <c:v>42411</c:v>
                </c:pt>
                <c:pt idx="205">
                  <c:v>42412</c:v>
                </c:pt>
                <c:pt idx="206">
                  <c:v>42413</c:v>
                </c:pt>
                <c:pt idx="207">
                  <c:v>42414</c:v>
                </c:pt>
                <c:pt idx="208">
                  <c:v>42415</c:v>
                </c:pt>
                <c:pt idx="209">
                  <c:v>42416</c:v>
                </c:pt>
                <c:pt idx="210">
                  <c:v>42417</c:v>
                </c:pt>
                <c:pt idx="211">
                  <c:v>42418</c:v>
                </c:pt>
                <c:pt idx="212">
                  <c:v>42419</c:v>
                </c:pt>
                <c:pt idx="213">
                  <c:v>42420</c:v>
                </c:pt>
                <c:pt idx="214">
                  <c:v>42421</c:v>
                </c:pt>
                <c:pt idx="215">
                  <c:v>42422</c:v>
                </c:pt>
                <c:pt idx="216">
                  <c:v>42423</c:v>
                </c:pt>
                <c:pt idx="217">
                  <c:v>42424</c:v>
                </c:pt>
                <c:pt idx="218">
                  <c:v>42425</c:v>
                </c:pt>
                <c:pt idx="219">
                  <c:v>42426</c:v>
                </c:pt>
                <c:pt idx="220">
                  <c:v>42427</c:v>
                </c:pt>
                <c:pt idx="221">
                  <c:v>42428</c:v>
                </c:pt>
                <c:pt idx="222">
                  <c:v>42429</c:v>
                </c:pt>
                <c:pt idx="223">
                  <c:v>42430</c:v>
                </c:pt>
                <c:pt idx="224">
                  <c:v>42431</c:v>
                </c:pt>
                <c:pt idx="225">
                  <c:v>42432</c:v>
                </c:pt>
                <c:pt idx="226">
                  <c:v>42433</c:v>
                </c:pt>
                <c:pt idx="227">
                  <c:v>42434</c:v>
                </c:pt>
                <c:pt idx="228">
                  <c:v>42435</c:v>
                </c:pt>
                <c:pt idx="229">
                  <c:v>42436</c:v>
                </c:pt>
                <c:pt idx="230">
                  <c:v>42437</c:v>
                </c:pt>
                <c:pt idx="231">
                  <c:v>42438</c:v>
                </c:pt>
                <c:pt idx="232">
                  <c:v>42439</c:v>
                </c:pt>
                <c:pt idx="233">
                  <c:v>42440</c:v>
                </c:pt>
                <c:pt idx="234">
                  <c:v>42441</c:v>
                </c:pt>
                <c:pt idx="235">
                  <c:v>42442</c:v>
                </c:pt>
                <c:pt idx="236">
                  <c:v>42443</c:v>
                </c:pt>
                <c:pt idx="237">
                  <c:v>42444</c:v>
                </c:pt>
                <c:pt idx="238">
                  <c:v>42445</c:v>
                </c:pt>
                <c:pt idx="239">
                  <c:v>42446</c:v>
                </c:pt>
                <c:pt idx="240">
                  <c:v>42447</c:v>
                </c:pt>
                <c:pt idx="241">
                  <c:v>42448</c:v>
                </c:pt>
                <c:pt idx="242">
                  <c:v>42449</c:v>
                </c:pt>
                <c:pt idx="243">
                  <c:v>42450</c:v>
                </c:pt>
                <c:pt idx="244">
                  <c:v>42451</c:v>
                </c:pt>
                <c:pt idx="245">
                  <c:v>42452</c:v>
                </c:pt>
                <c:pt idx="246">
                  <c:v>42453</c:v>
                </c:pt>
                <c:pt idx="247">
                  <c:v>42454</c:v>
                </c:pt>
                <c:pt idx="248">
                  <c:v>42455</c:v>
                </c:pt>
                <c:pt idx="249">
                  <c:v>42456</c:v>
                </c:pt>
                <c:pt idx="250">
                  <c:v>42457</c:v>
                </c:pt>
                <c:pt idx="251">
                  <c:v>42458</c:v>
                </c:pt>
                <c:pt idx="252">
                  <c:v>42459</c:v>
                </c:pt>
                <c:pt idx="253">
                  <c:v>42460</c:v>
                </c:pt>
                <c:pt idx="254">
                  <c:v>42461</c:v>
                </c:pt>
                <c:pt idx="255">
                  <c:v>42462</c:v>
                </c:pt>
                <c:pt idx="256">
                  <c:v>42463</c:v>
                </c:pt>
                <c:pt idx="257">
                  <c:v>42464</c:v>
                </c:pt>
                <c:pt idx="258">
                  <c:v>42465</c:v>
                </c:pt>
                <c:pt idx="259">
                  <c:v>42466</c:v>
                </c:pt>
                <c:pt idx="260">
                  <c:v>42467</c:v>
                </c:pt>
                <c:pt idx="261">
                  <c:v>42468</c:v>
                </c:pt>
                <c:pt idx="262">
                  <c:v>42469</c:v>
                </c:pt>
                <c:pt idx="263">
                  <c:v>42470</c:v>
                </c:pt>
                <c:pt idx="264">
                  <c:v>42471</c:v>
                </c:pt>
                <c:pt idx="265">
                  <c:v>42472</c:v>
                </c:pt>
                <c:pt idx="266">
                  <c:v>42473</c:v>
                </c:pt>
                <c:pt idx="267">
                  <c:v>42474</c:v>
                </c:pt>
                <c:pt idx="268">
                  <c:v>42475</c:v>
                </c:pt>
                <c:pt idx="269">
                  <c:v>42476</c:v>
                </c:pt>
                <c:pt idx="270">
                  <c:v>42477</c:v>
                </c:pt>
                <c:pt idx="271">
                  <c:v>42478</c:v>
                </c:pt>
                <c:pt idx="272">
                  <c:v>42479</c:v>
                </c:pt>
                <c:pt idx="273">
                  <c:v>42480</c:v>
                </c:pt>
                <c:pt idx="274">
                  <c:v>42481</c:v>
                </c:pt>
                <c:pt idx="275">
                  <c:v>42482</c:v>
                </c:pt>
                <c:pt idx="276">
                  <c:v>42483</c:v>
                </c:pt>
                <c:pt idx="277">
                  <c:v>42484</c:v>
                </c:pt>
                <c:pt idx="278">
                  <c:v>42485</c:v>
                </c:pt>
                <c:pt idx="279">
                  <c:v>42486</c:v>
                </c:pt>
                <c:pt idx="280">
                  <c:v>42487</c:v>
                </c:pt>
                <c:pt idx="281">
                  <c:v>42488</c:v>
                </c:pt>
                <c:pt idx="282">
                  <c:v>42489</c:v>
                </c:pt>
                <c:pt idx="283">
                  <c:v>42490</c:v>
                </c:pt>
                <c:pt idx="284">
                  <c:v>42491</c:v>
                </c:pt>
                <c:pt idx="285">
                  <c:v>42492</c:v>
                </c:pt>
                <c:pt idx="286">
                  <c:v>42493</c:v>
                </c:pt>
                <c:pt idx="287">
                  <c:v>42494</c:v>
                </c:pt>
                <c:pt idx="288">
                  <c:v>42495</c:v>
                </c:pt>
                <c:pt idx="289">
                  <c:v>42496</c:v>
                </c:pt>
                <c:pt idx="290">
                  <c:v>42497</c:v>
                </c:pt>
                <c:pt idx="291">
                  <c:v>42498</c:v>
                </c:pt>
                <c:pt idx="292">
                  <c:v>42499</c:v>
                </c:pt>
                <c:pt idx="293">
                  <c:v>42500</c:v>
                </c:pt>
                <c:pt idx="294">
                  <c:v>42501</c:v>
                </c:pt>
                <c:pt idx="295">
                  <c:v>42502</c:v>
                </c:pt>
                <c:pt idx="296">
                  <c:v>42503</c:v>
                </c:pt>
                <c:pt idx="297">
                  <c:v>42504</c:v>
                </c:pt>
                <c:pt idx="298">
                  <c:v>42505</c:v>
                </c:pt>
                <c:pt idx="299">
                  <c:v>42506</c:v>
                </c:pt>
                <c:pt idx="300">
                  <c:v>42507</c:v>
                </c:pt>
                <c:pt idx="301">
                  <c:v>42508</c:v>
                </c:pt>
                <c:pt idx="302">
                  <c:v>42509</c:v>
                </c:pt>
                <c:pt idx="303">
                  <c:v>42510</c:v>
                </c:pt>
                <c:pt idx="304">
                  <c:v>42511</c:v>
                </c:pt>
                <c:pt idx="305">
                  <c:v>42512</c:v>
                </c:pt>
                <c:pt idx="306">
                  <c:v>42513</c:v>
                </c:pt>
                <c:pt idx="307">
                  <c:v>42514</c:v>
                </c:pt>
                <c:pt idx="308">
                  <c:v>42515</c:v>
                </c:pt>
                <c:pt idx="309">
                  <c:v>42516</c:v>
                </c:pt>
                <c:pt idx="310">
                  <c:v>42517</c:v>
                </c:pt>
                <c:pt idx="311">
                  <c:v>42518</c:v>
                </c:pt>
                <c:pt idx="312">
                  <c:v>42519</c:v>
                </c:pt>
                <c:pt idx="313">
                  <c:v>42520</c:v>
                </c:pt>
                <c:pt idx="314">
                  <c:v>42521</c:v>
                </c:pt>
                <c:pt idx="315">
                  <c:v>42522</c:v>
                </c:pt>
                <c:pt idx="316">
                  <c:v>42523</c:v>
                </c:pt>
                <c:pt idx="317">
                  <c:v>42524</c:v>
                </c:pt>
                <c:pt idx="318">
                  <c:v>42525</c:v>
                </c:pt>
                <c:pt idx="319">
                  <c:v>42526</c:v>
                </c:pt>
                <c:pt idx="320">
                  <c:v>42527</c:v>
                </c:pt>
                <c:pt idx="321">
                  <c:v>42528</c:v>
                </c:pt>
                <c:pt idx="322">
                  <c:v>42529</c:v>
                </c:pt>
                <c:pt idx="323">
                  <c:v>42530</c:v>
                </c:pt>
                <c:pt idx="324">
                  <c:v>42531</c:v>
                </c:pt>
                <c:pt idx="325">
                  <c:v>42532</c:v>
                </c:pt>
                <c:pt idx="326">
                  <c:v>42533</c:v>
                </c:pt>
                <c:pt idx="327">
                  <c:v>42534</c:v>
                </c:pt>
                <c:pt idx="328">
                  <c:v>42535</c:v>
                </c:pt>
                <c:pt idx="329">
                  <c:v>42536</c:v>
                </c:pt>
                <c:pt idx="330">
                  <c:v>42537</c:v>
                </c:pt>
                <c:pt idx="331">
                  <c:v>42538</c:v>
                </c:pt>
                <c:pt idx="332">
                  <c:v>42539</c:v>
                </c:pt>
                <c:pt idx="333">
                  <c:v>42540</c:v>
                </c:pt>
                <c:pt idx="334">
                  <c:v>42541</c:v>
                </c:pt>
                <c:pt idx="335">
                  <c:v>42542</c:v>
                </c:pt>
                <c:pt idx="336">
                  <c:v>42543</c:v>
                </c:pt>
                <c:pt idx="337">
                  <c:v>42544</c:v>
                </c:pt>
                <c:pt idx="338">
                  <c:v>42545</c:v>
                </c:pt>
                <c:pt idx="339">
                  <c:v>42546</c:v>
                </c:pt>
                <c:pt idx="340">
                  <c:v>42547</c:v>
                </c:pt>
                <c:pt idx="341">
                  <c:v>42548</c:v>
                </c:pt>
                <c:pt idx="342">
                  <c:v>42549</c:v>
                </c:pt>
                <c:pt idx="343">
                  <c:v>42550</c:v>
                </c:pt>
                <c:pt idx="344">
                  <c:v>42551</c:v>
                </c:pt>
                <c:pt idx="345">
                  <c:v>42552</c:v>
                </c:pt>
                <c:pt idx="346">
                  <c:v>42553</c:v>
                </c:pt>
                <c:pt idx="347">
                  <c:v>42554</c:v>
                </c:pt>
                <c:pt idx="348">
                  <c:v>42555</c:v>
                </c:pt>
                <c:pt idx="349">
                  <c:v>42556</c:v>
                </c:pt>
                <c:pt idx="350">
                  <c:v>42557</c:v>
                </c:pt>
                <c:pt idx="351">
                  <c:v>42558</c:v>
                </c:pt>
                <c:pt idx="352">
                  <c:v>42559</c:v>
                </c:pt>
                <c:pt idx="353">
                  <c:v>42560</c:v>
                </c:pt>
                <c:pt idx="354">
                  <c:v>42561</c:v>
                </c:pt>
                <c:pt idx="355">
                  <c:v>42562</c:v>
                </c:pt>
                <c:pt idx="356">
                  <c:v>42563</c:v>
                </c:pt>
                <c:pt idx="357">
                  <c:v>42564</c:v>
                </c:pt>
                <c:pt idx="358">
                  <c:v>42565</c:v>
                </c:pt>
                <c:pt idx="359">
                  <c:v>42566</c:v>
                </c:pt>
                <c:pt idx="360">
                  <c:v>42567</c:v>
                </c:pt>
                <c:pt idx="361">
                  <c:v>42568</c:v>
                </c:pt>
                <c:pt idx="362">
                  <c:v>42569</c:v>
                </c:pt>
                <c:pt idx="363">
                  <c:v>42570</c:v>
                </c:pt>
                <c:pt idx="364">
                  <c:v>42571</c:v>
                </c:pt>
                <c:pt idx="365">
                  <c:v>42572</c:v>
                </c:pt>
                <c:pt idx="366">
                  <c:v>42573</c:v>
                </c:pt>
                <c:pt idx="367">
                  <c:v>42574</c:v>
                </c:pt>
                <c:pt idx="368">
                  <c:v>42575</c:v>
                </c:pt>
                <c:pt idx="369">
                  <c:v>42576</c:v>
                </c:pt>
                <c:pt idx="370">
                  <c:v>42577</c:v>
                </c:pt>
                <c:pt idx="371">
                  <c:v>42578</c:v>
                </c:pt>
                <c:pt idx="372">
                  <c:v>42579</c:v>
                </c:pt>
                <c:pt idx="373">
                  <c:v>42580</c:v>
                </c:pt>
                <c:pt idx="374">
                  <c:v>42581</c:v>
                </c:pt>
                <c:pt idx="375">
                  <c:v>42582</c:v>
                </c:pt>
                <c:pt idx="376">
                  <c:v>42583</c:v>
                </c:pt>
                <c:pt idx="377">
                  <c:v>42584</c:v>
                </c:pt>
                <c:pt idx="378">
                  <c:v>42585</c:v>
                </c:pt>
                <c:pt idx="379">
                  <c:v>42586</c:v>
                </c:pt>
                <c:pt idx="380">
                  <c:v>42587</c:v>
                </c:pt>
                <c:pt idx="381">
                  <c:v>42588</c:v>
                </c:pt>
                <c:pt idx="382">
                  <c:v>42589</c:v>
                </c:pt>
                <c:pt idx="383">
                  <c:v>42590</c:v>
                </c:pt>
                <c:pt idx="384">
                  <c:v>42591</c:v>
                </c:pt>
                <c:pt idx="385">
                  <c:v>42592</c:v>
                </c:pt>
                <c:pt idx="386">
                  <c:v>42593</c:v>
                </c:pt>
                <c:pt idx="387">
                  <c:v>42594</c:v>
                </c:pt>
                <c:pt idx="388">
                  <c:v>42595</c:v>
                </c:pt>
                <c:pt idx="389">
                  <c:v>42596</c:v>
                </c:pt>
                <c:pt idx="390">
                  <c:v>42597</c:v>
                </c:pt>
                <c:pt idx="391">
                  <c:v>42598</c:v>
                </c:pt>
                <c:pt idx="392">
                  <c:v>42599</c:v>
                </c:pt>
                <c:pt idx="393">
                  <c:v>42600</c:v>
                </c:pt>
                <c:pt idx="394">
                  <c:v>42601</c:v>
                </c:pt>
                <c:pt idx="395">
                  <c:v>42602</c:v>
                </c:pt>
                <c:pt idx="396">
                  <c:v>42603</c:v>
                </c:pt>
                <c:pt idx="397">
                  <c:v>42604</c:v>
                </c:pt>
                <c:pt idx="398">
                  <c:v>42605</c:v>
                </c:pt>
                <c:pt idx="399">
                  <c:v>42606</c:v>
                </c:pt>
                <c:pt idx="400">
                  <c:v>42607</c:v>
                </c:pt>
                <c:pt idx="401">
                  <c:v>42608</c:v>
                </c:pt>
                <c:pt idx="402">
                  <c:v>42609</c:v>
                </c:pt>
                <c:pt idx="403">
                  <c:v>42610</c:v>
                </c:pt>
                <c:pt idx="404">
                  <c:v>42611</c:v>
                </c:pt>
                <c:pt idx="405">
                  <c:v>42612</c:v>
                </c:pt>
                <c:pt idx="406">
                  <c:v>42613</c:v>
                </c:pt>
                <c:pt idx="407">
                  <c:v>42614</c:v>
                </c:pt>
                <c:pt idx="408">
                  <c:v>42615</c:v>
                </c:pt>
                <c:pt idx="409">
                  <c:v>42616</c:v>
                </c:pt>
                <c:pt idx="410">
                  <c:v>42617</c:v>
                </c:pt>
                <c:pt idx="411">
                  <c:v>42618</c:v>
                </c:pt>
                <c:pt idx="412">
                  <c:v>42619</c:v>
                </c:pt>
                <c:pt idx="413">
                  <c:v>42620</c:v>
                </c:pt>
                <c:pt idx="414">
                  <c:v>42621</c:v>
                </c:pt>
                <c:pt idx="415">
                  <c:v>42622</c:v>
                </c:pt>
                <c:pt idx="416">
                  <c:v>42623</c:v>
                </c:pt>
                <c:pt idx="417">
                  <c:v>42624</c:v>
                </c:pt>
                <c:pt idx="418">
                  <c:v>42625</c:v>
                </c:pt>
                <c:pt idx="419">
                  <c:v>42626</c:v>
                </c:pt>
                <c:pt idx="420">
                  <c:v>42627</c:v>
                </c:pt>
                <c:pt idx="421">
                  <c:v>42628</c:v>
                </c:pt>
                <c:pt idx="422">
                  <c:v>42629</c:v>
                </c:pt>
                <c:pt idx="423">
                  <c:v>42630</c:v>
                </c:pt>
                <c:pt idx="424">
                  <c:v>42631</c:v>
                </c:pt>
                <c:pt idx="425">
                  <c:v>42632</c:v>
                </c:pt>
                <c:pt idx="426">
                  <c:v>42633</c:v>
                </c:pt>
                <c:pt idx="427">
                  <c:v>42634</c:v>
                </c:pt>
                <c:pt idx="428">
                  <c:v>42635</c:v>
                </c:pt>
                <c:pt idx="429">
                  <c:v>42636</c:v>
                </c:pt>
                <c:pt idx="430">
                  <c:v>42637</c:v>
                </c:pt>
                <c:pt idx="431">
                  <c:v>42638</c:v>
                </c:pt>
                <c:pt idx="432">
                  <c:v>42639</c:v>
                </c:pt>
                <c:pt idx="433">
                  <c:v>42640</c:v>
                </c:pt>
                <c:pt idx="434">
                  <c:v>42641</c:v>
                </c:pt>
                <c:pt idx="435">
                  <c:v>42642</c:v>
                </c:pt>
                <c:pt idx="436">
                  <c:v>42643</c:v>
                </c:pt>
                <c:pt idx="437">
                  <c:v>42644</c:v>
                </c:pt>
                <c:pt idx="438">
                  <c:v>42645</c:v>
                </c:pt>
                <c:pt idx="439">
                  <c:v>42646</c:v>
                </c:pt>
                <c:pt idx="440">
                  <c:v>42647</c:v>
                </c:pt>
                <c:pt idx="441">
                  <c:v>42648</c:v>
                </c:pt>
                <c:pt idx="442">
                  <c:v>42649</c:v>
                </c:pt>
                <c:pt idx="443">
                  <c:v>42650</c:v>
                </c:pt>
                <c:pt idx="444">
                  <c:v>42651</c:v>
                </c:pt>
                <c:pt idx="445">
                  <c:v>42652</c:v>
                </c:pt>
                <c:pt idx="446">
                  <c:v>42653</c:v>
                </c:pt>
                <c:pt idx="447">
                  <c:v>42654</c:v>
                </c:pt>
                <c:pt idx="448">
                  <c:v>42655</c:v>
                </c:pt>
                <c:pt idx="449">
                  <c:v>42656</c:v>
                </c:pt>
                <c:pt idx="450">
                  <c:v>42657</c:v>
                </c:pt>
                <c:pt idx="451">
                  <c:v>42658</c:v>
                </c:pt>
                <c:pt idx="452">
                  <c:v>42659</c:v>
                </c:pt>
                <c:pt idx="453">
                  <c:v>42660</c:v>
                </c:pt>
                <c:pt idx="454">
                  <c:v>42661</c:v>
                </c:pt>
                <c:pt idx="455">
                  <c:v>42662</c:v>
                </c:pt>
                <c:pt idx="456">
                  <c:v>42663</c:v>
                </c:pt>
                <c:pt idx="457">
                  <c:v>42664</c:v>
                </c:pt>
                <c:pt idx="458">
                  <c:v>42665</c:v>
                </c:pt>
                <c:pt idx="459">
                  <c:v>42666</c:v>
                </c:pt>
                <c:pt idx="460">
                  <c:v>42667</c:v>
                </c:pt>
                <c:pt idx="461">
                  <c:v>42668</c:v>
                </c:pt>
                <c:pt idx="462">
                  <c:v>42669</c:v>
                </c:pt>
                <c:pt idx="463">
                  <c:v>42670</c:v>
                </c:pt>
                <c:pt idx="464">
                  <c:v>42671</c:v>
                </c:pt>
                <c:pt idx="465">
                  <c:v>42672</c:v>
                </c:pt>
                <c:pt idx="466">
                  <c:v>42673</c:v>
                </c:pt>
                <c:pt idx="467">
                  <c:v>42674</c:v>
                </c:pt>
                <c:pt idx="468">
                  <c:v>42675</c:v>
                </c:pt>
                <c:pt idx="469">
                  <c:v>42676</c:v>
                </c:pt>
                <c:pt idx="470">
                  <c:v>42677</c:v>
                </c:pt>
                <c:pt idx="471">
                  <c:v>42678</c:v>
                </c:pt>
                <c:pt idx="472">
                  <c:v>42679</c:v>
                </c:pt>
                <c:pt idx="473">
                  <c:v>42680</c:v>
                </c:pt>
                <c:pt idx="474">
                  <c:v>42681</c:v>
                </c:pt>
                <c:pt idx="475">
                  <c:v>42682</c:v>
                </c:pt>
                <c:pt idx="476">
                  <c:v>42683</c:v>
                </c:pt>
                <c:pt idx="477">
                  <c:v>42684</c:v>
                </c:pt>
                <c:pt idx="478">
                  <c:v>42685</c:v>
                </c:pt>
                <c:pt idx="479">
                  <c:v>42686</c:v>
                </c:pt>
                <c:pt idx="480">
                  <c:v>42687</c:v>
                </c:pt>
                <c:pt idx="481">
                  <c:v>42688</c:v>
                </c:pt>
                <c:pt idx="482">
                  <c:v>42689</c:v>
                </c:pt>
                <c:pt idx="483">
                  <c:v>42690</c:v>
                </c:pt>
                <c:pt idx="484">
                  <c:v>42691</c:v>
                </c:pt>
                <c:pt idx="485">
                  <c:v>42692</c:v>
                </c:pt>
                <c:pt idx="486">
                  <c:v>42693</c:v>
                </c:pt>
                <c:pt idx="487">
                  <c:v>42694</c:v>
                </c:pt>
                <c:pt idx="488">
                  <c:v>42695</c:v>
                </c:pt>
                <c:pt idx="489">
                  <c:v>42696</c:v>
                </c:pt>
                <c:pt idx="490">
                  <c:v>42697</c:v>
                </c:pt>
                <c:pt idx="491">
                  <c:v>42698</c:v>
                </c:pt>
                <c:pt idx="492">
                  <c:v>42699</c:v>
                </c:pt>
                <c:pt idx="493">
                  <c:v>42700</c:v>
                </c:pt>
                <c:pt idx="494">
                  <c:v>42701</c:v>
                </c:pt>
                <c:pt idx="495">
                  <c:v>42702</c:v>
                </c:pt>
                <c:pt idx="496">
                  <c:v>42703</c:v>
                </c:pt>
                <c:pt idx="497">
                  <c:v>42704</c:v>
                </c:pt>
                <c:pt idx="498">
                  <c:v>42705</c:v>
                </c:pt>
                <c:pt idx="499">
                  <c:v>42706</c:v>
                </c:pt>
                <c:pt idx="500">
                  <c:v>42707</c:v>
                </c:pt>
                <c:pt idx="501">
                  <c:v>42708</c:v>
                </c:pt>
                <c:pt idx="502">
                  <c:v>42709</c:v>
                </c:pt>
                <c:pt idx="503">
                  <c:v>42710</c:v>
                </c:pt>
                <c:pt idx="504">
                  <c:v>42711</c:v>
                </c:pt>
                <c:pt idx="505">
                  <c:v>42712</c:v>
                </c:pt>
                <c:pt idx="506">
                  <c:v>42713</c:v>
                </c:pt>
                <c:pt idx="507">
                  <c:v>42714</c:v>
                </c:pt>
                <c:pt idx="508">
                  <c:v>42715</c:v>
                </c:pt>
                <c:pt idx="509">
                  <c:v>42716</c:v>
                </c:pt>
                <c:pt idx="510">
                  <c:v>42717</c:v>
                </c:pt>
                <c:pt idx="511">
                  <c:v>42718</c:v>
                </c:pt>
                <c:pt idx="512">
                  <c:v>42719</c:v>
                </c:pt>
                <c:pt idx="513">
                  <c:v>42720</c:v>
                </c:pt>
                <c:pt idx="514">
                  <c:v>42721</c:v>
                </c:pt>
                <c:pt idx="515">
                  <c:v>42722</c:v>
                </c:pt>
                <c:pt idx="516">
                  <c:v>42723</c:v>
                </c:pt>
                <c:pt idx="517">
                  <c:v>42724</c:v>
                </c:pt>
                <c:pt idx="518">
                  <c:v>42725</c:v>
                </c:pt>
                <c:pt idx="519">
                  <c:v>42726</c:v>
                </c:pt>
                <c:pt idx="520">
                  <c:v>42727</c:v>
                </c:pt>
                <c:pt idx="521">
                  <c:v>42728</c:v>
                </c:pt>
                <c:pt idx="522">
                  <c:v>42729</c:v>
                </c:pt>
                <c:pt idx="523">
                  <c:v>42730</c:v>
                </c:pt>
                <c:pt idx="524">
                  <c:v>42731</c:v>
                </c:pt>
                <c:pt idx="525">
                  <c:v>42732</c:v>
                </c:pt>
                <c:pt idx="526">
                  <c:v>42733</c:v>
                </c:pt>
                <c:pt idx="527">
                  <c:v>42734</c:v>
                </c:pt>
                <c:pt idx="528">
                  <c:v>42735</c:v>
                </c:pt>
                <c:pt idx="529">
                  <c:v>42736</c:v>
                </c:pt>
                <c:pt idx="530">
                  <c:v>42737</c:v>
                </c:pt>
                <c:pt idx="531">
                  <c:v>42738</c:v>
                </c:pt>
                <c:pt idx="532">
                  <c:v>42739</c:v>
                </c:pt>
                <c:pt idx="533">
                  <c:v>42740</c:v>
                </c:pt>
                <c:pt idx="534">
                  <c:v>42741</c:v>
                </c:pt>
                <c:pt idx="535">
                  <c:v>42742</c:v>
                </c:pt>
                <c:pt idx="536">
                  <c:v>42743</c:v>
                </c:pt>
                <c:pt idx="537">
                  <c:v>42744</c:v>
                </c:pt>
                <c:pt idx="538">
                  <c:v>42745</c:v>
                </c:pt>
                <c:pt idx="539">
                  <c:v>42746</c:v>
                </c:pt>
                <c:pt idx="540">
                  <c:v>42747</c:v>
                </c:pt>
                <c:pt idx="541">
                  <c:v>42748</c:v>
                </c:pt>
                <c:pt idx="542">
                  <c:v>42749</c:v>
                </c:pt>
                <c:pt idx="543">
                  <c:v>42750</c:v>
                </c:pt>
                <c:pt idx="544">
                  <c:v>42751</c:v>
                </c:pt>
                <c:pt idx="545">
                  <c:v>42752</c:v>
                </c:pt>
                <c:pt idx="546">
                  <c:v>42753</c:v>
                </c:pt>
                <c:pt idx="547">
                  <c:v>42754</c:v>
                </c:pt>
                <c:pt idx="548">
                  <c:v>42755</c:v>
                </c:pt>
                <c:pt idx="549">
                  <c:v>42756</c:v>
                </c:pt>
                <c:pt idx="550">
                  <c:v>42757</c:v>
                </c:pt>
                <c:pt idx="551">
                  <c:v>42758</c:v>
                </c:pt>
                <c:pt idx="552">
                  <c:v>42759</c:v>
                </c:pt>
                <c:pt idx="553">
                  <c:v>42760</c:v>
                </c:pt>
                <c:pt idx="554">
                  <c:v>42761</c:v>
                </c:pt>
                <c:pt idx="555">
                  <c:v>42762</c:v>
                </c:pt>
                <c:pt idx="556">
                  <c:v>42763</c:v>
                </c:pt>
                <c:pt idx="557">
                  <c:v>42764</c:v>
                </c:pt>
                <c:pt idx="558">
                  <c:v>42765</c:v>
                </c:pt>
                <c:pt idx="559">
                  <c:v>42766</c:v>
                </c:pt>
                <c:pt idx="560">
                  <c:v>42767</c:v>
                </c:pt>
                <c:pt idx="561">
                  <c:v>42768</c:v>
                </c:pt>
                <c:pt idx="562">
                  <c:v>42769</c:v>
                </c:pt>
                <c:pt idx="563">
                  <c:v>42770</c:v>
                </c:pt>
                <c:pt idx="564">
                  <c:v>42771</c:v>
                </c:pt>
                <c:pt idx="565">
                  <c:v>42772</c:v>
                </c:pt>
                <c:pt idx="566">
                  <c:v>42773</c:v>
                </c:pt>
                <c:pt idx="567">
                  <c:v>42774</c:v>
                </c:pt>
                <c:pt idx="568">
                  <c:v>42775</c:v>
                </c:pt>
                <c:pt idx="569">
                  <c:v>42776</c:v>
                </c:pt>
                <c:pt idx="570">
                  <c:v>42777</c:v>
                </c:pt>
                <c:pt idx="571">
                  <c:v>42778</c:v>
                </c:pt>
                <c:pt idx="572">
                  <c:v>42779</c:v>
                </c:pt>
                <c:pt idx="573">
                  <c:v>42780</c:v>
                </c:pt>
                <c:pt idx="574">
                  <c:v>42781</c:v>
                </c:pt>
                <c:pt idx="575">
                  <c:v>42782</c:v>
                </c:pt>
                <c:pt idx="576">
                  <c:v>42783</c:v>
                </c:pt>
                <c:pt idx="577">
                  <c:v>42784</c:v>
                </c:pt>
                <c:pt idx="578">
                  <c:v>42785</c:v>
                </c:pt>
                <c:pt idx="579">
                  <c:v>42786</c:v>
                </c:pt>
                <c:pt idx="580">
                  <c:v>42787</c:v>
                </c:pt>
                <c:pt idx="581">
                  <c:v>42788</c:v>
                </c:pt>
                <c:pt idx="582">
                  <c:v>42789</c:v>
                </c:pt>
                <c:pt idx="583">
                  <c:v>42790</c:v>
                </c:pt>
                <c:pt idx="584">
                  <c:v>42791</c:v>
                </c:pt>
                <c:pt idx="585">
                  <c:v>42792</c:v>
                </c:pt>
                <c:pt idx="586">
                  <c:v>42793</c:v>
                </c:pt>
                <c:pt idx="587">
                  <c:v>42794</c:v>
                </c:pt>
                <c:pt idx="588">
                  <c:v>42795</c:v>
                </c:pt>
                <c:pt idx="589">
                  <c:v>42796</c:v>
                </c:pt>
                <c:pt idx="590">
                  <c:v>42797</c:v>
                </c:pt>
                <c:pt idx="591">
                  <c:v>42798</c:v>
                </c:pt>
                <c:pt idx="592">
                  <c:v>42799</c:v>
                </c:pt>
                <c:pt idx="593">
                  <c:v>42800</c:v>
                </c:pt>
                <c:pt idx="594">
                  <c:v>42801</c:v>
                </c:pt>
                <c:pt idx="595">
                  <c:v>42802</c:v>
                </c:pt>
                <c:pt idx="596">
                  <c:v>42803</c:v>
                </c:pt>
                <c:pt idx="597">
                  <c:v>42804</c:v>
                </c:pt>
                <c:pt idx="598">
                  <c:v>42805</c:v>
                </c:pt>
                <c:pt idx="599">
                  <c:v>42806</c:v>
                </c:pt>
                <c:pt idx="600">
                  <c:v>42807</c:v>
                </c:pt>
                <c:pt idx="601">
                  <c:v>42808</c:v>
                </c:pt>
                <c:pt idx="602">
                  <c:v>42809</c:v>
                </c:pt>
                <c:pt idx="603">
                  <c:v>42810</c:v>
                </c:pt>
                <c:pt idx="604">
                  <c:v>42811</c:v>
                </c:pt>
                <c:pt idx="605">
                  <c:v>42812</c:v>
                </c:pt>
                <c:pt idx="606">
                  <c:v>42813</c:v>
                </c:pt>
                <c:pt idx="607">
                  <c:v>42814</c:v>
                </c:pt>
                <c:pt idx="608">
                  <c:v>42815</c:v>
                </c:pt>
                <c:pt idx="609">
                  <c:v>42816</c:v>
                </c:pt>
                <c:pt idx="610">
                  <c:v>42817</c:v>
                </c:pt>
                <c:pt idx="611">
                  <c:v>42818</c:v>
                </c:pt>
                <c:pt idx="612">
                  <c:v>42819</c:v>
                </c:pt>
                <c:pt idx="613">
                  <c:v>42820</c:v>
                </c:pt>
                <c:pt idx="614">
                  <c:v>42821</c:v>
                </c:pt>
                <c:pt idx="615">
                  <c:v>42822</c:v>
                </c:pt>
                <c:pt idx="616">
                  <c:v>42823</c:v>
                </c:pt>
                <c:pt idx="617">
                  <c:v>42824</c:v>
                </c:pt>
                <c:pt idx="618">
                  <c:v>42825</c:v>
                </c:pt>
                <c:pt idx="619">
                  <c:v>42826</c:v>
                </c:pt>
                <c:pt idx="620">
                  <c:v>42827</c:v>
                </c:pt>
                <c:pt idx="621">
                  <c:v>42828</c:v>
                </c:pt>
                <c:pt idx="622">
                  <c:v>42829</c:v>
                </c:pt>
                <c:pt idx="623">
                  <c:v>42830</c:v>
                </c:pt>
                <c:pt idx="624">
                  <c:v>42831</c:v>
                </c:pt>
                <c:pt idx="625">
                  <c:v>42832</c:v>
                </c:pt>
                <c:pt idx="626">
                  <c:v>42833</c:v>
                </c:pt>
                <c:pt idx="627">
                  <c:v>42834</c:v>
                </c:pt>
                <c:pt idx="628">
                  <c:v>42835</c:v>
                </c:pt>
                <c:pt idx="629">
                  <c:v>42836</c:v>
                </c:pt>
                <c:pt idx="630">
                  <c:v>42837</c:v>
                </c:pt>
                <c:pt idx="631">
                  <c:v>42838</c:v>
                </c:pt>
                <c:pt idx="632">
                  <c:v>42839</c:v>
                </c:pt>
                <c:pt idx="633">
                  <c:v>42840</c:v>
                </c:pt>
                <c:pt idx="634">
                  <c:v>42841</c:v>
                </c:pt>
                <c:pt idx="635">
                  <c:v>42842</c:v>
                </c:pt>
                <c:pt idx="636">
                  <c:v>42843</c:v>
                </c:pt>
                <c:pt idx="637">
                  <c:v>42844</c:v>
                </c:pt>
                <c:pt idx="638">
                  <c:v>42845</c:v>
                </c:pt>
                <c:pt idx="639">
                  <c:v>42846</c:v>
                </c:pt>
                <c:pt idx="640">
                  <c:v>42847</c:v>
                </c:pt>
                <c:pt idx="641">
                  <c:v>42848</c:v>
                </c:pt>
                <c:pt idx="642">
                  <c:v>42849</c:v>
                </c:pt>
                <c:pt idx="643">
                  <c:v>42850</c:v>
                </c:pt>
                <c:pt idx="644">
                  <c:v>42851</c:v>
                </c:pt>
                <c:pt idx="645">
                  <c:v>42852</c:v>
                </c:pt>
                <c:pt idx="646">
                  <c:v>42853</c:v>
                </c:pt>
                <c:pt idx="647">
                  <c:v>42854</c:v>
                </c:pt>
                <c:pt idx="648">
                  <c:v>42855</c:v>
                </c:pt>
                <c:pt idx="649">
                  <c:v>42856</c:v>
                </c:pt>
                <c:pt idx="650">
                  <c:v>42857</c:v>
                </c:pt>
                <c:pt idx="651">
                  <c:v>42858</c:v>
                </c:pt>
                <c:pt idx="652">
                  <c:v>42859</c:v>
                </c:pt>
                <c:pt idx="653">
                  <c:v>42860</c:v>
                </c:pt>
                <c:pt idx="654">
                  <c:v>42861</c:v>
                </c:pt>
                <c:pt idx="655">
                  <c:v>42862</c:v>
                </c:pt>
                <c:pt idx="656">
                  <c:v>42863</c:v>
                </c:pt>
                <c:pt idx="657">
                  <c:v>42864</c:v>
                </c:pt>
                <c:pt idx="658">
                  <c:v>42865</c:v>
                </c:pt>
                <c:pt idx="659">
                  <c:v>42866</c:v>
                </c:pt>
                <c:pt idx="660">
                  <c:v>42867</c:v>
                </c:pt>
                <c:pt idx="661">
                  <c:v>42868</c:v>
                </c:pt>
                <c:pt idx="662">
                  <c:v>42869</c:v>
                </c:pt>
                <c:pt idx="663">
                  <c:v>42870</c:v>
                </c:pt>
                <c:pt idx="664">
                  <c:v>42871</c:v>
                </c:pt>
                <c:pt idx="665">
                  <c:v>42872</c:v>
                </c:pt>
                <c:pt idx="666">
                  <c:v>42873</c:v>
                </c:pt>
                <c:pt idx="667">
                  <c:v>42874</c:v>
                </c:pt>
                <c:pt idx="668">
                  <c:v>42875</c:v>
                </c:pt>
                <c:pt idx="669">
                  <c:v>42876</c:v>
                </c:pt>
                <c:pt idx="670">
                  <c:v>42877</c:v>
                </c:pt>
                <c:pt idx="671">
                  <c:v>42878</c:v>
                </c:pt>
                <c:pt idx="672">
                  <c:v>42879</c:v>
                </c:pt>
                <c:pt idx="673">
                  <c:v>42880</c:v>
                </c:pt>
                <c:pt idx="674">
                  <c:v>42881</c:v>
                </c:pt>
                <c:pt idx="675">
                  <c:v>42882</c:v>
                </c:pt>
                <c:pt idx="676">
                  <c:v>42883</c:v>
                </c:pt>
                <c:pt idx="677">
                  <c:v>42884</c:v>
                </c:pt>
                <c:pt idx="678">
                  <c:v>42885</c:v>
                </c:pt>
                <c:pt idx="679">
                  <c:v>42886</c:v>
                </c:pt>
                <c:pt idx="680">
                  <c:v>42887</c:v>
                </c:pt>
                <c:pt idx="681">
                  <c:v>42888</c:v>
                </c:pt>
                <c:pt idx="682">
                  <c:v>42889</c:v>
                </c:pt>
                <c:pt idx="683">
                  <c:v>42890</c:v>
                </c:pt>
                <c:pt idx="684">
                  <c:v>42891</c:v>
                </c:pt>
                <c:pt idx="685">
                  <c:v>42892</c:v>
                </c:pt>
                <c:pt idx="686">
                  <c:v>42893</c:v>
                </c:pt>
                <c:pt idx="687">
                  <c:v>42894</c:v>
                </c:pt>
                <c:pt idx="688">
                  <c:v>42895</c:v>
                </c:pt>
                <c:pt idx="689">
                  <c:v>42896</c:v>
                </c:pt>
                <c:pt idx="690">
                  <c:v>42897</c:v>
                </c:pt>
                <c:pt idx="691">
                  <c:v>42898</c:v>
                </c:pt>
                <c:pt idx="692">
                  <c:v>42899</c:v>
                </c:pt>
                <c:pt idx="693">
                  <c:v>42900</c:v>
                </c:pt>
                <c:pt idx="694">
                  <c:v>42901</c:v>
                </c:pt>
                <c:pt idx="695">
                  <c:v>42902</c:v>
                </c:pt>
                <c:pt idx="696">
                  <c:v>42903</c:v>
                </c:pt>
                <c:pt idx="697">
                  <c:v>42904</c:v>
                </c:pt>
                <c:pt idx="698">
                  <c:v>42905</c:v>
                </c:pt>
                <c:pt idx="699">
                  <c:v>42906</c:v>
                </c:pt>
                <c:pt idx="700">
                  <c:v>42907</c:v>
                </c:pt>
                <c:pt idx="701">
                  <c:v>42908</c:v>
                </c:pt>
                <c:pt idx="702">
                  <c:v>42909</c:v>
                </c:pt>
                <c:pt idx="703">
                  <c:v>42910</c:v>
                </c:pt>
                <c:pt idx="704">
                  <c:v>42911</c:v>
                </c:pt>
                <c:pt idx="705">
                  <c:v>42912</c:v>
                </c:pt>
                <c:pt idx="706">
                  <c:v>42913</c:v>
                </c:pt>
                <c:pt idx="707">
                  <c:v>42914</c:v>
                </c:pt>
                <c:pt idx="708">
                  <c:v>42915</c:v>
                </c:pt>
                <c:pt idx="709">
                  <c:v>42916</c:v>
                </c:pt>
                <c:pt idx="710">
                  <c:v>42917</c:v>
                </c:pt>
                <c:pt idx="711">
                  <c:v>42918</c:v>
                </c:pt>
                <c:pt idx="712">
                  <c:v>42919</c:v>
                </c:pt>
                <c:pt idx="713">
                  <c:v>42920</c:v>
                </c:pt>
                <c:pt idx="714">
                  <c:v>42921</c:v>
                </c:pt>
                <c:pt idx="715">
                  <c:v>42922</c:v>
                </c:pt>
                <c:pt idx="716">
                  <c:v>42923</c:v>
                </c:pt>
                <c:pt idx="717">
                  <c:v>42924</c:v>
                </c:pt>
                <c:pt idx="718">
                  <c:v>42925</c:v>
                </c:pt>
                <c:pt idx="719">
                  <c:v>42926</c:v>
                </c:pt>
                <c:pt idx="720">
                  <c:v>42927</c:v>
                </c:pt>
                <c:pt idx="721">
                  <c:v>42928</c:v>
                </c:pt>
                <c:pt idx="722">
                  <c:v>42929</c:v>
                </c:pt>
                <c:pt idx="723">
                  <c:v>42930</c:v>
                </c:pt>
                <c:pt idx="724">
                  <c:v>42931</c:v>
                </c:pt>
                <c:pt idx="725">
                  <c:v>42932</c:v>
                </c:pt>
                <c:pt idx="726">
                  <c:v>42933</c:v>
                </c:pt>
                <c:pt idx="727">
                  <c:v>42934</c:v>
                </c:pt>
                <c:pt idx="728">
                  <c:v>42935</c:v>
                </c:pt>
                <c:pt idx="729">
                  <c:v>42936</c:v>
                </c:pt>
                <c:pt idx="730">
                  <c:v>42937</c:v>
                </c:pt>
                <c:pt idx="731">
                  <c:v>42938</c:v>
                </c:pt>
                <c:pt idx="732">
                  <c:v>42939</c:v>
                </c:pt>
                <c:pt idx="733">
                  <c:v>42940</c:v>
                </c:pt>
                <c:pt idx="734">
                  <c:v>42941</c:v>
                </c:pt>
                <c:pt idx="735">
                  <c:v>42942</c:v>
                </c:pt>
                <c:pt idx="736">
                  <c:v>42943</c:v>
                </c:pt>
                <c:pt idx="737">
                  <c:v>42944</c:v>
                </c:pt>
                <c:pt idx="738">
                  <c:v>42945</c:v>
                </c:pt>
                <c:pt idx="739">
                  <c:v>42946</c:v>
                </c:pt>
                <c:pt idx="740">
                  <c:v>42947</c:v>
                </c:pt>
                <c:pt idx="741">
                  <c:v>42948</c:v>
                </c:pt>
                <c:pt idx="742">
                  <c:v>42949</c:v>
                </c:pt>
                <c:pt idx="743">
                  <c:v>42950</c:v>
                </c:pt>
                <c:pt idx="744">
                  <c:v>42951</c:v>
                </c:pt>
                <c:pt idx="745">
                  <c:v>42952</c:v>
                </c:pt>
                <c:pt idx="746">
                  <c:v>42953</c:v>
                </c:pt>
                <c:pt idx="747">
                  <c:v>42954</c:v>
                </c:pt>
                <c:pt idx="748">
                  <c:v>42955</c:v>
                </c:pt>
                <c:pt idx="749">
                  <c:v>42956</c:v>
                </c:pt>
                <c:pt idx="750">
                  <c:v>42957</c:v>
                </c:pt>
                <c:pt idx="751">
                  <c:v>42958</c:v>
                </c:pt>
                <c:pt idx="752">
                  <c:v>42959</c:v>
                </c:pt>
                <c:pt idx="753">
                  <c:v>42960</c:v>
                </c:pt>
                <c:pt idx="754">
                  <c:v>42961</c:v>
                </c:pt>
                <c:pt idx="755">
                  <c:v>42962</c:v>
                </c:pt>
                <c:pt idx="756">
                  <c:v>42963</c:v>
                </c:pt>
                <c:pt idx="757">
                  <c:v>42964</c:v>
                </c:pt>
                <c:pt idx="758">
                  <c:v>42965</c:v>
                </c:pt>
                <c:pt idx="759">
                  <c:v>42966</c:v>
                </c:pt>
                <c:pt idx="760">
                  <c:v>42967</c:v>
                </c:pt>
                <c:pt idx="761">
                  <c:v>42968</c:v>
                </c:pt>
                <c:pt idx="762">
                  <c:v>42969</c:v>
                </c:pt>
                <c:pt idx="763">
                  <c:v>42970</c:v>
                </c:pt>
                <c:pt idx="764">
                  <c:v>42971</c:v>
                </c:pt>
                <c:pt idx="765">
                  <c:v>42972</c:v>
                </c:pt>
                <c:pt idx="766">
                  <c:v>42973</c:v>
                </c:pt>
                <c:pt idx="767">
                  <c:v>42974</c:v>
                </c:pt>
                <c:pt idx="768">
                  <c:v>42975</c:v>
                </c:pt>
                <c:pt idx="769">
                  <c:v>42976</c:v>
                </c:pt>
                <c:pt idx="770">
                  <c:v>42977</c:v>
                </c:pt>
                <c:pt idx="771">
                  <c:v>42978</c:v>
                </c:pt>
                <c:pt idx="772">
                  <c:v>42979</c:v>
                </c:pt>
                <c:pt idx="773">
                  <c:v>42980</c:v>
                </c:pt>
                <c:pt idx="774">
                  <c:v>42981</c:v>
                </c:pt>
                <c:pt idx="775">
                  <c:v>42982</c:v>
                </c:pt>
                <c:pt idx="776">
                  <c:v>42983</c:v>
                </c:pt>
                <c:pt idx="777">
                  <c:v>42984</c:v>
                </c:pt>
                <c:pt idx="778">
                  <c:v>42985</c:v>
                </c:pt>
                <c:pt idx="779">
                  <c:v>42986</c:v>
                </c:pt>
                <c:pt idx="780">
                  <c:v>42987</c:v>
                </c:pt>
                <c:pt idx="781">
                  <c:v>42988</c:v>
                </c:pt>
                <c:pt idx="782">
                  <c:v>42989</c:v>
                </c:pt>
                <c:pt idx="783">
                  <c:v>42990</c:v>
                </c:pt>
                <c:pt idx="784">
                  <c:v>42991</c:v>
                </c:pt>
                <c:pt idx="785">
                  <c:v>42992</c:v>
                </c:pt>
                <c:pt idx="786">
                  <c:v>42993</c:v>
                </c:pt>
                <c:pt idx="787">
                  <c:v>42994</c:v>
                </c:pt>
                <c:pt idx="788">
                  <c:v>42995</c:v>
                </c:pt>
                <c:pt idx="789">
                  <c:v>42996</c:v>
                </c:pt>
                <c:pt idx="790">
                  <c:v>42997</c:v>
                </c:pt>
                <c:pt idx="791">
                  <c:v>42998</c:v>
                </c:pt>
                <c:pt idx="792">
                  <c:v>42999</c:v>
                </c:pt>
                <c:pt idx="793">
                  <c:v>43000</c:v>
                </c:pt>
                <c:pt idx="794">
                  <c:v>43001</c:v>
                </c:pt>
                <c:pt idx="795">
                  <c:v>43002</c:v>
                </c:pt>
                <c:pt idx="796">
                  <c:v>43003</c:v>
                </c:pt>
                <c:pt idx="797">
                  <c:v>43004</c:v>
                </c:pt>
                <c:pt idx="798">
                  <c:v>43005</c:v>
                </c:pt>
                <c:pt idx="799">
                  <c:v>43006</c:v>
                </c:pt>
                <c:pt idx="800">
                  <c:v>43007</c:v>
                </c:pt>
                <c:pt idx="801">
                  <c:v>43008</c:v>
                </c:pt>
                <c:pt idx="802">
                  <c:v>43009</c:v>
                </c:pt>
                <c:pt idx="803">
                  <c:v>43010</c:v>
                </c:pt>
                <c:pt idx="804">
                  <c:v>43011</c:v>
                </c:pt>
                <c:pt idx="805">
                  <c:v>43012</c:v>
                </c:pt>
                <c:pt idx="806">
                  <c:v>43013</c:v>
                </c:pt>
                <c:pt idx="807">
                  <c:v>43014</c:v>
                </c:pt>
                <c:pt idx="808">
                  <c:v>43015</c:v>
                </c:pt>
                <c:pt idx="809">
                  <c:v>43016</c:v>
                </c:pt>
                <c:pt idx="810">
                  <c:v>43017</c:v>
                </c:pt>
                <c:pt idx="811">
                  <c:v>43018</c:v>
                </c:pt>
                <c:pt idx="812">
                  <c:v>43019</c:v>
                </c:pt>
                <c:pt idx="813">
                  <c:v>43020</c:v>
                </c:pt>
                <c:pt idx="814">
                  <c:v>43021</c:v>
                </c:pt>
                <c:pt idx="815">
                  <c:v>43022</c:v>
                </c:pt>
                <c:pt idx="816">
                  <c:v>43023</c:v>
                </c:pt>
                <c:pt idx="817">
                  <c:v>43024</c:v>
                </c:pt>
                <c:pt idx="818">
                  <c:v>43025</c:v>
                </c:pt>
                <c:pt idx="819">
                  <c:v>43026</c:v>
                </c:pt>
                <c:pt idx="820">
                  <c:v>43027</c:v>
                </c:pt>
                <c:pt idx="821">
                  <c:v>43028</c:v>
                </c:pt>
                <c:pt idx="822">
                  <c:v>43029</c:v>
                </c:pt>
                <c:pt idx="823">
                  <c:v>43030</c:v>
                </c:pt>
                <c:pt idx="824">
                  <c:v>43031</c:v>
                </c:pt>
                <c:pt idx="825">
                  <c:v>43032</c:v>
                </c:pt>
                <c:pt idx="826">
                  <c:v>43033</c:v>
                </c:pt>
                <c:pt idx="827">
                  <c:v>43034</c:v>
                </c:pt>
                <c:pt idx="828">
                  <c:v>43035</c:v>
                </c:pt>
                <c:pt idx="829">
                  <c:v>43036</c:v>
                </c:pt>
                <c:pt idx="830">
                  <c:v>43037</c:v>
                </c:pt>
                <c:pt idx="831">
                  <c:v>43038</c:v>
                </c:pt>
                <c:pt idx="832">
                  <c:v>43039</c:v>
                </c:pt>
                <c:pt idx="833">
                  <c:v>43040</c:v>
                </c:pt>
                <c:pt idx="834">
                  <c:v>43041</c:v>
                </c:pt>
                <c:pt idx="835">
                  <c:v>43042</c:v>
                </c:pt>
                <c:pt idx="836">
                  <c:v>43043</c:v>
                </c:pt>
                <c:pt idx="837">
                  <c:v>43044</c:v>
                </c:pt>
                <c:pt idx="838">
                  <c:v>43045</c:v>
                </c:pt>
                <c:pt idx="839">
                  <c:v>43046</c:v>
                </c:pt>
                <c:pt idx="840">
                  <c:v>43047</c:v>
                </c:pt>
                <c:pt idx="841">
                  <c:v>43048</c:v>
                </c:pt>
                <c:pt idx="842">
                  <c:v>43049</c:v>
                </c:pt>
                <c:pt idx="843">
                  <c:v>43050</c:v>
                </c:pt>
                <c:pt idx="844">
                  <c:v>43051</c:v>
                </c:pt>
                <c:pt idx="845">
                  <c:v>43052</c:v>
                </c:pt>
                <c:pt idx="846">
                  <c:v>43053</c:v>
                </c:pt>
                <c:pt idx="847">
                  <c:v>43054</c:v>
                </c:pt>
                <c:pt idx="848">
                  <c:v>43055</c:v>
                </c:pt>
                <c:pt idx="849">
                  <c:v>43056</c:v>
                </c:pt>
                <c:pt idx="850">
                  <c:v>43057</c:v>
                </c:pt>
                <c:pt idx="851">
                  <c:v>43058</c:v>
                </c:pt>
                <c:pt idx="852">
                  <c:v>43059</c:v>
                </c:pt>
                <c:pt idx="853">
                  <c:v>43060</c:v>
                </c:pt>
                <c:pt idx="854">
                  <c:v>43061</c:v>
                </c:pt>
                <c:pt idx="855">
                  <c:v>43062</c:v>
                </c:pt>
                <c:pt idx="856">
                  <c:v>43063</c:v>
                </c:pt>
                <c:pt idx="857">
                  <c:v>43064</c:v>
                </c:pt>
                <c:pt idx="858">
                  <c:v>43065</c:v>
                </c:pt>
                <c:pt idx="859">
                  <c:v>43066</c:v>
                </c:pt>
                <c:pt idx="860">
                  <c:v>43067</c:v>
                </c:pt>
                <c:pt idx="861">
                  <c:v>43068</c:v>
                </c:pt>
                <c:pt idx="862">
                  <c:v>43069</c:v>
                </c:pt>
                <c:pt idx="863">
                  <c:v>43070</c:v>
                </c:pt>
                <c:pt idx="864">
                  <c:v>43071</c:v>
                </c:pt>
                <c:pt idx="865">
                  <c:v>43072</c:v>
                </c:pt>
                <c:pt idx="866">
                  <c:v>43073</c:v>
                </c:pt>
                <c:pt idx="867">
                  <c:v>43074</c:v>
                </c:pt>
                <c:pt idx="868">
                  <c:v>43075</c:v>
                </c:pt>
                <c:pt idx="869">
                  <c:v>43076</c:v>
                </c:pt>
                <c:pt idx="870">
                  <c:v>43077</c:v>
                </c:pt>
                <c:pt idx="871">
                  <c:v>43078</c:v>
                </c:pt>
                <c:pt idx="872">
                  <c:v>43079</c:v>
                </c:pt>
                <c:pt idx="873">
                  <c:v>43080</c:v>
                </c:pt>
                <c:pt idx="874">
                  <c:v>43081</c:v>
                </c:pt>
                <c:pt idx="875">
                  <c:v>43082</c:v>
                </c:pt>
                <c:pt idx="876">
                  <c:v>43083</c:v>
                </c:pt>
                <c:pt idx="877">
                  <c:v>43084</c:v>
                </c:pt>
                <c:pt idx="878">
                  <c:v>43085</c:v>
                </c:pt>
                <c:pt idx="879">
                  <c:v>43086</c:v>
                </c:pt>
                <c:pt idx="880">
                  <c:v>43087</c:v>
                </c:pt>
                <c:pt idx="881">
                  <c:v>43088</c:v>
                </c:pt>
                <c:pt idx="882">
                  <c:v>43089</c:v>
                </c:pt>
                <c:pt idx="883">
                  <c:v>43090</c:v>
                </c:pt>
                <c:pt idx="884">
                  <c:v>43091</c:v>
                </c:pt>
                <c:pt idx="885">
                  <c:v>43092</c:v>
                </c:pt>
                <c:pt idx="886">
                  <c:v>43093</c:v>
                </c:pt>
                <c:pt idx="887">
                  <c:v>43094</c:v>
                </c:pt>
                <c:pt idx="888">
                  <c:v>43095</c:v>
                </c:pt>
                <c:pt idx="889">
                  <c:v>43096</c:v>
                </c:pt>
                <c:pt idx="890">
                  <c:v>43097</c:v>
                </c:pt>
                <c:pt idx="891">
                  <c:v>43098</c:v>
                </c:pt>
                <c:pt idx="892">
                  <c:v>43099</c:v>
                </c:pt>
                <c:pt idx="893">
                  <c:v>43100</c:v>
                </c:pt>
                <c:pt idx="894">
                  <c:v>43101</c:v>
                </c:pt>
                <c:pt idx="895">
                  <c:v>43102</c:v>
                </c:pt>
                <c:pt idx="896">
                  <c:v>43103</c:v>
                </c:pt>
                <c:pt idx="897">
                  <c:v>43104</c:v>
                </c:pt>
                <c:pt idx="898">
                  <c:v>43105</c:v>
                </c:pt>
                <c:pt idx="899">
                  <c:v>43106</c:v>
                </c:pt>
                <c:pt idx="900">
                  <c:v>43107</c:v>
                </c:pt>
                <c:pt idx="901">
                  <c:v>43108</c:v>
                </c:pt>
                <c:pt idx="902">
                  <c:v>43109</c:v>
                </c:pt>
                <c:pt idx="903">
                  <c:v>43110</c:v>
                </c:pt>
                <c:pt idx="904">
                  <c:v>43111</c:v>
                </c:pt>
                <c:pt idx="905">
                  <c:v>43112</c:v>
                </c:pt>
                <c:pt idx="906">
                  <c:v>43113</c:v>
                </c:pt>
                <c:pt idx="907">
                  <c:v>43114</c:v>
                </c:pt>
                <c:pt idx="908">
                  <c:v>43115</c:v>
                </c:pt>
                <c:pt idx="909">
                  <c:v>43116</c:v>
                </c:pt>
                <c:pt idx="910">
                  <c:v>43117</c:v>
                </c:pt>
                <c:pt idx="911">
                  <c:v>43118</c:v>
                </c:pt>
                <c:pt idx="912">
                  <c:v>43119</c:v>
                </c:pt>
                <c:pt idx="913">
                  <c:v>43120</c:v>
                </c:pt>
                <c:pt idx="914">
                  <c:v>43121</c:v>
                </c:pt>
                <c:pt idx="915">
                  <c:v>43122</c:v>
                </c:pt>
                <c:pt idx="916">
                  <c:v>43123</c:v>
                </c:pt>
                <c:pt idx="917">
                  <c:v>43124</c:v>
                </c:pt>
                <c:pt idx="918">
                  <c:v>43125</c:v>
                </c:pt>
                <c:pt idx="919">
                  <c:v>43126</c:v>
                </c:pt>
                <c:pt idx="920">
                  <c:v>43127</c:v>
                </c:pt>
                <c:pt idx="921">
                  <c:v>43128</c:v>
                </c:pt>
                <c:pt idx="922">
                  <c:v>43129</c:v>
                </c:pt>
                <c:pt idx="923">
                  <c:v>43130</c:v>
                </c:pt>
                <c:pt idx="924">
                  <c:v>43131</c:v>
                </c:pt>
                <c:pt idx="925">
                  <c:v>43132</c:v>
                </c:pt>
                <c:pt idx="926">
                  <c:v>43133</c:v>
                </c:pt>
                <c:pt idx="927">
                  <c:v>43134</c:v>
                </c:pt>
                <c:pt idx="928">
                  <c:v>43135</c:v>
                </c:pt>
                <c:pt idx="929">
                  <c:v>43136</c:v>
                </c:pt>
                <c:pt idx="930">
                  <c:v>43137</c:v>
                </c:pt>
                <c:pt idx="931">
                  <c:v>43138</c:v>
                </c:pt>
                <c:pt idx="932">
                  <c:v>43139</c:v>
                </c:pt>
                <c:pt idx="933">
                  <c:v>43140</c:v>
                </c:pt>
                <c:pt idx="934">
                  <c:v>43141</c:v>
                </c:pt>
                <c:pt idx="935">
                  <c:v>43142</c:v>
                </c:pt>
                <c:pt idx="936">
                  <c:v>43143</c:v>
                </c:pt>
                <c:pt idx="937">
                  <c:v>43144</c:v>
                </c:pt>
                <c:pt idx="938">
                  <c:v>43145</c:v>
                </c:pt>
                <c:pt idx="939">
                  <c:v>43146</c:v>
                </c:pt>
                <c:pt idx="940">
                  <c:v>43147</c:v>
                </c:pt>
                <c:pt idx="941">
                  <c:v>43148</c:v>
                </c:pt>
                <c:pt idx="942">
                  <c:v>43149</c:v>
                </c:pt>
                <c:pt idx="943">
                  <c:v>43150</c:v>
                </c:pt>
                <c:pt idx="944">
                  <c:v>43151</c:v>
                </c:pt>
                <c:pt idx="945">
                  <c:v>43152</c:v>
                </c:pt>
                <c:pt idx="946">
                  <c:v>43153</c:v>
                </c:pt>
                <c:pt idx="947">
                  <c:v>43154</c:v>
                </c:pt>
                <c:pt idx="948">
                  <c:v>43155</c:v>
                </c:pt>
                <c:pt idx="949">
                  <c:v>43156</c:v>
                </c:pt>
                <c:pt idx="950">
                  <c:v>43157</c:v>
                </c:pt>
                <c:pt idx="951">
                  <c:v>43158</c:v>
                </c:pt>
                <c:pt idx="952">
                  <c:v>43159</c:v>
                </c:pt>
                <c:pt idx="953">
                  <c:v>43160</c:v>
                </c:pt>
                <c:pt idx="954">
                  <c:v>43161</c:v>
                </c:pt>
                <c:pt idx="955">
                  <c:v>43162</c:v>
                </c:pt>
                <c:pt idx="956">
                  <c:v>43163</c:v>
                </c:pt>
                <c:pt idx="957">
                  <c:v>43164</c:v>
                </c:pt>
                <c:pt idx="958">
                  <c:v>43165</c:v>
                </c:pt>
                <c:pt idx="959">
                  <c:v>43166</c:v>
                </c:pt>
                <c:pt idx="960">
                  <c:v>43167</c:v>
                </c:pt>
                <c:pt idx="961">
                  <c:v>43168</c:v>
                </c:pt>
                <c:pt idx="962">
                  <c:v>43169</c:v>
                </c:pt>
                <c:pt idx="963">
                  <c:v>43170</c:v>
                </c:pt>
                <c:pt idx="964">
                  <c:v>43171</c:v>
                </c:pt>
                <c:pt idx="965">
                  <c:v>43172</c:v>
                </c:pt>
                <c:pt idx="966">
                  <c:v>43173</c:v>
                </c:pt>
                <c:pt idx="967">
                  <c:v>43174</c:v>
                </c:pt>
                <c:pt idx="968">
                  <c:v>43175</c:v>
                </c:pt>
                <c:pt idx="969">
                  <c:v>43176</c:v>
                </c:pt>
                <c:pt idx="970">
                  <c:v>43177</c:v>
                </c:pt>
                <c:pt idx="971">
                  <c:v>43178</c:v>
                </c:pt>
                <c:pt idx="972">
                  <c:v>43179</c:v>
                </c:pt>
                <c:pt idx="973">
                  <c:v>43180</c:v>
                </c:pt>
                <c:pt idx="974">
                  <c:v>43181</c:v>
                </c:pt>
                <c:pt idx="975">
                  <c:v>43182</c:v>
                </c:pt>
                <c:pt idx="976">
                  <c:v>43183</c:v>
                </c:pt>
                <c:pt idx="977">
                  <c:v>43184</c:v>
                </c:pt>
                <c:pt idx="978">
                  <c:v>43185</c:v>
                </c:pt>
                <c:pt idx="979">
                  <c:v>43186</c:v>
                </c:pt>
                <c:pt idx="980">
                  <c:v>43187</c:v>
                </c:pt>
                <c:pt idx="981">
                  <c:v>43188</c:v>
                </c:pt>
                <c:pt idx="982">
                  <c:v>43189</c:v>
                </c:pt>
                <c:pt idx="983">
                  <c:v>43190</c:v>
                </c:pt>
                <c:pt idx="984">
                  <c:v>43191</c:v>
                </c:pt>
                <c:pt idx="985">
                  <c:v>43192</c:v>
                </c:pt>
                <c:pt idx="986">
                  <c:v>43193</c:v>
                </c:pt>
                <c:pt idx="987">
                  <c:v>43194</c:v>
                </c:pt>
                <c:pt idx="988">
                  <c:v>43195</c:v>
                </c:pt>
                <c:pt idx="989">
                  <c:v>43196</c:v>
                </c:pt>
                <c:pt idx="990">
                  <c:v>43197</c:v>
                </c:pt>
                <c:pt idx="991">
                  <c:v>43198</c:v>
                </c:pt>
                <c:pt idx="992">
                  <c:v>43199</c:v>
                </c:pt>
                <c:pt idx="993">
                  <c:v>43200</c:v>
                </c:pt>
                <c:pt idx="994">
                  <c:v>43201</c:v>
                </c:pt>
                <c:pt idx="995">
                  <c:v>43202</c:v>
                </c:pt>
                <c:pt idx="996">
                  <c:v>43203</c:v>
                </c:pt>
                <c:pt idx="997">
                  <c:v>43204</c:v>
                </c:pt>
                <c:pt idx="998">
                  <c:v>43205</c:v>
                </c:pt>
                <c:pt idx="999">
                  <c:v>43206</c:v>
                </c:pt>
                <c:pt idx="1000">
                  <c:v>43207</c:v>
                </c:pt>
                <c:pt idx="1001">
                  <c:v>43208</c:v>
                </c:pt>
                <c:pt idx="1002">
                  <c:v>43209</c:v>
                </c:pt>
                <c:pt idx="1003">
                  <c:v>43210</c:v>
                </c:pt>
                <c:pt idx="1004">
                  <c:v>43211</c:v>
                </c:pt>
                <c:pt idx="1005">
                  <c:v>43212</c:v>
                </c:pt>
                <c:pt idx="1006">
                  <c:v>43213</c:v>
                </c:pt>
                <c:pt idx="1007">
                  <c:v>43214</c:v>
                </c:pt>
                <c:pt idx="1008">
                  <c:v>43215</c:v>
                </c:pt>
                <c:pt idx="1009">
                  <c:v>43216</c:v>
                </c:pt>
                <c:pt idx="1010">
                  <c:v>43217</c:v>
                </c:pt>
                <c:pt idx="1011">
                  <c:v>43218</c:v>
                </c:pt>
                <c:pt idx="1012">
                  <c:v>43219</c:v>
                </c:pt>
                <c:pt idx="1013">
                  <c:v>43220</c:v>
                </c:pt>
                <c:pt idx="1014">
                  <c:v>43221</c:v>
                </c:pt>
                <c:pt idx="1015">
                  <c:v>43222</c:v>
                </c:pt>
                <c:pt idx="1016">
                  <c:v>43223</c:v>
                </c:pt>
                <c:pt idx="1017">
                  <c:v>43224</c:v>
                </c:pt>
                <c:pt idx="1018">
                  <c:v>43225</c:v>
                </c:pt>
                <c:pt idx="1019">
                  <c:v>43226</c:v>
                </c:pt>
                <c:pt idx="1020">
                  <c:v>43227</c:v>
                </c:pt>
                <c:pt idx="1021">
                  <c:v>43228</c:v>
                </c:pt>
                <c:pt idx="1022">
                  <c:v>43229</c:v>
                </c:pt>
                <c:pt idx="1023">
                  <c:v>43230</c:v>
                </c:pt>
                <c:pt idx="1024">
                  <c:v>43231</c:v>
                </c:pt>
                <c:pt idx="1025">
                  <c:v>43232</c:v>
                </c:pt>
                <c:pt idx="1026">
                  <c:v>43233</c:v>
                </c:pt>
                <c:pt idx="1027">
                  <c:v>43234</c:v>
                </c:pt>
                <c:pt idx="1028">
                  <c:v>43235</c:v>
                </c:pt>
                <c:pt idx="1029">
                  <c:v>43236</c:v>
                </c:pt>
                <c:pt idx="1030">
                  <c:v>43237</c:v>
                </c:pt>
                <c:pt idx="1031">
                  <c:v>43238</c:v>
                </c:pt>
                <c:pt idx="1032">
                  <c:v>43239</c:v>
                </c:pt>
                <c:pt idx="1033">
                  <c:v>43240</c:v>
                </c:pt>
                <c:pt idx="1034">
                  <c:v>43241</c:v>
                </c:pt>
                <c:pt idx="1035">
                  <c:v>43242</c:v>
                </c:pt>
                <c:pt idx="1036">
                  <c:v>43243</c:v>
                </c:pt>
                <c:pt idx="1037">
                  <c:v>43244</c:v>
                </c:pt>
                <c:pt idx="1038">
                  <c:v>43245</c:v>
                </c:pt>
                <c:pt idx="1039">
                  <c:v>43246</c:v>
                </c:pt>
                <c:pt idx="1040">
                  <c:v>43247</c:v>
                </c:pt>
                <c:pt idx="1041">
                  <c:v>43248</c:v>
                </c:pt>
                <c:pt idx="1042">
                  <c:v>43249</c:v>
                </c:pt>
                <c:pt idx="1043">
                  <c:v>43250</c:v>
                </c:pt>
                <c:pt idx="1044">
                  <c:v>43251</c:v>
                </c:pt>
                <c:pt idx="1045">
                  <c:v>43252</c:v>
                </c:pt>
                <c:pt idx="1046">
                  <c:v>43253</c:v>
                </c:pt>
                <c:pt idx="1047">
                  <c:v>43254</c:v>
                </c:pt>
                <c:pt idx="1048">
                  <c:v>43255</c:v>
                </c:pt>
                <c:pt idx="1049">
                  <c:v>43256</c:v>
                </c:pt>
                <c:pt idx="1050">
                  <c:v>43257</c:v>
                </c:pt>
                <c:pt idx="1051">
                  <c:v>43258</c:v>
                </c:pt>
                <c:pt idx="1052">
                  <c:v>43259</c:v>
                </c:pt>
                <c:pt idx="1053">
                  <c:v>43260</c:v>
                </c:pt>
                <c:pt idx="1054">
                  <c:v>43261</c:v>
                </c:pt>
                <c:pt idx="1055">
                  <c:v>43262</c:v>
                </c:pt>
                <c:pt idx="1056">
                  <c:v>43263</c:v>
                </c:pt>
                <c:pt idx="1057">
                  <c:v>43264</c:v>
                </c:pt>
                <c:pt idx="1058">
                  <c:v>43265</c:v>
                </c:pt>
                <c:pt idx="1059">
                  <c:v>43266</c:v>
                </c:pt>
                <c:pt idx="1060">
                  <c:v>43267</c:v>
                </c:pt>
                <c:pt idx="1061">
                  <c:v>43268</c:v>
                </c:pt>
                <c:pt idx="1062">
                  <c:v>43269</c:v>
                </c:pt>
                <c:pt idx="1063">
                  <c:v>43270</c:v>
                </c:pt>
                <c:pt idx="1064">
                  <c:v>43271</c:v>
                </c:pt>
                <c:pt idx="1065">
                  <c:v>43272</c:v>
                </c:pt>
                <c:pt idx="1066">
                  <c:v>43273</c:v>
                </c:pt>
                <c:pt idx="1067">
                  <c:v>43274</c:v>
                </c:pt>
                <c:pt idx="1068">
                  <c:v>43275</c:v>
                </c:pt>
                <c:pt idx="1069">
                  <c:v>43276</c:v>
                </c:pt>
                <c:pt idx="1070">
                  <c:v>43277</c:v>
                </c:pt>
                <c:pt idx="1071">
                  <c:v>43278</c:v>
                </c:pt>
                <c:pt idx="1072">
                  <c:v>43279</c:v>
                </c:pt>
                <c:pt idx="1073">
                  <c:v>43280</c:v>
                </c:pt>
                <c:pt idx="1074">
                  <c:v>43281</c:v>
                </c:pt>
                <c:pt idx="1075">
                  <c:v>43282</c:v>
                </c:pt>
                <c:pt idx="1076">
                  <c:v>43283</c:v>
                </c:pt>
                <c:pt idx="1077">
                  <c:v>43284</c:v>
                </c:pt>
                <c:pt idx="1078">
                  <c:v>43285</c:v>
                </c:pt>
                <c:pt idx="1079">
                  <c:v>43286</c:v>
                </c:pt>
                <c:pt idx="1080">
                  <c:v>43287</c:v>
                </c:pt>
                <c:pt idx="1081">
                  <c:v>43288</c:v>
                </c:pt>
                <c:pt idx="1082">
                  <c:v>43289</c:v>
                </c:pt>
                <c:pt idx="1083">
                  <c:v>43290</c:v>
                </c:pt>
                <c:pt idx="1084">
                  <c:v>43291</c:v>
                </c:pt>
                <c:pt idx="1085">
                  <c:v>43292</c:v>
                </c:pt>
                <c:pt idx="1086">
                  <c:v>43293</c:v>
                </c:pt>
                <c:pt idx="1087">
                  <c:v>43294</c:v>
                </c:pt>
                <c:pt idx="1088">
                  <c:v>43295</c:v>
                </c:pt>
                <c:pt idx="1089">
                  <c:v>43296</c:v>
                </c:pt>
                <c:pt idx="1090">
                  <c:v>43297</c:v>
                </c:pt>
                <c:pt idx="1091">
                  <c:v>43298</c:v>
                </c:pt>
                <c:pt idx="1092">
                  <c:v>43299</c:v>
                </c:pt>
                <c:pt idx="1093">
                  <c:v>43300</c:v>
                </c:pt>
                <c:pt idx="1094">
                  <c:v>43301</c:v>
                </c:pt>
                <c:pt idx="1095">
                  <c:v>43302</c:v>
                </c:pt>
                <c:pt idx="1096">
                  <c:v>43303</c:v>
                </c:pt>
                <c:pt idx="1097">
                  <c:v>43304</c:v>
                </c:pt>
                <c:pt idx="1098">
                  <c:v>43305</c:v>
                </c:pt>
                <c:pt idx="1099">
                  <c:v>43306</c:v>
                </c:pt>
                <c:pt idx="1100">
                  <c:v>43307</c:v>
                </c:pt>
                <c:pt idx="1101">
                  <c:v>43308</c:v>
                </c:pt>
                <c:pt idx="1102">
                  <c:v>43309</c:v>
                </c:pt>
                <c:pt idx="1103">
                  <c:v>43310</c:v>
                </c:pt>
                <c:pt idx="1104">
                  <c:v>43311</c:v>
                </c:pt>
                <c:pt idx="1105">
                  <c:v>43312</c:v>
                </c:pt>
                <c:pt idx="1106">
                  <c:v>43313</c:v>
                </c:pt>
                <c:pt idx="1107">
                  <c:v>43314</c:v>
                </c:pt>
                <c:pt idx="1108">
                  <c:v>43315</c:v>
                </c:pt>
                <c:pt idx="1109">
                  <c:v>43316</c:v>
                </c:pt>
                <c:pt idx="1110">
                  <c:v>43317</c:v>
                </c:pt>
                <c:pt idx="1111">
                  <c:v>43318</c:v>
                </c:pt>
                <c:pt idx="1112">
                  <c:v>43319</c:v>
                </c:pt>
                <c:pt idx="1113">
                  <c:v>43320</c:v>
                </c:pt>
                <c:pt idx="1114">
                  <c:v>43321</c:v>
                </c:pt>
                <c:pt idx="1115">
                  <c:v>43322</c:v>
                </c:pt>
                <c:pt idx="1116">
                  <c:v>43323</c:v>
                </c:pt>
                <c:pt idx="1117">
                  <c:v>43324</c:v>
                </c:pt>
                <c:pt idx="1118">
                  <c:v>43325</c:v>
                </c:pt>
                <c:pt idx="1119">
                  <c:v>43326</c:v>
                </c:pt>
                <c:pt idx="1120">
                  <c:v>43327</c:v>
                </c:pt>
                <c:pt idx="1121">
                  <c:v>43328</c:v>
                </c:pt>
                <c:pt idx="1122">
                  <c:v>43329</c:v>
                </c:pt>
                <c:pt idx="1123">
                  <c:v>43330</c:v>
                </c:pt>
                <c:pt idx="1124">
                  <c:v>43331</c:v>
                </c:pt>
                <c:pt idx="1125">
                  <c:v>43332</c:v>
                </c:pt>
                <c:pt idx="1126">
                  <c:v>43333</c:v>
                </c:pt>
                <c:pt idx="1127">
                  <c:v>43334</c:v>
                </c:pt>
                <c:pt idx="1128">
                  <c:v>43335</c:v>
                </c:pt>
                <c:pt idx="1129">
                  <c:v>43336</c:v>
                </c:pt>
                <c:pt idx="1130">
                  <c:v>43337</c:v>
                </c:pt>
                <c:pt idx="1131">
                  <c:v>43338</c:v>
                </c:pt>
                <c:pt idx="1132">
                  <c:v>43339</c:v>
                </c:pt>
                <c:pt idx="1133">
                  <c:v>43340</c:v>
                </c:pt>
                <c:pt idx="1134">
                  <c:v>43341</c:v>
                </c:pt>
                <c:pt idx="1135">
                  <c:v>43342</c:v>
                </c:pt>
                <c:pt idx="1136">
                  <c:v>43343</c:v>
                </c:pt>
                <c:pt idx="1137">
                  <c:v>43344</c:v>
                </c:pt>
                <c:pt idx="1138">
                  <c:v>43345</c:v>
                </c:pt>
                <c:pt idx="1139">
                  <c:v>43346</c:v>
                </c:pt>
                <c:pt idx="1140">
                  <c:v>43347</c:v>
                </c:pt>
                <c:pt idx="1141">
                  <c:v>43348</c:v>
                </c:pt>
                <c:pt idx="1142">
                  <c:v>43349</c:v>
                </c:pt>
                <c:pt idx="1143">
                  <c:v>43350</c:v>
                </c:pt>
                <c:pt idx="1144">
                  <c:v>43351</c:v>
                </c:pt>
                <c:pt idx="1145">
                  <c:v>43352</c:v>
                </c:pt>
                <c:pt idx="1146">
                  <c:v>43353</c:v>
                </c:pt>
                <c:pt idx="1147">
                  <c:v>43354</c:v>
                </c:pt>
                <c:pt idx="1148">
                  <c:v>43355</c:v>
                </c:pt>
                <c:pt idx="1149">
                  <c:v>43356</c:v>
                </c:pt>
                <c:pt idx="1150">
                  <c:v>43357</c:v>
                </c:pt>
                <c:pt idx="1151">
                  <c:v>43358</c:v>
                </c:pt>
                <c:pt idx="1152">
                  <c:v>43359</c:v>
                </c:pt>
                <c:pt idx="1153">
                  <c:v>43360</c:v>
                </c:pt>
                <c:pt idx="1154">
                  <c:v>43361</c:v>
                </c:pt>
                <c:pt idx="1155">
                  <c:v>43362</c:v>
                </c:pt>
                <c:pt idx="1156">
                  <c:v>43363</c:v>
                </c:pt>
                <c:pt idx="1157">
                  <c:v>43364</c:v>
                </c:pt>
                <c:pt idx="1158">
                  <c:v>43365</c:v>
                </c:pt>
                <c:pt idx="1159">
                  <c:v>43366</c:v>
                </c:pt>
                <c:pt idx="1160">
                  <c:v>43367</c:v>
                </c:pt>
                <c:pt idx="1161">
                  <c:v>43368</c:v>
                </c:pt>
                <c:pt idx="1162">
                  <c:v>43369</c:v>
                </c:pt>
                <c:pt idx="1163">
                  <c:v>43370</c:v>
                </c:pt>
                <c:pt idx="1164">
                  <c:v>43371</c:v>
                </c:pt>
                <c:pt idx="1165">
                  <c:v>43372</c:v>
                </c:pt>
                <c:pt idx="1166">
                  <c:v>43373</c:v>
                </c:pt>
                <c:pt idx="1167">
                  <c:v>43374</c:v>
                </c:pt>
                <c:pt idx="1168">
                  <c:v>43375</c:v>
                </c:pt>
                <c:pt idx="1169">
                  <c:v>43376</c:v>
                </c:pt>
                <c:pt idx="1170">
                  <c:v>43377</c:v>
                </c:pt>
                <c:pt idx="1171">
                  <c:v>43378</c:v>
                </c:pt>
                <c:pt idx="1172">
                  <c:v>43379</c:v>
                </c:pt>
                <c:pt idx="1173">
                  <c:v>43380</c:v>
                </c:pt>
                <c:pt idx="1174">
                  <c:v>43381</c:v>
                </c:pt>
                <c:pt idx="1175">
                  <c:v>43382</c:v>
                </c:pt>
                <c:pt idx="1176">
                  <c:v>43383</c:v>
                </c:pt>
                <c:pt idx="1177">
                  <c:v>43384</c:v>
                </c:pt>
                <c:pt idx="1178">
                  <c:v>43385</c:v>
                </c:pt>
                <c:pt idx="1179">
                  <c:v>43386</c:v>
                </c:pt>
                <c:pt idx="1180">
                  <c:v>43387</c:v>
                </c:pt>
                <c:pt idx="1181">
                  <c:v>43388</c:v>
                </c:pt>
                <c:pt idx="1182">
                  <c:v>43389</c:v>
                </c:pt>
                <c:pt idx="1183">
                  <c:v>43390</c:v>
                </c:pt>
                <c:pt idx="1184">
                  <c:v>43391</c:v>
                </c:pt>
                <c:pt idx="1185">
                  <c:v>43392</c:v>
                </c:pt>
                <c:pt idx="1186">
                  <c:v>43393</c:v>
                </c:pt>
                <c:pt idx="1187">
                  <c:v>43394</c:v>
                </c:pt>
                <c:pt idx="1188">
                  <c:v>43395</c:v>
                </c:pt>
                <c:pt idx="1189">
                  <c:v>43396</c:v>
                </c:pt>
                <c:pt idx="1190">
                  <c:v>43397</c:v>
                </c:pt>
                <c:pt idx="1191">
                  <c:v>43398</c:v>
                </c:pt>
                <c:pt idx="1192">
                  <c:v>43399</c:v>
                </c:pt>
                <c:pt idx="1193">
                  <c:v>43400</c:v>
                </c:pt>
                <c:pt idx="1194">
                  <c:v>43401</c:v>
                </c:pt>
                <c:pt idx="1195">
                  <c:v>43402</c:v>
                </c:pt>
                <c:pt idx="1196">
                  <c:v>43403</c:v>
                </c:pt>
                <c:pt idx="1197">
                  <c:v>43404</c:v>
                </c:pt>
                <c:pt idx="1198">
                  <c:v>43405</c:v>
                </c:pt>
                <c:pt idx="1199">
                  <c:v>43406</c:v>
                </c:pt>
                <c:pt idx="1200">
                  <c:v>43407</c:v>
                </c:pt>
                <c:pt idx="1201">
                  <c:v>43408</c:v>
                </c:pt>
                <c:pt idx="1202">
                  <c:v>43409</c:v>
                </c:pt>
                <c:pt idx="1203">
                  <c:v>43410</c:v>
                </c:pt>
                <c:pt idx="1204">
                  <c:v>43411</c:v>
                </c:pt>
                <c:pt idx="1205">
                  <c:v>43412</c:v>
                </c:pt>
                <c:pt idx="1206">
                  <c:v>43413</c:v>
                </c:pt>
                <c:pt idx="1207">
                  <c:v>43414</c:v>
                </c:pt>
                <c:pt idx="1208">
                  <c:v>43415</c:v>
                </c:pt>
                <c:pt idx="1209">
                  <c:v>43416</c:v>
                </c:pt>
                <c:pt idx="1210">
                  <c:v>43417</c:v>
                </c:pt>
                <c:pt idx="1211">
                  <c:v>43418</c:v>
                </c:pt>
                <c:pt idx="1212">
                  <c:v>43419</c:v>
                </c:pt>
                <c:pt idx="1213">
                  <c:v>43420</c:v>
                </c:pt>
                <c:pt idx="1214">
                  <c:v>43421</c:v>
                </c:pt>
                <c:pt idx="1215">
                  <c:v>43422</c:v>
                </c:pt>
                <c:pt idx="1216">
                  <c:v>43423</c:v>
                </c:pt>
                <c:pt idx="1217">
                  <c:v>43424</c:v>
                </c:pt>
                <c:pt idx="1218">
                  <c:v>43425</c:v>
                </c:pt>
                <c:pt idx="1219">
                  <c:v>43426</c:v>
                </c:pt>
                <c:pt idx="1220">
                  <c:v>43427</c:v>
                </c:pt>
                <c:pt idx="1221">
                  <c:v>43428</c:v>
                </c:pt>
                <c:pt idx="1222">
                  <c:v>43429</c:v>
                </c:pt>
                <c:pt idx="1223">
                  <c:v>43430</c:v>
                </c:pt>
                <c:pt idx="1224">
                  <c:v>43431</c:v>
                </c:pt>
                <c:pt idx="1225">
                  <c:v>43432</c:v>
                </c:pt>
                <c:pt idx="1226">
                  <c:v>43433</c:v>
                </c:pt>
                <c:pt idx="1227">
                  <c:v>43434</c:v>
                </c:pt>
                <c:pt idx="1228">
                  <c:v>43435</c:v>
                </c:pt>
                <c:pt idx="1229">
                  <c:v>43436</c:v>
                </c:pt>
                <c:pt idx="1230">
                  <c:v>43437</c:v>
                </c:pt>
                <c:pt idx="1231">
                  <c:v>43438</c:v>
                </c:pt>
                <c:pt idx="1232">
                  <c:v>43439</c:v>
                </c:pt>
                <c:pt idx="1233">
                  <c:v>43440</c:v>
                </c:pt>
                <c:pt idx="1234">
                  <c:v>43441</c:v>
                </c:pt>
                <c:pt idx="1235">
                  <c:v>43442</c:v>
                </c:pt>
                <c:pt idx="1236">
                  <c:v>43443</c:v>
                </c:pt>
                <c:pt idx="1237">
                  <c:v>43444</c:v>
                </c:pt>
                <c:pt idx="1238">
                  <c:v>43445</c:v>
                </c:pt>
                <c:pt idx="1239">
                  <c:v>43446</c:v>
                </c:pt>
                <c:pt idx="1240">
                  <c:v>43447</c:v>
                </c:pt>
                <c:pt idx="1241">
                  <c:v>43448</c:v>
                </c:pt>
                <c:pt idx="1242">
                  <c:v>43449</c:v>
                </c:pt>
                <c:pt idx="1243">
                  <c:v>43450</c:v>
                </c:pt>
                <c:pt idx="1244">
                  <c:v>43451</c:v>
                </c:pt>
                <c:pt idx="1245">
                  <c:v>43452</c:v>
                </c:pt>
                <c:pt idx="1246">
                  <c:v>43453</c:v>
                </c:pt>
                <c:pt idx="1247">
                  <c:v>43454</c:v>
                </c:pt>
                <c:pt idx="1248">
                  <c:v>43455</c:v>
                </c:pt>
                <c:pt idx="1249">
                  <c:v>43456</c:v>
                </c:pt>
                <c:pt idx="1250">
                  <c:v>43457</c:v>
                </c:pt>
                <c:pt idx="1251">
                  <c:v>43458</c:v>
                </c:pt>
                <c:pt idx="1252">
                  <c:v>43459</c:v>
                </c:pt>
                <c:pt idx="1253">
                  <c:v>43460</c:v>
                </c:pt>
                <c:pt idx="1254">
                  <c:v>43461</c:v>
                </c:pt>
                <c:pt idx="1255">
                  <c:v>43462</c:v>
                </c:pt>
                <c:pt idx="1256">
                  <c:v>43463</c:v>
                </c:pt>
                <c:pt idx="1257">
                  <c:v>43464</c:v>
                </c:pt>
                <c:pt idx="1258">
                  <c:v>43465</c:v>
                </c:pt>
                <c:pt idx="1259">
                  <c:v>43466</c:v>
                </c:pt>
                <c:pt idx="1260">
                  <c:v>43467</c:v>
                </c:pt>
                <c:pt idx="1261">
                  <c:v>43468</c:v>
                </c:pt>
                <c:pt idx="1262">
                  <c:v>43469</c:v>
                </c:pt>
                <c:pt idx="1263">
                  <c:v>43470</c:v>
                </c:pt>
                <c:pt idx="1264">
                  <c:v>43471</c:v>
                </c:pt>
                <c:pt idx="1265">
                  <c:v>43472</c:v>
                </c:pt>
                <c:pt idx="1266">
                  <c:v>43473</c:v>
                </c:pt>
                <c:pt idx="1267">
                  <c:v>43474</c:v>
                </c:pt>
                <c:pt idx="1268">
                  <c:v>43475</c:v>
                </c:pt>
                <c:pt idx="1269">
                  <c:v>43476</c:v>
                </c:pt>
                <c:pt idx="1270">
                  <c:v>43477</c:v>
                </c:pt>
                <c:pt idx="1271">
                  <c:v>43478</c:v>
                </c:pt>
                <c:pt idx="1272">
                  <c:v>43479</c:v>
                </c:pt>
                <c:pt idx="1273">
                  <c:v>43480</c:v>
                </c:pt>
                <c:pt idx="1274">
                  <c:v>43481</c:v>
                </c:pt>
                <c:pt idx="1275">
                  <c:v>43482</c:v>
                </c:pt>
                <c:pt idx="1276">
                  <c:v>43483</c:v>
                </c:pt>
                <c:pt idx="1277">
                  <c:v>43484</c:v>
                </c:pt>
                <c:pt idx="1278">
                  <c:v>43485</c:v>
                </c:pt>
                <c:pt idx="1279">
                  <c:v>43486</c:v>
                </c:pt>
                <c:pt idx="1280">
                  <c:v>43487</c:v>
                </c:pt>
                <c:pt idx="1281">
                  <c:v>43488</c:v>
                </c:pt>
                <c:pt idx="1282">
                  <c:v>43489</c:v>
                </c:pt>
                <c:pt idx="1283">
                  <c:v>43490</c:v>
                </c:pt>
                <c:pt idx="1284">
                  <c:v>43491</c:v>
                </c:pt>
                <c:pt idx="1285">
                  <c:v>43492</c:v>
                </c:pt>
                <c:pt idx="1286">
                  <c:v>43493</c:v>
                </c:pt>
                <c:pt idx="1287">
                  <c:v>43494</c:v>
                </c:pt>
                <c:pt idx="1288">
                  <c:v>43495</c:v>
                </c:pt>
                <c:pt idx="1289">
                  <c:v>43496</c:v>
                </c:pt>
                <c:pt idx="1290">
                  <c:v>43497</c:v>
                </c:pt>
                <c:pt idx="1291">
                  <c:v>43498</c:v>
                </c:pt>
                <c:pt idx="1292">
                  <c:v>43499</c:v>
                </c:pt>
                <c:pt idx="1293">
                  <c:v>43500</c:v>
                </c:pt>
                <c:pt idx="1294">
                  <c:v>43501</c:v>
                </c:pt>
                <c:pt idx="1295">
                  <c:v>43502</c:v>
                </c:pt>
                <c:pt idx="1296">
                  <c:v>43503</c:v>
                </c:pt>
                <c:pt idx="1297">
                  <c:v>43504</c:v>
                </c:pt>
                <c:pt idx="1298">
                  <c:v>43505</c:v>
                </c:pt>
                <c:pt idx="1299">
                  <c:v>43506</c:v>
                </c:pt>
                <c:pt idx="1300">
                  <c:v>43507</c:v>
                </c:pt>
                <c:pt idx="1301">
                  <c:v>43508</c:v>
                </c:pt>
                <c:pt idx="1302">
                  <c:v>43509</c:v>
                </c:pt>
                <c:pt idx="1303">
                  <c:v>43510</c:v>
                </c:pt>
                <c:pt idx="1304">
                  <c:v>43511</c:v>
                </c:pt>
                <c:pt idx="1305">
                  <c:v>43512</c:v>
                </c:pt>
                <c:pt idx="1306">
                  <c:v>43513</c:v>
                </c:pt>
                <c:pt idx="1307">
                  <c:v>43514</c:v>
                </c:pt>
                <c:pt idx="1308">
                  <c:v>43515</c:v>
                </c:pt>
                <c:pt idx="1309">
                  <c:v>43516</c:v>
                </c:pt>
                <c:pt idx="1310">
                  <c:v>43517</c:v>
                </c:pt>
                <c:pt idx="1311">
                  <c:v>43518</c:v>
                </c:pt>
                <c:pt idx="1312">
                  <c:v>43519</c:v>
                </c:pt>
                <c:pt idx="1313">
                  <c:v>43520</c:v>
                </c:pt>
                <c:pt idx="1314">
                  <c:v>43521</c:v>
                </c:pt>
                <c:pt idx="1315">
                  <c:v>43522</c:v>
                </c:pt>
                <c:pt idx="1316">
                  <c:v>43523</c:v>
                </c:pt>
                <c:pt idx="1317">
                  <c:v>43524</c:v>
                </c:pt>
                <c:pt idx="1318">
                  <c:v>43525</c:v>
                </c:pt>
                <c:pt idx="1319">
                  <c:v>43526</c:v>
                </c:pt>
                <c:pt idx="1320">
                  <c:v>43527</c:v>
                </c:pt>
                <c:pt idx="1321">
                  <c:v>43528</c:v>
                </c:pt>
                <c:pt idx="1322">
                  <c:v>43529</c:v>
                </c:pt>
                <c:pt idx="1323">
                  <c:v>43530</c:v>
                </c:pt>
                <c:pt idx="1324">
                  <c:v>43531</c:v>
                </c:pt>
                <c:pt idx="1325">
                  <c:v>43532</c:v>
                </c:pt>
                <c:pt idx="1326">
                  <c:v>43533</c:v>
                </c:pt>
                <c:pt idx="1327">
                  <c:v>43534</c:v>
                </c:pt>
                <c:pt idx="1328">
                  <c:v>43535</c:v>
                </c:pt>
                <c:pt idx="1329">
                  <c:v>43536</c:v>
                </c:pt>
                <c:pt idx="1330">
                  <c:v>43537</c:v>
                </c:pt>
                <c:pt idx="1331">
                  <c:v>43538</c:v>
                </c:pt>
                <c:pt idx="1332">
                  <c:v>43539</c:v>
                </c:pt>
                <c:pt idx="1333">
                  <c:v>43540</c:v>
                </c:pt>
                <c:pt idx="1334">
                  <c:v>43541</c:v>
                </c:pt>
                <c:pt idx="1335">
                  <c:v>43542</c:v>
                </c:pt>
                <c:pt idx="1336">
                  <c:v>43543</c:v>
                </c:pt>
                <c:pt idx="1337">
                  <c:v>43544</c:v>
                </c:pt>
                <c:pt idx="1338">
                  <c:v>43545</c:v>
                </c:pt>
                <c:pt idx="1339">
                  <c:v>43546</c:v>
                </c:pt>
                <c:pt idx="1340">
                  <c:v>43547</c:v>
                </c:pt>
                <c:pt idx="1341">
                  <c:v>43548</c:v>
                </c:pt>
                <c:pt idx="1342">
                  <c:v>43549</c:v>
                </c:pt>
                <c:pt idx="1343">
                  <c:v>43550</c:v>
                </c:pt>
                <c:pt idx="1344">
                  <c:v>43551</c:v>
                </c:pt>
                <c:pt idx="1345">
                  <c:v>43552</c:v>
                </c:pt>
                <c:pt idx="1346">
                  <c:v>43553</c:v>
                </c:pt>
                <c:pt idx="1347">
                  <c:v>43554</c:v>
                </c:pt>
                <c:pt idx="1348">
                  <c:v>43555</c:v>
                </c:pt>
                <c:pt idx="1349">
                  <c:v>43556</c:v>
                </c:pt>
                <c:pt idx="1350">
                  <c:v>43557</c:v>
                </c:pt>
                <c:pt idx="1351">
                  <c:v>43558</c:v>
                </c:pt>
                <c:pt idx="1352">
                  <c:v>43559</c:v>
                </c:pt>
                <c:pt idx="1353">
                  <c:v>43560</c:v>
                </c:pt>
                <c:pt idx="1354">
                  <c:v>43561</c:v>
                </c:pt>
                <c:pt idx="1355">
                  <c:v>43562</c:v>
                </c:pt>
                <c:pt idx="1356">
                  <c:v>43563</c:v>
                </c:pt>
                <c:pt idx="1357">
                  <c:v>43564</c:v>
                </c:pt>
                <c:pt idx="1358">
                  <c:v>43565</c:v>
                </c:pt>
                <c:pt idx="1359">
                  <c:v>43566</c:v>
                </c:pt>
                <c:pt idx="1360">
                  <c:v>43567</c:v>
                </c:pt>
                <c:pt idx="1361">
                  <c:v>43568</c:v>
                </c:pt>
                <c:pt idx="1362">
                  <c:v>43569</c:v>
                </c:pt>
                <c:pt idx="1363">
                  <c:v>43570</c:v>
                </c:pt>
                <c:pt idx="1364">
                  <c:v>43571</c:v>
                </c:pt>
                <c:pt idx="1365">
                  <c:v>43572</c:v>
                </c:pt>
                <c:pt idx="1366">
                  <c:v>43573</c:v>
                </c:pt>
                <c:pt idx="1367">
                  <c:v>43574</c:v>
                </c:pt>
                <c:pt idx="1368">
                  <c:v>43575</c:v>
                </c:pt>
                <c:pt idx="1369">
                  <c:v>43576</c:v>
                </c:pt>
                <c:pt idx="1370">
                  <c:v>43577</c:v>
                </c:pt>
                <c:pt idx="1371">
                  <c:v>43578</c:v>
                </c:pt>
                <c:pt idx="1372">
                  <c:v>43579</c:v>
                </c:pt>
                <c:pt idx="1373">
                  <c:v>43580</c:v>
                </c:pt>
                <c:pt idx="1374">
                  <c:v>43581</c:v>
                </c:pt>
                <c:pt idx="1375">
                  <c:v>43582</c:v>
                </c:pt>
                <c:pt idx="1376">
                  <c:v>43583</c:v>
                </c:pt>
                <c:pt idx="1377">
                  <c:v>43584</c:v>
                </c:pt>
                <c:pt idx="1378">
                  <c:v>43585</c:v>
                </c:pt>
                <c:pt idx="1379">
                  <c:v>43586</c:v>
                </c:pt>
                <c:pt idx="1380">
                  <c:v>43587</c:v>
                </c:pt>
                <c:pt idx="1381">
                  <c:v>43588</c:v>
                </c:pt>
                <c:pt idx="1382">
                  <c:v>43589</c:v>
                </c:pt>
                <c:pt idx="1383">
                  <c:v>43590</c:v>
                </c:pt>
                <c:pt idx="1384">
                  <c:v>43591</c:v>
                </c:pt>
                <c:pt idx="1385">
                  <c:v>43592</c:v>
                </c:pt>
                <c:pt idx="1386">
                  <c:v>43593</c:v>
                </c:pt>
                <c:pt idx="1387">
                  <c:v>43594</c:v>
                </c:pt>
                <c:pt idx="1388">
                  <c:v>43595</c:v>
                </c:pt>
                <c:pt idx="1389">
                  <c:v>43596</c:v>
                </c:pt>
                <c:pt idx="1390">
                  <c:v>43597</c:v>
                </c:pt>
                <c:pt idx="1391">
                  <c:v>43598</c:v>
                </c:pt>
                <c:pt idx="1392">
                  <c:v>43599</c:v>
                </c:pt>
                <c:pt idx="1393">
                  <c:v>43600</c:v>
                </c:pt>
                <c:pt idx="1394">
                  <c:v>43601</c:v>
                </c:pt>
                <c:pt idx="1395">
                  <c:v>43602</c:v>
                </c:pt>
                <c:pt idx="1396">
                  <c:v>43603</c:v>
                </c:pt>
                <c:pt idx="1397">
                  <c:v>43604</c:v>
                </c:pt>
                <c:pt idx="1398">
                  <c:v>43605</c:v>
                </c:pt>
                <c:pt idx="1399">
                  <c:v>43606</c:v>
                </c:pt>
                <c:pt idx="1400">
                  <c:v>43607</c:v>
                </c:pt>
                <c:pt idx="1401">
                  <c:v>43608</c:v>
                </c:pt>
                <c:pt idx="1402">
                  <c:v>43609</c:v>
                </c:pt>
                <c:pt idx="1403">
                  <c:v>43610</c:v>
                </c:pt>
                <c:pt idx="1404">
                  <c:v>43611</c:v>
                </c:pt>
                <c:pt idx="1405">
                  <c:v>43612</c:v>
                </c:pt>
                <c:pt idx="1406">
                  <c:v>43613</c:v>
                </c:pt>
                <c:pt idx="1407">
                  <c:v>43614</c:v>
                </c:pt>
                <c:pt idx="1408">
                  <c:v>43615</c:v>
                </c:pt>
                <c:pt idx="1409">
                  <c:v>43616</c:v>
                </c:pt>
                <c:pt idx="1410">
                  <c:v>43617</c:v>
                </c:pt>
                <c:pt idx="1411">
                  <c:v>43618</c:v>
                </c:pt>
                <c:pt idx="1412">
                  <c:v>43619</c:v>
                </c:pt>
                <c:pt idx="1413">
                  <c:v>43620</c:v>
                </c:pt>
                <c:pt idx="1414">
                  <c:v>43621</c:v>
                </c:pt>
                <c:pt idx="1415">
                  <c:v>43622</c:v>
                </c:pt>
                <c:pt idx="1416">
                  <c:v>43623</c:v>
                </c:pt>
                <c:pt idx="1417">
                  <c:v>43624</c:v>
                </c:pt>
                <c:pt idx="1418">
                  <c:v>43625</c:v>
                </c:pt>
                <c:pt idx="1419">
                  <c:v>43626</c:v>
                </c:pt>
                <c:pt idx="1420">
                  <c:v>43627</c:v>
                </c:pt>
                <c:pt idx="1421">
                  <c:v>43628</c:v>
                </c:pt>
                <c:pt idx="1422">
                  <c:v>43629</c:v>
                </c:pt>
                <c:pt idx="1423">
                  <c:v>43630</c:v>
                </c:pt>
                <c:pt idx="1424">
                  <c:v>43631</c:v>
                </c:pt>
                <c:pt idx="1425">
                  <c:v>43632</c:v>
                </c:pt>
                <c:pt idx="1426">
                  <c:v>43633</c:v>
                </c:pt>
                <c:pt idx="1427">
                  <c:v>43634</c:v>
                </c:pt>
                <c:pt idx="1428">
                  <c:v>43635</c:v>
                </c:pt>
                <c:pt idx="1429">
                  <c:v>43636</c:v>
                </c:pt>
                <c:pt idx="1430">
                  <c:v>43637</c:v>
                </c:pt>
                <c:pt idx="1431">
                  <c:v>43638</c:v>
                </c:pt>
                <c:pt idx="1432">
                  <c:v>43639</c:v>
                </c:pt>
                <c:pt idx="1433">
                  <c:v>43640</c:v>
                </c:pt>
                <c:pt idx="1434">
                  <c:v>43641</c:v>
                </c:pt>
                <c:pt idx="1435">
                  <c:v>43642</c:v>
                </c:pt>
                <c:pt idx="1436">
                  <c:v>43643</c:v>
                </c:pt>
                <c:pt idx="1437">
                  <c:v>43644</c:v>
                </c:pt>
                <c:pt idx="1438">
                  <c:v>43645</c:v>
                </c:pt>
                <c:pt idx="1439">
                  <c:v>43646</c:v>
                </c:pt>
                <c:pt idx="1440">
                  <c:v>43647</c:v>
                </c:pt>
                <c:pt idx="1441">
                  <c:v>43648</c:v>
                </c:pt>
                <c:pt idx="1442">
                  <c:v>43649</c:v>
                </c:pt>
                <c:pt idx="1443">
                  <c:v>43650</c:v>
                </c:pt>
                <c:pt idx="1444">
                  <c:v>43651</c:v>
                </c:pt>
                <c:pt idx="1445">
                  <c:v>43652</c:v>
                </c:pt>
                <c:pt idx="1446">
                  <c:v>43653</c:v>
                </c:pt>
                <c:pt idx="1447">
                  <c:v>43654</c:v>
                </c:pt>
                <c:pt idx="1448">
                  <c:v>43655</c:v>
                </c:pt>
                <c:pt idx="1449">
                  <c:v>43656</c:v>
                </c:pt>
                <c:pt idx="1450">
                  <c:v>43657</c:v>
                </c:pt>
                <c:pt idx="1451">
                  <c:v>43658</c:v>
                </c:pt>
                <c:pt idx="1452">
                  <c:v>43659</c:v>
                </c:pt>
                <c:pt idx="1453">
                  <c:v>43660</c:v>
                </c:pt>
                <c:pt idx="1454">
                  <c:v>43661</c:v>
                </c:pt>
                <c:pt idx="1455">
                  <c:v>43662</c:v>
                </c:pt>
                <c:pt idx="1456">
                  <c:v>43663</c:v>
                </c:pt>
                <c:pt idx="1457">
                  <c:v>43664</c:v>
                </c:pt>
                <c:pt idx="1458">
                  <c:v>43665</c:v>
                </c:pt>
                <c:pt idx="1459">
                  <c:v>43666</c:v>
                </c:pt>
                <c:pt idx="1460">
                  <c:v>43667</c:v>
                </c:pt>
                <c:pt idx="1461">
                  <c:v>43668</c:v>
                </c:pt>
                <c:pt idx="1462">
                  <c:v>43669</c:v>
                </c:pt>
                <c:pt idx="1463">
                  <c:v>43670</c:v>
                </c:pt>
                <c:pt idx="1464">
                  <c:v>43671</c:v>
                </c:pt>
                <c:pt idx="1465">
                  <c:v>43672</c:v>
                </c:pt>
                <c:pt idx="1466">
                  <c:v>43673</c:v>
                </c:pt>
                <c:pt idx="1467">
                  <c:v>43674</c:v>
                </c:pt>
                <c:pt idx="1468">
                  <c:v>43675</c:v>
                </c:pt>
                <c:pt idx="1469">
                  <c:v>43676</c:v>
                </c:pt>
                <c:pt idx="1470">
                  <c:v>43677</c:v>
                </c:pt>
                <c:pt idx="1471">
                  <c:v>43678</c:v>
                </c:pt>
                <c:pt idx="1472">
                  <c:v>43679</c:v>
                </c:pt>
                <c:pt idx="1473">
                  <c:v>43680</c:v>
                </c:pt>
                <c:pt idx="1474">
                  <c:v>43681</c:v>
                </c:pt>
                <c:pt idx="1475">
                  <c:v>43682</c:v>
                </c:pt>
                <c:pt idx="1476">
                  <c:v>43683</c:v>
                </c:pt>
                <c:pt idx="1477">
                  <c:v>43684</c:v>
                </c:pt>
                <c:pt idx="1478">
                  <c:v>43685</c:v>
                </c:pt>
                <c:pt idx="1479">
                  <c:v>43686</c:v>
                </c:pt>
                <c:pt idx="1480">
                  <c:v>43687</c:v>
                </c:pt>
                <c:pt idx="1481">
                  <c:v>43688</c:v>
                </c:pt>
                <c:pt idx="1482">
                  <c:v>43689</c:v>
                </c:pt>
                <c:pt idx="1483">
                  <c:v>43690</c:v>
                </c:pt>
                <c:pt idx="1484">
                  <c:v>43691</c:v>
                </c:pt>
                <c:pt idx="1485">
                  <c:v>43692</c:v>
                </c:pt>
                <c:pt idx="1486">
                  <c:v>43693</c:v>
                </c:pt>
                <c:pt idx="1487">
                  <c:v>43694</c:v>
                </c:pt>
                <c:pt idx="1488">
                  <c:v>43695</c:v>
                </c:pt>
                <c:pt idx="1489">
                  <c:v>43696</c:v>
                </c:pt>
                <c:pt idx="1490">
                  <c:v>43697</c:v>
                </c:pt>
                <c:pt idx="1491">
                  <c:v>43698</c:v>
                </c:pt>
                <c:pt idx="1492">
                  <c:v>43699</c:v>
                </c:pt>
                <c:pt idx="1493">
                  <c:v>43700</c:v>
                </c:pt>
                <c:pt idx="1494">
                  <c:v>43701</c:v>
                </c:pt>
                <c:pt idx="1495">
                  <c:v>43702</c:v>
                </c:pt>
                <c:pt idx="1496">
                  <c:v>43703</c:v>
                </c:pt>
                <c:pt idx="1497">
                  <c:v>43704</c:v>
                </c:pt>
                <c:pt idx="1498">
                  <c:v>43705</c:v>
                </c:pt>
                <c:pt idx="1499">
                  <c:v>43706</c:v>
                </c:pt>
                <c:pt idx="1500">
                  <c:v>43707</c:v>
                </c:pt>
                <c:pt idx="1501">
                  <c:v>43708</c:v>
                </c:pt>
                <c:pt idx="1502">
                  <c:v>43709</c:v>
                </c:pt>
                <c:pt idx="1503">
                  <c:v>43710</c:v>
                </c:pt>
                <c:pt idx="1504">
                  <c:v>43711</c:v>
                </c:pt>
                <c:pt idx="1505">
                  <c:v>43712</c:v>
                </c:pt>
                <c:pt idx="1506">
                  <c:v>43713</c:v>
                </c:pt>
                <c:pt idx="1507">
                  <c:v>43714</c:v>
                </c:pt>
                <c:pt idx="1508">
                  <c:v>43715</c:v>
                </c:pt>
                <c:pt idx="1509">
                  <c:v>43716</c:v>
                </c:pt>
                <c:pt idx="1510">
                  <c:v>43717</c:v>
                </c:pt>
                <c:pt idx="1511">
                  <c:v>43718</c:v>
                </c:pt>
                <c:pt idx="1512">
                  <c:v>43719</c:v>
                </c:pt>
                <c:pt idx="1513">
                  <c:v>43720</c:v>
                </c:pt>
                <c:pt idx="1514">
                  <c:v>43721</c:v>
                </c:pt>
                <c:pt idx="1515">
                  <c:v>43722</c:v>
                </c:pt>
                <c:pt idx="1516">
                  <c:v>43723</c:v>
                </c:pt>
                <c:pt idx="1517">
                  <c:v>43724</c:v>
                </c:pt>
                <c:pt idx="1518">
                  <c:v>43725</c:v>
                </c:pt>
                <c:pt idx="1519">
                  <c:v>43726</c:v>
                </c:pt>
                <c:pt idx="1520">
                  <c:v>43727</c:v>
                </c:pt>
                <c:pt idx="1521">
                  <c:v>43728</c:v>
                </c:pt>
                <c:pt idx="1522">
                  <c:v>43729</c:v>
                </c:pt>
                <c:pt idx="1523">
                  <c:v>43730</c:v>
                </c:pt>
                <c:pt idx="1524">
                  <c:v>43731</c:v>
                </c:pt>
                <c:pt idx="1525">
                  <c:v>43732</c:v>
                </c:pt>
                <c:pt idx="1526">
                  <c:v>43733</c:v>
                </c:pt>
                <c:pt idx="1527">
                  <c:v>43734</c:v>
                </c:pt>
                <c:pt idx="1528">
                  <c:v>43735</c:v>
                </c:pt>
                <c:pt idx="1529">
                  <c:v>43736</c:v>
                </c:pt>
                <c:pt idx="1530">
                  <c:v>43737</c:v>
                </c:pt>
                <c:pt idx="1531">
                  <c:v>43738</c:v>
                </c:pt>
                <c:pt idx="1532">
                  <c:v>43739</c:v>
                </c:pt>
                <c:pt idx="1533">
                  <c:v>43740</c:v>
                </c:pt>
                <c:pt idx="1534">
                  <c:v>43741</c:v>
                </c:pt>
                <c:pt idx="1535">
                  <c:v>43742</c:v>
                </c:pt>
                <c:pt idx="1536">
                  <c:v>43743</c:v>
                </c:pt>
                <c:pt idx="1537">
                  <c:v>43744</c:v>
                </c:pt>
                <c:pt idx="1538">
                  <c:v>43745</c:v>
                </c:pt>
                <c:pt idx="1539">
                  <c:v>43746</c:v>
                </c:pt>
                <c:pt idx="1540">
                  <c:v>43747</c:v>
                </c:pt>
                <c:pt idx="1541">
                  <c:v>43748</c:v>
                </c:pt>
                <c:pt idx="1542">
                  <c:v>43749</c:v>
                </c:pt>
                <c:pt idx="1543">
                  <c:v>43750</c:v>
                </c:pt>
                <c:pt idx="1544">
                  <c:v>43751</c:v>
                </c:pt>
                <c:pt idx="1545">
                  <c:v>43752</c:v>
                </c:pt>
                <c:pt idx="1546">
                  <c:v>43753</c:v>
                </c:pt>
                <c:pt idx="1547">
                  <c:v>43754</c:v>
                </c:pt>
                <c:pt idx="1548">
                  <c:v>43755</c:v>
                </c:pt>
                <c:pt idx="1549">
                  <c:v>43756</c:v>
                </c:pt>
                <c:pt idx="1550">
                  <c:v>43757</c:v>
                </c:pt>
                <c:pt idx="1551">
                  <c:v>43758</c:v>
                </c:pt>
                <c:pt idx="1552">
                  <c:v>43759</c:v>
                </c:pt>
                <c:pt idx="1553">
                  <c:v>43760</c:v>
                </c:pt>
                <c:pt idx="1554">
                  <c:v>43761</c:v>
                </c:pt>
                <c:pt idx="1555">
                  <c:v>43762</c:v>
                </c:pt>
                <c:pt idx="1556">
                  <c:v>43763</c:v>
                </c:pt>
                <c:pt idx="1557">
                  <c:v>43764</c:v>
                </c:pt>
                <c:pt idx="1558">
                  <c:v>43765</c:v>
                </c:pt>
                <c:pt idx="1559">
                  <c:v>43766</c:v>
                </c:pt>
                <c:pt idx="1560">
                  <c:v>43767</c:v>
                </c:pt>
                <c:pt idx="1561">
                  <c:v>43768</c:v>
                </c:pt>
                <c:pt idx="1562">
                  <c:v>43769</c:v>
                </c:pt>
                <c:pt idx="1563">
                  <c:v>43770</c:v>
                </c:pt>
                <c:pt idx="1564">
                  <c:v>43771</c:v>
                </c:pt>
                <c:pt idx="1565">
                  <c:v>43772</c:v>
                </c:pt>
                <c:pt idx="1566">
                  <c:v>43773</c:v>
                </c:pt>
                <c:pt idx="1567">
                  <c:v>43774</c:v>
                </c:pt>
                <c:pt idx="1568">
                  <c:v>43775</c:v>
                </c:pt>
                <c:pt idx="1569">
                  <c:v>43776</c:v>
                </c:pt>
                <c:pt idx="1570">
                  <c:v>43777</c:v>
                </c:pt>
                <c:pt idx="1571">
                  <c:v>43778</c:v>
                </c:pt>
                <c:pt idx="1572">
                  <c:v>43779</c:v>
                </c:pt>
                <c:pt idx="1573">
                  <c:v>43780</c:v>
                </c:pt>
                <c:pt idx="1574">
                  <c:v>43781</c:v>
                </c:pt>
                <c:pt idx="1575">
                  <c:v>43782</c:v>
                </c:pt>
                <c:pt idx="1576">
                  <c:v>43783</c:v>
                </c:pt>
                <c:pt idx="1577">
                  <c:v>43784</c:v>
                </c:pt>
                <c:pt idx="1578">
                  <c:v>43785</c:v>
                </c:pt>
                <c:pt idx="1579">
                  <c:v>43786</c:v>
                </c:pt>
                <c:pt idx="1580">
                  <c:v>43787</c:v>
                </c:pt>
                <c:pt idx="1581">
                  <c:v>43788</c:v>
                </c:pt>
                <c:pt idx="1582">
                  <c:v>43789</c:v>
                </c:pt>
                <c:pt idx="1583">
                  <c:v>43790</c:v>
                </c:pt>
                <c:pt idx="1584">
                  <c:v>43791</c:v>
                </c:pt>
                <c:pt idx="1585">
                  <c:v>43792</c:v>
                </c:pt>
                <c:pt idx="1586">
                  <c:v>43793</c:v>
                </c:pt>
                <c:pt idx="1587">
                  <c:v>43794</c:v>
                </c:pt>
                <c:pt idx="1588">
                  <c:v>43795</c:v>
                </c:pt>
                <c:pt idx="1589">
                  <c:v>43796</c:v>
                </c:pt>
                <c:pt idx="1590">
                  <c:v>43797</c:v>
                </c:pt>
                <c:pt idx="1591">
                  <c:v>43798</c:v>
                </c:pt>
                <c:pt idx="1592">
                  <c:v>43799</c:v>
                </c:pt>
                <c:pt idx="1593">
                  <c:v>43800</c:v>
                </c:pt>
                <c:pt idx="1594">
                  <c:v>43801</c:v>
                </c:pt>
                <c:pt idx="1595">
                  <c:v>43802</c:v>
                </c:pt>
                <c:pt idx="1596">
                  <c:v>43803</c:v>
                </c:pt>
                <c:pt idx="1597">
                  <c:v>43804</c:v>
                </c:pt>
                <c:pt idx="1598">
                  <c:v>43805</c:v>
                </c:pt>
                <c:pt idx="1599">
                  <c:v>43806</c:v>
                </c:pt>
                <c:pt idx="1600">
                  <c:v>43807</c:v>
                </c:pt>
                <c:pt idx="1601">
                  <c:v>43808</c:v>
                </c:pt>
                <c:pt idx="1602">
                  <c:v>43809</c:v>
                </c:pt>
                <c:pt idx="1603">
                  <c:v>43810</c:v>
                </c:pt>
                <c:pt idx="1604">
                  <c:v>43811</c:v>
                </c:pt>
                <c:pt idx="1605">
                  <c:v>43812</c:v>
                </c:pt>
                <c:pt idx="1606">
                  <c:v>43813</c:v>
                </c:pt>
                <c:pt idx="1607">
                  <c:v>43814</c:v>
                </c:pt>
                <c:pt idx="1608">
                  <c:v>43815</c:v>
                </c:pt>
                <c:pt idx="1609">
                  <c:v>43816</c:v>
                </c:pt>
                <c:pt idx="1610">
                  <c:v>43817</c:v>
                </c:pt>
                <c:pt idx="1611">
                  <c:v>43818</c:v>
                </c:pt>
                <c:pt idx="1612">
                  <c:v>43819</c:v>
                </c:pt>
                <c:pt idx="1613">
                  <c:v>43820</c:v>
                </c:pt>
                <c:pt idx="1614">
                  <c:v>43821</c:v>
                </c:pt>
                <c:pt idx="1615">
                  <c:v>43822</c:v>
                </c:pt>
                <c:pt idx="1616">
                  <c:v>43823</c:v>
                </c:pt>
                <c:pt idx="1617">
                  <c:v>43824</c:v>
                </c:pt>
                <c:pt idx="1618">
                  <c:v>43825</c:v>
                </c:pt>
                <c:pt idx="1619">
                  <c:v>43826</c:v>
                </c:pt>
                <c:pt idx="1620">
                  <c:v>43827</c:v>
                </c:pt>
                <c:pt idx="1621">
                  <c:v>43828</c:v>
                </c:pt>
                <c:pt idx="1622">
                  <c:v>43829</c:v>
                </c:pt>
                <c:pt idx="1623">
                  <c:v>43830</c:v>
                </c:pt>
                <c:pt idx="1624">
                  <c:v>43831</c:v>
                </c:pt>
                <c:pt idx="1625">
                  <c:v>43832</c:v>
                </c:pt>
                <c:pt idx="1626">
                  <c:v>43833</c:v>
                </c:pt>
                <c:pt idx="1627">
                  <c:v>43834</c:v>
                </c:pt>
                <c:pt idx="1628">
                  <c:v>43835</c:v>
                </c:pt>
                <c:pt idx="1629">
                  <c:v>43836</c:v>
                </c:pt>
                <c:pt idx="1630">
                  <c:v>43837</c:v>
                </c:pt>
                <c:pt idx="1631">
                  <c:v>43838</c:v>
                </c:pt>
                <c:pt idx="1632">
                  <c:v>43839</c:v>
                </c:pt>
                <c:pt idx="1633">
                  <c:v>43840</c:v>
                </c:pt>
                <c:pt idx="1634">
                  <c:v>43841</c:v>
                </c:pt>
                <c:pt idx="1635">
                  <c:v>43842</c:v>
                </c:pt>
                <c:pt idx="1636">
                  <c:v>43843</c:v>
                </c:pt>
                <c:pt idx="1637">
                  <c:v>43844</c:v>
                </c:pt>
                <c:pt idx="1638">
                  <c:v>43845</c:v>
                </c:pt>
                <c:pt idx="1639">
                  <c:v>43846</c:v>
                </c:pt>
                <c:pt idx="1640">
                  <c:v>43847</c:v>
                </c:pt>
                <c:pt idx="1641">
                  <c:v>43848</c:v>
                </c:pt>
                <c:pt idx="1642">
                  <c:v>43849</c:v>
                </c:pt>
                <c:pt idx="1643">
                  <c:v>43850</c:v>
                </c:pt>
                <c:pt idx="1644">
                  <c:v>43851</c:v>
                </c:pt>
                <c:pt idx="1645">
                  <c:v>43852</c:v>
                </c:pt>
                <c:pt idx="1646">
                  <c:v>43853</c:v>
                </c:pt>
                <c:pt idx="1647">
                  <c:v>43854</c:v>
                </c:pt>
                <c:pt idx="1648">
                  <c:v>43855</c:v>
                </c:pt>
                <c:pt idx="1649">
                  <c:v>43856</c:v>
                </c:pt>
                <c:pt idx="1650">
                  <c:v>43857</c:v>
                </c:pt>
                <c:pt idx="1651">
                  <c:v>43858</c:v>
                </c:pt>
                <c:pt idx="1652">
                  <c:v>43859</c:v>
                </c:pt>
                <c:pt idx="1653">
                  <c:v>43860</c:v>
                </c:pt>
                <c:pt idx="1654">
                  <c:v>43861</c:v>
                </c:pt>
                <c:pt idx="1655">
                  <c:v>43862</c:v>
                </c:pt>
                <c:pt idx="1656">
                  <c:v>43863</c:v>
                </c:pt>
                <c:pt idx="1657">
                  <c:v>43864</c:v>
                </c:pt>
                <c:pt idx="1658">
                  <c:v>43865</c:v>
                </c:pt>
                <c:pt idx="1659">
                  <c:v>43866</c:v>
                </c:pt>
                <c:pt idx="1660">
                  <c:v>43867</c:v>
                </c:pt>
                <c:pt idx="1661">
                  <c:v>43868</c:v>
                </c:pt>
                <c:pt idx="1662">
                  <c:v>43869</c:v>
                </c:pt>
                <c:pt idx="1663">
                  <c:v>43870</c:v>
                </c:pt>
                <c:pt idx="1664">
                  <c:v>43871</c:v>
                </c:pt>
                <c:pt idx="1665">
                  <c:v>43872</c:v>
                </c:pt>
                <c:pt idx="1666">
                  <c:v>43873</c:v>
                </c:pt>
                <c:pt idx="1667">
                  <c:v>43874</c:v>
                </c:pt>
                <c:pt idx="1668">
                  <c:v>43875</c:v>
                </c:pt>
                <c:pt idx="1669">
                  <c:v>43876</c:v>
                </c:pt>
                <c:pt idx="1670">
                  <c:v>43877</c:v>
                </c:pt>
                <c:pt idx="1671">
                  <c:v>43878</c:v>
                </c:pt>
                <c:pt idx="1672">
                  <c:v>43879</c:v>
                </c:pt>
                <c:pt idx="1673">
                  <c:v>43880</c:v>
                </c:pt>
                <c:pt idx="1674">
                  <c:v>43881</c:v>
                </c:pt>
                <c:pt idx="1675">
                  <c:v>43882</c:v>
                </c:pt>
                <c:pt idx="1676">
                  <c:v>43883</c:v>
                </c:pt>
                <c:pt idx="1677">
                  <c:v>43884</c:v>
                </c:pt>
                <c:pt idx="1678">
                  <c:v>43885</c:v>
                </c:pt>
                <c:pt idx="1679">
                  <c:v>43886</c:v>
                </c:pt>
                <c:pt idx="1680">
                  <c:v>43887</c:v>
                </c:pt>
                <c:pt idx="1681">
                  <c:v>43888</c:v>
                </c:pt>
                <c:pt idx="1682">
                  <c:v>43889</c:v>
                </c:pt>
                <c:pt idx="1683">
                  <c:v>43890</c:v>
                </c:pt>
                <c:pt idx="1684">
                  <c:v>43891</c:v>
                </c:pt>
                <c:pt idx="1685">
                  <c:v>43892</c:v>
                </c:pt>
                <c:pt idx="1686">
                  <c:v>43893</c:v>
                </c:pt>
                <c:pt idx="1687">
                  <c:v>43894</c:v>
                </c:pt>
                <c:pt idx="1688">
                  <c:v>43895</c:v>
                </c:pt>
                <c:pt idx="1689">
                  <c:v>43896</c:v>
                </c:pt>
                <c:pt idx="1690">
                  <c:v>43897</c:v>
                </c:pt>
                <c:pt idx="1691">
                  <c:v>43898</c:v>
                </c:pt>
                <c:pt idx="1692">
                  <c:v>43899</c:v>
                </c:pt>
                <c:pt idx="1693">
                  <c:v>43900</c:v>
                </c:pt>
                <c:pt idx="1694">
                  <c:v>43901</c:v>
                </c:pt>
                <c:pt idx="1695">
                  <c:v>43902</c:v>
                </c:pt>
                <c:pt idx="1696">
                  <c:v>43903</c:v>
                </c:pt>
                <c:pt idx="1697">
                  <c:v>43904</c:v>
                </c:pt>
                <c:pt idx="1698">
                  <c:v>43905</c:v>
                </c:pt>
                <c:pt idx="1699">
                  <c:v>43906</c:v>
                </c:pt>
                <c:pt idx="1700">
                  <c:v>43907</c:v>
                </c:pt>
                <c:pt idx="1701">
                  <c:v>43908</c:v>
                </c:pt>
                <c:pt idx="1702">
                  <c:v>43909</c:v>
                </c:pt>
                <c:pt idx="1703">
                  <c:v>43910</c:v>
                </c:pt>
                <c:pt idx="1704">
                  <c:v>43911</c:v>
                </c:pt>
                <c:pt idx="1705">
                  <c:v>43912</c:v>
                </c:pt>
                <c:pt idx="1706">
                  <c:v>43913</c:v>
                </c:pt>
                <c:pt idx="1707">
                  <c:v>43914</c:v>
                </c:pt>
                <c:pt idx="1708">
                  <c:v>43915</c:v>
                </c:pt>
                <c:pt idx="1709">
                  <c:v>43916</c:v>
                </c:pt>
                <c:pt idx="1710">
                  <c:v>43917</c:v>
                </c:pt>
                <c:pt idx="1711">
                  <c:v>43918</c:v>
                </c:pt>
                <c:pt idx="1712">
                  <c:v>43919</c:v>
                </c:pt>
                <c:pt idx="1713">
                  <c:v>43920</c:v>
                </c:pt>
                <c:pt idx="1714">
                  <c:v>43921</c:v>
                </c:pt>
                <c:pt idx="1715">
                  <c:v>43922</c:v>
                </c:pt>
                <c:pt idx="1716">
                  <c:v>43923</c:v>
                </c:pt>
                <c:pt idx="1717">
                  <c:v>43924</c:v>
                </c:pt>
                <c:pt idx="1718">
                  <c:v>43925</c:v>
                </c:pt>
                <c:pt idx="1719">
                  <c:v>43926</c:v>
                </c:pt>
                <c:pt idx="1720">
                  <c:v>43927</c:v>
                </c:pt>
                <c:pt idx="1721">
                  <c:v>43928</c:v>
                </c:pt>
                <c:pt idx="1722">
                  <c:v>43929</c:v>
                </c:pt>
                <c:pt idx="1723">
                  <c:v>43930</c:v>
                </c:pt>
                <c:pt idx="1724">
                  <c:v>43931</c:v>
                </c:pt>
                <c:pt idx="1725">
                  <c:v>43932</c:v>
                </c:pt>
                <c:pt idx="1726">
                  <c:v>43933</c:v>
                </c:pt>
                <c:pt idx="1727">
                  <c:v>43934</c:v>
                </c:pt>
                <c:pt idx="1728">
                  <c:v>43935</c:v>
                </c:pt>
                <c:pt idx="1729">
                  <c:v>43936</c:v>
                </c:pt>
                <c:pt idx="1730">
                  <c:v>43937</c:v>
                </c:pt>
                <c:pt idx="1731">
                  <c:v>43938</c:v>
                </c:pt>
                <c:pt idx="1732">
                  <c:v>43939</c:v>
                </c:pt>
                <c:pt idx="1733">
                  <c:v>43940</c:v>
                </c:pt>
                <c:pt idx="1734">
                  <c:v>43941</c:v>
                </c:pt>
                <c:pt idx="1735">
                  <c:v>43942</c:v>
                </c:pt>
                <c:pt idx="1736">
                  <c:v>43943</c:v>
                </c:pt>
                <c:pt idx="1737">
                  <c:v>43944</c:v>
                </c:pt>
                <c:pt idx="1738">
                  <c:v>43945</c:v>
                </c:pt>
                <c:pt idx="1739">
                  <c:v>43946</c:v>
                </c:pt>
                <c:pt idx="1740">
                  <c:v>43947</c:v>
                </c:pt>
                <c:pt idx="1741">
                  <c:v>43948</c:v>
                </c:pt>
                <c:pt idx="1742">
                  <c:v>43949</c:v>
                </c:pt>
                <c:pt idx="1743">
                  <c:v>43950</c:v>
                </c:pt>
                <c:pt idx="1744">
                  <c:v>43951</c:v>
                </c:pt>
                <c:pt idx="1745">
                  <c:v>43952</c:v>
                </c:pt>
                <c:pt idx="1746">
                  <c:v>43953</c:v>
                </c:pt>
                <c:pt idx="1747">
                  <c:v>43954</c:v>
                </c:pt>
                <c:pt idx="1748">
                  <c:v>43955</c:v>
                </c:pt>
                <c:pt idx="1749">
                  <c:v>43956</c:v>
                </c:pt>
                <c:pt idx="1750">
                  <c:v>43957</c:v>
                </c:pt>
                <c:pt idx="1751">
                  <c:v>43958</c:v>
                </c:pt>
                <c:pt idx="1752">
                  <c:v>43959</c:v>
                </c:pt>
                <c:pt idx="1753">
                  <c:v>43960</c:v>
                </c:pt>
                <c:pt idx="1754">
                  <c:v>43961</c:v>
                </c:pt>
                <c:pt idx="1755">
                  <c:v>43962</c:v>
                </c:pt>
                <c:pt idx="1756">
                  <c:v>43963</c:v>
                </c:pt>
                <c:pt idx="1757">
                  <c:v>43964</c:v>
                </c:pt>
                <c:pt idx="1758">
                  <c:v>43965</c:v>
                </c:pt>
                <c:pt idx="1759">
                  <c:v>43966</c:v>
                </c:pt>
                <c:pt idx="1760">
                  <c:v>43967</c:v>
                </c:pt>
                <c:pt idx="1761">
                  <c:v>43968</c:v>
                </c:pt>
                <c:pt idx="1762">
                  <c:v>43969</c:v>
                </c:pt>
                <c:pt idx="1763">
                  <c:v>43970</c:v>
                </c:pt>
                <c:pt idx="1764">
                  <c:v>43971</c:v>
                </c:pt>
                <c:pt idx="1765">
                  <c:v>43972</c:v>
                </c:pt>
                <c:pt idx="1766">
                  <c:v>43973</c:v>
                </c:pt>
                <c:pt idx="1767">
                  <c:v>43974</c:v>
                </c:pt>
                <c:pt idx="1768">
                  <c:v>43975</c:v>
                </c:pt>
                <c:pt idx="1769">
                  <c:v>43976</c:v>
                </c:pt>
                <c:pt idx="1770">
                  <c:v>43977</c:v>
                </c:pt>
                <c:pt idx="1771">
                  <c:v>43978</c:v>
                </c:pt>
                <c:pt idx="1772">
                  <c:v>43979</c:v>
                </c:pt>
                <c:pt idx="1773">
                  <c:v>43980</c:v>
                </c:pt>
                <c:pt idx="1774">
                  <c:v>43981</c:v>
                </c:pt>
                <c:pt idx="1775">
                  <c:v>43982</c:v>
                </c:pt>
                <c:pt idx="1776">
                  <c:v>43983</c:v>
                </c:pt>
                <c:pt idx="1777">
                  <c:v>43984</c:v>
                </c:pt>
                <c:pt idx="1778">
                  <c:v>43985</c:v>
                </c:pt>
                <c:pt idx="1779">
                  <c:v>43986</c:v>
                </c:pt>
                <c:pt idx="1780">
                  <c:v>43987</c:v>
                </c:pt>
                <c:pt idx="1781">
                  <c:v>43988</c:v>
                </c:pt>
                <c:pt idx="1782">
                  <c:v>43989</c:v>
                </c:pt>
                <c:pt idx="1783">
                  <c:v>43990</c:v>
                </c:pt>
                <c:pt idx="1784">
                  <c:v>43991</c:v>
                </c:pt>
                <c:pt idx="1785">
                  <c:v>43992</c:v>
                </c:pt>
                <c:pt idx="1786">
                  <c:v>43993</c:v>
                </c:pt>
                <c:pt idx="1787">
                  <c:v>43994</c:v>
                </c:pt>
                <c:pt idx="1788">
                  <c:v>43995</c:v>
                </c:pt>
                <c:pt idx="1789">
                  <c:v>43996</c:v>
                </c:pt>
                <c:pt idx="1790">
                  <c:v>43997</c:v>
                </c:pt>
                <c:pt idx="1791">
                  <c:v>43998</c:v>
                </c:pt>
                <c:pt idx="1792">
                  <c:v>43999</c:v>
                </c:pt>
                <c:pt idx="1793">
                  <c:v>44000</c:v>
                </c:pt>
                <c:pt idx="1794">
                  <c:v>44001</c:v>
                </c:pt>
                <c:pt idx="1795">
                  <c:v>44002</c:v>
                </c:pt>
                <c:pt idx="1796">
                  <c:v>44003</c:v>
                </c:pt>
                <c:pt idx="1797">
                  <c:v>44004</c:v>
                </c:pt>
                <c:pt idx="1798">
                  <c:v>44005</c:v>
                </c:pt>
                <c:pt idx="1799">
                  <c:v>44006</c:v>
                </c:pt>
                <c:pt idx="1800">
                  <c:v>44007</c:v>
                </c:pt>
                <c:pt idx="1801">
                  <c:v>44008</c:v>
                </c:pt>
                <c:pt idx="1802">
                  <c:v>44009</c:v>
                </c:pt>
                <c:pt idx="1803">
                  <c:v>44010</c:v>
                </c:pt>
                <c:pt idx="1804">
                  <c:v>44011</c:v>
                </c:pt>
                <c:pt idx="1805">
                  <c:v>44012</c:v>
                </c:pt>
                <c:pt idx="1806">
                  <c:v>44013</c:v>
                </c:pt>
                <c:pt idx="1807">
                  <c:v>44014</c:v>
                </c:pt>
                <c:pt idx="1808">
                  <c:v>44015</c:v>
                </c:pt>
                <c:pt idx="1809">
                  <c:v>44016</c:v>
                </c:pt>
                <c:pt idx="1810">
                  <c:v>44017</c:v>
                </c:pt>
                <c:pt idx="1811">
                  <c:v>44018</c:v>
                </c:pt>
                <c:pt idx="1812">
                  <c:v>44019</c:v>
                </c:pt>
                <c:pt idx="1813">
                  <c:v>44020</c:v>
                </c:pt>
                <c:pt idx="1814">
                  <c:v>44021</c:v>
                </c:pt>
                <c:pt idx="1815">
                  <c:v>44022</c:v>
                </c:pt>
                <c:pt idx="1816">
                  <c:v>44023</c:v>
                </c:pt>
                <c:pt idx="1817">
                  <c:v>44024</c:v>
                </c:pt>
                <c:pt idx="1818">
                  <c:v>44025</c:v>
                </c:pt>
                <c:pt idx="1819">
                  <c:v>44026</c:v>
                </c:pt>
                <c:pt idx="1820">
                  <c:v>44027</c:v>
                </c:pt>
                <c:pt idx="1821">
                  <c:v>44028</c:v>
                </c:pt>
                <c:pt idx="1822">
                  <c:v>44029</c:v>
                </c:pt>
                <c:pt idx="1823">
                  <c:v>44030</c:v>
                </c:pt>
                <c:pt idx="1824">
                  <c:v>44031</c:v>
                </c:pt>
                <c:pt idx="1825">
                  <c:v>44032</c:v>
                </c:pt>
                <c:pt idx="1826">
                  <c:v>44033</c:v>
                </c:pt>
                <c:pt idx="1827">
                  <c:v>44034</c:v>
                </c:pt>
                <c:pt idx="1828">
                  <c:v>44035</c:v>
                </c:pt>
                <c:pt idx="1829">
                  <c:v>44036</c:v>
                </c:pt>
                <c:pt idx="1830">
                  <c:v>44037</c:v>
                </c:pt>
                <c:pt idx="1831">
                  <c:v>44038</c:v>
                </c:pt>
                <c:pt idx="1832">
                  <c:v>44039</c:v>
                </c:pt>
                <c:pt idx="1833">
                  <c:v>44040</c:v>
                </c:pt>
                <c:pt idx="1834">
                  <c:v>44041</c:v>
                </c:pt>
                <c:pt idx="1835">
                  <c:v>44042</c:v>
                </c:pt>
                <c:pt idx="1836">
                  <c:v>44043</c:v>
                </c:pt>
                <c:pt idx="1837">
                  <c:v>44044</c:v>
                </c:pt>
                <c:pt idx="1838">
                  <c:v>44045</c:v>
                </c:pt>
                <c:pt idx="1839">
                  <c:v>44046</c:v>
                </c:pt>
                <c:pt idx="1840">
                  <c:v>44047</c:v>
                </c:pt>
                <c:pt idx="1841">
                  <c:v>44048</c:v>
                </c:pt>
                <c:pt idx="1842">
                  <c:v>44049</c:v>
                </c:pt>
                <c:pt idx="1843">
                  <c:v>44050</c:v>
                </c:pt>
                <c:pt idx="1844">
                  <c:v>44051</c:v>
                </c:pt>
                <c:pt idx="1845">
                  <c:v>44052</c:v>
                </c:pt>
                <c:pt idx="1846">
                  <c:v>44053</c:v>
                </c:pt>
                <c:pt idx="1847">
                  <c:v>44054</c:v>
                </c:pt>
                <c:pt idx="1848">
                  <c:v>44055</c:v>
                </c:pt>
                <c:pt idx="1849">
                  <c:v>44056</c:v>
                </c:pt>
                <c:pt idx="1850">
                  <c:v>44057</c:v>
                </c:pt>
                <c:pt idx="1851">
                  <c:v>44058</c:v>
                </c:pt>
                <c:pt idx="1852">
                  <c:v>44059</c:v>
                </c:pt>
                <c:pt idx="1853">
                  <c:v>44060</c:v>
                </c:pt>
                <c:pt idx="1854">
                  <c:v>44061</c:v>
                </c:pt>
                <c:pt idx="1855">
                  <c:v>44062</c:v>
                </c:pt>
                <c:pt idx="1856">
                  <c:v>44063</c:v>
                </c:pt>
                <c:pt idx="1857">
                  <c:v>44064</c:v>
                </c:pt>
                <c:pt idx="1858">
                  <c:v>44065</c:v>
                </c:pt>
                <c:pt idx="1859">
                  <c:v>44066</c:v>
                </c:pt>
                <c:pt idx="1860">
                  <c:v>44067</c:v>
                </c:pt>
                <c:pt idx="1861">
                  <c:v>44068</c:v>
                </c:pt>
                <c:pt idx="1862">
                  <c:v>44069</c:v>
                </c:pt>
                <c:pt idx="1863">
                  <c:v>44070</c:v>
                </c:pt>
                <c:pt idx="1864">
                  <c:v>44071</c:v>
                </c:pt>
                <c:pt idx="1865">
                  <c:v>44072</c:v>
                </c:pt>
                <c:pt idx="1866">
                  <c:v>44073</c:v>
                </c:pt>
                <c:pt idx="1867">
                  <c:v>44074</c:v>
                </c:pt>
                <c:pt idx="1868">
                  <c:v>44075</c:v>
                </c:pt>
                <c:pt idx="1869">
                  <c:v>44076</c:v>
                </c:pt>
                <c:pt idx="1870">
                  <c:v>44077</c:v>
                </c:pt>
                <c:pt idx="1871">
                  <c:v>44079</c:v>
                </c:pt>
                <c:pt idx="1872">
                  <c:v>44080</c:v>
                </c:pt>
                <c:pt idx="1873">
                  <c:v>44081</c:v>
                </c:pt>
                <c:pt idx="1874">
                  <c:v>44082</c:v>
                </c:pt>
                <c:pt idx="1875">
                  <c:v>44083</c:v>
                </c:pt>
                <c:pt idx="1876">
                  <c:v>44084</c:v>
                </c:pt>
                <c:pt idx="1877">
                  <c:v>44085</c:v>
                </c:pt>
                <c:pt idx="1878">
                  <c:v>44086</c:v>
                </c:pt>
                <c:pt idx="1879">
                  <c:v>44087</c:v>
                </c:pt>
                <c:pt idx="1880">
                  <c:v>44088</c:v>
                </c:pt>
                <c:pt idx="1881">
                  <c:v>44089</c:v>
                </c:pt>
                <c:pt idx="1882">
                  <c:v>44090</c:v>
                </c:pt>
                <c:pt idx="1883">
                  <c:v>44091</c:v>
                </c:pt>
                <c:pt idx="1884">
                  <c:v>44092</c:v>
                </c:pt>
                <c:pt idx="1885">
                  <c:v>44093</c:v>
                </c:pt>
                <c:pt idx="1886">
                  <c:v>44094</c:v>
                </c:pt>
                <c:pt idx="1887">
                  <c:v>44095</c:v>
                </c:pt>
                <c:pt idx="1888">
                  <c:v>44096</c:v>
                </c:pt>
                <c:pt idx="1889">
                  <c:v>44097</c:v>
                </c:pt>
                <c:pt idx="1890">
                  <c:v>44098</c:v>
                </c:pt>
                <c:pt idx="1891">
                  <c:v>44099</c:v>
                </c:pt>
                <c:pt idx="1892">
                  <c:v>44100</c:v>
                </c:pt>
                <c:pt idx="1893">
                  <c:v>44101</c:v>
                </c:pt>
                <c:pt idx="1894">
                  <c:v>44102</c:v>
                </c:pt>
                <c:pt idx="1895">
                  <c:v>44103</c:v>
                </c:pt>
                <c:pt idx="1896">
                  <c:v>44104</c:v>
                </c:pt>
                <c:pt idx="1897">
                  <c:v>44105</c:v>
                </c:pt>
                <c:pt idx="1898">
                  <c:v>44106</c:v>
                </c:pt>
                <c:pt idx="1899">
                  <c:v>44107</c:v>
                </c:pt>
                <c:pt idx="1900">
                  <c:v>44108</c:v>
                </c:pt>
                <c:pt idx="1901">
                  <c:v>44109</c:v>
                </c:pt>
                <c:pt idx="1902">
                  <c:v>44110</c:v>
                </c:pt>
                <c:pt idx="1903">
                  <c:v>44111</c:v>
                </c:pt>
                <c:pt idx="1904">
                  <c:v>44112</c:v>
                </c:pt>
                <c:pt idx="1905">
                  <c:v>44113</c:v>
                </c:pt>
                <c:pt idx="1906">
                  <c:v>44114</c:v>
                </c:pt>
                <c:pt idx="1907">
                  <c:v>44115</c:v>
                </c:pt>
                <c:pt idx="1908">
                  <c:v>44116</c:v>
                </c:pt>
                <c:pt idx="1909">
                  <c:v>44117</c:v>
                </c:pt>
                <c:pt idx="1910">
                  <c:v>44118</c:v>
                </c:pt>
                <c:pt idx="1911">
                  <c:v>44119</c:v>
                </c:pt>
                <c:pt idx="1912">
                  <c:v>44120</c:v>
                </c:pt>
                <c:pt idx="1913">
                  <c:v>44121</c:v>
                </c:pt>
                <c:pt idx="1914">
                  <c:v>44122</c:v>
                </c:pt>
                <c:pt idx="1915">
                  <c:v>44123</c:v>
                </c:pt>
                <c:pt idx="1916">
                  <c:v>44124</c:v>
                </c:pt>
                <c:pt idx="1917">
                  <c:v>44125</c:v>
                </c:pt>
                <c:pt idx="1918">
                  <c:v>44126</c:v>
                </c:pt>
                <c:pt idx="1919">
                  <c:v>44127</c:v>
                </c:pt>
                <c:pt idx="1920">
                  <c:v>44128</c:v>
                </c:pt>
                <c:pt idx="1921">
                  <c:v>44129</c:v>
                </c:pt>
                <c:pt idx="1922">
                  <c:v>44130</c:v>
                </c:pt>
                <c:pt idx="1923">
                  <c:v>44131</c:v>
                </c:pt>
                <c:pt idx="1924">
                  <c:v>44132</c:v>
                </c:pt>
                <c:pt idx="1925">
                  <c:v>44133</c:v>
                </c:pt>
                <c:pt idx="1926">
                  <c:v>44134</c:v>
                </c:pt>
                <c:pt idx="1927">
                  <c:v>44135</c:v>
                </c:pt>
                <c:pt idx="1928">
                  <c:v>44136</c:v>
                </c:pt>
                <c:pt idx="1929">
                  <c:v>44137</c:v>
                </c:pt>
                <c:pt idx="1930">
                  <c:v>44138</c:v>
                </c:pt>
                <c:pt idx="1931">
                  <c:v>44139</c:v>
                </c:pt>
                <c:pt idx="1932">
                  <c:v>44140</c:v>
                </c:pt>
                <c:pt idx="1933">
                  <c:v>44141</c:v>
                </c:pt>
                <c:pt idx="1934">
                  <c:v>44142</c:v>
                </c:pt>
                <c:pt idx="1935">
                  <c:v>44143</c:v>
                </c:pt>
                <c:pt idx="1936">
                  <c:v>44144</c:v>
                </c:pt>
                <c:pt idx="1937">
                  <c:v>44145</c:v>
                </c:pt>
                <c:pt idx="1938">
                  <c:v>44146</c:v>
                </c:pt>
                <c:pt idx="1939">
                  <c:v>44147</c:v>
                </c:pt>
                <c:pt idx="1940">
                  <c:v>44148</c:v>
                </c:pt>
                <c:pt idx="1941">
                  <c:v>44149</c:v>
                </c:pt>
                <c:pt idx="1942">
                  <c:v>44150</c:v>
                </c:pt>
                <c:pt idx="1943">
                  <c:v>44151</c:v>
                </c:pt>
                <c:pt idx="1944">
                  <c:v>44152</c:v>
                </c:pt>
                <c:pt idx="1945">
                  <c:v>44153</c:v>
                </c:pt>
                <c:pt idx="1946">
                  <c:v>44154</c:v>
                </c:pt>
                <c:pt idx="1947">
                  <c:v>44155</c:v>
                </c:pt>
                <c:pt idx="1948">
                  <c:v>44156</c:v>
                </c:pt>
                <c:pt idx="1949">
                  <c:v>44157</c:v>
                </c:pt>
                <c:pt idx="1950">
                  <c:v>44158</c:v>
                </c:pt>
                <c:pt idx="1951">
                  <c:v>44159</c:v>
                </c:pt>
                <c:pt idx="1952">
                  <c:v>44160</c:v>
                </c:pt>
                <c:pt idx="1953">
                  <c:v>44161</c:v>
                </c:pt>
                <c:pt idx="1954">
                  <c:v>44162</c:v>
                </c:pt>
                <c:pt idx="1955">
                  <c:v>44163</c:v>
                </c:pt>
                <c:pt idx="1956">
                  <c:v>44164</c:v>
                </c:pt>
                <c:pt idx="1957">
                  <c:v>44165</c:v>
                </c:pt>
                <c:pt idx="1958">
                  <c:v>44166</c:v>
                </c:pt>
                <c:pt idx="1959">
                  <c:v>44167</c:v>
                </c:pt>
                <c:pt idx="1960">
                  <c:v>44168</c:v>
                </c:pt>
                <c:pt idx="1961">
                  <c:v>44169</c:v>
                </c:pt>
                <c:pt idx="1962">
                  <c:v>44170</c:v>
                </c:pt>
                <c:pt idx="1963">
                  <c:v>44171</c:v>
                </c:pt>
                <c:pt idx="1964">
                  <c:v>44172</c:v>
                </c:pt>
                <c:pt idx="1965">
                  <c:v>44173</c:v>
                </c:pt>
                <c:pt idx="1966">
                  <c:v>44174</c:v>
                </c:pt>
                <c:pt idx="1967">
                  <c:v>44175</c:v>
                </c:pt>
                <c:pt idx="1968">
                  <c:v>44176</c:v>
                </c:pt>
                <c:pt idx="1969">
                  <c:v>44177</c:v>
                </c:pt>
                <c:pt idx="1970">
                  <c:v>44178</c:v>
                </c:pt>
                <c:pt idx="1971">
                  <c:v>44179</c:v>
                </c:pt>
                <c:pt idx="1972">
                  <c:v>44180</c:v>
                </c:pt>
                <c:pt idx="1973">
                  <c:v>44181</c:v>
                </c:pt>
                <c:pt idx="1974">
                  <c:v>44182</c:v>
                </c:pt>
                <c:pt idx="1975">
                  <c:v>44183</c:v>
                </c:pt>
                <c:pt idx="1976">
                  <c:v>44184</c:v>
                </c:pt>
                <c:pt idx="1977">
                  <c:v>44185</c:v>
                </c:pt>
                <c:pt idx="1978">
                  <c:v>44186</c:v>
                </c:pt>
                <c:pt idx="1979">
                  <c:v>44187</c:v>
                </c:pt>
                <c:pt idx="1980">
                  <c:v>44188</c:v>
                </c:pt>
                <c:pt idx="1981">
                  <c:v>44189</c:v>
                </c:pt>
                <c:pt idx="1982">
                  <c:v>44190</c:v>
                </c:pt>
                <c:pt idx="1983">
                  <c:v>44191</c:v>
                </c:pt>
                <c:pt idx="1984">
                  <c:v>44192</c:v>
                </c:pt>
                <c:pt idx="1985">
                  <c:v>44193</c:v>
                </c:pt>
                <c:pt idx="1986">
                  <c:v>44194</c:v>
                </c:pt>
                <c:pt idx="1987">
                  <c:v>44195</c:v>
                </c:pt>
                <c:pt idx="1988">
                  <c:v>44196</c:v>
                </c:pt>
                <c:pt idx="1989">
                  <c:v>44197</c:v>
                </c:pt>
                <c:pt idx="1990">
                  <c:v>44198</c:v>
                </c:pt>
                <c:pt idx="1991">
                  <c:v>44199</c:v>
                </c:pt>
                <c:pt idx="1992">
                  <c:v>44200</c:v>
                </c:pt>
                <c:pt idx="1993">
                  <c:v>44201</c:v>
                </c:pt>
                <c:pt idx="1994">
                  <c:v>44202</c:v>
                </c:pt>
                <c:pt idx="1995">
                  <c:v>44203</c:v>
                </c:pt>
                <c:pt idx="1996">
                  <c:v>44204</c:v>
                </c:pt>
                <c:pt idx="1997">
                  <c:v>44205</c:v>
                </c:pt>
                <c:pt idx="1998">
                  <c:v>44206</c:v>
                </c:pt>
                <c:pt idx="1999">
                  <c:v>44207</c:v>
                </c:pt>
                <c:pt idx="2000">
                  <c:v>44208</c:v>
                </c:pt>
                <c:pt idx="2001">
                  <c:v>44209</c:v>
                </c:pt>
                <c:pt idx="2002">
                  <c:v>44210</c:v>
                </c:pt>
                <c:pt idx="2003">
                  <c:v>44211</c:v>
                </c:pt>
                <c:pt idx="2004">
                  <c:v>44212</c:v>
                </c:pt>
                <c:pt idx="2005">
                  <c:v>44213</c:v>
                </c:pt>
                <c:pt idx="2006">
                  <c:v>44214</c:v>
                </c:pt>
                <c:pt idx="2007">
                  <c:v>44215</c:v>
                </c:pt>
                <c:pt idx="2008">
                  <c:v>44216</c:v>
                </c:pt>
                <c:pt idx="2009">
                  <c:v>44217</c:v>
                </c:pt>
                <c:pt idx="2010">
                  <c:v>44218</c:v>
                </c:pt>
                <c:pt idx="2011">
                  <c:v>44219</c:v>
                </c:pt>
                <c:pt idx="2012">
                  <c:v>44220</c:v>
                </c:pt>
                <c:pt idx="2013">
                  <c:v>44221</c:v>
                </c:pt>
                <c:pt idx="2014">
                  <c:v>44222</c:v>
                </c:pt>
                <c:pt idx="2015">
                  <c:v>44223</c:v>
                </c:pt>
                <c:pt idx="2016">
                  <c:v>44224</c:v>
                </c:pt>
                <c:pt idx="2017">
                  <c:v>44225</c:v>
                </c:pt>
                <c:pt idx="2018">
                  <c:v>44226</c:v>
                </c:pt>
                <c:pt idx="2019">
                  <c:v>44227</c:v>
                </c:pt>
                <c:pt idx="2020">
                  <c:v>44228</c:v>
                </c:pt>
                <c:pt idx="2021">
                  <c:v>44229</c:v>
                </c:pt>
                <c:pt idx="2022">
                  <c:v>44230</c:v>
                </c:pt>
                <c:pt idx="2023">
                  <c:v>44231</c:v>
                </c:pt>
                <c:pt idx="2024">
                  <c:v>44232</c:v>
                </c:pt>
                <c:pt idx="2025">
                  <c:v>44233</c:v>
                </c:pt>
                <c:pt idx="2026">
                  <c:v>44234</c:v>
                </c:pt>
                <c:pt idx="2027">
                  <c:v>44235</c:v>
                </c:pt>
                <c:pt idx="2028">
                  <c:v>44236</c:v>
                </c:pt>
                <c:pt idx="2029">
                  <c:v>44237</c:v>
                </c:pt>
                <c:pt idx="2030">
                  <c:v>44238</c:v>
                </c:pt>
                <c:pt idx="2031">
                  <c:v>44239</c:v>
                </c:pt>
                <c:pt idx="2032">
                  <c:v>44240</c:v>
                </c:pt>
                <c:pt idx="2033">
                  <c:v>44241</c:v>
                </c:pt>
                <c:pt idx="2034">
                  <c:v>44242</c:v>
                </c:pt>
                <c:pt idx="2035">
                  <c:v>44243</c:v>
                </c:pt>
                <c:pt idx="2036">
                  <c:v>44244</c:v>
                </c:pt>
                <c:pt idx="2037">
                  <c:v>44245</c:v>
                </c:pt>
                <c:pt idx="2038">
                  <c:v>44246</c:v>
                </c:pt>
                <c:pt idx="2039">
                  <c:v>44247</c:v>
                </c:pt>
                <c:pt idx="2040">
                  <c:v>44248</c:v>
                </c:pt>
                <c:pt idx="2041">
                  <c:v>44249</c:v>
                </c:pt>
                <c:pt idx="2042">
                  <c:v>44250</c:v>
                </c:pt>
                <c:pt idx="2043">
                  <c:v>44251</c:v>
                </c:pt>
                <c:pt idx="2044">
                  <c:v>44252</c:v>
                </c:pt>
                <c:pt idx="2045">
                  <c:v>44253</c:v>
                </c:pt>
                <c:pt idx="2046">
                  <c:v>44254</c:v>
                </c:pt>
                <c:pt idx="2047">
                  <c:v>44255</c:v>
                </c:pt>
                <c:pt idx="2048">
                  <c:v>44256</c:v>
                </c:pt>
                <c:pt idx="2049">
                  <c:v>44257</c:v>
                </c:pt>
                <c:pt idx="2050">
                  <c:v>44258</c:v>
                </c:pt>
                <c:pt idx="2051">
                  <c:v>44259</c:v>
                </c:pt>
                <c:pt idx="2052">
                  <c:v>44260</c:v>
                </c:pt>
                <c:pt idx="2053">
                  <c:v>44261</c:v>
                </c:pt>
                <c:pt idx="2054">
                  <c:v>44262</c:v>
                </c:pt>
                <c:pt idx="2055">
                  <c:v>44263</c:v>
                </c:pt>
                <c:pt idx="2056">
                  <c:v>44264</c:v>
                </c:pt>
                <c:pt idx="2057">
                  <c:v>44265</c:v>
                </c:pt>
                <c:pt idx="2058">
                  <c:v>44266</c:v>
                </c:pt>
                <c:pt idx="2059">
                  <c:v>44267</c:v>
                </c:pt>
                <c:pt idx="2060">
                  <c:v>44268</c:v>
                </c:pt>
                <c:pt idx="2061">
                  <c:v>44269</c:v>
                </c:pt>
                <c:pt idx="2062">
                  <c:v>44270</c:v>
                </c:pt>
                <c:pt idx="2063">
                  <c:v>44271</c:v>
                </c:pt>
                <c:pt idx="2064">
                  <c:v>44272</c:v>
                </c:pt>
                <c:pt idx="2065">
                  <c:v>44273</c:v>
                </c:pt>
                <c:pt idx="2066">
                  <c:v>44274</c:v>
                </c:pt>
                <c:pt idx="2067">
                  <c:v>44275</c:v>
                </c:pt>
                <c:pt idx="2068">
                  <c:v>44276</c:v>
                </c:pt>
                <c:pt idx="2069">
                  <c:v>44277</c:v>
                </c:pt>
                <c:pt idx="2070">
                  <c:v>44278</c:v>
                </c:pt>
                <c:pt idx="2071">
                  <c:v>44279</c:v>
                </c:pt>
                <c:pt idx="2072">
                  <c:v>44280</c:v>
                </c:pt>
                <c:pt idx="2073">
                  <c:v>44281</c:v>
                </c:pt>
                <c:pt idx="2074">
                  <c:v>44282</c:v>
                </c:pt>
                <c:pt idx="2075">
                  <c:v>44283</c:v>
                </c:pt>
                <c:pt idx="2076">
                  <c:v>44284</c:v>
                </c:pt>
                <c:pt idx="2077">
                  <c:v>44285</c:v>
                </c:pt>
                <c:pt idx="2078">
                  <c:v>44286</c:v>
                </c:pt>
                <c:pt idx="2079">
                  <c:v>44287</c:v>
                </c:pt>
                <c:pt idx="2080">
                  <c:v>44288</c:v>
                </c:pt>
                <c:pt idx="2081">
                  <c:v>44289</c:v>
                </c:pt>
                <c:pt idx="2082">
                  <c:v>44290</c:v>
                </c:pt>
                <c:pt idx="2083">
                  <c:v>44291</c:v>
                </c:pt>
                <c:pt idx="2084">
                  <c:v>44292</c:v>
                </c:pt>
                <c:pt idx="2085">
                  <c:v>44293</c:v>
                </c:pt>
                <c:pt idx="2086">
                  <c:v>44294</c:v>
                </c:pt>
                <c:pt idx="2087">
                  <c:v>44295</c:v>
                </c:pt>
                <c:pt idx="2088">
                  <c:v>44296</c:v>
                </c:pt>
                <c:pt idx="2089">
                  <c:v>44297</c:v>
                </c:pt>
                <c:pt idx="2090">
                  <c:v>44298</c:v>
                </c:pt>
                <c:pt idx="2091">
                  <c:v>44299</c:v>
                </c:pt>
                <c:pt idx="2092">
                  <c:v>44300</c:v>
                </c:pt>
                <c:pt idx="2093">
                  <c:v>44301</c:v>
                </c:pt>
                <c:pt idx="2094">
                  <c:v>44302</c:v>
                </c:pt>
                <c:pt idx="2095">
                  <c:v>44303</c:v>
                </c:pt>
                <c:pt idx="2096">
                  <c:v>44304</c:v>
                </c:pt>
                <c:pt idx="2097">
                  <c:v>44305</c:v>
                </c:pt>
                <c:pt idx="2098">
                  <c:v>44306</c:v>
                </c:pt>
                <c:pt idx="2099">
                  <c:v>44307</c:v>
                </c:pt>
                <c:pt idx="2100">
                  <c:v>44308</c:v>
                </c:pt>
                <c:pt idx="2101">
                  <c:v>44309</c:v>
                </c:pt>
                <c:pt idx="2102">
                  <c:v>44310</c:v>
                </c:pt>
                <c:pt idx="2103">
                  <c:v>44311</c:v>
                </c:pt>
                <c:pt idx="2104">
                  <c:v>44312</c:v>
                </c:pt>
                <c:pt idx="2105">
                  <c:v>44313</c:v>
                </c:pt>
                <c:pt idx="2106">
                  <c:v>44314</c:v>
                </c:pt>
                <c:pt idx="2107">
                  <c:v>44315</c:v>
                </c:pt>
                <c:pt idx="2108">
                  <c:v>44316</c:v>
                </c:pt>
                <c:pt idx="2109">
                  <c:v>44317</c:v>
                </c:pt>
                <c:pt idx="2110">
                  <c:v>44318</c:v>
                </c:pt>
                <c:pt idx="2111">
                  <c:v>44319</c:v>
                </c:pt>
                <c:pt idx="2112">
                  <c:v>44320</c:v>
                </c:pt>
                <c:pt idx="2113">
                  <c:v>44321</c:v>
                </c:pt>
                <c:pt idx="2114">
                  <c:v>44322</c:v>
                </c:pt>
                <c:pt idx="2115">
                  <c:v>44323</c:v>
                </c:pt>
                <c:pt idx="2116">
                  <c:v>44324</c:v>
                </c:pt>
                <c:pt idx="2117">
                  <c:v>44325</c:v>
                </c:pt>
                <c:pt idx="2118">
                  <c:v>44326</c:v>
                </c:pt>
                <c:pt idx="2119">
                  <c:v>44327</c:v>
                </c:pt>
                <c:pt idx="2120">
                  <c:v>44328</c:v>
                </c:pt>
                <c:pt idx="2121">
                  <c:v>44329</c:v>
                </c:pt>
                <c:pt idx="2122">
                  <c:v>44330</c:v>
                </c:pt>
                <c:pt idx="2123">
                  <c:v>44331</c:v>
                </c:pt>
                <c:pt idx="2124">
                  <c:v>44332</c:v>
                </c:pt>
                <c:pt idx="2125">
                  <c:v>44333</c:v>
                </c:pt>
                <c:pt idx="2126">
                  <c:v>44334</c:v>
                </c:pt>
                <c:pt idx="2127">
                  <c:v>44335</c:v>
                </c:pt>
                <c:pt idx="2128">
                  <c:v>44336</c:v>
                </c:pt>
                <c:pt idx="2129">
                  <c:v>44337</c:v>
                </c:pt>
                <c:pt idx="2130">
                  <c:v>44338</c:v>
                </c:pt>
                <c:pt idx="2131">
                  <c:v>44339</c:v>
                </c:pt>
                <c:pt idx="2132">
                  <c:v>44340</c:v>
                </c:pt>
                <c:pt idx="2133">
                  <c:v>44341</c:v>
                </c:pt>
                <c:pt idx="2134">
                  <c:v>44342</c:v>
                </c:pt>
                <c:pt idx="2135">
                  <c:v>44343</c:v>
                </c:pt>
                <c:pt idx="2136">
                  <c:v>44344</c:v>
                </c:pt>
                <c:pt idx="2137">
                  <c:v>44345</c:v>
                </c:pt>
                <c:pt idx="2138">
                  <c:v>44346</c:v>
                </c:pt>
                <c:pt idx="2139">
                  <c:v>44347</c:v>
                </c:pt>
                <c:pt idx="2140">
                  <c:v>44348</c:v>
                </c:pt>
                <c:pt idx="2141">
                  <c:v>44349</c:v>
                </c:pt>
                <c:pt idx="2142">
                  <c:v>44350</c:v>
                </c:pt>
                <c:pt idx="2143">
                  <c:v>44351</c:v>
                </c:pt>
                <c:pt idx="2144">
                  <c:v>44352</c:v>
                </c:pt>
                <c:pt idx="2145">
                  <c:v>44353</c:v>
                </c:pt>
                <c:pt idx="2146">
                  <c:v>44354</c:v>
                </c:pt>
                <c:pt idx="2147">
                  <c:v>44355</c:v>
                </c:pt>
                <c:pt idx="2148">
                  <c:v>44356</c:v>
                </c:pt>
                <c:pt idx="2149">
                  <c:v>44357</c:v>
                </c:pt>
                <c:pt idx="2150">
                  <c:v>44358</c:v>
                </c:pt>
                <c:pt idx="2151">
                  <c:v>44359</c:v>
                </c:pt>
                <c:pt idx="2152">
                  <c:v>44360</c:v>
                </c:pt>
                <c:pt idx="2153">
                  <c:v>44361</c:v>
                </c:pt>
                <c:pt idx="2154">
                  <c:v>44362</c:v>
                </c:pt>
                <c:pt idx="2155">
                  <c:v>44363</c:v>
                </c:pt>
                <c:pt idx="2156">
                  <c:v>44364</c:v>
                </c:pt>
                <c:pt idx="2157">
                  <c:v>44365</c:v>
                </c:pt>
                <c:pt idx="2158">
                  <c:v>44366</c:v>
                </c:pt>
                <c:pt idx="2159">
                  <c:v>44367</c:v>
                </c:pt>
                <c:pt idx="2160">
                  <c:v>44368</c:v>
                </c:pt>
                <c:pt idx="2161">
                  <c:v>44369</c:v>
                </c:pt>
                <c:pt idx="2162">
                  <c:v>44370</c:v>
                </c:pt>
                <c:pt idx="2163">
                  <c:v>44371</c:v>
                </c:pt>
                <c:pt idx="2164">
                  <c:v>44372</c:v>
                </c:pt>
                <c:pt idx="2165">
                  <c:v>44373</c:v>
                </c:pt>
                <c:pt idx="2166">
                  <c:v>44374</c:v>
                </c:pt>
                <c:pt idx="2167">
                  <c:v>44375</c:v>
                </c:pt>
                <c:pt idx="2168">
                  <c:v>44376</c:v>
                </c:pt>
                <c:pt idx="2169">
                  <c:v>44377</c:v>
                </c:pt>
                <c:pt idx="2170">
                  <c:v>44378</c:v>
                </c:pt>
                <c:pt idx="2171">
                  <c:v>44379</c:v>
                </c:pt>
                <c:pt idx="2172">
                  <c:v>44380</c:v>
                </c:pt>
                <c:pt idx="2173">
                  <c:v>44381</c:v>
                </c:pt>
                <c:pt idx="2174">
                  <c:v>44382</c:v>
                </c:pt>
                <c:pt idx="2175">
                  <c:v>44383</c:v>
                </c:pt>
                <c:pt idx="2176">
                  <c:v>44384</c:v>
                </c:pt>
                <c:pt idx="2177">
                  <c:v>44385</c:v>
                </c:pt>
                <c:pt idx="2178">
                  <c:v>44386</c:v>
                </c:pt>
                <c:pt idx="2179">
                  <c:v>44387</c:v>
                </c:pt>
                <c:pt idx="2180">
                  <c:v>44388</c:v>
                </c:pt>
                <c:pt idx="2181">
                  <c:v>44389</c:v>
                </c:pt>
                <c:pt idx="2182">
                  <c:v>44390</c:v>
                </c:pt>
                <c:pt idx="2183">
                  <c:v>44391</c:v>
                </c:pt>
                <c:pt idx="2184">
                  <c:v>44392</c:v>
                </c:pt>
                <c:pt idx="2185">
                  <c:v>44393</c:v>
                </c:pt>
                <c:pt idx="2186">
                  <c:v>44394</c:v>
                </c:pt>
                <c:pt idx="2187">
                  <c:v>44395</c:v>
                </c:pt>
                <c:pt idx="2188">
                  <c:v>44396</c:v>
                </c:pt>
                <c:pt idx="2189">
                  <c:v>44397</c:v>
                </c:pt>
                <c:pt idx="2190">
                  <c:v>44398</c:v>
                </c:pt>
                <c:pt idx="2191">
                  <c:v>44399</c:v>
                </c:pt>
                <c:pt idx="2192">
                  <c:v>44400</c:v>
                </c:pt>
                <c:pt idx="2193">
                  <c:v>44401</c:v>
                </c:pt>
                <c:pt idx="2194">
                  <c:v>44402</c:v>
                </c:pt>
                <c:pt idx="2195">
                  <c:v>44403</c:v>
                </c:pt>
                <c:pt idx="2196">
                  <c:v>44404</c:v>
                </c:pt>
                <c:pt idx="2197">
                  <c:v>44405</c:v>
                </c:pt>
                <c:pt idx="2198">
                  <c:v>44406</c:v>
                </c:pt>
                <c:pt idx="2199">
                  <c:v>44407</c:v>
                </c:pt>
                <c:pt idx="2200">
                  <c:v>44408</c:v>
                </c:pt>
                <c:pt idx="2201">
                  <c:v>44409</c:v>
                </c:pt>
                <c:pt idx="2202">
                  <c:v>44410</c:v>
                </c:pt>
                <c:pt idx="2203">
                  <c:v>44411</c:v>
                </c:pt>
                <c:pt idx="2204">
                  <c:v>44412</c:v>
                </c:pt>
                <c:pt idx="2205">
                  <c:v>44413</c:v>
                </c:pt>
                <c:pt idx="2206">
                  <c:v>44414</c:v>
                </c:pt>
                <c:pt idx="2207">
                  <c:v>44415</c:v>
                </c:pt>
                <c:pt idx="2208">
                  <c:v>44416</c:v>
                </c:pt>
                <c:pt idx="2209">
                  <c:v>44417</c:v>
                </c:pt>
                <c:pt idx="2210">
                  <c:v>44418</c:v>
                </c:pt>
                <c:pt idx="2211">
                  <c:v>44419</c:v>
                </c:pt>
                <c:pt idx="2212">
                  <c:v>44420</c:v>
                </c:pt>
                <c:pt idx="2213">
                  <c:v>44421</c:v>
                </c:pt>
                <c:pt idx="2214">
                  <c:v>44422</c:v>
                </c:pt>
                <c:pt idx="2215">
                  <c:v>44423</c:v>
                </c:pt>
                <c:pt idx="2216">
                  <c:v>44424</c:v>
                </c:pt>
                <c:pt idx="2217">
                  <c:v>44425</c:v>
                </c:pt>
                <c:pt idx="2218">
                  <c:v>44426</c:v>
                </c:pt>
                <c:pt idx="2219">
                  <c:v>44427</c:v>
                </c:pt>
                <c:pt idx="2220">
                  <c:v>44428</c:v>
                </c:pt>
                <c:pt idx="2221">
                  <c:v>44429</c:v>
                </c:pt>
                <c:pt idx="2222">
                  <c:v>44430</c:v>
                </c:pt>
                <c:pt idx="2223">
                  <c:v>44431</c:v>
                </c:pt>
                <c:pt idx="2224">
                  <c:v>44432</c:v>
                </c:pt>
                <c:pt idx="2225">
                  <c:v>44433</c:v>
                </c:pt>
                <c:pt idx="2226">
                  <c:v>44434</c:v>
                </c:pt>
                <c:pt idx="2227">
                  <c:v>44435</c:v>
                </c:pt>
                <c:pt idx="2228">
                  <c:v>44436</c:v>
                </c:pt>
                <c:pt idx="2229">
                  <c:v>44437</c:v>
                </c:pt>
                <c:pt idx="2230">
                  <c:v>44438</c:v>
                </c:pt>
                <c:pt idx="2231">
                  <c:v>44439</c:v>
                </c:pt>
                <c:pt idx="2232">
                  <c:v>44440</c:v>
                </c:pt>
                <c:pt idx="2233">
                  <c:v>44441</c:v>
                </c:pt>
                <c:pt idx="2234">
                  <c:v>44442</c:v>
                </c:pt>
                <c:pt idx="2235">
                  <c:v>44443</c:v>
                </c:pt>
                <c:pt idx="2236">
                  <c:v>44444</c:v>
                </c:pt>
                <c:pt idx="2237">
                  <c:v>44445</c:v>
                </c:pt>
                <c:pt idx="2238">
                  <c:v>44446</c:v>
                </c:pt>
                <c:pt idx="2239">
                  <c:v>44447</c:v>
                </c:pt>
                <c:pt idx="2240">
                  <c:v>44448</c:v>
                </c:pt>
                <c:pt idx="2241">
                  <c:v>44449</c:v>
                </c:pt>
                <c:pt idx="2242">
                  <c:v>44450</c:v>
                </c:pt>
                <c:pt idx="2243">
                  <c:v>44451</c:v>
                </c:pt>
                <c:pt idx="2244">
                  <c:v>44452</c:v>
                </c:pt>
                <c:pt idx="2245">
                  <c:v>44453</c:v>
                </c:pt>
                <c:pt idx="2246">
                  <c:v>44454</c:v>
                </c:pt>
                <c:pt idx="2247">
                  <c:v>44455</c:v>
                </c:pt>
                <c:pt idx="2248">
                  <c:v>44456</c:v>
                </c:pt>
                <c:pt idx="2249">
                  <c:v>44457</c:v>
                </c:pt>
                <c:pt idx="2250">
                  <c:v>44458</c:v>
                </c:pt>
                <c:pt idx="2251">
                  <c:v>44459</c:v>
                </c:pt>
                <c:pt idx="2252">
                  <c:v>44460</c:v>
                </c:pt>
                <c:pt idx="2253">
                  <c:v>44461</c:v>
                </c:pt>
                <c:pt idx="2254">
                  <c:v>44462</c:v>
                </c:pt>
                <c:pt idx="2255">
                  <c:v>44463</c:v>
                </c:pt>
                <c:pt idx="2256">
                  <c:v>44464</c:v>
                </c:pt>
                <c:pt idx="2257">
                  <c:v>44465</c:v>
                </c:pt>
                <c:pt idx="2258">
                  <c:v>44466</c:v>
                </c:pt>
                <c:pt idx="2259">
                  <c:v>44467</c:v>
                </c:pt>
                <c:pt idx="2260">
                  <c:v>44468</c:v>
                </c:pt>
                <c:pt idx="2261">
                  <c:v>44469</c:v>
                </c:pt>
                <c:pt idx="2262">
                  <c:v>44470</c:v>
                </c:pt>
                <c:pt idx="2263">
                  <c:v>44471</c:v>
                </c:pt>
                <c:pt idx="2264">
                  <c:v>44472</c:v>
                </c:pt>
                <c:pt idx="2265">
                  <c:v>44473</c:v>
                </c:pt>
                <c:pt idx="2266">
                  <c:v>44474</c:v>
                </c:pt>
                <c:pt idx="2267">
                  <c:v>44475</c:v>
                </c:pt>
                <c:pt idx="2268">
                  <c:v>44476</c:v>
                </c:pt>
                <c:pt idx="2269">
                  <c:v>44477</c:v>
                </c:pt>
                <c:pt idx="2270">
                  <c:v>44478</c:v>
                </c:pt>
                <c:pt idx="2271">
                  <c:v>44479</c:v>
                </c:pt>
                <c:pt idx="2272">
                  <c:v>44480</c:v>
                </c:pt>
                <c:pt idx="2273">
                  <c:v>44481</c:v>
                </c:pt>
                <c:pt idx="2274">
                  <c:v>44482</c:v>
                </c:pt>
                <c:pt idx="2275">
                  <c:v>44483</c:v>
                </c:pt>
                <c:pt idx="2276">
                  <c:v>44484</c:v>
                </c:pt>
                <c:pt idx="2277">
                  <c:v>44485</c:v>
                </c:pt>
                <c:pt idx="2278">
                  <c:v>44486</c:v>
                </c:pt>
                <c:pt idx="2279">
                  <c:v>44487</c:v>
                </c:pt>
                <c:pt idx="2280">
                  <c:v>44488</c:v>
                </c:pt>
                <c:pt idx="2281">
                  <c:v>44489</c:v>
                </c:pt>
                <c:pt idx="2282">
                  <c:v>44490</c:v>
                </c:pt>
                <c:pt idx="2283">
                  <c:v>44491</c:v>
                </c:pt>
                <c:pt idx="2284">
                  <c:v>44492</c:v>
                </c:pt>
                <c:pt idx="2285">
                  <c:v>44493</c:v>
                </c:pt>
                <c:pt idx="2286">
                  <c:v>44494</c:v>
                </c:pt>
                <c:pt idx="2287">
                  <c:v>44495</c:v>
                </c:pt>
                <c:pt idx="2288">
                  <c:v>44496</c:v>
                </c:pt>
                <c:pt idx="2289">
                  <c:v>44497</c:v>
                </c:pt>
                <c:pt idx="2290">
                  <c:v>44498</c:v>
                </c:pt>
                <c:pt idx="2291">
                  <c:v>44499</c:v>
                </c:pt>
                <c:pt idx="2292">
                  <c:v>44500</c:v>
                </c:pt>
                <c:pt idx="2293">
                  <c:v>44501</c:v>
                </c:pt>
                <c:pt idx="2294">
                  <c:v>44502</c:v>
                </c:pt>
                <c:pt idx="2295">
                  <c:v>44503</c:v>
                </c:pt>
                <c:pt idx="2296">
                  <c:v>44504</c:v>
                </c:pt>
                <c:pt idx="2297">
                  <c:v>44505</c:v>
                </c:pt>
                <c:pt idx="2298">
                  <c:v>44506</c:v>
                </c:pt>
                <c:pt idx="2299">
                  <c:v>44507</c:v>
                </c:pt>
                <c:pt idx="2300">
                  <c:v>44508</c:v>
                </c:pt>
                <c:pt idx="2301">
                  <c:v>44509</c:v>
                </c:pt>
                <c:pt idx="2302">
                  <c:v>44510</c:v>
                </c:pt>
                <c:pt idx="2303">
                  <c:v>44511</c:v>
                </c:pt>
                <c:pt idx="2304">
                  <c:v>44512</c:v>
                </c:pt>
                <c:pt idx="2305">
                  <c:v>44513</c:v>
                </c:pt>
                <c:pt idx="2306">
                  <c:v>44514</c:v>
                </c:pt>
                <c:pt idx="2307">
                  <c:v>44515</c:v>
                </c:pt>
                <c:pt idx="2308">
                  <c:v>44516</c:v>
                </c:pt>
                <c:pt idx="2309">
                  <c:v>44517</c:v>
                </c:pt>
                <c:pt idx="2310">
                  <c:v>44518</c:v>
                </c:pt>
                <c:pt idx="2311">
                  <c:v>44519</c:v>
                </c:pt>
                <c:pt idx="2312">
                  <c:v>44520</c:v>
                </c:pt>
                <c:pt idx="2313">
                  <c:v>44521</c:v>
                </c:pt>
                <c:pt idx="2314">
                  <c:v>44522</c:v>
                </c:pt>
                <c:pt idx="2315">
                  <c:v>44523</c:v>
                </c:pt>
                <c:pt idx="2316">
                  <c:v>44524</c:v>
                </c:pt>
                <c:pt idx="2317">
                  <c:v>44525</c:v>
                </c:pt>
                <c:pt idx="2318">
                  <c:v>44526</c:v>
                </c:pt>
                <c:pt idx="2319">
                  <c:v>44527</c:v>
                </c:pt>
                <c:pt idx="2320">
                  <c:v>44528</c:v>
                </c:pt>
                <c:pt idx="2321">
                  <c:v>44529</c:v>
                </c:pt>
                <c:pt idx="2322">
                  <c:v>44530</c:v>
                </c:pt>
                <c:pt idx="2323">
                  <c:v>44531</c:v>
                </c:pt>
                <c:pt idx="2324">
                  <c:v>44532</c:v>
                </c:pt>
                <c:pt idx="2325">
                  <c:v>44533</c:v>
                </c:pt>
                <c:pt idx="2326">
                  <c:v>44534</c:v>
                </c:pt>
                <c:pt idx="2327">
                  <c:v>44535</c:v>
                </c:pt>
                <c:pt idx="2328">
                  <c:v>44536</c:v>
                </c:pt>
                <c:pt idx="2329">
                  <c:v>44537</c:v>
                </c:pt>
                <c:pt idx="2330">
                  <c:v>44538</c:v>
                </c:pt>
                <c:pt idx="2331">
                  <c:v>44539</c:v>
                </c:pt>
                <c:pt idx="2332">
                  <c:v>44540</c:v>
                </c:pt>
                <c:pt idx="2333">
                  <c:v>44541</c:v>
                </c:pt>
                <c:pt idx="2334">
                  <c:v>44542</c:v>
                </c:pt>
                <c:pt idx="2335">
                  <c:v>44543</c:v>
                </c:pt>
                <c:pt idx="2336">
                  <c:v>44544</c:v>
                </c:pt>
                <c:pt idx="2337">
                  <c:v>44545</c:v>
                </c:pt>
                <c:pt idx="2338">
                  <c:v>44546</c:v>
                </c:pt>
                <c:pt idx="2339">
                  <c:v>44547</c:v>
                </c:pt>
                <c:pt idx="2340">
                  <c:v>44548</c:v>
                </c:pt>
                <c:pt idx="2341">
                  <c:v>44549</c:v>
                </c:pt>
                <c:pt idx="2342">
                  <c:v>44550</c:v>
                </c:pt>
                <c:pt idx="2343">
                  <c:v>44551</c:v>
                </c:pt>
                <c:pt idx="2344">
                  <c:v>44552</c:v>
                </c:pt>
                <c:pt idx="2345">
                  <c:v>44553</c:v>
                </c:pt>
                <c:pt idx="2346">
                  <c:v>44554</c:v>
                </c:pt>
                <c:pt idx="2347">
                  <c:v>44555</c:v>
                </c:pt>
                <c:pt idx="2348">
                  <c:v>44556</c:v>
                </c:pt>
                <c:pt idx="2349">
                  <c:v>44557</c:v>
                </c:pt>
                <c:pt idx="2350">
                  <c:v>44558</c:v>
                </c:pt>
                <c:pt idx="2351">
                  <c:v>44559</c:v>
                </c:pt>
                <c:pt idx="2352">
                  <c:v>44560</c:v>
                </c:pt>
                <c:pt idx="2353">
                  <c:v>44561</c:v>
                </c:pt>
                <c:pt idx="2354">
                  <c:v>44562</c:v>
                </c:pt>
                <c:pt idx="2355">
                  <c:v>44563</c:v>
                </c:pt>
                <c:pt idx="2356">
                  <c:v>44564</c:v>
                </c:pt>
                <c:pt idx="2357">
                  <c:v>44565</c:v>
                </c:pt>
                <c:pt idx="2358">
                  <c:v>44566</c:v>
                </c:pt>
                <c:pt idx="2359">
                  <c:v>44567</c:v>
                </c:pt>
                <c:pt idx="2360">
                  <c:v>44568</c:v>
                </c:pt>
                <c:pt idx="2361">
                  <c:v>44569</c:v>
                </c:pt>
                <c:pt idx="2362">
                  <c:v>44570</c:v>
                </c:pt>
                <c:pt idx="2363">
                  <c:v>44571</c:v>
                </c:pt>
                <c:pt idx="2364">
                  <c:v>44572</c:v>
                </c:pt>
                <c:pt idx="2365">
                  <c:v>44573</c:v>
                </c:pt>
                <c:pt idx="2366">
                  <c:v>44574</c:v>
                </c:pt>
                <c:pt idx="2367">
                  <c:v>44575</c:v>
                </c:pt>
                <c:pt idx="2368">
                  <c:v>44576</c:v>
                </c:pt>
                <c:pt idx="2369">
                  <c:v>44577</c:v>
                </c:pt>
                <c:pt idx="2370">
                  <c:v>44578</c:v>
                </c:pt>
                <c:pt idx="2371">
                  <c:v>44579</c:v>
                </c:pt>
                <c:pt idx="2372">
                  <c:v>44580</c:v>
                </c:pt>
                <c:pt idx="2373">
                  <c:v>44581</c:v>
                </c:pt>
                <c:pt idx="2374">
                  <c:v>44582</c:v>
                </c:pt>
                <c:pt idx="2375">
                  <c:v>44583</c:v>
                </c:pt>
                <c:pt idx="2376">
                  <c:v>44584</c:v>
                </c:pt>
                <c:pt idx="2377">
                  <c:v>44585</c:v>
                </c:pt>
                <c:pt idx="2378">
                  <c:v>44586</c:v>
                </c:pt>
                <c:pt idx="2379">
                  <c:v>44587</c:v>
                </c:pt>
                <c:pt idx="2380">
                  <c:v>44588</c:v>
                </c:pt>
                <c:pt idx="2381">
                  <c:v>44589</c:v>
                </c:pt>
                <c:pt idx="2382">
                  <c:v>44590</c:v>
                </c:pt>
                <c:pt idx="2383">
                  <c:v>44591</c:v>
                </c:pt>
                <c:pt idx="2384">
                  <c:v>44592</c:v>
                </c:pt>
                <c:pt idx="2385">
                  <c:v>44593</c:v>
                </c:pt>
                <c:pt idx="2386">
                  <c:v>44594</c:v>
                </c:pt>
                <c:pt idx="2387">
                  <c:v>44595</c:v>
                </c:pt>
                <c:pt idx="2388">
                  <c:v>44596</c:v>
                </c:pt>
                <c:pt idx="2389">
                  <c:v>44597</c:v>
                </c:pt>
                <c:pt idx="2390">
                  <c:v>44598</c:v>
                </c:pt>
                <c:pt idx="2391">
                  <c:v>44599</c:v>
                </c:pt>
                <c:pt idx="2392">
                  <c:v>44600</c:v>
                </c:pt>
                <c:pt idx="2393">
                  <c:v>44601</c:v>
                </c:pt>
                <c:pt idx="2394">
                  <c:v>44602</c:v>
                </c:pt>
                <c:pt idx="2395">
                  <c:v>44603</c:v>
                </c:pt>
                <c:pt idx="2396">
                  <c:v>44604</c:v>
                </c:pt>
                <c:pt idx="2397">
                  <c:v>44605</c:v>
                </c:pt>
                <c:pt idx="2398">
                  <c:v>44606</c:v>
                </c:pt>
                <c:pt idx="2399">
                  <c:v>44607</c:v>
                </c:pt>
                <c:pt idx="2400">
                  <c:v>44608</c:v>
                </c:pt>
                <c:pt idx="2401">
                  <c:v>44609</c:v>
                </c:pt>
                <c:pt idx="2402">
                  <c:v>44610</c:v>
                </c:pt>
                <c:pt idx="2403">
                  <c:v>44611</c:v>
                </c:pt>
                <c:pt idx="2404">
                  <c:v>44612</c:v>
                </c:pt>
                <c:pt idx="2405">
                  <c:v>44613</c:v>
                </c:pt>
                <c:pt idx="2406">
                  <c:v>44614</c:v>
                </c:pt>
                <c:pt idx="2407">
                  <c:v>44615</c:v>
                </c:pt>
                <c:pt idx="2408">
                  <c:v>44616</c:v>
                </c:pt>
                <c:pt idx="2409">
                  <c:v>44617</c:v>
                </c:pt>
                <c:pt idx="2410">
                  <c:v>44618</c:v>
                </c:pt>
                <c:pt idx="2411">
                  <c:v>44619</c:v>
                </c:pt>
                <c:pt idx="2412">
                  <c:v>44620</c:v>
                </c:pt>
                <c:pt idx="2413">
                  <c:v>44621</c:v>
                </c:pt>
                <c:pt idx="2414">
                  <c:v>44622</c:v>
                </c:pt>
                <c:pt idx="2415">
                  <c:v>44623</c:v>
                </c:pt>
                <c:pt idx="2416">
                  <c:v>44624</c:v>
                </c:pt>
                <c:pt idx="2417">
                  <c:v>44625</c:v>
                </c:pt>
                <c:pt idx="2418">
                  <c:v>44626</c:v>
                </c:pt>
                <c:pt idx="2419">
                  <c:v>44627</c:v>
                </c:pt>
                <c:pt idx="2420">
                  <c:v>44628</c:v>
                </c:pt>
                <c:pt idx="2421">
                  <c:v>44629</c:v>
                </c:pt>
                <c:pt idx="2422">
                  <c:v>44630</c:v>
                </c:pt>
                <c:pt idx="2423">
                  <c:v>44631</c:v>
                </c:pt>
                <c:pt idx="2424">
                  <c:v>44632</c:v>
                </c:pt>
                <c:pt idx="2425">
                  <c:v>44633</c:v>
                </c:pt>
                <c:pt idx="2426">
                  <c:v>44634</c:v>
                </c:pt>
                <c:pt idx="2427">
                  <c:v>44635</c:v>
                </c:pt>
                <c:pt idx="2428">
                  <c:v>44636</c:v>
                </c:pt>
                <c:pt idx="2429">
                  <c:v>44637</c:v>
                </c:pt>
                <c:pt idx="2430">
                  <c:v>44638</c:v>
                </c:pt>
                <c:pt idx="2431">
                  <c:v>44639</c:v>
                </c:pt>
                <c:pt idx="2432">
                  <c:v>44640</c:v>
                </c:pt>
                <c:pt idx="2433">
                  <c:v>44641</c:v>
                </c:pt>
                <c:pt idx="2434">
                  <c:v>44642</c:v>
                </c:pt>
                <c:pt idx="2435">
                  <c:v>44643</c:v>
                </c:pt>
                <c:pt idx="2436">
                  <c:v>44644</c:v>
                </c:pt>
                <c:pt idx="2437">
                  <c:v>44645</c:v>
                </c:pt>
                <c:pt idx="2438">
                  <c:v>44646</c:v>
                </c:pt>
                <c:pt idx="2439">
                  <c:v>44647</c:v>
                </c:pt>
                <c:pt idx="2440">
                  <c:v>44648</c:v>
                </c:pt>
                <c:pt idx="2441">
                  <c:v>44649</c:v>
                </c:pt>
                <c:pt idx="2442">
                  <c:v>44650</c:v>
                </c:pt>
                <c:pt idx="2443">
                  <c:v>44651</c:v>
                </c:pt>
                <c:pt idx="2444">
                  <c:v>44652</c:v>
                </c:pt>
                <c:pt idx="2445">
                  <c:v>44653</c:v>
                </c:pt>
                <c:pt idx="2446">
                  <c:v>44654</c:v>
                </c:pt>
                <c:pt idx="2447">
                  <c:v>44655</c:v>
                </c:pt>
                <c:pt idx="2448">
                  <c:v>44656</c:v>
                </c:pt>
                <c:pt idx="2449">
                  <c:v>44657</c:v>
                </c:pt>
                <c:pt idx="2450">
                  <c:v>44658</c:v>
                </c:pt>
                <c:pt idx="2451">
                  <c:v>44659</c:v>
                </c:pt>
                <c:pt idx="2452">
                  <c:v>44660</c:v>
                </c:pt>
                <c:pt idx="2453">
                  <c:v>44661</c:v>
                </c:pt>
                <c:pt idx="2454">
                  <c:v>44662</c:v>
                </c:pt>
                <c:pt idx="2455">
                  <c:v>44663</c:v>
                </c:pt>
                <c:pt idx="2456">
                  <c:v>44664</c:v>
                </c:pt>
                <c:pt idx="2457">
                  <c:v>44665</c:v>
                </c:pt>
                <c:pt idx="2458">
                  <c:v>44666</c:v>
                </c:pt>
                <c:pt idx="2459">
                  <c:v>44667</c:v>
                </c:pt>
                <c:pt idx="2460">
                  <c:v>44668</c:v>
                </c:pt>
                <c:pt idx="2461">
                  <c:v>44669</c:v>
                </c:pt>
                <c:pt idx="2462">
                  <c:v>44670</c:v>
                </c:pt>
                <c:pt idx="2463">
                  <c:v>44671</c:v>
                </c:pt>
                <c:pt idx="2464">
                  <c:v>44672</c:v>
                </c:pt>
                <c:pt idx="2465">
                  <c:v>44673</c:v>
                </c:pt>
                <c:pt idx="2466">
                  <c:v>44674</c:v>
                </c:pt>
                <c:pt idx="2467">
                  <c:v>44675</c:v>
                </c:pt>
                <c:pt idx="2468">
                  <c:v>44676</c:v>
                </c:pt>
                <c:pt idx="2469">
                  <c:v>44677</c:v>
                </c:pt>
                <c:pt idx="2470">
                  <c:v>44678</c:v>
                </c:pt>
                <c:pt idx="2471">
                  <c:v>44679</c:v>
                </c:pt>
                <c:pt idx="2472">
                  <c:v>44680</c:v>
                </c:pt>
                <c:pt idx="2473">
                  <c:v>44681</c:v>
                </c:pt>
                <c:pt idx="2474">
                  <c:v>44682</c:v>
                </c:pt>
                <c:pt idx="2475">
                  <c:v>44683</c:v>
                </c:pt>
                <c:pt idx="2476">
                  <c:v>44684</c:v>
                </c:pt>
                <c:pt idx="2477">
                  <c:v>44685</c:v>
                </c:pt>
                <c:pt idx="2478">
                  <c:v>44686</c:v>
                </c:pt>
                <c:pt idx="2479">
                  <c:v>44687</c:v>
                </c:pt>
                <c:pt idx="2480">
                  <c:v>44688</c:v>
                </c:pt>
                <c:pt idx="2481">
                  <c:v>44689</c:v>
                </c:pt>
                <c:pt idx="2482">
                  <c:v>44690</c:v>
                </c:pt>
                <c:pt idx="2483">
                  <c:v>44691</c:v>
                </c:pt>
                <c:pt idx="2484">
                  <c:v>44692</c:v>
                </c:pt>
                <c:pt idx="2485">
                  <c:v>44693</c:v>
                </c:pt>
                <c:pt idx="2486">
                  <c:v>44694</c:v>
                </c:pt>
                <c:pt idx="2487">
                  <c:v>44695</c:v>
                </c:pt>
                <c:pt idx="2488">
                  <c:v>44696</c:v>
                </c:pt>
                <c:pt idx="2489">
                  <c:v>44697</c:v>
                </c:pt>
                <c:pt idx="2490">
                  <c:v>44698</c:v>
                </c:pt>
                <c:pt idx="2491">
                  <c:v>44699</c:v>
                </c:pt>
                <c:pt idx="2492">
                  <c:v>44700</c:v>
                </c:pt>
                <c:pt idx="2493">
                  <c:v>44701</c:v>
                </c:pt>
                <c:pt idx="2494">
                  <c:v>44702</c:v>
                </c:pt>
                <c:pt idx="2495">
                  <c:v>44703</c:v>
                </c:pt>
                <c:pt idx="2496">
                  <c:v>44704</c:v>
                </c:pt>
                <c:pt idx="2497">
                  <c:v>44705</c:v>
                </c:pt>
                <c:pt idx="2498">
                  <c:v>44706</c:v>
                </c:pt>
                <c:pt idx="2499">
                  <c:v>44707</c:v>
                </c:pt>
                <c:pt idx="2500">
                  <c:v>44708</c:v>
                </c:pt>
                <c:pt idx="2501">
                  <c:v>44709</c:v>
                </c:pt>
                <c:pt idx="2502">
                  <c:v>44710</c:v>
                </c:pt>
                <c:pt idx="2503">
                  <c:v>44711</c:v>
                </c:pt>
                <c:pt idx="2504">
                  <c:v>44712</c:v>
                </c:pt>
                <c:pt idx="2505">
                  <c:v>44713</c:v>
                </c:pt>
                <c:pt idx="2506">
                  <c:v>44714</c:v>
                </c:pt>
                <c:pt idx="2507">
                  <c:v>44715</c:v>
                </c:pt>
                <c:pt idx="2508">
                  <c:v>44716</c:v>
                </c:pt>
                <c:pt idx="2509">
                  <c:v>44717</c:v>
                </c:pt>
                <c:pt idx="2510">
                  <c:v>44718</c:v>
                </c:pt>
                <c:pt idx="2511">
                  <c:v>44719</c:v>
                </c:pt>
                <c:pt idx="2512">
                  <c:v>44720</c:v>
                </c:pt>
                <c:pt idx="2513">
                  <c:v>44721</c:v>
                </c:pt>
                <c:pt idx="2514">
                  <c:v>44722</c:v>
                </c:pt>
                <c:pt idx="2515">
                  <c:v>44723</c:v>
                </c:pt>
                <c:pt idx="2516">
                  <c:v>44724</c:v>
                </c:pt>
                <c:pt idx="2517">
                  <c:v>44725</c:v>
                </c:pt>
                <c:pt idx="2518">
                  <c:v>44726</c:v>
                </c:pt>
                <c:pt idx="2519">
                  <c:v>44727</c:v>
                </c:pt>
                <c:pt idx="2520">
                  <c:v>44728</c:v>
                </c:pt>
                <c:pt idx="2521">
                  <c:v>44729</c:v>
                </c:pt>
                <c:pt idx="2522">
                  <c:v>44730</c:v>
                </c:pt>
                <c:pt idx="2523">
                  <c:v>44731</c:v>
                </c:pt>
                <c:pt idx="2524">
                  <c:v>44732</c:v>
                </c:pt>
                <c:pt idx="2525">
                  <c:v>44733</c:v>
                </c:pt>
                <c:pt idx="2526">
                  <c:v>44734</c:v>
                </c:pt>
                <c:pt idx="2527">
                  <c:v>44735</c:v>
                </c:pt>
                <c:pt idx="2528">
                  <c:v>44736</c:v>
                </c:pt>
                <c:pt idx="2529">
                  <c:v>44737</c:v>
                </c:pt>
                <c:pt idx="2530">
                  <c:v>44738</c:v>
                </c:pt>
                <c:pt idx="2531">
                  <c:v>44739</c:v>
                </c:pt>
                <c:pt idx="2532">
                  <c:v>44740</c:v>
                </c:pt>
                <c:pt idx="2533">
                  <c:v>44741</c:v>
                </c:pt>
                <c:pt idx="2534">
                  <c:v>44742</c:v>
                </c:pt>
                <c:pt idx="2535">
                  <c:v>44743</c:v>
                </c:pt>
                <c:pt idx="2536">
                  <c:v>44744</c:v>
                </c:pt>
                <c:pt idx="2537">
                  <c:v>44745</c:v>
                </c:pt>
                <c:pt idx="2538">
                  <c:v>44746</c:v>
                </c:pt>
                <c:pt idx="2539">
                  <c:v>44747</c:v>
                </c:pt>
                <c:pt idx="2540">
                  <c:v>44748</c:v>
                </c:pt>
                <c:pt idx="2541">
                  <c:v>44749</c:v>
                </c:pt>
                <c:pt idx="2542">
                  <c:v>44750</c:v>
                </c:pt>
                <c:pt idx="2543">
                  <c:v>44751</c:v>
                </c:pt>
                <c:pt idx="2544">
                  <c:v>44752</c:v>
                </c:pt>
                <c:pt idx="2545">
                  <c:v>44753</c:v>
                </c:pt>
                <c:pt idx="2546">
                  <c:v>44754</c:v>
                </c:pt>
                <c:pt idx="2547">
                  <c:v>44755</c:v>
                </c:pt>
                <c:pt idx="2548">
                  <c:v>44756</c:v>
                </c:pt>
                <c:pt idx="2549">
                  <c:v>44757</c:v>
                </c:pt>
                <c:pt idx="2550">
                  <c:v>44758</c:v>
                </c:pt>
                <c:pt idx="2551">
                  <c:v>44759</c:v>
                </c:pt>
                <c:pt idx="2552">
                  <c:v>44760</c:v>
                </c:pt>
                <c:pt idx="2553">
                  <c:v>44761</c:v>
                </c:pt>
                <c:pt idx="2554">
                  <c:v>44762</c:v>
                </c:pt>
                <c:pt idx="2555">
                  <c:v>44763</c:v>
                </c:pt>
                <c:pt idx="2556">
                  <c:v>44764</c:v>
                </c:pt>
                <c:pt idx="2557">
                  <c:v>44765</c:v>
                </c:pt>
                <c:pt idx="2558">
                  <c:v>44766</c:v>
                </c:pt>
                <c:pt idx="2559">
                  <c:v>44767</c:v>
                </c:pt>
                <c:pt idx="2560">
                  <c:v>44768</c:v>
                </c:pt>
                <c:pt idx="2561">
                  <c:v>44769</c:v>
                </c:pt>
                <c:pt idx="2562">
                  <c:v>44770</c:v>
                </c:pt>
                <c:pt idx="2563">
                  <c:v>44771</c:v>
                </c:pt>
                <c:pt idx="2564">
                  <c:v>44772</c:v>
                </c:pt>
                <c:pt idx="2565">
                  <c:v>44773</c:v>
                </c:pt>
                <c:pt idx="2566">
                  <c:v>44774</c:v>
                </c:pt>
                <c:pt idx="2567">
                  <c:v>44775</c:v>
                </c:pt>
                <c:pt idx="2568">
                  <c:v>44776</c:v>
                </c:pt>
                <c:pt idx="2569">
                  <c:v>44777</c:v>
                </c:pt>
                <c:pt idx="2570">
                  <c:v>44778</c:v>
                </c:pt>
                <c:pt idx="2571">
                  <c:v>44779</c:v>
                </c:pt>
                <c:pt idx="2572">
                  <c:v>44780</c:v>
                </c:pt>
                <c:pt idx="2573">
                  <c:v>44781</c:v>
                </c:pt>
                <c:pt idx="2574">
                  <c:v>44782</c:v>
                </c:pt>
                <c:pt idx="2575">
                  <c:v>44783</c:v>
                </c:pt>
                <c:pt idx="2576">
                  <c:v>44784</c:v>
                </c:pt>
                <c:pt idx="2577">
                  <c:v>44785</c:v>
                </c:pt>
                <c:pt idx="2578">
                  <c:v>44786</c:v>
                </c:pt>
                <c:pt idx="2579">
                  <c:v>44787</c:v>
                </c:pt>
                <c:pt idx="2580">
                  <c:v>44788</c:v>
                </c:pt>
                <c:pt idx="2581">
                  <c:v>44789</c:v>
                </c:pt>
                <c:pt idx="2582">
                  <c:v>44790</c:v>
                </c:pt>
                <c:pt idx="2583">
                  <c:v>44791</c:v>
                </c:pt>
                <c:pt idx="2584">
                  <c:v>44792</c:v>
                </c:pt>
                <c:pt idx="2585">
                  <c:v>44793</c:v>
                </c:pt>
                <c:pt idx="2586">
                  <c:v>44794</c:v>
                </c:pt>
                <c:pt idx="2587">
                  <c:v>44795</c:v>
                </c:pt>
                <c:pt idx="2588">
                  <c:v>44796</c:v>
                </c:pt>
                <c:pt idx="2589">
                  <c:v>44797</c:v>
                </c:pt>
                <c:pt idx="2590">
                  <c:v>44798</c:v>
                </c:pt>
                <c:pt idx="2591">
                  <c:v>44799</c:v>
                </c:pt>
                <c:pt idx="2592">
                  <c:v>44800</c:v>
                </c:pt>
                <c:pt idx="2593">
                  <c:v>44801</c:v>
                </c:pt>
                <c:pt idx="2594">
                  <c:v>44802</c:v>
                </c:pt>
                <c:pt idx="2595">
                  <c:v>44803</c:v>
                </c:pt>
                <c:pt idx="2596">
                  <c:v>44804</c:v>
                </c:pt>
                <c:pt idx="2597">
                  <c:v>44805</c:v>
                </c:pt>
                <c:pt idx="2598">
                  <c:v>44806</c:v>
                </c:pt>
                <c:pt idx="2599">
                  <c:v>44807</c:v>
                </c:pt>
                <c:pt idx="2600">
                  <c:v>44808</c:v>
                </c:pt>
                <c:pt idx="2601">
                  <c:v>44809</c:v>
                </c:pt>
                <c:pt idx="2602">
                  <c:v>44810</c:v>
                </c:pt>
                <c:pt idx="2603">
                  <c:v>44811</c:v>
                </c:pt>
                <c:pt idx="2604">
                  <c:v>44812</c:v>
                </c:pt>
                <c:pt idx="2605">
                  <c:v>44813</c:v>
                </c:pt>
                <c:pt idx="2606">
                  <c:v>44814</c:v>
                </c:pt>
                <c:pt idx="2607">
                  <c:v>44815</c:v>
                </c:pt>
                <c:pt idx="2608">
                  <c:v>44816</c:v>
                </c:pt>
                <c:pt idx="2609">
                  <c:v>44817</c:v>
                </c:pt>
                <c:pt idx="2610">
                  <c:v>44818</c:v>
                </c:pt>
                <c:pt idx="2611">
                  <c:v>44819</c:v>
                </c:pt>
                <c:pt idx="2612">
                  <c:v>44820</c:v>
                </c:pt>
                <c:pt idx="2613">
                  <c:v>44821</c:v>
                </c:pt>
                <c:pt idx="2614">
                  <c:v>44822</c:v>
                </c:pt>
                <c:pt idx="2615">
                  <c:v>44823</c:v>
                </c:pt>
                <c:pt idx="2616">
                  <c:v>44824</c:v>
                </c:pt>
                <c:pt idx="2617">
                  <c:v>44825</c:v>
                </c:pt>
                <c:pt idx="2618">
                  <c:v>44826</c:v>
                </c:pt>
                <c:pt idx="2619">
                  <c:v>44827</c:v>
                </c:pt>
                <c:pt idx="2620">
                  <c:v>44828</c:v>
                </c:pt>
                <c:pt idx="2621">
                  <c:v>44829</c:v>
                </c:pt>
                <c:pt idx="2622">
                  <c:v>44830</c:v>
                </c:pt>
                <c:pt idx="2623">
                  <c:v>44831</c:v>
                </c:pt>
                <c:pt idx="2624">
                  <c:v>44832</c:v>
                </c:pt>
                <c:pt idx="2625">
                  <c:v>44833</c:v>
                </c:pt>
                <c:pt idx="2626">
                  <c:v>44834</c:v>
                </c:pt>
                <c:pt idx="2627">
                  <c:v>44835</c:v>
                </c:pt>
                <c:pt idx="2628">
                  <c:v>44836</c:v>
                </c:pt>
                <c:pt idx="2629">
                  <c:v>44837</c:v>
                </c:pt>
                <c:pt idx="2630">
                  <c:v>44838</c:v>
                </c:pt>
                <c:pt idx="2631">
                  <c:v>44839</c:v>
                </c:pt>
                <c:pt idx="2632">
                  <c:v>44840</c:v>
                </c:pt>
                <c:pt idx="2633">
                  <c:v>44841</c:v>
                </c:pt>
                <c:pt idx="2634">
                  <c:v>44842</c:v>
                </c:pt>
                <c:pt idx="2635">
                  <c:v>44843</c:v>
                </c:pt>
                <c:pt idx="2636">
                  <c:v>44844</c:v>
                </c:pt>
                <c:pt idx="2637">
                  <c:v>44845</c:v>
                </c:pt>
                <c:pt idx="2638">
                  <c:v>44846</c:v>
                </c:pt>
                <c:pt idx="2639">
                  <c:v>44847</c:v>
                </c:pt>
                <c:pt idx="2640">
                  <c:v>44848</c:v>
                </c:pt>
                <c:pt idx="2641">
                  <c:v>44849</c:v>
                </c:pt>
                <c:pt idx="2642">
                  <c:v>44850</c:v>
                </c:pt>
                <c:pt idx="2643">
                  <c:v>44851</c:v>
                </c:pt>
                <c:pt idx="2644">
                  <c:v>44852</c:v>
                </c:pt>
                <c:pt idx="2645">
                  <c:v>44853</c:v>
                </c:pt>
                <c:pt idx="2646">
                  <c:v>44854</c:v>
                </c:pt>
                <c:pt idx="2647">
                  <c:v>44855</c:v>
                </c:pt>
                <c:pt idx="2648">
                  <c:v>44856</c:v>
                </c:pt>
                <c:pt idx="2649">
                  <c:v>44857</c:v>
                </c:pt>
                <c:pt idx="2650">
                  <c:v>44858</c:v>
                </c:pt>
                <c:pt idx="2651">
                  <c:v>44859</c:v>
                </c:pt>
                <c:pt idx="2652">
                  <c:v>44860</c:v>
                </c:pt>
                <c:pt idx="2653">
                  <c:v>44861</c:v>
                </c:pt>
                <c:pt idx="2654">
                  <c:v>44862</c:v>
                </c:pt>
                <c:pt idx="2655">
                  <c:v>44863</c:v>
                </c:pt>
                <c:pt idx="2656">
                  <c:v>44864</c:v>
                </c:pt>
                <c:pt idx="2657">
                  <c:v>44865</c:v>
                </c:pt>
                <c:pt idx="2658">
                  <c:v>44866</c:v>
                </c:pt>
                <c:pt idx="2659">
                  <c:v>44867</c:v>
                </c:pt>
                <c:pt idx="2660">
                  <c:v>44868</c:v>
                </c:pt>
                <c:pt idx="2661">
                  <c:v>44869</c:v>
                </c:pt>
                <c:pt idx="2662">
                  <c:v>44870</c:v>
                </c:pt>
                <c:pt idx="2663">
                  <c:v>44871</c:v>
                </c:pt>
                <c:pt idx="2664">
                  <c:v>44872</c:v>
                </c:pt>
                <c:pt idx="2665">
                  <c:v>44873</c:v>
                </c:pt>
                <c:pt idx="2666">
                  <c:v>44874</c:v>
                </c:pt>
                <c:pt idx="2667">
                  <c:v>44875</c:v>
                </c:pt>
                <c:pt idx="2668">
                  <c:v>44876</c:v>
                </c:pt>
                <c:pt idx="2669">
                  <c:v>44877</c:v>
                </c:pt>
                <c:pt idx="2670">
                  <c:v>44878</c:v>
                </c:pt>
                <c:pt idx="2671">
                  <c:v>44879</c:v>
                </c:pt>
                <c:pt idx="2672">
                  <c:v>44880</c:v>
                </c:pt>
                <c:pt idx="2673">
                  <c:v>44881</c:v>
                </c:pt>
                <c:pt idx="2674">
                  <c:v>44882</c:v>
                </c:pt>
                <c:pt idx="2675">
                  <c:v>44883</c:v>
                </c:pt>
                <c:pt idx="2676">
                  <c:v>44884</c:v>
                </c:pt>
                <c:pt idx="2677">
                  <c:v>44885</c:v>
                </c:pt>
                <c:pt idx="2678">
                  <c:v>44886</c:v>
                </c:pt>
                <c:pt idx="2679">
                  <c:v>44887</c:v>
                </c:pt>
                <c:pt idx="2680">
                  <c:v>44888</c:v>
                </c:pt>
                <c:pt idx="2681">
                  <c:v>44889</c:v>
                </c:pt>
                <c:pt idx="2682">
                  <c:v>44890</c:v>
                </c:pt>
                <c:pt idx="2683">
                  <c:v>44891</c:v>
                </c:pt>
                <c:pt idx="2684">
                  <c:v>44892</c:v>
                </c:pt>
                <c:pt idx="2685">
                  <c:v>44893</c:v>
                </c:pt>
                <c:pt idx="2686">
                  <c:v>44894</c:v>
                </c:pt>
                <c:pt idx="2687">
                  <c:v>44895</c:v>
                </c:pt>
                <c:pt idx="2688">
                  <c:v>44896</c:v>
                </c:pt>
                <c:pt idx="2689">
                  <c:v>44897</c:v>
                </c:pt>
                <c:pt idx="2690">
                  <c:v>44898</c:v>
                </c:pt>
                <c:pt idx="2691">
                  <c:v>44899</c:v>
                </c:pt>
                <c:pt idx="2692">
                  <c:v>44900</c:v>
                </c:pt>
                <c:pt idx="2693">
                  <c:v>44901</c:v>
                </c:pt>
                <c:pt idx="2694">
                  <c:v>44902</c:v>
                </c:pt>
                <c:pt idx="2695">
                  <c:v>44903</c:v>
                </c:pt>
                <c:pt idx="2696">
                  <c:v>44904</c:v>
                </c:pt>
                <c:pt idx="2697">
                  <c:v>44905</c:v>
                </c:pt>
                <c:pt idx="2698">
                  <c:v>44906</c:v>
                </c:pt>
                <c:pt idx="2699">
                  <c:v>44907</c:v>
                </c:pt>
                <c:pt idx="2700">
                  <c:v>44908</c:v>
                </c:pt>
                <c:pt idx="2701">
                  <c:v>44909</c:v>
                </c:pt>
                <c:pt idx="2702">
                  <c:v>44910</c:v>
                </c:pt>
                <c:pt idx="2703">
                  <c:v>44911</c:v>
                </c:pt>
                <c:pt idx="2704">
                  <c:v>44912</c:v>
                </c:pt>
                <c:pt idx="2705">
                  <c:v>44913</c:v>
                </c:pt>
                <c:pt idx="2706">
                  <c:v>44914</c:v>
                </c:pt>
                <c:pt idx="2707">
                  <c:v>44915</c:v>
                </c:pt>
                <c:pt idx="2708">
                  <c:v>44916</c:v>
                </c:pt>
                <c:pt idx="2709">
                  <c:v>44917</c:v>
                </c:pt>
                <c:pt idx="2710">
                  <c:v>44918</c:v>
                </c:pt>
                <c:pt idx="2711">
                  <c:v>44919</c:v>
                </c:pt>
                <c:pt idx="2712">
                  <c:v>44920</c:v>
                </c:pt>
                <c:pt idx="2713">
                  <c:v>44921</c:v>
                </c:pt>
                <c:pt idx="2714">
                  <c:v>44922</c:v>
                </c:pt>
                <c:pt idx="2715">
                  <c:v>44923</c:v>
                </c:pt>
                <c:pt idx="2716">
                  <c:v>44924</c:v>
                </c:pt>
                <c:pt idx="2717">
                  <c:v>44925</c:v>
                </c:pt>
                <c:pt idx="2718">
                  <c:v>44926</c:v>
                </c:pt>
                <c:pt idx="2719">
                  <c:v>44927</c:v>
                </c:pt>
                <c:pt idx="2720">
                  <c:v>44928</c:v>
                </c:pt>
                <c:pt idx="2721">
                  <c:v>44929</c:v>
                </c:pt>
                <c:pt idx="2722">
                  <c:v>44930</c:v>
                </c:pt>
                <c:pt idx="2723">
                  <c:v>44931</c:v>
                </c:pt>
                <c:pt idx="2724">
                  <c:v>44932</c:v>
                </c:pt>
                <c:pt idx="2725">
                  <c:v>44933</c:v>
                </c:pt>
                <c:pt idx="2726">
                  <c:v>44934</c:v>
                </c:pt>
                <c:pt idx="2727">
                  <c:v>44935</c:v>
                </c:pt>
                <c:pt idx="2728">
                  <c:v>44936</c:v>
                </c:pt>
                <c:pt idx="2729">
                  <c:v>44937</c:v>
                </c:pt>
                <c:pt idx="2730">
                  <c:v>44938</c:v>
                </c:pt>
                <c:pt idx="2731">
                  <c:v>44939</c:v>
                </c:pt>
                <c:pt idx="2732">
                  <c:v>44940</c:v>
                </c:pt>
                <c:pt idx="2733">
                  <c:v>44941</c:v>
                </c:pt>
                <c:pt idx="2734">
                  <c:v>44942</c:v>
                </c:pt>
                <c:pt idx="2735">
                  <c:v>44943</c:v>
                </c:pt>
                <c:pt idx="2736">
                  <c:v>44944</c:v>
                </c:pt>
                <c:pt idx="2737">
                  <c:v>44945</c:v>
                </c:pt>
                <c:pt idx="2738">
                  <c:v>44946</c:v>
                </c:pt>
                <c:pt idx="2739">
                  <c:v>44947</c:v>
                </c:pt>
                <c:pt idx="2740">
                  <c:v>44948</c:v>
                </c:pt>
                <c:pt idx="2741">
                  <c:v>44949</c:v>
                </c:pt>
                <c:pt idx="2742">
                  <c:v>44950</c:v>
                </c:pt>
                <c:pt idx="2743">
                  <c:v>44951</c:v>
                </c:pt>
                <c:pt idx="2744">
                  <c:v>44952</c:v>
                </c:pt>
                <c:pt idx="2745">
                  <c:v>44953</c:v>
                </c:pt>
                <c:pt idx="2746">
                  <c:v>44954</c:v>
                </c:pt>
                <c:pt idx="2747">
                  <c:v>44955</c:v>
                </c:pt>
                <c:pt idx="2748">
                  <c:v>44956</c:v>
                </c:pt>
                <c:pt idx="2749">
                  <c:v>44957</c:v>
                </c:pt>
                <c:pt idx="2750">
                  <c:v>44958</c:v>
                </c:pt>
                <c:pt idx="2751">
                  <c:v>44959</c:v>
                </c:pt>
                <c:pt idx="2752">
                  <c:v>44960</c:v>
                </c:pt>
                <c:pt idx="2753">
                  <c:v>44961</c:v>
                </c:pt>
                <c:pt idx="2754">
                  <c:v>44962</c:v>
                </c:pt>
                <c:pt idx="2755">
                  <c:v>44963</c:v>
                </c:pt>
                <c:pt idx="2756">
                  <c:v>44964</c:v>
                </c:pt>
                <c:pt idx="2757">
                  <c:v>44965</c:v>
                </c:pt>
                <c:pt idx="2758">
                  <c:v>44966</c:v>
                </c:pt>
                <c:pt idx="2759">
                  <c:v>44967</c:v>
                </c:pt>
                <c:pt idx="2760">
                  <c:v>44968</c:v>
                </c:pt>
                <c:pt idx="2761">
                  <c:v>44969</c:v>
                </c:pt>
                <c:pt idx="2762">
                  <c:v>44970</c:v>
                </c:pt>
                <c:pt idx="2763">
                  <c:v>44971</c:v>
                </c:pt>
                <c:pt idx="2764">
                  <c:v>44972</c:v>
                </c:pt>
                <c:pt idx="2765">
                  <c:v>44973</c:v>
                </c:pt>
                <c:pt idx="2766">
                  <c:v>44974</c:v>
                </c:pt>
                <c:pt idx="2767">
                  <c:v>44975</c:v>
                </c:pt>
                <c:pt idx="2768">
                  <c:v>44976</c:v>
                </c:pt>
                <c:pt idx="2769">
                  <c:v>44977</c:v>
                </c:pt>
                <c:pt idx="2770">
                  <c:v>44978</c:v>
                </c:pt>
                <c:pt idx="2771">
                  <c:v>44979</c:v>
                </c:pt>
                <c:pt idx="2772">
                  <c:v>44980</c:v>
                </c:pt>
                <c:pt idx="2773">
                  <c:v>44981</c:v>
                </c:pt>
                <c:pt idx="2774">
                  <c:v>44982</c:v>
                </c:pt>
                <c:pt idx="2775">
                  <c:v>44983</c:v>
                </c:pt>
                <c:pt idx="2776">
                  <c:v>44984</c:v>
                </c:pt>
                <c:pt idx="2777">
                  <c:v>44985</c:v>
                </c:pt>
                <c:pt idx="2778">
                  <c:v>44986</c:v>
                </c:pt>
                <c:pt idx="2779">
                  <c:v>44987</c:v>
                </c:pt>
                <c:pt idx="2780">
                  <c:v>44988</c:v>
                </c:pt>
                <c:pt idx="2781">
                  <c:v>44989</c:v>
                </c:pt>
                <c:pt idx="2782">
                  <c:v>44990</c:v>
                </c:pt>
                <c:pt idx="2783">
                  <c:v>44991</c:v>
                </c:pt>
                <c:pt idx="2784">
                  <c:v>44992</c:v>
                </c:pt>
                <c:pt idx="2785">
                  <c:v>44993</c:v>
                </c:pt>
                <c:pt idx="2786">
                  <c:v>44994</c:v>
                </c:pt>
                <c:pt idx="2787">
                  <c:v>44995</c:v>
                </c:pt>
                <c:pt idx="2788">
                  <c:v>44996</c:v>
                </c:pt>
                <c:pt idx="2789">
                  <c:v>44997</c:v>
                </c:pt>
                <c:pt idx="2790">
                  <c:v>44998</c:v>
                </c:pt>
                <c:pt idx="2791">
                  <c:v>44999</c:v>
                </c:pt>
                <c:pt idx="2792">
                  <c:v>45000</c:v>
                </c:pt>
                <c:pt idx="2793">
                  <c:v>45001</c:v>
                </c:pt>
                <c:pt idx="2794">
                  <c:v>45002</c:v>
                </c:pt>
                <c:pt idx="2795">
                  <c:v>45003</c:v>
                </c:pt>
                <c:pt idx="2796">
                  <c:v>45004</c:v>
                </c:pt>
                <c:pt idx="2797">
                  <c:v>45005</c:v>
                </c:pt>
                <c:pt idx="2798">
                  <c:v>45006</c:v>
                </c:pt>
                <c:pt idx="2799">
                  <c:v>45007</c:v>
                </c:pt>
                <c:pt idx="2800">
                  <c:v>45008</c:v>
                </c:pt>
                <c:pt idx="2801">
                  <c:v>45009</c:v>
                </c:pt>
                <c:pt idx="2802">
                  <c:v>45010</c:v>
                </c:pt>
                <c:pt idx="2803">
                  <c:v>45011</c:v>
                </c:pt>
                <c:pt idx="2804">
                  <c:v>45012</c:v>
                </c:pt>
                <c:pt idx="2805">
                  <c:v>45013</c:v>
                </c:pt>
                <c:pt idx="2806">
                  <c:v>45014</c:v>
                </c:pt>
                <c:pt idx="2807">
                  <c:v>45015</c:v>
                </c:pt>
                <c:pt idx="2808">
                  <c:v>45016</c:v>
                </c:pt>
                <c:pt idx="2809">
                  <c:v>45017</c:v>
                </c:pt>
                <c:pt idx="2810">
                  <c:v>45018</c:v>
                </c:pt>
                <c:pt idx="2811">
                  <c:v>45019</c:v>
                </c:pt>
                <c:pt idx="2812">
                  <c:v>45020</c:v>
                </c:pt>
                <c:pt idx="2813">
                  <c:v>45021</c:v>
                </c:pt>
                <c:pt idx="2814">
                  <c:v>45022</c:v>
                </c:pt>
                <c:pt idx="2815">
                  <c:v>45023</c:v>
                </c:pt>
                <c:pt idx="2816">
                  <c:v>45024</c:v>
                </c:pt>
                <c:pt idx="2817">
                  <c:v>45025</c:v>
                </c:pt>
                <c:pt idx="2818">
                  <c:v>45026</c:v>
                </c:pt>
                <c:pt idx="2819">
                  <c:v>45027</c:v>
                </c:pt>
                <c:pt idx="2820">
                  <c:v>45028</c:v>
                </c:pt>
                <c:pt idx="2821">
                  <c:v>45029</c:v>
                </c:pt>
                <c:pt idx="2822">
                  <c:v>45030</c:v>
                </c:pt>
                <c:pt idx="2823">
                  <c:v>45031</c:v>
                </c:pt>
                <c:pt idx="2824">
                  <c:v>45032</c:v>
                </c:pt>
                <c:pt idx="2825">
                  <c:v>45033</c:v>
                </c:pt>
                <c:pt idx="2826">
                  <c:v>45034</c:v>
                </c:pt>
                <c:pt idx="2827">
                  <c:v>45035</c:v>
                </c:pt>
                <c:pt idx="2828">
                  <c:v>45036</c:v>
                </c:pt>
                <c:pt idx="2829">
                  <c:v>45037</c:v>
                </c:pt>
                <c:pt idx="2830">
                  <c:v>45038</c:v>
                </c:pt>
                <c:pt idx="2831">
                  <c:v>45039</c:v>
                </c:pt>
                <c:pt idx="2832">
                  <c:v>45040</c:v>
                </c:pt>
                <c:pt idx="2833">
                  <c:v>45041</c:v>
                </c:pt>
                <c:pt idx="2834">
                  <c:v>45042</c:v>
                </c:pt>
                <c:pt idx="2835">
                  <c:v>45043</c:v>
                </c:pt>
                <c:pt idx="2836">
                  <c:v>45044</c:v>
                </c:pt>
                <c:pt idx="2837">
                  <c:v>45045</c:v>
                </c:pt>
                <c:pt idx="2838">
                  <c:v>45046</c:v>
                </c:pt>
                <c:pt idx="2839">
                  <c:v>45047</c:v>
                </c:pt>
                <c:pt idx="2840">
                  <c:v>45048</c:v>
                </c:pt>
                <c:pt idx="2841">
                  <c:v>45049</c:v>
                </c:pt>
                <c:pt idx="2842">
                  <c:v>45050</c:v>
                </c:pt>
                <c:pt idx="2843">
                  <c:v>45051</c:v>
                </c:pt>
                <c:pt idx="2844">
                  <c:v>45052</c:v>
                </c:pt>
                <c:pt idx="2845">
                  <c:v>45053</c:v>
                </c:pt>
                <c:pt idx="2846">
                  <c:v>45054</c:v>
                </c:pt>
                <c:pt idx="2847">
                  <c:v>45055</c:v>
                </c:pt>
                <c:pt idx="2848">
                  <c:v>45056</c:v>
                </c:pt>
                <c:pt idx="2849">
                  <c:v>45057</c:v>
                </c:pt>
                <c:pt idx="2850">
                  <c:v>45058</c:v>
                </c:pt>
                <c:pt idx="2851">
                  <c:v>45059</c:v>
                </c:pt>
                <c:pt idx="2852">
                  <c:v>45060</c:v>
                </c:pt>
                <c:pt idx="2853">
                  <c:v>45061</c:v>
                </c:pt>
                <c:pt idx="2854">
                  <c:v>45062</c:v>
                </c:pt>
                <c:pt idx="2855">
                  <c:v>45063</c:v>
                </c:pt>
                <c:pt idx="2856">
                  <c:v>45064</c:v>
                </c:pt>
                <c:pt idx="2857">
                  <c:v>45065</c:v>
                </c:pt>
                <c:pt idx="2858">
                  <c:v>45066</c:v>
                </c:pt>
                <c:pt idx="2859">
                  <c:v>45067</c:v>
                </c:pt>
                <c:pt idx="2860">
                  <c:v>45068</c:v>
                </c:pt>
                <c:pt idx="2861">
                  <c:v>45069</c:v>
                </c:pt>
                <c:pt idx="2862">
                  <c:v>45070</c:v>
                </c:pt>
                <c:pt idx="2863">
                  <c:v>45071</c:v>
                </c:pt>
                <c:pt idx="2864">
                  <c:v>45072</c:v>
                </c:pt>
                <c:pt idx="2865">
                  <c:v>45073</c:v>
                </c:pt>
                <c:pt idx="2866">
                  <c:v>45074</c:v>
                </c:pt>
                <c:pt idx="2867">
                  <c:v>45075</c:v>
                </c:pt>
                <c:pt idx="2868">
                  <c:v>45076</c:v>
                </c:pt>
                <c:pt idx="2869">
                  <c:v>45077</c:v>
                </c:pt>
                <c:pt idx="2870">
                  <c:v>45078</c:v>
                </c:pt>
                <c:pt idx="2871">
                  <c:v>45079</c:v>
                </c:pt>
                <c:pt idx="2872">
                  <c:v>45080</c:v>
                </c:pt>
                <c:pt idx="2873">
                  <c:v>45081</c:v>
                </c:pt>
                <c:pt idx="2874">
                  <c:v>45082</c:v>
                </c:pt>
                <c:pt idx="2875">
                  <c:v>45083</c:v>
                </c:pt>
                <c:pt idx="2876">
                  <c:v>45084</c:v>
                </c:pt>
                <c:pt idx="2877">
                  <c:v>45085</c:v>
                </c:pt>
                <c:pt idx="2878">
                  <c:v>45086</c:v>
                </c:pt>
                <c:pt idx="2879">
                  <c:v>45087</c:v>
                </c:pt>
                <c:pt idx="2880">
                  <c:v>45088</c:v>
                </c:pt>
                <c:pt idx="2881">
                  <c:v>45089</c:v>
                </c:pt>
                <c:pt idx="2882">
                  <c:v>45090</c:v>
                </c:pt>
                <c:pt idx="2883">
                  <c:v>45091</c:v>
                </c:pt>
                <c:pt idx="2884">
                  <c:v>45092</c:v>
                </c:pt>
                <c:pt idx="2885">
                  <c:v>45093</c:v>
                </c:pt>
                <c:pt idx="2886">
                  <c:v>45094</c:v>
                </c:pt>
                <c:pt idx="2887">
                  <c:v>45095</c:v>
                </c:pt>
                <c:pt idx="2888">
                  <c:v>45096</c:v>
                </c:pt>
                <c:pt idx="2889">
                  <c:v>45097</c:v>
                </c:pt>
                <c:pt idx="2890">
                  <c:v>45098</c:v>
                </c:pt>
                <c:pt idx="2891">
                  <c:v>45099</c:v>
                </c:pt>
                <c:pt idx="2892">
                  <c:v>45100</c:v>
                </c:pt>
                <c:pt idx="2893">
                  <c:v>45101</c:v>
                </c:pt>
                <c:pt idx="2894">
                  <c:v>45102</c:v>
                </c:pt>
                <c:pt idx="2895">
                  <c:v>45103</c:v>
                </c:pt>
                <c:pt idx="2896">
                  <c:v>45104</c:v>
                </c:pt>
                <c:pt idx="2897">
                  <c:v>45105</c:v>
                </c:pt>
                <c:pt idx="2898">
                  <c:v>45106</c:v>
                </c:pt>
                <c:pt idx="2899">
                  <c:v>45107</c:v>
                </c:pt>
                <c:pt idx="2900">
                  <c:v>45108</c:v>
                </c:pt>
                <c:pt idx="2901">
                  <c:v>45109</c:v>
                </c:pt>
                <c:pt idx="2902">
                  <c:v>45110</c:v>
                </c:pt>
                <c:pt idx="2903">
                  <c:v>45111</c:v>
                </c:pt>
                <c:pt idx="2904">
                  <c:v>45112</c:v>
                </c:pt>
                <c:pt idx="2905">
                  <c:v>45113</c:v>
                </c:pt>
                <c:pt idx="2906">
                  <c:v>45114</c:v>
                </c:pt>
                <c:pt idx="2907">
                  <c:v>45115</c:v>
                </c:pt>
                <c:pt idx="2908">
                  <c:v>45116</c:v>
                </c:pt>
                <c:pt idx="2909">
                  <c:v>45117</c:v>
                </c:pt>
                <c:pt idx="2910">
                  <c:v>45118</c:v>
                </c:pt>
                <c:pt idx="2911">
                  <c:v>45119</c:v>
                </c:pt>
                <c:pt idx="2912">
                  <c:v>45120</c:v>
                </c:pt>
                <c:pt idx="2913">
                  <c:v>45121</c:v>
                </c:pt>
                <c:pt idx="2914">
                  <c:v>45122</c:v>
                </c:pt>
                <c:pt idx="2915">
                  <c:v>45123</c:v>
                </c:pt>
                <c:pt idx="2916">
                  <c:v>45124</c:v>
                </c:pt>
                <c:pt idx="2917">
                  <c:v>45125</c:v>
                </c:pt>
                <c:pt idx="2918">
                  <c:v>45126</c:v>
                </c:pt>
                <c:pt idx="2919">
                  <c:v>45127</c:v>
                </c:pt>
                <c:pt idx="2920">
                  <c:v>45128</c:v>
                </c:pt>
                <c:pt idx="2921">
                  <c:v>45129</c:v>
                </c:pt>
                <c:pt idx="2922">
                  <c:v>45130</c:v>
                </c:pt>
                <c:pt idx="2923">
                  <c:v>45131</c:v>
                </c:pt>
                <c:pt idx="2924">
                  <c:v>45132</c:v>
                </c:pt>
                <c:pt idx="2925">
                  <c:v>45133</c:v>
                </c:pt>
                <c:pt idx="2926">
                  <c:v>45134</c:v>
                </c:pt>
                <c:pt idx="2927">
                  <c:v>45135</c:v>
                </c:pt>
                <c:pt idx="2928">
                  <c:v>45136</c:v>
                </c:pt>
                <c:pt idx="2929">
                  <c:v>45137</c:v>
                </c:pt>
                <c:pt idx="2930">
                  <c:v>45138</c:v>
                </c:pt>
                <c:pt idx="2931">
                  <c:v>45139</c:v>
                </c:pt>
                <c:pt idx="2932">
                  <c:v>45140</c:v>
                </c:pt>
                <c:pt idx="2933">
                  <c:v>45141</c:v>
                </c:pt>
                <c:pt idx="2934">
                  <c:v>45142</c:v>
                </c:pt>
                <c:pt idx="2935">
                  <c:v>45143</c:v>
                </c:pt>
                <c:pt idx="2936">
                  <c:v>45144</c:v>
                </c:pt>
                <c:pt idx="2937">
                  <c:v>45145</c:v>
                </c:pt>
                <c:pt idx="2938">
                  <c:v>45146</c:v>
                </c:pt>
                <c:pt idx="2939">
                  <c:v>45147</c:v>
                </c:pt>
                <c:pt idx="2940">
                  <c:v>45148</c:v>
                </c:pt>
                <c:pt idx="2941">
                  <c:v>45149</c:v>
                </c:pt>
                <c:pt idx="2942">
                  <c:v>45150</c:v>
                </c:pt>
                <c:pt idx="2943">
                  <c:v>45151</c:v>
                </c:pt>
                <c:pt idx="2944">
                  <c:v>45152</c:v>
                </c:pt>
                <c:pt idx="2945">
                  <c:v>45153</c:v>
                </c:pt>
                <c:pt idx="2946">
                  <c:v>45154</c:v>
                </c:pt>
                <c:pt idx="2947">
                  <c:v>45155</c:v>
                </c:pt>
                <c:pt idx="2948">
                  <c:v>45156</c:v>
                </c:pt>
                <c:pt idx="2949">
                  <c:v>45157</c:v>
                </c:pt>
                <c:pt idx="2950">
                  <c:v>45158</c:v>
                </c:pt>
                <c:pt idx="2951">
                  <c:v>45159</c:v>
                </c:pt>
                <c:pt idx="2952">
                  <c:v>45160</c:v>
                </c:pt>
                <c:pt idx="2953">
                  <c:v>45161</c:v>
                </c:pt>
                <c:pt idx="2954">
                  <c:v>45162</c:v>
                </c:pt>
                <c:pt idx="2955">
                  <c:v>45163</c:v>
                </c:pt>
                <c:pt idx="2956">
                  <c:v>45164</c:v>
                </c:pt>
                <c:pt idx="2957">
                  <c:v>45165</c:v>
                </c:pt>
                <c:pt idx="2958">
                  <c:v>45166</c:v>
                </c:pt>
                <c:pt idx="2959">
                  <c:v>45167</c:v>
                </c:pt>
                <c:pt idx="2960">
                  <c:v>45168</c:v>
                </c:pt>
                <c:pt idx="2961">
                  <c:v>45169</c:v>
                </c:pt>
                <c:pt idx="2962">
                  <c:v>45170</c:v>
                </c:pt>
                <c:pt idx="2963">
                  <c:v>45171</c:v>
                </c:pt>
                <c:pt idx="2964">
                  <c:v>45172</c:v>
                </c:pt>
                <c:pt idx="2965">
                  <c:v>45173</c:v>
                </c:pt>
                <c:pt idx="2966">
                  <c:v>45174</c:v>
                </c:pt>
                <c:pt idx="2967">
                  <c:v>45175</c:v>
                </c:pt>
                <c:pt idx="2968">
                  <c:v>45176</c:v>
                </c:pt>
                <c:pt idx="2969">
                  <c:v>45177</c:v>
                </c:pt>
                <c:pt idx="2970">
                  <c:v>45178</c:v>
                </c:pt>
                <c:pt idx="2971">
                  <c:v>45179</c:v>
                </c:pt>
                <c:pt idx="2972">
                  <c:v>45180</c:v>
                </c:pt>
                <c:pt idx="2973">
                  <c:v>45181</c:v>
                </c:pt>
                <c:pt idx="2974">
                  <c:v>45182</c:v>
                </c:pt>
                <c:pt idx="2975">
                  <c:v>45183</c:v>
                </c:pt>
                <c:pt idx="2976">
                  <c:v>45184</c:v>
                </c:pt>
                <c:pt idx="2977">
                  <c:v>45185</c:v>
                </c:pt>
                <c:pt idx="2978">
                  <c:v>45186</c:v>
                </c:pt>
                <c:pt idx="2979">
                  <c:v>45187</c:v>
                </c:pt>
                <c:pt idx="2980">
                  <c:v>45188</c:v>
                </c:pt>
                <c:pt idx="2981">
                  <c:v>45189</c:v>
                </c:pt>
                <c:pt idx="2982">
                  <c:v>45190</c:v>
                </c:pt>
                <c:pt idx="2983">
                  <c:v>45191</c:v>
                </c:pt>
                <c:pt idx="2984">
                  <c:v>45192</c:v>
                </c:pt>
                <c:pt idx="2985">
                  <c:v>45193</c:v>
                </c:pt>
                <c:pt idx="2986">
                  <c:v>45194</c:v>
                </c:pt>
                <c:pt idx="2987">
                  <c:v>45195</c:v>
                </c:pt>
                <c:pt idx="2988">
                  <c:v>45196</c:v>
                </c:pt>
                <c:pt idx="2989">
                  <c:v>45197</c:v>
                </c:pt>
                <c:pt idx="2990">
                  <c:v>45198</c:v>
                </c:pt>
                <c:pt idx="2991">
                  <c:v>45199</c:v>
                </c:pt>
                <c:pt idx="2992">
                  <c:v>45200</c:v>
                </c:pt>
                <c:pt idx="2993">
                  <c:v>45201</c:v>
                </c:pt>
                <c:pt idx="2994">
                  <c:v>45202</c:v>
                </c:pt>
                <c:pt idx="2995">
                  <c:v>45203</c:v>
                </c:pt>
                <c:pt idx="2996">
                  <c:v>45204</c:v>
                </c:pt>
                <c:pt idx="2997">
                  <c:v>45205</c:v>
                </c:pt>
                <c:pt idx="2998">
                  <c:v>45206</c:v>
                </c:pt>
                <c:pt idx="2999">
                  <c:v>45207</c:v>
                </c:pt>
                <c:pt idx="3000">
                  <c:v>45208</c:v>
                </c:pt>
                <c:pt idx="3001">
                  <c:v>45209</c:v>
                </c:pt>
                <c:pt idx="3002">
                  <c:v>45210</c:v>
                </c:pt>
                <c:pt idx="3003">
                  <c:v>45211</c:v>
                </c:pt>
                <c:pt idx="3004">
                  <c:v>45212</c:v>
                </c:pt>
                <c:pt idx="3005">
                  <c:v>45213</c:v>
                </c:pt>
                <c:pt idx="3006">
                  <c:v>45214</c:v>
                </c:pt>
                <c:pt idx="3007">
                  <c:v>45215</c:v>
                </c:pt>
                <c:pt idx="3008">
                  <c:v>45216</c:v>
                </c:pt>
                <c:pt idx="3009">
                  <c:v>45217</c:v>
                </c:pt>
                <c:pt idx="3010">
                  <c:v>45218</c:v>
                </c:pt>
                <c:pt idx="3011">
                  <c:v>45219</c:v>
                </c:pt>
                <c:pt idx="3012">
                  <c:v>45220</c:v>
                </c:pt>
                <c:pt idx="3013">
                  <c:v>45221</c:v>
                </c:pt>
                <c:pt idx="3014">
                  <c:v>45222</c:v>
                </c:pt>
                <c:pt idx="3015">
                  <c:v>45223</c:v>
                </c:pt>
                <c:pt idx="3016">
                  <c:v>45224</c:v>
                </c:pt>
                <c:pt idx="3017">
                  <c:v>45225</c:v>
                </c:pt>
                <c:pt idx="3018">
                  <c:v>45226</c:v>
                </c:pt>
                <c:pt idx="3019">
                  <c:v>45227</c:v>
                </c:pt>
                <c:pt idx="3020">
                  <c:v>45228</c:v>
                </c:pt>
                <c:pt idx="3021">
                  <c:v>45229</c:v>
                </c:pt>
                <c:pt idx="3022">
                  <c:v>45230</c:v>
                </c:pt>
                <c:pt idx="3023">
                  <c:v>45231</c:v>
                </c:pt>
                <c:pt idx="3024">
                  <c:v>45232</c:v>
                </c:pt>
                <c:pt idx="3025">
                  <c:v>45233</c:v>
                </c:pt>
                <c:pt idx="3026">
                  <c:v>45234</c:v>
                </c:pt>
                <c:pt idx="3027">
                  <c:v>45235</c:v>
                </c:pt>
                <c:pt idx="3028">
                  <c:v>45236</c:v>
                </c:pt>
                <c:pt idx="3029">
                  <c:v>45237</c:v>
                </c:pt>
                <c:pt idx="3030">
                  <c:v>45238</c:v>
                </c:pt>
                <c:pt idx="3031">
                  <c:v>45239</c:v>
                </c:pt>
                <c:pt idx="3032">
                  <c:v>45240</c:v>
                </c:pt>
                <c:pt idx="3033">
                  <c:v>45241</c:v>
                </c:pt>
                <c:pt idx="3034">
                  <c:v>45242</c:v>
                </c:pt>
                <c:pt idx="3035">
                  <c:v>45243</c:v>
                </c:pt>
                <c:pt idx="3036">
                  <c:v>45244</c:v>
                </c:pt>
                <c:pt idx="3037">
                  <c:v>45245</c:v>
                </c:pt>
                <c:pt idx="3038">
                  <c:v>45246</c:v>
                </c:pt>
                <c:pt idx="3039">
                  <c:v>45247</c:v>
                </c:pt>
                <c:pt idx="3040">
                  <c:v>45248</c:v>
                </c:pt>
                <c:pt idx="3041">
                  <c:v>45249</c:v>
                </c:pt>
                <c:pt idx="3042">
                  <c:v>45250</c:v>
                </c:pt>
                <c:pt idx="3043">
                  <c:v>45251</c:v>
                </c:pt>
                <c:pt idx="3044">
                  <c:v>45252</c:v>
                </c:pt>
                <c:pt idx="3045">
                  <c:v>45253</c:v>
                </c:pt>
                <c:pt idx="3046">
                  <c:v>45254</c:v>
                </c:pt>
                <c:pt idx="3047">
                  <c:v>45255</c:v>
                </c:pt>
                <c:pt idx="3048">
                  <c:v>45256</c:v>
                </c:pt>
                <c:pt idx="3049">
                  <c:v>45257</c:v>
                </c:pt>
                <c:pt idx="3050">
                  <c:v>45258</c:v>
                </c:pt>
                <c:pt idx="3051">
                  <c:v>45259</c:v>
                </c:pt>
                <c:pt idx="3052">
                  <c:v>45260</c:v>
                </c:pt>
                <c:pt idx="3053">
                  <c:v>45261</c:v>
                </c:pt>
                <c:pt idx="3054">
                  <c:v>45262</c:v>
                </c:pt>
                <c:pt idx="3055">
                  <c:v>45263</c:v>
                </c:pt>
                <c:pt idx="3056">
                  <c:v>45264</c:v>
                </c:pt>
                <c:pt idx="3057">
                  <c:v>45265</c:v>
                </c:pt>
                <c:pt idx="3058">
                  <c:v>45266</c:v>
                </c:pt>
                <c:pt idx="3059">
                  <c:v>45267</c:v>
                </c:pt>
                <c:pt idx="3060">
                  <c:v>45268</c:v>
                </c:pt>
                <c:pt idx="3061">
                  <c:v>45269</c:v>
                </c:pt>
                <c:pt idx="3062">
                  <c:v>45270</c:v>
                </c:pt>
                <c:pt idx="3063">
                  <c:v>45271</c:v>
                </c:pt>
                <c:pt idx="3064">
                  <c:v>45272</c:v>
                </c:pt>
                <c:pt idx="3065">
                  <c:v>45273</c:v>
                </c:pt>
                <c:pt idx="3066">
                  <c:v>45274</c:v>
                </c:pt>
                <c:pt idx="3067">
                  <c:v>45275</c:v>
                </c:pt>
                <c:pt idx="3068">
                  <c:v>45276</c:v>
                </c:pt>
                <c:pt idx="3069">
                  <c:v>45277</c:v>
                </c:pt>
                <c:pt idx="3070">
                  <c:v>45278</c:v>
                </c:pt>
                <c:pt idx="3071">
                  <c:v>45279</c:v>
                </c:pt>
                <c:pt idx="3072">
                  <c:v>45280</c:v>
                </c:pt>
                <c:pt idx="3073">
                  <c:v>45281</c:v>
                </c:pt>
                <c:pt idx="3074">
                  <c:v>45282</c:v>
                </c:pt>
                <c:pt idx="3075">
                  <c:v>45283</c:v>
                </c:pt>
                <c:pt idx="3076">
                  <c:v>45284</c:v>
                </c:pt>
                <c:pt idx="3077">
                  <c:v>45285</c:v>
                </c:pt>
                <c:pt idx="3078">
                  <c:v>45286</c:v>
                </c:pt>
                <c:pt idx="3079">
                  <c:v>45287</c:v>
                </c:pt>
                <c:pt idx="3080">
                  <c:v>45288</c:v>
                </c:pt>
                <c:pt idx="3081">
                  <c:v>45289</c:v>
                </c:pt>
                <c:pt idx="3082">
                  <c:v>45290</c:v>
                </c:pt>
                <c:pt idx="3083">
                  <c:v>45291</c:v>
                </c:pt>
                <c:pt idx="3084">
                  <c:v>45292</c:v>
                </c:pt>
                <c:pt idx="3085">
                  <c:v>45293</c:v>
                </c:pt>
                <c:pt idx="3086">
                  <c:v>45294</c:v>
                </c:pt>
                <c:pt idx="3087">
                  <c:v>45295</c:v>
                </c:pt>
                <c:pt idx="3088">
                  <c:v>45296</c:v>
                </c:pt>
                <c:pt idx="3089">
                  <c:v>45297</c:v>
                </c:pt>
                <c:pt idx="3090">
                  <c:v>45298</c:v>
                </c:pt>
                <c:pt idx="3091">
                  <c:v>45299</c:v>
                </c:pt>
                <c:pt idx="3092">
                  <c:v>45300</c:v>
                </c:pt>
                <c:pt idx="3093">
                  <c:v>45301</c:v>
                </c:pt>
                <c:pt idx="3094">
                  <c:v>45302</c:v>
                </c:pt>
                <c:pt idx="3095">
                  <c:v>45303</c:v>
                </c:pt>
                <c:pt idx="3096">
                  <c:v>45304</c:v>
                </c:pt>
                <c:pt idx="3097">
                  <c:v>45305</c:v>
                </c:pt>
                <c:pt idx="3098">
                  <c:v>45306</c:v>
                </c:pt>
                <c:pt idx="3099">
                  <c:v>45307</c:v>
                </c:pt>
                <c:pt idx="3100">
                  <c:v>45308</c:v>
                </c:pt>
                <c:pt idx="3101">
                  <c:v>45309</c:v>
                </c:pt>
                <c:pt idx="3102">
                  <c:v>45310</c:v>
                </c:pt>
                <c:pt idx="3103">
                  <c:v>45311</c:v>
                </c:pt>
                <c:pt idx="3104">
                  <c:v>45312</c:v>
                </c:pt>
                <c:pt idx="3105">
                  <c:v>45313</c:v>
                </c:pt>
                <c:pt idx="3106">
                  <c:v>45314</c:v>
                </c:pt>
                <c:pt idx="3107">
                  <c:v>45315</c:v>
                </c:pt>
                <c:pt idx="3108">
                  <c:v>45316</c:v>
                </c:pt>
                <c:pt idx="3109">
                  <c:v>45317</c:v>
                </c:pt>
                <c:pt idx="3110">
                  <c:v>45318</c:v>
                </c:pt>
                <c:pt idx="3111">
                  <c:v>45319</c:v>
                </c:pt>
                <c:pt idx="3112">
                  <c:v>45320</c:v>
                </c:pt>
                <c:pt idx="3113">
                  <c:v>45321</c:v>
                </c:pt>
                <c:pt idx="3114">
                  <c:v>45322</c:v>
                </c:pt>
                <c:pt idx="3115">
                  <c:v>45323</c:v>
                </c:pt>
                <c:pt idx="3116">
                  <c:v>45324</c:v>
                </c:pt>
                <c:pt idx="3117">
                  <c:v>45325</c:v>
                </c:pt>
                <c:pt idx="3118">
                  <c:v>45326</c:v>
                </c:pt>
                <c:pt idx="3119">
                  <c:v>45327</c:v>
                </c:pt>
                <c:pt idx="3120">
                  <c:v>45328</c:v>
                </c:pt>
                <c:pt idx="3121">
                  <c:v>45329</c:v>
                </c:pt>
                <c:pt idx="3122">
                  <c:v>45330</c:v>
                </c:pt>
                <c:pt idx="3123">
                  <c:v>45331</c:v>
                </c:pt>
                <c:pt idx="3124">
                  <c:v>45332</c:v>
                </c:pt>
                <c:pt idx="3125">
                  <c:v>45333</c:v>
                </c:pt>
                <c:pt idx="3126">
                  <c:v>45334</c:v>
                </c:pt>
                <c:pt idx="3127">
                  <c:v>45335</c:v>
                </c:pt>
                <c:pt idx="3128">
                  <c:v>45336</c:v>
                </c:pt>
                <c:pt idx="3129">
                  <c:v>45337</c:v>
                </c:pt>
                <c:pt idx="3130">
                  <c:v>45338</c:v>
                </c:pt>
                <c:pt idx="3131">
                  <c:v>45339</c:v>
                </c:pt>
                <c:pt idx="3132">
                  <c:v>45340</c:v>
                </c:pt>
                <c:pt idx="3133">
                  <c:v>45341</c:v>
                </c:pt>
                <c:pt idx="3134">
                  <c:v>45342</c:v>
                </c:pt>
                <c:pt idx="3135">
                  <c:v>45343</c:v>
                </c:pt>
                <c:pt idx="3136">
                  <c:v>45344</c:v>
                </c:pt>
                <c:pt idx="3137">
                  <c:v>45345</c:v>
                </c:pt>
                <c:pt idx="3138">
                  <c:v>45346</c:v>
                </c:pt>
                <c:pt idx="3139">
                  <c:v>45347</c:v>
                </c:pt>
                <c:pt idx="3140">
                  <c:v>45348</c:v>
                </c:pt>
                <c:pt idx="3141">
                  <c:v>45349</c:v>
                </c:pt>
                <c:pt idx="3142">
                  <c:v>45350</c:v>
                </c:pt>
                <c:pt idx="3143">
                  <c:v>45351</c:v>
                </c:pt>
                <c:pt idx="3144">
                  <c:v>45352</c:v>
                </c:pt>
                <c:pt idx="3145">
                  <c:v>45353</c:v>
                </c:pt>
                <c:pt idx="3146">
                  <c:v>45354</c:v>
                </c:pt>
                <c:pt idx="3147">
                  <c:v>45355</c:v>
                </c:pt>
                <c:pt idx="3148">
                  <c:v>45356</c:v>
                </c:pt>
                <c:pt idx="3149">
                  <c:v>45357</c:v>
                </c:pt>
                <c:pt idx="3150">
                  <c:v>45358</c:v>
                </c:pt>
                <c:pt idx="3151">
                  <c:v>45359</c:v>
                </c:pt>
                <c:pt idx="3152">
                  <c:v>45360</c:v>
                </c:pt>
                <c:pt idx="3153">
                  <c:v>45361</c:v>
                </c:pt>
                <c:pt idx="3154">
                  <c:v>45362</c:v>
                </c:pt>
                <c:pt idx="3155">
                  <c:v>45363</c:v>
                </c:pt>
                <c:pt idx="3156">
                  <c:v>45364</c:v>
                </c:pt>
                <c:pt idx="3157">
                  <c:v>45365</c:v>
                </c:pt>
                <c:pt idx="3158">
                  <c:v>45366</c:v>
                </c:pt>
                <c:pt idx="3159">
                  <c:v>45367</c:v>
                </c:pt>
                <c:pt idx="3160">
                  <c:v>45368</c:v>
                </c:pt>
                <c:pt idx="3161">
                  <c:v>45369</c:v>
                </c:pt>
                <c:pt idx="3162">
                  <c:v>45370</c:v>
                </c:pt>
                <c:pt idx="3163">
                  <c:v>45371</c:v>
                </c:pt>
                <c:pt idx="3164">
                  <c:v>45372</c:v>
                </c:pt>
                <c:pt idx="3165">
                  <c:v>45373</c:v>
                </c:pt>
                <c:pt idx="3166">
                  <c:v>45374</c:v>
                </c:pt>
                <c:pt idx="3167">
                  <c:v>45375</c:v>
                </c:pt>
                <c:pt idx="3168">
                  <c:v>45376</c:v>
                </c:pt>
                <c:pt idx="3169">
                  <c:v>45377</c:v>
                </c:pt>
                <c:pt idx="3170">
                  <c:v>45378</c:v>
                </c:pt>
                <c:pt idx="3171">
                  <c:v>45379</c:v>
                </c:pt>
                <c:pt idx="3172">
                  <c:v>45380</c:v>
                </c:pt>
                <c:pt idx="3173">
                  <c:v>45381</c:v>
                </c:pt>
                <c:pt idx="3174">
                  <c:v>45382</c:v>
                </c:pt>
                <c:pt idx="3175">
                  <c:v>45383</c:v>
                </c:pt>
                <c:pt idx="3176">
                  <c:v>45384</c:v>
                </c:pt>
                <c:pt idx="3177">
                  <c:v>45385</c:v>
                </c:pt>
                <c:pt idx="3178">
                  <c:v>45386</c:v>
                </c:pt>
                <c:pt idx="3179">
                  <c:v>45387</c:v>
                </c:pt>
                <c:pt idx="3180">
                  <c:v>45388</c:v>
                </c:pt>
                <c:pt idx="3181">
                  <c:v>45389</c:v>
                </c:pt>
                <c:pt idx="3182">
                  <c:v>45390</c:v>
                </c:pt>
                <c:pt idx="3183">
                  <c:v>45391</c:v>
                </c:pt>
                <c:pt idx="3184">
                  <c:v>45392</c:v>
                </c:pt>
                <c:pt idx="3185">
                  <c:v>45393</c:v>
                </c:pt>
                <c:pt idx="3186">
                  <c:v>45394</c:v>
                </c:pt>
                <c:pt idx="3187">
                  <c:v>45395</c:v>
                </c:pt>
                <c:pt idx="3188">
                  <c:v>45396</c:v>
                </c:pt>
                <c:pt idx="3189">
                  <c:v>45397</c:v>
                </c:pt>
                <c:pt idx="3190">
                  <c:v>45398</c:v>
                </c:pt>
                <c:pt idx="3191">
                  <c:v>45399</c:v>
                </c:pt>
                <c:pt idx="3192">
                  <c:v>45400</c:v>
                </c:pt>
                <c:pt idx="3193">
                  <c:v>45401</c:v>
                </c:pt>
                <c:pt idx="3194">
                  <c:v>45402</c:v>
                </c:pt>
                <c:pt idx="3195">
                  <c:v>45403</c:v>
                </c:pt>
                <c:pt idx="3196">
                  <c:v>45404</c:v>
                </c:pt>
                <c:pt idx="3197">
                  <c:v>45405</c:v>
                </c:pt>
                <c:pt idx="3198">
                  <c:v>45406</c:v>
                </c:pt>
                <c:pt idx="3199">
                  <c:v>45407</c:v>
                </c:pt>
                <c:pt idx="3200">
                  <c:v>45408</c:v>
                </c:pt>
                <c:pt idx="3201">
                  <c:v>45409</c:v>
                </c:pt>
                <c:pt idx="3202">
                  <c:v>45410</c:v>
                </c:pt>
                <c:pt idx="3203">
                  <c:v>45411</c:v>
                </c:pt>
                <c:pt idx="3204">
                  <c:v>45412</c:v>
                </c:pt>
                <c:pt idx="3205">
                  <c:v>45413</c:v>
                </c:pt>
                <c:pt idx="3206">
                  <c:v>45414</c:v>
                </c:pt>
                <c:pt idx="3207">
                  <c:v>45415</c:v>
                </c:pt>
                <c:pt idx="3208">
                  <c:v>45416</c:v>
                </c:pt>
                <c:pt idx="3209">
                  <c:v>45417</c:v>
                </c:pt>
                <c:pt idx="3210">
                  <c:v>45418</c:v>
                </c:pt>
                <c:pt idx="3211">
                  <c:v>45419</c:v>
                </c:pt>
                <c:pt idx="3212">
                  <c:v>45420</c:v>
                </c:pt>
                <c:pt idx="3213">
                  <c:v>45421</c:v>
                </c:pt>
                <c:pt idx="3214">
                  <c:v>45422</c:v>
                </c:pt>
                <c:pt idx="3215">
                  <c:v>45423</c:v>
                </c:pt>
                <c:pt idx="3216">
                  <c:v>45424</c:v>
                </c:pt>
                <c:pt idx="3217">
                  <c:v>45425</c:v>
                </c:pt>
                <c:pt idx="3218">
                  <c:v>45426</c:v>
                </c:pt>
                <c:pt idx="3219">
                  <c:v>45427</c:v>
                </c:pt>
                <c:pt idx="3220">
                  <c:v>45428</c:v>
                </c:pt>
                <c:pt idx="3221">
                  <c:v>45429</c:v>
                </c:pt>
                <c:pt idx="3222">
                  <c:v>45430</c:v>
                </c:pt>
                <c:pt idx="3223">
                  <c:v>45431</c:v>
                </c:pt>
                <c:pt idx="3224">
                  <c:v>45432</c:v>
                </c:pt>
                <c:pt idx="3225">
                  <c:v>45433</c:v>
                </c:pt>
                <c:pt idx="3226">
                  <c:v>45434</c:v>
                </c:pt>
                <c:pt idx="3227">
                  <c:v>45435</c:v>
                </c:pt>
                <c:pt idx="3228">
                  <c:v>45436</c:v>
                </c:pt>
                <c:pt idx="3229">
                  <c:v>45437</c:v>
                </c:pt>
                <c:pt idx="3230">
                  <c:v>45438</c:v>
                </c:pt>
                <c:pt idx="3231">
                  <c:v>45439</c:v>
                </c:pt>
                <c:pt idx="3232">
                  <c:v>45440</c:v>
                </c:pt>
                <c:pt idx="3233">
                  <c:v>45441</c:v>
                </c:pt>
                <c:pt idx="3234">
                  <c:v>45442</c:v>
                </c:pt>
                <c:pt idx="3235">
                  <c:v>45443</c:v>
                </c:pt>
                <c:pt idx="3236">
                  <c:v>45444</c:v>
                </c:pt>
                <c:pt idx="3237">
                  <c:v>45445</c:v>
                </c:pt>
                <c:pt idx="3238">
                  <c:v>45446</c:v>
                </c:pt>
                <c:pt idx="3239">
                  <c:v>45447</c:v>
                </c:pt>
                <c:pt idx="3240">
                  <c:v>45448</c:v>
                </c:pt>
                <c:pt idx="3241">
                  <c:v>45449</c:v>
                </c:pt>
                <c:pt idx="3242">
                  <c:v>45450</c:v>
                </c:pt>
                <c:pt idx="3243">
                  <c:v>45451</c:v>
                </c:pt>
                <c:pt idx="3244">
                  <c:v>45452</c:v>
                </c:pt>
                <c:pt idx="3245">
                  <c:v>45453</c:v>
                </c:pt>
                <c:pt idx="3246">
                  <c:v>45454</c:v>
                </c:pt>
                <c:pt idx="3247">
                  <c:v>45455</c:v>
                </c:pt>
                <c:pt idx="3248">
                  <c:v>45456</c:v>
                </c:pt>
                <c:pt idx="3249">
                  <c:v>45457</c:v>
                </c:pt>
                <c:pt idx="3250">
                  <c:v>45458</c:v>
                </c:pt>
                <c:pt idx="3251">
                  <c:v>45459</c:v>
                </c:pt>
                <c:pt idx="3252">
                  <c:v>45460</c:v>
                </c:pt>
                <c:pt idx="3253">
                  <c:v>45461</c:v>
                </c:pt>
                <c:pt idx="3254">
                  <c:v>45462</c:v>
                </c:pt>
                <c:pt idx="3255">
                  <c:v>45463</c:v>
                </c:pt>
                <c:pt idx="3256">
                  <c:v>45464</c:v>
                </c:pt>
                <c:pt idx="3257">
                  <c:v>45465</c:v>
                </c:pt>
                <c:pt idx="3258">
                  <c:v>45466</c:v>
                </c:pt>
                <c:pt idx="3259">
                  <c:v>45467</c:v>
                </c:pt>
                <c:pt idx="3260">
                  <c:v>45468</c:v>
                </c:pt>
                <c:pt idx="3261">
                  <c:v>45469</c:v>
                </c:pt>
                <c:pt idx="3262">
                  <c:v>45470</c:v>
                </c:pt>
                <c:pt idx="3263">
                  <c:v>45471</c:v>
                </c:pt>
                <c:pt idx="3264">
                  <c:v>45472</c:v>
                </c:pt>
                <c:pt idx="3265">
                  <c:v>45473</c:v>
                </c:pt>
                <c:pt idx="3266">
                  <c:v>45474</c:v>
                </c:pt>
                <c:pt idx="3267">
                  <c:v>45475</c:v>
                </c:pt>
                <c:pt idx="3268">
                  <c:v>45476</c:v>
                </c:pt>
                <c:pt idx="3269">
                  <c:v>45477</c:v>
                </c:pt>
                <c:pt idx="3270">
                  <c:v>45478</c:v>
                </c:pt>
                <c:pt idx="3271">
                  <c:v>45479</c:v>
                </c:pt>
                <c:pt idx="3272">
                  <c:v>45480</c:v>
                </c:pt>
                <c:pt idx="3273">
                  <c:v>45481</c:v>
                </c:pt>
                <c:pt idx="3274">
                  <c:v>45482</c:v>
                </c:pt>
                <c:pt idx="3275">
                  <c:v>45483</c:v>
                </c:pt>
                <c:pt idx="3276">
                  <c:v>45484</c:v>
                </c:pt>
                <c:pt idx="3277">
                  <c:v>45485</c:v>
                </c:pt>
                <c:pt idx="3278">
                  <c:v>45486</c:v>
                </c:pt>
                <c:pt idx="3279">
                  <c:v>45487</c:v>
                </c:pt>
                <c:pt idx="3280">
                  <c:v>45488</c:v>
                </c:pt>
                <c:pt idx="3281">
                  <c:v>45489</c:v>
                </c:pt>
                <c:pt idx="3282">
                  <c:v>45490</c:v>
                </c:pt>
                <c:pt idx="3283">
                  <c:v>45491</c:v>
                </c:pt>
                <c:pt idx="3284">
                  <c:v>45492</c:v>
                </c:pt>
                <c:pt idx="3285">
                  <c:v>45493</c:v>
                </c:pt>
                <c:pt idx="3286">
                  <c:v>45494</c:v>
                </c:pt>
                <c:pt idx="3287">
                  <c:v>45495</c:v>
                </c:pt>
                <c:pt idx="3288">
                  <c:v>45496</c:v>
                </c:pt>
                <c:pt idx="3289">
                  <c:v>45497</c:v>
                </c:pt>
                <c:pt idx="3290">
                  <c:v>45498</c:v>
                </c:pt>
                <c:pt idx="3291">
                  <c:v>45499</c:v>
                </c:pt>
                <c:pt idx="3292">
                  <c:v>45500</c:v>
                </c:pt>
                <c:pt idx="3293">
                  <c:v>45501</c:v>
                </c:pt>
                <c:pt idx="3294">
                  <c:v>45502</c:v>
                </c:pt>
                <c:pt idx="3295">
                  <c:v>45503</c:v>
                </c:pt>
                <c:pt idx="3296">
                  <c:v>45504</c:v>
                </c:pt>
                <c:pt idx="3297">
                  <c:v>45505</c:v>
                </c:pt>
                <c:pt idx="3298">
                  <c:v>45506</c:v>
                </c:pt>
                <c:pt idx="3299">
                  <c:v>45507</c:v>
                </c:pt>
                <c:pt idx="3300">
                  <c:v>45508</c:v>
                </c:pt>
                <c:pt idx="3301">
                  <c:v>45509</c:v>
                </c:pt>
                <c:pt idx="3302">
                  <c:v>45510</c:v>
                </c:pt>
                <c:pt idx="3303">
                  <c:v>45511</c:v>
                </c:pt>
                <c:pt idx="3304">
                  <c:v>45512</c:v>
                </c:pt>
                <c:pt idx="3305">
                  <c:v>45513</c:v>
                </c:pt>
                <c:pt idx="3306">
                  <c:v>45514</c:v>
                </c:pt>
                <c:pt idx="3307">
                  <c:v>45515</c:v>
                </c:pt>
                <c:pt idx="3308">
                  <c:v>45516</c:v>
                </c:pt>
                <c:pt idx="3309">
                  <c:v>45517</c:v>
                </c:pt>
                <c:pt idx="3310">
                  <c:v>45518</c:v>
                </c:pt>
                <c:pt idx="3311">
                  <c:v>45519</c:v>
                </c:pt>
                <c:pt idx="3312">
                  <c:v>45520</c:v>
                </c:pt>
                <c:pt idx="3313">
                  <c:v>45521</c:v>
                </c:pt>
                <c:pt idx="3314">
                  <c:v>45522</c:v>
                </c:pt>
                <c:pt idx="3315">
                  <c:v>45523</c:v>
                </c:pt>
                <c:pt idx="3316">
                  <c:v>45524</c:v>
                </c:pt>
                <c:pt idx="3317">
                  <c:v>45525</c:v>
                </c:pt>
                <c:pt idx="3318">
                  <c:v>45526</c:v>
                </c:pt>
                <c:pt idx="3319">
                  <c:v>45527</c:v>
                </c:pt>
                <c:pt idx="3320">
                  <c:v>45528</c:v>
                </c:pt>
                <c:pt idx="3321">
                  <c:v>45529</c:v>
                </c:pt>
                <c:pt idx="3322">
                  <c:v>45530</c:v>
                </c:pt>
                <c:pt idx="3323">
                  <c:v>45531</c:v>
                </c:pt>
                <c:pt idx="3324">
                  <c:v>45532</c:v>
                </c:pt>
                <c:pt idx="3325">
                  <c:v>45533</c:v>
                </c:pt>
                <c:pt idx="3326">
                  <c:v>45534</c:v>
                </c:pt>
                <c:pt idx="3327">
                  <c:v>45535</c:v>
                </c:pt>
                <c:pt idx="3328">
                  <c:v>45536</c:v>
                </c:pt>
                <c:pt idx="3329">
                  <c:v>45537</c:v>
                </c:pt>
                <c:pt idx="3330">
                  <c:v>45538</c:v>
                </c:pt>
                <c:pt idx="3331">
                  <c:v>45539</c:v>
                </c:pt>
                <c:pt idx="3332">
                  <c:v>45540</c:v>
                </c:pt>
                <c:pt idx="3333">
                  <c:v>45541</c:v>
                </c:pt>
                <c:pt idx="3334">
                  <c:v>45542</c:v>
                </c:pt>
                <c:pt idx="3335">
                  <c:v>45543</c:v>
                </c:pt>
                <c:pt idx="3336">
                  <c:v>45544</c:v>
                </c:pt>
                <c:pt idx="3337">
                  <c:v>45545</c:v>
                </c:pt>
                <c:pt idx="3338">
                  <c:v>45546</c:v>
                </c:pt>
                <c:pt idx="3339">
                  <c:v>45547</c:v>
                </c:pt>
                <c:pt idx="3340">
                  <c:v>45548</c:v>
                </c:pt>
                <c:pt idx="3341">
                  <c:v>45549</c:v>
                </c:pt>
                <c:pt idx="3342">
                  <c:v>45550</c:v>
                </c:pt>
                <c:pt idx="3343">
                  <c:v>45551</c:v>
                </c:pt>
                <c:pt idx="3344">
                  <c:v>45552</c:v>
                </c:pt>
                <c:pt idx="3345">
                  <c:v>45553</c:v>
                </c:pt>
                <c:pt idx="3346">
                  <c:v>45554</c:v>
                </c:pt>
                <c:pt idx="3347">
                  <c:v>45555</c:v>
                </c:pt>
                <c:pt idx="3348">
                  <c:v>45556</c:v>
                </c:pt>
                <c:pt idx="3349">
                  <c:v>45557</c:v>
                </c:pt>
                <c:pt idx="3350">
                  <c:v>45558</c:v>
                </c:pt>
                <c:pt idx="3351">
                  <c:v>45559</c:v>
                </c:pt>
                <c:pt idx="3352">
                  <c:v>45560</c:v>
                </c:pt>
                <c:pt idx="3353">
                  <c:v>45561</c:v>
                </c:pt>
                <c:pt idx="3354">
                  <c:v>45562</c:v>
                </c:pt>
                <c:pt idx="3355">
                  <c:v>45563</c:v>
                </c:pt>
                <c:pt idx="3356">
                  <c:v>45564</c:v>
                </c:pt>
                <c:pt idx="3357">
                  <c:v>45565</c:v>
                </c:pt>
                <c:pt idx="3358">
                  <c:v>45566</c:v>
                </c:pt>
                <c:pt idx="3359">
                  <c:v>45567</c:v>
                </c:pt>
                <c:pt idx="3360">
                  <c:v>45568</c:v>
                </c:pt>
                <c:pt idx="3361">
                  <c:v>45569</c:v>
                </c:pt>
                <c:pt idx="3362">
                  <c:v>45570</c:v>
                </c:pt>
                <c:pt idx="3363">
                  <c:v>45571</c:v>
                </c:pt>
                <c:pt idx="3364">
                  <c:v>45572</c:v>
                </c:pt>
                <c:pt idx="3365">
                  <c:v>45573</c:v>
                </c:pt>
                <c:pt idx="3366">
                  <c:v>45574</c:v>
                </c:pt>
                <c:pt idx="3367">
                  <c:v>45575</c:v>
                </c:pt>
                <c:pt idx="3368">
                  <c:v>45576</c:v>
                </c:pt>
                <c:pt idx="3369">
                  <c:v>45577</c:v>
                </c:pt>
                <c:pt idx="3370">
                  <c:v>45578</c:v>
                </c:pt>
                <c:pt idx="3371">
                  <c:v>45579</c:v>
                </c:pt>
                <c:pt idx="3372">
                  <c:v>45580</c:v>
                </c:pt>
                <c:pt idx="3373">
                  <c:v>45581</c:v>
                </c:pt>
                <c:pt idx="3374">
                  <c:v>45582</c:v>
                </c:pt>
                <c:pt idx="3375">
                  <c:v>45583</c:v>
                </c:pt>
                <c:pt idx="3376">
                  <c:v>45584</c:v>
                </c:pt>
                <c:pt idx="3377">
                  <c:v>45585</c:v>
                </c:pt>
                <c:pt idx="3378">
                  <c:v>45586</c:v>
                </c:pt>
                <c:pt idx="3379">
                  <c:v>45587</c:v>
                </c:pt>
                <c:pt idx="3380">
                  <c:v>45588</c:v>
                </c:pt>
                <c:pt idx="3381">
                  <c:v>45589</c:v>
                </c:pt>
                <c:pt idx="3382">
                  <c:v>45590</c:v>
                </c:pt>
                <c:pt idx="3383">
                  <c:v>45591</c:v>
                </c:pt>
                <c:pt idx="3384">
                  <c:v>45592</c:v>
                </c:pt>
                <c:pt idx="3385">
                  <c:v>45593</c:v>
                </c:pt>
                <c:pt idx="3386">
                  <c:v>45594</c:v>
                </c:pt>
                <c:pt idx="3387">
                  <c:v>45595</c:v>
                </c:pt>
                <c:pt idx="3388">
                  <c:v>45596</c:v>
                </c:pt>
                <c:pt idx="3389">
                  <c:v>45597</c:v>
                </c:pt>
                <c:pt idx="3390">
                  <c:v>45598</c:v>
                </c:pt>
                <c:pt idx="3391">
                  <c:v>45599</c:v>
                </c:pt>
                <c:pt idx="3392">
                  <c:v>45600</c:v>
                </c:pt>
                <c:pt idx="3393">
                  <c:v>45601</c:v>
                </c:pt>
                <c:pt idx="3394">
                  <c:v>45602</c:v>
                </c:pt>
                <c:pt idx="3395">
                  <c:v>45603</c:v>
                </c:pt>
                <c:pt idx="3396">
                  <c:v>45604</c:v>
                </c:pt>
                <c:pt idx="3397">
                  <c:v>45605</c:v>
                </c:pt>
                <c:pt idx="3398">
                  <c:v>45606</c:v>
                </c:pt>
                <c:pt idx="3399">
                  <c:v>45607</c:v>
                </c:pt>
                <c:pt idx="3400">
                  <c:v>45608</c:v>
                </c:pt>
                <c:pt idx="3401">
                  <c:v>45609</c:v>
                </c:pt>
                <c:pt idx="3402">
                  <c:v>45610</c:v>
                </c:pt>
                <c:pt idx="3403">
                  <c:v>45611</c:v>
                </c:pt>
                <c:pt idx="3404">
                  <c:v>45612</c:v>
                </c:pt>
                <c:pt idx="3405">
                  <c:v>45613</c:v>
                </c:pt>
                <c:pt idx="3406">
                  <c:v>45614</c:v>
                </c:pt>
                <c:pt idx="3407">
                  <c:v>45615</c:v>
                </c:pt>
                <c:pt idx="3408">
                  <c:v>45616</c:v>
                </c:pt>
                <c:pt idx="3409">
                  <c:v>45617</c:v>
                </c:pt>
                <c:pt idx="3410">
                  <c:v>45618</c:v>
                </c:pt>
                <c:pt idx="3411">
                  <c:v>45619</c:v>
                </c:pt>
                <c:pt idx="3412">
                  <c:v>45620</c:v>
                </c:pt>
                <c:pt idx="3413">
                  <c:v>45621</c:v>
                </c:pt>
                <c:pt idx="3414">
                  <c:v>45622</c:v>
                </c:pt>
                <c:pt idx="3415">
                  <c:v>45623</c:v>
                </c:pt>
                <c:pt idx="3416">
                  <c:v>45624</c:v>
                </c:pt>
                <c:pt idx="3417">
                  <c:v>45625</c:v>
                </c:pt>
                <c:pt idx="3418">
                  <c:v>45626</c:v>
                </c:pt>
                <c:pt idx="3419">
                  <c:v>45627</c:v>
                </c:pt>
                <c:pt idx="3420">
                  <c:v>45628</c:v>
                </c:pt>
                <c:pt idx="3421">
                  <c:v>45629</c:v>
                </c:pt>
                <c:pt idx="3422">
                  <c:v>45630</c:v>
                </c:pt>
                <c:pt idx="3423">
                  <c:v>45631</c:v>
                </c:pt>
                <c:pt idx="3424">
                  <c:v>45632</c:v>
                </c:pt>
                <c:pt idx="3425">
                  <c:v>45633</c:v>
                </c:pt>
                <c:pt idx="3426">
                  <c:v>45634</c:v>
                </c:pt>
                <c:pt idx="3427">
                  <c:v>45635</c:v>
                </c:pt>
                <c:pt idx="3428">
                  <c:v>45636</c:v>
                </c:pt>
                <c:pt idx="3429">
                  <c:v>45637</c:v>
                </c:pt>
                <c:pt idx="3430">
                  <c:v>45638</c:v>
                </c:pt>
                <c:pt idx="3431">
                  <c:v>45639</c:v>
                </c:pt>
                <c:pt idx="3432">
                  <c:v>45640</c:v>
                </c:pt>
                <c:pt idx="3433">
                  <c:v>45641</c:v>
                </c:pt>
                <c:pt idx="3434">
                  <c:v>45642</c:v>
                </c:pt>
                <c:pt idx="3435">
                  <c:v>45643</c:v>
                </c:pt>
                <c:pt idx="3436">
                  <c:v>45644</c:v>
                </c:pt>
                <c:pt idx="3437">
                  <c:v>45645</c:v>
                </c:pt>
                <c:pt idx="3438">
                  <c:v>45646</c:v>
                </c:pt>
                <c:pt idx="3439">
                  <c:v>45647</c:v>
                </c:pt>
                <c:pt idx="3440">
                  <c:v>45648</c:v>
                </c:pt>
                <c:pt idx="3441">
                  <c:v>45649</c:v>
                </c:pt>
                <c:pt idx="3442">
                  <c:v>45650</c:v>
                </c:pt>
                <c:pt idx="3443">
                  <c:v>45651</c:v>
                </c:pt>
                <c:pt idx="3444">
                  <c:v>45652</c:v>
                </c:pt>
                <c:pt idx="3445">
                  <c:v>45653</c:v>
                </c:pt>
                <c:pt idx="3446">
                  <c:v>45654</c:v>
                </c:pt>
                <c:pt idx="3447">
                  <c:v>45655</c:v>
                </c:pt>
                <c:pt idx="3448">
                  <c:v>45656</c:v>
                </c:pt>
                <c:pt idx="3449">
                  <c:v>45657</c:v>
                </c:pt>
                <c:pt idx="3450">
                  <c:v>45658</c:v>
                </c:pt>
                <c:pt idx="3451">
                  <c:v>45659</c:v>
                </c:pt>
                <c:pt idx="3452">
                  <c:v>45660</c:v>
                </c:pt>
                <c:pt idx="3453">
                  <c:v>45661</c:v>
                </c:pt>
                <c:pt idx="3454">
                  <c:v>45662</c:v>
                </c:pt>
                <c:pt idx="3455">
                  <c:v>45663</c:v>
                </c:pt>
                <c:pt idx="3456">
                  <c:v>45664</c:v>
                </c:pt>
                <c:pt idx="3457">
                  <c:v>45665</c:v>
                </c:pt>
                <c:pt idx="3458">
                  <c:v>45666</c:v>
                </c:pt>
                <c:pt idx="3459">
                  <c:v>45667</c:v>
                </c:pt>
                <c:pt idx="3460">
                  <c:v>45668</c:v>
                </c:pt>
                <c:pt idx="3461">
                  <c:v>45669</c:v>
                </c:pt>
                <c:pt idx="3462">
                  <c:v>45670</c:v>
                </c:pt>
                <c:pt idx="3463">
                  <c:v>45671</c:v>
                </c:pt>
                <c:pt idx="3464">
                  <c:v>45672</c:v>
                </c:pt>
                <c:pt idx="3465">
                  <c:v>45673</c:v>
                </c:pt>
                <c:pt idx="3466">
                  <c:v>45674</c:v>
                </c:pt>
                <c:pt idx="3467">
                  <c:v>45675</c:v>
                </c:pt>
                <c:pt idx="3468">
                  <c:v>45676</c:v>
                </c:pt>
                <c:pt idx="3469">
                  <c:v>45677</c:v>
                </c:pt>
                <c:pt idx="3470">
                  <c:v>45678</c:v>
                </c:pt>
                <c:pt idx="3471">
                  <c:v>45679</c:v>
                </c:pt>
                <c:pt idx="3472">
                  <c:v>45680</c:v>
                </c:pt>
                <c:pt idx="3473">
                  <c:v>45681</c:v>
                </c:pt>
                <c:pt idx="3474">
                  <c:v>45682</c:v>
                </c:pt>
                <c:pt idx="3475">
                  <c:v>45683</c:v>
                </c:pt>
                <c:pt idx="3476">
                  <c:v>45684</c:v>
                </c:pt>
                <c:pt idx="3477">
                  <c:v>45685</c:v>
                </c:pt>
                <c:pt idx="3478">
                  <c:v>45686</c:v>
                </c:pt>
                <c:pt idx="3479">
                  <c:v>45687</c:v>
                </c:pt>
                <c:pt idx="3480">
                  <c:v>45688</c:v>
                </c:pt>
                <c:pt idx="3481">
                  <c:v>45689</c:v>
                </c:pt>
                <c:pt idx="3482">
                  <c:v>45690</c:v>
                </c:pt>
                <c:pt idx="3483">
                  <c:v>45691</c:v>
                </c:pt>
                <c:pt idx="3484">
                  <c:v>45692</c:v>
                </c:pt>
                <c:pt idx="3485">
                  <c:v>45693</c:v>
                </c:pt>
                <c:pt idx="3486">
                  <c:v>45694</c:v>
                </c:pt>
                <c:pt idx="3487">
                  <c:v>45695</c:v>
                </c:pt>
                <c:pt idx="3488">
                  <c:v>45696</c:v>
                </c:pt>
                <c:pt idx="3489">
                  <c:v>45697</c:v>
                </c:pt>
                <c:pt idx="3490">
                  <c:v>45698</c:v>
                </c:pt>
                <c:pt idx="3491">
                  <c:v>45699</c:v>
                </c:pt>
                <c:pt idx="3492">
                  <c:v>45700</c:v>
                </c:pt>
                <c:pt idx="3493">
                  <c:v>45701</c:v>
                </c:pt>
                <c:pt idx="3494">
                  <c:v>45702</c:v>
                </c:pt>
                <c:pt idx="3495">
                  <c:v>45703</c:v>
                </c:pt>
                <c:pt idx="3496">
                  <c:v>45704</c:v>
                </c:pt>
                <c:pt idx="3497">
                  <c:v>45705</c:v>
                </c:pt>
                <c:pt idx="3498">
                  <c:v>45706</c:v>
                </c:pt>
                <c:pt idx="3499">
                  <c:v>45707</c:v>
                </c:pt>
                <c:pt idx="3500">
                  <c:v>45708</c:v>
                </c:pt>
                <c:pt idx="3501">
                  <c:v>45709</c:v>
                </c:pt>
                <c:pt idx="3502">
                  <c:v>45710</c:v>
                </c:pt>
                <c:pt idx="3503">
                  <c:v>45711</c:v>
                </c:pt>
                <c:pt idx="3504">
                  <c:v>45712</c:v>
                </c:pt>
                <c:pt idx="3505">
                  <c:v>45713</c:v>
                </c:pt>
                <c:pt idx="3506">
                  <c:v>45714</c:v>
                </c:pt>
                <c:pt idx="3507">
                  <c:v>45715</c:v>
                </c:pt>
                <c:pt idx="3508">
                  <c:v>45716</c:v>
                </c:pt>
                <c:pt idx="3509">
                  <c:v>45717</c:v>
                </c:pt>
                <c:pt idx="3510">
                  <c:v>45718</c:v>
                </c:pt>
                <c:pt idx="3511">
                  <c:v>45719</c:v>
                </c:pt>
                <c:pt idx="3512">
                  <c:v>45720</c:v>
                </c:pt>
                <c:pt idx="3513">
                  <c:v>45721</c:v>
                </c:pt>
                <c:pt idx="3514">
                  <c:v>45722</c:v>
                </c:pt>
                <c:pt idx="3515">
                  <c:v>45723</c:v>
                </c:pt>
                <c:pt idx="3516">
                  <c:v>45724</c:v>
                </c:pt>
                <c:pt idx="3517">
                  <c:v>45725</c:v>
                </c:pt>
                <c:pt idx="3518">
                  <c:v>45726</c:v>
                </c:pt>
                <c:pt idx="3519">
                  <c:v>45727</c:v>
                </c:pt>
                <c:pt idx="3520">
                  <c:v>45728</c:v>
                </c:pt>
                <c:pt idx="3521">
                  <c:v>45729</c:v>
                </c:pt>
                <c:pt idx="3522">
                  <c:v>45730</c:v>
                </c:pt>
                <c:pt idx="3523">
                  <c:v>45731</c:v>
                </c:pt>
                <c:pt idx="3524">
                  <c:v>45732</c:v>
                </c:pt>
                <c:pt idx="3525">
                  <c:v>45733</c:v>
                </c:pt>
                <c:pt idx="3526">
                  <c:v>45734</c:v>
                </c:pt>
                <c:pt idx="3527">
                  <c:v>45735</c:v>
                </c:pt>
                <c:pt idx="3528">
                  <c:v>45736</c:v>
                </c:pt>
                <c:pt idx="3529">
                  <c:v>45737</c:v>
                </c:pt>
                <c:pt idx="3530">
                  <c:v>45738</c:v>
                </c:pt>
                <c:pt idx="3531">
                  <c:v>45739</c:v>
                </c:pt>
                <c:pt idx="3532">
                  <c:v>45740</c:v>
                </c:pt>
                <c:pt idx="3533">
                  <c:v>45741</c:v>
                </c:pt>
                <c:pt idx="3534">
                  <c:v>45742</c:v>
                </c:pt>
                <c:pt idx="3535">
                  <c:v>45743</c:v>
                </c:pt>
                <c:pt idx="3536">
                  <c:v>45744</c:v>
                </c:pt>
                <c:pt idx="3537">
                  <c:v>45745</c:v>
                </c:pt>
                <c:pt idx="3538">
                  <c:v>45746</c:v>
                </c:pt>
                <c:pt idx="3539">
                  <c:v>45747</c:v>
                </c:pt>
                <c:pt idx="3540">
                  <c:v>45748</c:v>
                </c:pt>
                <c:pt idx="3541">
                  <c:v>45749</c:v>
                </c:pt>
                <c:pt idx="3542">
                  <c:v>45750</c:v>
                </c:pt>
                <c:pt idx="3543">
                  <c:v>45751</c:v>
                </c:pt>
                <c:pt idx="3544">
                  <c:v>45752</c:v>
                </c:pt>
                <c:pt idx="3545">
                  <c:v>45753</c:v>
                </c:pt>
                <c:pt idx="3546">
                  <c:v>45754</c:v>
                </c:pt>
                <c:pt idx="3547">
                  <c:v>45755</c:v>
                </c:pt>
                <c:pt idx="3548">
                  <c:v>45756</c:v>
                </c:pt>
                <c:pt idx="3549">
                  <c:v>45757</c:v>
                </c:pt>
                <c:pt idx="3550">
                  <c:v>45758</c:v>
                </c:pt>
                <c:pt idx="3551">
                  <c:v>45759</c:v>
                </c:pt>
                <c:pt idx="3552">
                  <c:v>45760</c:v>
                </c:pt>
                <c:pt idx="3553">
                  <c:v>45761</c:v>
                </c:pt>
                <c:pt idx="3554">
                  <c:v>45762</c:v>
                </c:pt>
                <c:pt idx="3555">
                  <c:v>45763</c:v>
                </c:pt>
                <c:pt idx="3556">
                  <c:v>45764</c:v>
                </c:pt>
                <c:pt idx="3557">
                  <c:v>45765</c:v>
                </c:pt>
                <c:pt idx="3558">
                  <c:v>45766</c:v>
                </c:pt>
                <c:pt idx="3559">
                  <c:v>45767</c:v>
                </c:pt>
                <c:pt idx="3560">
                  <c:v>45768</c:v>
                </c:pt>
                <c:pt idx="3561">
                  <c:v>45769</c:v>
                </c:pt>
                <c:pt idx="3562">
                  <c:v>45770</c:v>
                </c:pt>
                <c:pt idx="3563">
                  <c:v>45771</c:v>
                </c:pt>
                <c:pt idx="3564">
                  <c:v>45772</c:v>
                </c:pt>
                <c:pt idx="3565">
                  <c:v>45773</c:v>
                </c:pt>
                <c:pt idx="3566">
                  <c:v>45774</c:v>
                </c:pt>
                <c:pt idx="3567">
                  <c:v>45775</c:v>
                </c:pt>
                <c:pt idx="3568">
                  <c:v>45776</c:v>
                </c:pt>
                <c:pt idx="3569">
                  <c:v>45777</c:v>
                </c:pt>
                <c:pt idx="3570">
                  <c:v>45778</c:v>
                </c:pt>
                <c:pt idx="3571">
                  <c:v>45779</c:v>
                </c:pt>
                <c:pt idx="3572">
                  <c:v>45780</c:v>
                </c:pt>
                <c:pt idx="3573">
                  <c:v>45781</c:v>
                </c:pt>
                <c:pt idx="3574">
                  <c:v>45782</c:v>
                </c:pt>
                <c:pt idx="3575">
                  <c:v>45783</c:v>
                </c:pt>
                <c:pt idx="3576">
                  <c:v>45784</c:v>
                </c:pt>
                <c:pt idx="3577">
                  <c:v>45785</c:v>
                </c:pt>
                <c:pt idx="3578">
                  <c:v>45786</c:v>
                </c:pt>
                <c:pt idx="3579">
                  <c:v>45787</c:v>
                </c:pt>
                <c:pt idx="3580">
                  <c:v>45788</c:v>
                </c:pt>
                <c:pt idx="3581">
                  <c:v>45789</c:v>
                </c:pt>
                <c:pt idx="3582">
                  <c:v>45790</c:v>
                </c:pt>
                <c:pt idx="3583">
                  <c:v>45791</c:v>
                </c:pt>
                <c:pt idx="3584">
                  <c:v>45792</c:v>
                </c:pt>
                <c:pt idx="3585">
                  <c:v>45793</c:v>
                </c:pt>
                <c:pt idx="3586">
                  <c:v>45794</c:v>
                </c:pt>
                <c:pt idx="3587">
                  <c:v>45795</c:v>
                </c:pt>
                <c:pt idx="3588">
                  <c:v>45796</c:v>
                </c:pt>
                <c:pt idx="3589">
                  <c:v>45797</c:v>
                </c:pt>
                <c:pt idx="3590">
                  <c:v>45798</c:v>
                </c:pt>
                <c:pt idx="3591">
                  <c:v>45799</c:v>
                </c:pt>
                <c:pt idx="3592">
                  <c:v>45800</c:v>
                </c:pt>
                <c:pt idx="3593">
                  <c:v>45801</c:v>
                </c:pt>
                <c:pt idx="3594">
                  <c:v>45802</c:v>
                </c:pt>
                <c:pt idx="3595">
                  <c:v>45803</c:v>
                </c:pt>
                <c:pt idx="3596">
                  <c:v>45804</c:v>
                </c:pt>
                <c:pt idx="3597">
                  <c:v>45805</c:v>
                </c:pt>
                <c:pt idx="3598">
                  <c:v>45806</c:v>
                </c:pt>
                <c:pt idx="3599">
                  <c:v>45807</c:v>
                </c:pt>
                <c:pt idx="3600">
                  <c:v>45808</c:v>
                </c:pt>
                <c:pt idx="3601">
                  <c:v>45809</c:v>
                </c:pt>
                <c:pt idx="3602">
                  <c:v>45810</c:v>
                </c:pt>
                <c:pt idx="3603">
                  <c:v>45811</c:v>
                </c:pt>
                <c:pt idx="3604">
                  <c:v>45812</c:v>
                </c:pt>
                <c:pt idx="3605">
                  <c:v>45813</c:v>
                </c:pt>
                <c:pt idx="3606">
                  <c:v>45814</c:v>
                </c:pt>
                <c:pt idx="3607">
                  <c:v>45815</c:v>
                </c:pt>
                <c:pt idx="3608">
                  <c:v>45816</c:v>
                </c:pt>
                <c:pt idx="3609">
                  <c:v>45817</c:v>
                </c:pt>
                <c:pt idx="3610">
                  <c:v>45818</c:v>
                </c:pt>
                <c:pt idx="3611">
                  <c:v>45819</c:v>
                </c:pt>
                <c:pt idx="3612">
                  <c:v>45820</c:v>
                </c:pt>
                <c:pt idx="3613">
                  <c:v>45821</c:v>
                </c:pt>
                <c:pt idx="3614">
                  <c:v>45822</c:v>
                </c:pt>
                <c:pt idx="3615">
                  <c:v>45823</c:v>
                </c:pt>
                <c:pt idx="3616">
                  <c:v>45824</c:v>
                </c:pt>
                <c:pt idx="3617">
                  <c:v>45825</c:v>
                </c:pt>
                <c:pt idx="3618">
                  <c:v>45826</c:v>
                </c:pt>
                <c:pt idx="3619">
                  <c:v>45827</c:v>
                </c:pt>
                <c:pt idx="3620">
                  <c:v>45828</c:v>
                </c:pt>
                <c:pt idx="3621">
                  <c:v>45829</c:v>
                </c:pt>
                <c:pt idx="3622">
                  <c:v>45830</c:v>
                </c:pt>
                <c:pt idx="3623">
                  <c:v>45831</c:v>
                </c:pt>
                <c:pt idx="3624">
                  <c:v>45832</c:v>
                </c:pt>
                <c:pt idx="3625">
                  <c:v>45833</c:v>
                </c:pt>
                <c:pt idx="3626">
                  <c:v>45834</c:v>
                </c:pt>
                <c:pt idx="3627">
                  <c:v>45835</c:v>
                </c:pt>
                <c:pt idx="3628">
                  <c:v>45836</c:v>
                </c:pt>
                <c:pt idx="3629">
                  <c:v>45837</c:v>
                </c:pt>
                <c:pt idx="3630">
                  <c:v>45838</c:v>
                </c:pt>
                <c:pt idx="3631">
                  <c:v>45839</c:v>
                </c:pt>
                <c:pt idx="3632">
                  <c:v>45840</c:v>
                </c:pt>
                <c:pt idx="3633">
                  <c:v>45841</c:v>
                </c:pt>
                <c:pt idx="3634">
                  <c:v>45842</c:v>
                </c:pt>
                <c:pt idx="3635">
                  <c:v>45843</c:v>
                </c:pt>
                <c:pt idx="3636">
                  <c:v>45844</c:v>
                </c:pt>
                <c:pt idx="3637">
                  <c:v>45845</c:v>
                </c:pt>
                <c:pt idx="3638">
                  <c:v>45846</c:v>
                </c:pt>
                <c:pt idx="3639">
                  <c:v>45847</c:v>
                </c:pt>
                <c:pt idx="3640">
                  <c:v>45848</c:v>
                </c:pt>
                <c:pt idx="3641">
                  <c:v>45849</c:v>
                </c:pt>
                <c:pt idx="3642">
                  <c:v>45850</c:v>
                </c:pt>
                <c:pt idx="3643">
                  <c:v>45851</c:v>
                </c:pt>
                <c:pt idx="3644">
                  <c:v>45852</c:v>
                </c:pt>
                <c:pt idx="3645">
                  <c:v>45853</c:v>
                </c:pt>
                <c:pt idx="3646">
                  <c:v>45854</c:v>
                </c:pt>
                <c:pt idx="3647">
                  <c:v>45855</c:v>
                </c:pt>
                <c:pt idx="3648">
                  <c:v>45856</c:v>
                </c:pt>
                <c:pt idx="3649">
                  <c:v>45857</c:v>
                </c:pt>
                <c:pt idx="3650">
                  <c:v>45858</c:v>
                </c:pt>
                <c:pt idx="3651">
                  <c:v>45859</c:v>
                </c:pt>
                <c:pt idx="3652">
                  <c:v>45860</c:v>
                </c:pt>
                <c:pt idx="3653">
                  <c:v>45861</c:v>
                </c:pt>
                <c:pt idx="3654">
                  <c:v>45862</c:v>
                </c:pt>
                <c:pt idx="3655">
                  <c:v>45863</c:v>
                </c:pt>
                <c:pt idx="3656">
                  <c:v>45864</c:v>
                </c:pt>
                <c:pt idx="3657">
                  <c:v>45865</c:v>
                </c:pt>
                <c:pt idx="3658">
                  <c:v>45866</c:v>
                </c:pt>
                <c:pt idx="3659">
                  <c:v>45867</c:v>
                </c:pt>
                <c:pt idx="3660">
                  <c:v>45868</c:v>
                </c:pt>
                <c:pt idx="3661">
                  <c:v>45869</c:v>
                </c:pt>
                <c:pt idx="3662">
                  <c:v>45870</c:v>
                </c:pt>
                <c:pt idx="3663">
                  <c:v>45871</c:v>
                </c:pt>
                <c:pt idx="3664">
                  <c:v>45872</c:v>
                </c:pt>
                <c:pt idx="3665">
                  <c:v>45873</c:v>
                </c:pt>
                <c:pt idx="3666">
                  <c:v>45874</c:v>
                </c:pt>
                <c:pt idx="3667">
                  <c:v>45875</c:v>
                </c:pt>
                <c:pt idx="3668">
                  <c:v>45876</c:v>
                </c:pt>
                <c:pt idx="3669">
                  <c:v>45877</c:v>
                </c:pt>
                <c:pt idx="3670">
                  <c:v>45878</c:v>
                </c:pt>
                <c:pt idx="3671">
                  <c:v>45879</c:v>
                </c:pt>
                <c:pt idx="3672">
                  <c:v>45880</c:v>
                </c:pt>
                <c:pt idx="3673">
                  <c:v>45881</c:v>
                </c:pt>
                <c:pt idx="3674">
                  <c:v>45882</c:v>
                </c:pt>
                <c:pt idx="3675">
                  <c:v>45883</c:v>
                </c:pt>
                <c:pt idx="3676">
                  <c:v>45884</c:v>
                </c:pt>
                <c:pt idx="3677">
                  <c:v>45885</c:v>
                </c:pt>
                <c:pt idx="3678">
                  <c:v>45886</c:v>
                </c:pt>
                <c:pt idx="3679">
                  <c:v>45887</c:v>
                </c:pt>
                <c:pt idx="3680">
                  <c:v>45888</c:v>
                </c:pt>
                <c:pt idx="3681">
                  <c:v>45889</c:v>
                </c:pt>
                <c:pt idx="3682">
                  <c:v>45890</c:v>
                </c:pt>
                <c:pt idx="3683">
                  <c:v>45891</c:v>
                </c:pt>
                <c:pt idx="3684">
                  <c:v>45892</c:v>
                </c:pt>
                <c:pt idx="3685">
                  <c:v>45893</c:v>
                </c:pt>
                <c:pt idx="3686">
                  <c:v>45894</c:v>
                </c:pt>
                <c:pt idx="3687">
                  <c:v>45895</c:v>
                </c:pt>
                <c:pt idx="3688">
                  <c:v>45896</c:v>
                </c:pt>
                <c:pt idx="3689">
                  <c:v>45897</c:v>
                </c:pt>
                <c:pt idx="3690">
                  <c:v>45898</c:v>
                </c:pt>
                <c:pt idx="3691">
                  <c:v>45899</c:v>
                </c:pt>
                <c:pt idx="3692">
                  <c:v>45900</c:v>
                </c:pt>
                <c:pt idx="3693">
                  <c:v>45901</c:v>
                </c:pt>
                <c:pt idx="3694">
                  <c:v>45902</c:v>
                </c:pt>
                <c:pt idx="3695">
                  <c:v>45903</c:v>
                </c:pt>
                <c:pt idx="3696">
                  <c:v>45904</c:v>
                </c:pt>
                <c:pt idx="3697">
                  <c:v>45905</c:v>
                </c:pt>
                <c:pt idx="3698">
                  <c:v>45906</c:v>
                </c:pt>
                <c:pt idx="3699">
                  <c:v>45907</c:v>
                </c:pt>
                <c:pt idx="3700">
                  <c:v>45908</c:v>
                </c:pt>
                <c:pt idx="3701">
                  <c:v>45909</c:v>
                </c:pt>
                <c:pt idx="3702">
                  <c:v>45910</c:v>
                </c:pt>
                <c:pt idx="3703">
                  <c:v>45911</c:v>
                </c:pt>
                <c:pt idx="3704">
                  <c:v>45912</c:v>
                </c:pt>
                <c:pt idx="3705">
                  <c:v>45913</c:v>
                </c:pt>
                <c:pt idx="3706">
                  <c:v>45914</c:v>
                </c:pt>
                <c:pt idx="3707">
                  <c:v>45915</c:v>
                </c:pt>
                <c:pt idx="3708">
                  <c:v>45916</c:v>
                </c:pt>
                <c:pt idx="3709">
                  <c:v>45917</c:v>
                </c:pt>
                <c:pt idx="3710">
                  <c:v>45918</c:v>
                </c:pt>
                <c:pt idx="3711">
                  <c:v>45919</c:v>
                </c:pt>
                <c:pt idx="3712">
                  <c:v>45920</c:v>
                </c:pt>
                <c:pt idx="3713">
                  <c:v>45921</c:v>
                </c:pt>
                <c:pt idx="3714">
                  <c:v>45922</c:v>
                </c:pt>
                <c:pt idx="3715">
                  <c:v>45923</c:v>
                </c:pt>
                <c:pt idx="3716">
                  <c:v>45924</c:v>
                </c:pt>
                <c:pt idx="3717">
                  <c:v>45925</c:v>
                </c:pt>
                <c:pt idx="3718">
                  <c:v>45926</c:v>
                </c:pt>
                <c:pt idx="3719">
                  <c:v>45927</c:v>
                </c:pt>
                <c:pt idx="3720">
                  <c:v>45928</c:v>
                </c:pt>
                <c:pt idx="3721">
                  <c:v>45929</c:v>
                </c:pt>
                <c:pt idx="3722">
                  <c:v>45930</c:v>
                </c:pt>
                <c:pt idx="3723">
                  <c:v>45931</c:v>
                </c:pt>
                <c:pt idx="3724">
                  <c:v>45932</c:v>
                </c:pt>
                <c:pt idx="3725">
                  <c:v>45933</c:v>
                </c:pt>
                <c:pt idx="3726">
                  <c:v>45934</c:v>
                </c:pt>
                <c:pt idx="3727">
                  <c:v>45935</c:v>
                </c:pt>
                <c:pt idx="3728">
                  <c:v>45936</c:v>
                </c:pt>
                <c:pt idx="3729">
                  <c:v>45937</c:v>
                </c:pt>
                <c:pt idx="3730">
                  <c:v>45938</c:v>
                </c:pt>
                <c:pt idx="3731">
                  <c:v>45939</c:v>
                </c:pt>
                <c:pt idx="3732">
                  <c:v>45940</c:v>
                </c:pt>
                <c:pt idx="3733">
                  <c:v>45941</c:v>
                </c:pt>
                <c:pt idx="3734">
                  <c:v>45942</c:v>
                </c:pt>
                <c:pt idx="3735">
                  <c:v>45943</c:v>
                </c:pt>
                <c:pt idx="3736">
                  <c:v>45944</c:v>
                </c:pt>
                <c:pt idx="3737">
                  <c:v>45945</c:v>
                </c:pt>
                <c:pt idx="3738">
                  <c:v>45946</c:v>
                </c:pt>
                <c:pt idx="3739">
                  <c:v>45947</c:v>
                </c:pt>
                <c:pt idx="3740">
                  <c:v>45948</c:v>
                </c:pt>
                <c:pt idx="3741">
                  <c:v>45949</c:v>
                </c:pt>
                <c:pt idx="3742">
                  <c:v>45950</c:v>
                </c:pt>
                <c:pt idx="3743">
                  <c:v>45951</c:v>
                </c:pt>
                <c:pt idx="3744">
                  <c:v>45952</c:v>
                </c:pt>
                <c:pt idx="3745">
                  <c:v>45953</c:v>
                </c:pt>
                <c:pt idx="3746">
                  <c:v>45954</c:v>
                </c:pt>
                <c:pt idx="3747">
                  <c:v>45955</c:v>
                </c:pt>
                <c:pt idx="3748">
                  <c:v>45956</c:v>
                </c:pt>
                <c:pt idx="3749">
                  <c:v>45957</c:v>
                </c:pt>
                <c:pt idx="3750">
                  <c:v>45958</c:v>
                </c:pt>
                <c:pt idx="3751">
                  <c:v>45959</c:v>
                </c:pt>
                <c:pt idx="3752">
                  <c:v>45960</c:v>
                </c:pt>
                <c:pt idx="3753">
                  <c:v>45961</c:v>
                </c:pt>
                <c:pt idx="3754">
                  <c:v>45962</c:v>
                </c:pt>
                <c:pt idx="3755">
                  <c:v>45963</c:v>
                </c:pt>
                <c:pt idx="3756">
                  <c:v>45964</c:v>
                </c:pt>
                <c:pt idx="3757">
                  <c:v>45965</c:v>
                </c:pt>
                <c:pt idx="3758">
                  <c:v>45966</c:v>
                </c:pt>
                <c:pt idx="3759">
                  <c:v>45967</c:v>
                </c:pt>
                <c:pt idx="3760">
                  <c:v>45968</c:v>
                </c:pt>
                <c:pt idx="3761">
                  <c:v>45969</c:v>
                </c:pt>
                <c:pt idx="3762">
                  <c:v>45970</c:v>
                </c:pt>
                <c:pt idx="3763">
                  <c:v>45971</c:v>
                </c:pt>
                <c:pt idx="3764">
                  <c:v>45972</c:v>
                </c:pt>
                <c:pt idx="3765">
                  <c:v>45973</c:v>
                </c:pt>
                <c:pt idx="3766">
                  <c:v>45974</c:v>
                </c:pt>
                <c:pt idx="3767">
                  <c:v>45975</c:v>
                </c:pt>
                <c:pt idx="3768">
                  <c:v>45976</c:v>
                </c:pt>
                <c:pt idx="3769">
                  <c:v>45977</c:v>
                </c:pt>
                <c:pt idx="3770">
                  <c:v>45978</c:v>
                </c:pt>
                <c:pt idx="3771">
                  <c:v>45979</c:v>
                </c:pt>
                <c:pt idx="3772">
                  <c:v>45980</c:v>
                </c:pt>
                <c:pt idx="3773">
                  <c:v>45981</c:v>
                </c:pt>
                <c:pt idx="3774">
                  <c:v>45982</c:v>
                </c:pt>
                <c:pt idx="3775">
                  <c:v>45983</c:v>
                </c:pt>
                <c:pt idx="3776">
                  <c:v>45984</c:v>
                </c:pt>
                <c:pt idx="3777">
                  <c:v>45985</c:v>
                </c:pt>
                <c:pt idx="3778">
                  <c:v>45986</c:v>
                </c:pt>
                <c:pt idx="3779">
                  <c:v>45987</c:v>
                </c:pt>
                <c:pt idx="3780">
                  <c:v>45988</c:v>
                </c:pt>
                <c:pt idx="3781">
                  <c:v>45989</c:v>
                </c:pt>
                <c:pt idx="3782">
                  <c:v>45990</c:v>
                </c:pt>
                <c:pt idx="3783">
                  <c:v>45991</c:v>
                </c:pt>
                <c:pt idx="3784">
                  <c:v>45992</c:v>
                </c:pt>
                <c:pt idx="3785">
                  <c:v>45993</c:v>
                </c:pt>
                <c:pt idx="3786">
                  <c:v>45994</c:v>
                </c:pt>
                <c:pt idx="3787">
                  <c:v>45995</c:v>
                </c:pt>
                <c:pt idx="3788">
                  <c:v>45996</c:v>
                </c:pt>
                <c:pt idx="3789">
                  <c:v>45997</c:v>
                </c:pt>
                <c:pt idx="3790">
                  <c:v>45998</c:v>
                </c:pt>
                <c:pt idx="3791">
                  <c:v>45999</c:v>
                </c:pt>
                <c:pt idx="3792">
                  <c:v>46000</c:v>
                </c:pt>
                <c:pt idx="3793">
                  <c:v>46001</c:v>
                </c:pt>
                <c:pt idx="3794">
                  <c:v>46002</c:v>
                </c:pt>
                <c:pt idx="3795">
                  <c:v>46003</c:v>
                </c:pt>
                <c:pt idx="3796">
                  <c:v>46004</c:v>
                </c:pt>
                <c:pt idx="3797">
                  <c:v>46005</c:v>
                </c:pt>
                <c:pt idx="3798">
                  <c:v>46006</c:v>
                </c:pt>
                <c:pt idx="3799">
                  <c:v>46007</c:v>
                </c:pt>
                <c:pt idx="3800">
                  <c:v>46008</c:v>
                </c:pt>
                <c:pt idx="3801">
                  <c:v>46009</c:v>
                </c:pt>
                <c:pt idx="3802">
                  <c:v>46010</c:v>
                </c:pt>
                <c:pt idx="3803">
                  <c:v>46011</c:v>
                </c:pt>
                <c:pt idx="3804">
                  <c:v>46012</c:v>
                </c:pt>
                <c:pt idx="3805">
                  <c:v>46013</c:v>
                </c:pt>
                <c:pt idx="3806">
                  <c:v>46014</c:v>
                </c:pt>
                <c:pt idx="3807">
                  <c:v>46015</c:v>
                </c:pt>
                <c:pt idx="3808">
                  <c:v>46016</c:v>
                </c:pt>
                <c:pt idx="3809">
                  <c:v>46017</c:v>
                </c:pt>
                <c:pt idx="3810">
                  <c:v>46018</c:v>
                </c:pt>
                <c:pt idx="3811">
                  <c:v>46019</c:v>
                </c:pt>
                <c:pt idx="3812">
                  <c:v>46020</c:v>
                </c:pt>
                <c:pt idx="3813">
                  <c:v>46021</c:v>
                </c:pt>
                <c:pt idx="3814">
                  <c:v>46022</c:v>
                </c:pt>
                <c:pt idx="3815">
                  <c:v>46023</c:v>
                </c:pt>
                <c:pt idx="3816">
                  <c:v>46024</c:v>
                </c:pt>
                <c:pt idx="3817">
                  <c:v>46025</c:v>
                </c:pt>
                <c:pt idx="3818">
                  <c:v>46026</c:v>
                </c:pt>
                <c:pt idx="3819">
                  <c:v>46027</c:v>
                </c:pt>
                <c:pt idx="3820">
                  <c:v>46028</c:v>
                </c:pt>
                <c:pt idx="3821">
                  <c:v>46029</c:v>
                </c:pt>
                <c:pt idx="3822">
                  <c:v>46030</c:v>
                </c:pt>
                <c:pt idx="3823">
                  <c:v>46031</c:v>
                </c:pt>
                <c:pt idx="3824">
                  <c:v>46032</c:v>
                </c:pt>
                <c:pt idx="3825">
                  <c:v>46033</c:v>
                </c:pt>
                <c:pt idx="3826">
                  <c:v>46034</c:v>
                </c:pt>
                <c:pt idx="3827">
                  <c:v>46035</c:v>
                </c:pt>
                <c:pt idx="3828">
                  <c:v>46036</c:v>
                </c:pt>
                <c:pt idx="3829">
                  <c:v>46037</c:v>
                </c:pt>
                <c:pt idx="3830">
                  <c:v>46038</c:v>
                </c:pt>
                <c:pt idx="3831">
                  <c:v>46039</c:v>
                </c:pt>
                <c:pt idx="3832">
                  <c:v>46040</c:v>
                </c:pt>
                <c:pt idx="3833">
                  <c:v>46041</c:v>
                </c:pt>
                <c:pt idx="3834">
                  <c:v>46042</c:v>
                </c:pt>
                <c:pt idx="3835">
                  <c:v>46043</c:v>
                </c:pt>
                <c:pt idx="3836">
                  <c:v>46044</c:v>
                </c:pt>
                <c:pt idx="3837">
                  <c:v>46045</c:v>
                </c:pt>
                <c:pt idx="3838">
                  <c:v>46046</c:v>
                </c:pt>
                <c:pt idx="3839">
                  <c:v>46047</c:v>
                </c:pt>
                <c:pt idx="3840">
                  <c:v>46048</c:v>
                </c:pt>
                <c:pt idx="3841">
                  <c:v>46049</c:v>
                </c:pt>
                <c:pt idx="3842">
                  <c:v>46050</c:v>
                </c:pt>
                <c:pt idx="3843">
                  <c:v>46051</c:v>
                </c:pt>
                <c:pt idx="3844">
                  <c:v>46052</c:v>
                </c:pt>
                <c:pt idx="3845">
                  <c:v>46053</c:v>
                </c:pt>
                <c:pt idx="3846">
                  <c:v>46054</c:v>
                </c:pt>
                <c:pt idx="3847">
                  <c:v>46055</c:v>
                </c:pt>
                <c:pt idx="3848">
                  <c:v>46056</c:v>
                </c:pt>
                <c:pt idx="3849">
                  <c:v>46057</c:v>
                </c:pt>
                <c:pt idx="3850">
                  <c:v>46058</c:v>
                </c:pt>
                <c:pt idx="3851">
                  <c:v>46059</c:v>
                </c:pt>
                <c:pt idx="3852">
                  <c:v>46060</c:v>
                </c:pt>
                <c:pt idx="3853">
                  <c:v>46061</c:v>
                </c:pt>
                <c:pt idx="3854">
                  <c:v>46062</c:v>
                </c:pt>
                <c:pt idx="3855">
                  <c:v>46063</c:v>
                </c:pt>
                <c:pt idx="3856">
                  <c:v>46064</c:v>
                </c:pt>
                <c:pt idx="3857">
                  <c:v>46065</c:v>
                </c:pt>
                <c:pt idx="3858">
                  <c:v>46066</c:v>
                </c:pt>
                <c:pt idx="3859">
                  <c:v>46067</c:v>
                </c:pt>
                <c:pt idx="3860">
                  <c:v>46068</c:v>
                </c:pt>
                <c:pt idx="3861">
                  <c:v>46069</c:v>
                </c:pt>
                <c:pt idx="3862">
                  <c:v>46070</c:v>
                </c:pt>
                <c:pt idx="3863">
                  <c:v>46071</c:v>
                </c:pt>
                <c:pt idx="3864">
                  <c:v>46072</c:v>
                </c:pt>
                <c:pt idx="3865">
                  <c:v>46073</c:v>
                </c:pt>
                <c:pt idx="3866">
                  <c:v>46074</c:v>
                </c:pt>
                <c:pt idx="3867">
                  <c:v>46075</c:v>
                </c:pt>
                <c:pt idx="3868">
                  <c:v>46076</c:v>
                </c:pt>
                <c:pt idx="3869">
                  <c:v>46077</c:v>
                </c:pt>
                <c:pt idx="3870">
                  <c:v>46078</c:v>
                </c:pt>
                <c:pt idx="3871">
                  <c:v>46079</c:v>
                </c:pt>
                <c:pt idx="3872">
                  <c:v>46080</c:v>
                </c:pt>
                <c:pt idx="3873">
                  <c:v>46081</c:v>
                </c:pt>
                <c:pt idx="3874">
                  <c:v>46082</c:v>
                </c:pt>
                <c:pt idx="3875">
                  <c:v>46083</c:v>
                </c:pt>
                <c:pt idx="3876">
                  <c:v>46084</c:v>
                </c:pt>
                <c:pt idx="3877">
                  <c:v>46085</c:v>
                </c:pt>
                <c:pt idx="3878">
                  <c:v>46086</c:v>
                </c:pt>
                <c:pt idx="3879">
                  <c:v>46087</c:v>
                </c:pt>
                <c:pt idx="3880">
                  <c:v>46088</c:v>
                </c:pt>
                <c:pt idx="3881">
                  <c:v>46089</c:v>
                </c:pt>
                <c:pt idx="3882">
                  <c:v>46090</c:v>
                </c:pt>
                <c:pt idx="3883">
                  <c:v>46091</c:v>
                </c:pt>
                <c:pt idx="3884">
                  <c:v>46092</c:v>
                </c:pt>
                <c:pt idx="3885">
                  <c:v>46093</c:v>
                </c:pt>
                <c:pt idx="3886">
                  <c:v>46094</c:v>
                </c:pt>
                <c:pt idx="3887">
                  <c:v>46095</c:v>
                </c:pt>
                <c:pt idx="3888">
                  <c:v>46096</c:v>
                </c:pt>
                <c:pt idx="3889">
                  <c:v>46097</c:v>
                </c:pt>
                <c:pt idx="3890">
                  <c:v>46098</c:v>
                </c:pt>
                <c:pt idx="3891">
                  <c:v>46099</c:v>
                </c:pt>
                <c:pt idx="3892">
                  <c:v>46100</c:v>
                </c:pt>
                <c:pt idx="3893">
                  <c:v>46101</c:v>
                </c:pt>
                <c:pt idx="3894">
                  <c:v>46102</c:v>
                </c:pt>
                <c:pt idx="3895">
                  <c:v>46103</c:v>
                </c:pt>
                <c:pt idx="3896">
                  <c:v>46104</c:v>
                </c:pt>
                <c:pt idx="3897">
                  <c:v>46105</c:v>
                </c:pt>
                <c:pt idx="3898">
                  <c:v>46106</c:v>
                </c:pt>
                <c:pt idx="3899">
                  <c:v>46107</c:v>
                </c:pt>
                <c:pt idx="3900">
                  <c:v>46108</c:v>
                </c:pt>
                <c:pt idx="3901">
                  <c:v>46109</c:v>
                </c:pt>
                <c:pt idx="3902">
                  <c:v>46110</c:v>
                </c:pt>
                <c:pt idx="3903">
                  <c:v>46111</c:v>
                </c:pt>
                <c:pt idx="3904">
                  <c:v>46112</c:v>
                </c:pt>
                <c:pt idx="3905">
                  <c:v>46113</c:v>
                </c:pt>
                <c:pt idx="3906">
                  <c:v>46114</c:v>
                </c:pt>
                <c:pt idx="3907">
                  <c:v>46115</c:v>
                </c:pt>
                <c:pt idx="3908">
                  <c:v>46116</c:v>
                </c:pt>
                <c:pt idx="3909">
                  <c:v>46117</c:v>
                </c:pt>
                <c:pt idx="3910">
                  <c:v>46118</c:v>
                </c:pt>
                <c:pt idx="3911">
                  <c:v>46119</c:v>
                </c:pt>
                <c:pt idx="3912">
                  <c:v>46120</c:v>
                </c:pt>
                <c:pt idx="3913">
                  <c:v>46121</c:v>
                </c:pt>
                <c:pt idx="3914">
                  <c:v>46122</c:v>
                </c:pt>
                <c:pt idx="3915">
                  <c:v>46123</c:v>
                </c:pt>
                <c:pt idx="3916">
                  <c:v>46124</c:v>
                </c:pt>
                <c:pt idx="3917">
                  <c:v>46125</c:v>
                </c:pt>
                <c:pt idx="3918">
                  <c:v>46126</c:v>
                </c:pt>
                <c:pt idx="3919">
                  <c:v>46127</c:v>
                </c:pt>
                <c:pt idx="3920">
                  <c:v>46128</c:v>
                </c:pt>
                <c:pt idx="3921">
                  <c:v>46129</c:v>
                </c:pt>
                <c:pt idx="3922">
                  <c:v>46130</c:v>
                </c:pt>
                <c:pt idx="3923">
                  <c:v>46131</c:v>
                </c:pt>
                <c:pt idx="3924">
                  <c:v>46132</c:v>
                </c:pt>
                <c:pt idx="3925">
                  <c:v>46133</c:v>
                </c:pt>
                <c:pt idx="3926">
                  <c:v>46134</c:v>
                </c:pt>
                <c:pt idx="3927">
                  <c:v>46135</c:v>
                </c:pt>
                <c:pt idx="3928">
                  <c:v>46136</c:v>
                </c:pt>
                <c:pt idx="3929">
                  <c:v>46137</c:v>
                </c:pt>
                <c:pt idx="3930">
                  <c:v>46138</c:v>
                </c:pt>
                <c:pt idx="3931">
                  <c:v>46139</c:v>
                </c:pt>
                <c:pt idx="3932">
                  <c:v>46140</c:v>
                </c:pt>
                <c:pt idx="3933">
                  <c:v>46141</c:v>
                </c:pt>
                <c:pt idx="3934">
                  <c:v>46142</c:v>
                </c:pt>
                <c:pt idx="3935">
                  <c:v>46143</c:v>
                </c:pt>
                <c:pt idx="3936">
                  <c:v>46144</c:v>
                </c:pt>
                <c:pt idx="3937">
                  <c:v>46145</c:v>
                </c:pt>
                <c:pt idx="3938">
                  <c:v>46146</c:v>
                </c:pt>
                <c:pt idx="3939">
                  <c:v>46147</c:v>
                </c:pt>
                <c:pt idx="3940">
                  <c:v>46148</c:v>
                </c:pt>
                <c:pt idx="3941">
                  <c:v>46149</c:v>
                </c:pt>
                <c:pt idx="3942">
                  <c:v>46150</c:v>
                </c:pt>
                <c:pt idx="3943">
                  <c:v>46151</c:v>
                </c:pt>
                <c:pt idx="3944">
                  <c:v>46152</c:v>
                </c:pt>
                <c:pt idx="3945">
                  <c:v>46153</c:v>
                </c:pt>
                <c:pt idx="3946">
                  <c:v>46154</c:v>
                </c:pt>
                <c:pt idx="3947">
                  <c:v>46155</c:v>
                </c:pt>
                <c:pt idx="3948">
                  <c:v>46156</c:v>
                </c:pt>
                <c:pt idx="3949">
                  <c:v>46157</c:v>
                </c:pt>
                <c:pt idx="3950">
                  <c:v>46158</c:v>
                </c:pt>
                <c:pt idx="3951">
                  <c:v>46159</c:v>
                </c:pt>
                <c:pt idx="3952">
                  <c:v>46160</c:v>
                </c:pt>
                <c:pt idx="3953">
                  <c:v>46161</c:v>
                </c:pt>
                <c:pt idx="3954">
                  <c:v>46162</c:v>
                </c:pt>
                <c:pt idx="3955">
                  <c:v>46163</c:v>
                </c:pt>
                <c:pt idx="3956">
                  <c:v>46164</c:v>
                </c:pt>
                <c:pt idx="3957">
                  <c:v>46165</c:v>
                </c:pt>
                <c:pt idx="3958">
                  <c:v>46166</c:v>
                </c:pt>
                <c:pt idx="3959">
                  <c:v>46167</c:v>
                </c:pt>
                <c:pt idx="3960">
                  <c:v>46168</c:v>
                </c:pt>
                <c:pt idx="3961">
                  <c:v>46169</c:v>
                </c:pt>
                <c:pt idx="3962">
                  <c:v>46170</c:v>
                </c:pt>
                <c:pt idx="3963">
                  <c:v>46171</c:v>
                </c:pt>
                <c:pt idx="3964">
                  <c:v>46172</c:v>
                </c:pt>
                <c:pt idx="3965">
                  <c:v>46173</c:v>
                </c:pt>
                <c:pt idx="3966">
                  <c:v>46174</c:v>
                </c:pt>
                <c:pt idx="3967">
                  <c:v>46175</c:v>
                </c:pt>
                <c:pt idx="3968">
                  <c:v>46176</c:v>
                </c:pt>
                <c:pt idx="3969">
                  <c:v>46177</c:v>
                </c:pt>
                <c:pt idx="3970">
                  <c:v>46178</c:v>
                </c:pt>
                <c:pt idx="3971">
                  <c:v>46179</c:v>
                </c:pt>
                <c:pt idx="3972">
                  <c:v>46180</c:v>
                </c:pt>
                <c:pt idx="3973">
                  <c:v>46181</c:v>
                </c:pt>
                <c:pt idx="3974">
                  <c:v>46182</c:v>
                </c:pt>
                <c:pt idx="3975">
                  <c:v>46183</c:v>
                </c:pt>
                <c:pt idx="3976">
                  <c:v>46184</c:v>
                </c:pt>
                <c:pt idx="3977">
                  <c:v>46185</c:v>
                </c:pt>
                <c:pt idx="3978">
                  <c:v>46186</c:v>
                </c:pt>
                <c:pt idx="3979">
                  <c:v>46187</c:v>
                </c:pt>
                <c:pt idx="3980">
                  <c:v>46188</c:v>
                </c:pt>
                <c:pt idx="3981">
                  <c:v>46189</c:v>
                </c:pt>
                <c:pt idx="3982">
                  <c:v>46190</c:v>
                </c:pt>
                <c:pt idx="3983">
                  <c:v>46191</c:v>
                </c:pt>
                <c:pt idx="3984">
                  <c:v>46192</c:v>
                </c:pt>
                <c:pt idx="3985">
                  <c:v>46193</c:v>
                </c:pt>
                <c:pt idx="3986">
                  <c:v>46194</c:v>
                </c:pt>
                <c:pt idx="3987">
                  <c:v>46195</c:v>
                </c:pt>
                <c:pt idx="3988">
                  <c:v>46196</c:v>
                </c:pt>
                <c:pt idx="3989">
                  <c:v>46197</c:v>
                </c:pt>
                <c:pt idx="3990">
                  <c:v>46198</c:v>
                </c:pt>
                <c:pt idx="3991">
                  <c:v>46199</c:v>
                </c:pt>
                <c:pt idx="3992">
                  <c:v>46200</c:v>
                </c:pt>
                <c:pt idx="3993">
                  <c:v>46201</c:v>
                </c:pt>
                <c:pt idx="3994">
                  <c:v>46202</c:v>
                </c:pt>
                <c:pt idx="3995">
                  <c:v>46203</c:v>
                </c:pt>
                <c:pt idx="3996">
                  <c:v>46204</c:v>
                </c:pt>
                <c:pt idx="3997">
                  <c:v>46205</c:v>
                </c:pt>
                <c:pt idx="3998">
                  <c:v>46206</c:v>
                </c:pt>
                <c:pt idx="3999">
                  <c:v>46207</c:v>
                </c:pt>
                <c:pt idx="4000">
                  <c:v>46208</c:v>
                </c:pt>
                <c:pt idx="4001">
                  <c:v>46209</c:v>
                </c:pt>
                <c:pt idx="4002">
                  <c:v>46210</c:v>
                </c:pt>
                <c:pt idx="4003">
                  <c:v>46211</c:v>
                </c:pt>
                <c:pt idx="4004">
                  <c:v>46212</c:v>
                </c:pt>
                <c:pt idx="4005">
                  <c:v>46213</c:v>
                </c:pt>
                <c:pt idx="4006">
                  <c:v>46214</c:v>
                </c:pt>
                <c:pt idx="4007">
                  <c:v>46215</c:v>
                </c:pt>
                <c:pt idx="4008">
                  <c:v>46216</c:v>
                </c:pt>
                <c:pt idx="4009">
                  <c:v>46217</c:v>
                </c:pt>
                <c:pt idx="4010">
                  <c:v>46218</c:v>
                </c:pt>
                <c:pt idx="4011">
                  <c:v>46219</c:v>
                </c:pt>
                <c:pt idx="4012">
                  <c:v>46220</c:v>
                </c:pt>
                <c:pt idx="4013">
                  <c:v>46221</c:v>
                </c:pt>
                <c:pt idx="4014">
                  <c:v>46222</c:v>
                </c:pt>
                <c:pt idx="4015">
                  <c:v>46223</c:v>
                </c:pt>
                <c:pt idx="4016">
                  <c:v>46224</c:v>
                </c:pt>
                <c:pt idx="4017">
                  <c:v>46225</c:v>
                </c:pt>
                <c:pt idx="4018">
                  <c:v>46226</c:v>
                </c:pt>
                <c:pt idx="4019">
                  <c:v>46227</c:v>
                </c:pt>
                <c:pt idx="4020">
                  <c:v>46228</c:v>
                </c:pt>
                <c:pt idx="4021">
                  <c:v>46229</c:v>
                </c:pt>
                <c:pt idx="4022">
                  <c:v>46230</c:v>
                </c:pt>
                <c:pt idx="4023">
                  <c:v>46231</c:v>
                </c:pt>
                <c:pt idx="4024">
                  <c:v>46232</c:v>
                </c:pt>
                <c:pt idx="4025">
                  <c:v>46233</c:v>
                </c:pt>
                <c:pt idx="4026">
                  <c:v>46234</c:v>
                </c:pt>
                <c:pt idx="4027">
                  <c:v>46235</c:v>
                </c:pt>
                <c:pt idx="4028">
                  <c:v>46236</c:v>
                </c:pt>
                <c:pt idx="4029">
                  <c:v>46237</c:v>
                </c:pt>
                <c:pt idx="4030">
                  <c:v>46238</c:v>
                </c:pt>
                <c:pt idx="4031">
                  <c:v>46239</c:v>
                </c:pt>
                <c:pt idx="4032">
                  <c:v>46240</c:v>
                </c:pt>
                <c:pt idx="4033">
                  <c:v>46241</c:v>
                </c:pt>
                <c:pt idx="4034">
                  <c:v>46242</c:v>
                </c:pt>
                <c:pt idx="4035">
                  <c:v>46243</c:v>
                </c:pt>
                <c:pt idx="4036">
                  <c:v>46244</c:v>
                </c:pt>
                <c:pt idx="4037">
                  <c:v>46245</c:v>
                </c:pt>
                <c:pt idx="4038">
                  <c:v>46246</c:v>
                </c:pt>
                <c:pt idx="4039">
                  <c:v>46247</c:v>
                </c:pt>
                <c:pt idx="4040">
                  <c:v>46248</c:v>
                </c:pt>
                <c:pt idx="4041">
                  <c:v>46249</c:v>
                </c:pt>
                <c:pt idx="4042">
                  <c:v>46250</c:v>
                </c:pt>
                <c:pt idx="4043">
                  <c:v>46251</c:v>
                </c:pt>
                <c:pt idx="4044">
                  <c:v>46252</c:v>
                </c:pt>
                <c:pt idx="4045">
                  <c:v>46253</c:v>
                </c:pt>
                <c:pt idx="4046">
                  <c:v>46254</c:v>
                </c:pt>
                <c:pt idx="4047">
                  <c:v>46255</c:v>
                </c:pt>
                <c:pt idx="4048">
                  <c:v>46256</c:v>
                </c:pt>
                <c:pt idx="4049">
                  <c:v>46257</c:v>
                </c:pt>
                <c:pt idx="4050">
                  <c:v>46258</c:v>
                </c:pt>
                <c:pt idx="4051">
                  <c:v>46259</c:v>
                </c:pt>
                <c:pt idx="4052">
                  <c:v>46260</c:v>
                </c:pt>
                <c:pt idx="4053">
                  <c:v>46261</c:v>
                </c:pt>
                <c:pt idx="4054">
                  <c:v>46262</c:v>
                </c:pt>
                <c:pt idx="4055">
                  <c:v>46263</c:v>
                </c:pt>
                <c:pt idx="4056">
                  <c:v>46264</c:v>
                </c:pt>
                <c:pt idx="4057">
                  <c:v>46265</c:v>
                </c:pt>
                <c:pt idx="4058">
                  <c:v>46266</c:v>
                </c:pt>
                <c:pt idx="4059">
                  <c:v>46267</c:v>
                </c:pt>
                <c:pt idx="4060">
                  <c:v>46268</c:v>
                </c:pt>
                <c:pt idx="4061">
                  <c:v>46269</c:v>
                </c:pt>
                <c:pt idx="4062">
                  <c:v>46270</c:v>
                </c:pt>
                <c:pt idx="4063">
                  <c:v>46271</c:v>
                </c:pt>
                <c:pt idx="4064">
                  <c:v>46272</c:v>
                </c:pt>
                <c:pt idx="4065">
                  <c:v>46273</c:v>
                </c:pt>
                <c:pt idx="4066">
                  <c:v>46274</c:v>
                </c:pt>
                <c:pt idx="4067">
                  <c:v>46275</c:v>
                </c:pt>
                <c:pt idx="4068">
                  <c:v>46276</c:v>
                </c:pt>
                <c:pt idx="4069">
                  <c:v>46277</c:v>
                </c:pt>
                <c:pt idx="4070">
                  <c:v>46278</c:v>
                </c:pt>
                <c:pt idx="4071">
                  <c:v>46279</c:v>
                </c:pt>
                <c:pt idx="4072">
                  <c:v>46280</c:v>
                </c:pt>
                <c:pt idx="4073">
                  <c:v>46281</c:v>
                </c:pt>
                <c:pt idx="4074">
                  <c:v>46282</c:v>
                </c:pt>
                <c:pt idx="4075">
                  <c:v>46283</c:v>
                </c:pt>
                <c:pt idx="4076">
                  <c:v>46284</c:v>
                </c:pt>
                <c:pt idx="4077">
                  <c:v>46285</c:v>
                </c:pt>
                <c:pt idx="4078">
                  <c:v>46286</c:v>
                </c:pt>
                <c:pt idx="4079">
                  <c:v>46287</c:v>
                </c:pt>
                <c:pt idx="4080">
                  <c:v>46288</c:v>
                </c:pt>
                <c:pt idx="4081">
                  <c:v>46289</c:v>
                </c:pt>
                <c:pt idx="4082">
                  <c:v>46290</c:v>
                </c:pt>
                <c:pt idx="4083">
                  <c:v>46291</c:v>
                </c:pt>
                <c:pt idx="4084">
                  <c:v>46292</c:v>
                </c:pt>
                <c:pt idx="4085">
                  <c:v>46293</c:v>
                </c:pt>
                <c:pt idx="4086">
                  <c:v>46294</c:v>
                </c:pt>
                <c:pt idx="4087">
                  <c:v>46295</c:v>
                </c:pt>
                <c:pt idx="4088">
                  <c:v>46296</c:v>
                </c:pt>
                <c:pt idx="4089">
                  <c:v>46297</c:v>
                </c:pt>
                <c:pt idx="4090">
                  <c:v>46298</c:v>
                </c:pt>
                <c:pt idx="4091">
                  <c:v>46299</c:v>
                </c:pt>
                <c:pt idx="4092">
                  <c:v>46300</c:v>
                </c:pt>
                <c:pt idx="4093">
                  <c:v>46301</c:v>
                </c:pt>
                <c:pt idx="4094">
                  <c:v>46302</c:v>
                </c:pt>
                <c:pt idx="4095">
                  <c:v>46303</c:v>
                </c:pt>
                <c:pt idx="4096">
                  <c:v>46304</c:v>
                </c:pt>
                <c:pt idx="4097">
                  <c:v>46305</c:v>
                </c:pt>
                <c:pt idx="4098">
                  <c:v>46306</c:v>
                </c:pt>
                <c:pt idx="4099">
                  <c:v>46307</c:v>
                </c:pt>
                <c:pt idx="4100">
                  <c:v>46308</c:v>
                </c:pt>
                <c:pt idx="4101">
                  <c:v>46309</c:v>
                </c:pt>
                <c:pt idx="4102">
                  <c:v>46310</c:v>
                </c:pt>
                <c:pt idx="4103">
                  <c:v>46311</c:v>
                </c:pt>
                <c:pt idx="4104">
                  <c:v>46312</c:v>
                </c:pt>
                <c:pt idx="4105">
                  <c:v>46313</c:v>
                </c:pt>
                <c:pt idx="4106">
                  <c:v>46314</c:v>
                </c:pt>
                <c:pt idx="4107">
                  <c:v>46315</c:v>
                </c:pt>
                <c:pt idx="4108">
                  <c:v>46316</c:v>
                </c:pt>
                <c:pt idx="4109">
                  <c:v>46317</c:v>
                </c:pt>
                <c:pt idx="4110">
                  <c:v>46318</c:v>
                </c:pt>
                <c:pt idx="4111">
                  <c:v>46319</c:v>
                </c:pt>
                <c:pt idx="4112">
                  <c:v>46320</c:v>
                </c:pt>
                <c:pt idx="4113">
                  <c:v>46321</c:v>
                </c:pt>
              </c:numCache>
            </c:numRef>
          </c:xVal>
          <c:yVal>
            <c:numRef>
              <c:f>Clean_Data!$J$201:$J$4314</c:f>
              <c:numCache>
                <c:formatCode>\$#,##0.00</c:formatCode>
                <c:ptCount val="4114"/>
                <c:pt idx="0">
                  <c:v>251.42965</c:v>
                </c:pt>
                <c:pt idx="1">
                  <c:v>250.9666</c:v>
                </c:pt>
                <c:pt idx="2">
                  <c:v>250.5222</c:v>
                </c:pt>
                <c:pt idx="3">
                  <c:v>250.0807</c:v>
                </c:pt>
                <c:pt idx="4">
                  <c:v>249.66465</c:v>
                </c:pt>
                <c:pt idx="5">
                  <c:v>249.2457</c:v>
                </c:pt>
                <c:pt idx="6">
                  <c:v>248.8495</c:v>
                </c:pt>
                <c:pt idx="7">
                  <c:v>248.49795</c:v>
                </c:pt>
                <c:pt idx="8">
                  <c:v>248.1904</c:v>
                </c:pt>
                <c:pt idx="9">
                  <c:v>247.91635</c:v>
                </c:pt>
                <c:pt idx="10">
                  <c:v>247.87905</c:v>
                </c:pt>
                <c:pt idx="11">
                  <c:v>247.99215</c:v>
                </c:pt>
                <c:pt idx="12">
                  <c:v>248.7969</c:v>
                </c:pt>
                <c:pt idx="13">
                  <c:v>249.20335</c:v>
                </c:pt>
                <c:pt idx="14">
                  <c:v>249.6199</c:v>
                </c:pt>
                <c:pt idx="15">
                  <c:v>250.09815</c:v>
                </c:pt>
                <c:pt idx="16">
                  <c:v>250.3703</c:v>
                </c:pt>
                <c:pt idx="17">
                  <c:v>250.5904</c:v>
                </c:pt>
                <c:pt idx="18">
                  <c:v>250.801</c:v>
                </c:pt>
                <c:pt idx="19">
                  <c:v>250.99515</c:v>
                </c:pt>
                <c:pt idx="20">
                  <c:v>251.1801</c:v>
                </c:pt>
                <c:pt idx="21">
                  <c:v>251.3148</c:v>
                </c:pt>
                <c:pt idx="22">
                  <c:v>251.3655</c:v>
                </c:pt>
                <c:pt idx="23">
                  <c:v>251.32395</c:v>
                </c:pt>
                <c:pt idx="24">
                  <c:v>251.318</c:v>
                </c:pt>
                <c:pt idx="25">
                  <c:v>251.43355</c:v>
                </c:pt>
                <c:pt idx="26">
                  <c:v>251.54495</c:v>
                </c:pt>
                <c:pt idx="27">
                  <c:v>251.50955</c:v>
                </c:pt>
                <c:pt idx="28">
                  <c:v>251.554</c:v>
                </c:pt>
                <c:pt idx="29">
                  <c:v>251.58685</c:v>
                </c:pt>
                <c:pt idx="30">
                  <c:v>251.56195</c:v>
                </c:pt>
                <c:pt idx="31">
                  <c:v>251.5748</c:v>
                </c:pt>
                <c:pt idx="32">
                  <c:v>251.5853</c:v>
                </c:pt>
                <c:pt idx="33">
                  <c:v>251.5573</c:v>
                </c:pt>
                <c:pt idx="34">
                  <c:v>251.55995</c:v>
                </c:pt>
                <c:pt idx="35">
                  <c:v>251.549</c:v>
                </c:pt>
                <c:pt idx="36">
                  <c:v>251.55805</c:v>
                </c:pt>
                <c:pt idx="37">
                  <c:v>251.6103</c:v>
                </c:pt>
                <c:pt idx="38">
                  <c:v>251.659</c:v>
                </c:pt>
                <c:pt idx="39">
                  <c:v>251.7069</c:v>
                </c:pt>
                <c:pt idx="40">
                  <c:v>251.7446</c:v>
                </c:pt>
                <c:pt idx="41">
                  <c:v>251.70325</c:v>
                </c:pt>
                <c:pt idx="42">
                  <c:v>251.5698</c:v>
                </c:pt>
                <c:pt idx="43">
                  <c:v>251.52835</c:v>
                </c:pt>
                <c:pt idx="44">
                  <c:v>251.5119</c:v>
                </c:pt>
                <c:pt idx="45">
                  <c:v>251.46785</c:v>
                </c:pt>
                <c:pt idx="46">
                  <c:v>251.48685</c:v>
                </c:pt>
                <c:pt idx="47">
                  <c:v>251.4889</c:v>
                </c:pt>
                <c:pt idx="48">
                  <c:v>251.4829</c:v>
                </c:pt>
                <c:pt idx="49">
                  <c:v>251.4467</c:v>
                </c:pt>
                <c:pt idx="50">
                  <c:v>251.45515</c:v>
                </c:pt>
                <c:pt idx="51">
                  <c:v>251.4622</c:v>
                </c:pt>
                <c:pt idx="52">
                  <c:v>251.44535</c:v>
                </c:pt>
                <c:pt idx="53">
                  <c:v>251.4085</c:v>
                </c:pt>
                <c:pt idx="54">
                  <c:v>251.378</c:v>
                </c:pt>
                <c:pt idx="55">
                  <c:v>251.2589</c:v>
                </c:pt>
                <c:pt idx="56">
                  <c:v>251.1296</c:v>
                </c:pt>
                <c:pt idx="57">
                  <c:v>250.9951</c:v>
                </c:pt>
                <c:pt idx="58">
                  <c:v>250.7805</c:v>
                </c:pt>
                <c:pt idx="59">
                  <c:v>250.52855</c:v>
                </c:pt>
                <c:pt idx="60">
                  <c:v>250.3229</c:v>
                </c:pt>
                <c:pt idx="61">
                  <c:v>250.07515</c:v>
                </c:pt>
                <c:pt idx="62">
                  <c:v>249.8654</c:v>
                </c:pt>
                <c:pt idx="63">
                  <c:v>249.63225</c:v>
                </c:pt>
                <c:pt idx="64">
                  <c:v>249.4311</c:v>
                </c:pt>
                <c:pt idx="65">
                  <c:v>249.1596</c:v>
                </c:pt>
                <c:pt idx="66">
                  <c:v>248.8657</c:v>
                </c:pt>
                <c:pt idx="67">
                  <c:v>248.54865</c:v>
                </c:pt>
                <c:pt idx="68">
                  <c:v>248.26835</c:v>
                </c:pt>
                <c:pt idx="69">
                  <c:v>248.0328</c:v>
                </c:pt>
                <c:pt idx="70">
                  <c:v>247.79875</c:v>
                </c:pt>
                <c:pt idx="71">
                  <c:v>247.55045</c:v>
                </c:pt>
                <c:pt idx="72">
                  <c:v>247.28</c:v>
                </c:pt>
                <c:pt idx="73">
                  <c:v>247.0459</c:v>
                </c:pt>
                <c:pt idx="74">
                  <c:v>246.95275</c:v>
                </c:pt>
                <c:pt idx="75">
                  <c:v>246.84225</c:v>
                </c:pt>
                <c:pt idx="76">
                  <c:v>246.7589</c:v>
                </c:pt>
                <c:pt idx="77">
                  <c:v>246.6694</c:v>
                </c:pt>
                <c:pt idx="78">
                  <c:v>246.53685</c:v>
                </c:pt>
                <c:pt idx="79">
                  <c:v>246.42095</c:v>
                </c:pt>
                <c:pt idx="80">
                  <c:v>246.42055</c:v>
                </c:pt>
                <c:pt idx="81">
                  <c:v>246.43125</c:v>
                </c:pt>
                <c:pt idx="82">
                  <c:v>246.4138</c:v>
                </c:pt>
                <c:pt idx="83">
                  <c:v>246.4297</c:v>
                </c:pt>
                <c:pt idx="84">
                  <c:v>246.42845</c:v>
                </c:pt>
                <c:pt idx="85">
                  <c:v>246.48495</c:v>
                </c:pt>
                <c:pt idx="86">
                  <c:v>246.5582</c:v>
                </c:pt>
                <c:pt idx="87">
                  <c:v>246.69505</c:v>
                </c:pt>
                <c:pt idx="88">
                  <c:v>246.7807</c:v>
                </c:pt>
                <c:pt idx="89">
                  <c:v>246.8346</c:v>
                </c:pt>
                <c:pt idx="90">
                  <c:v>246.9161</c:v>
                </c:pt>
                <c:pt idx="91">
                  <c:v>246.98815</c:v>
                </c:pt>
                <c:pt idx="92">
                  <c:v>247.06</c:v>
                </c:pt>
                <c:pt idx="93">
                  <c:v>247.16955</c:v>
                </c:pt>
                <c:pt idx="94">
                  <c:v>247.31965</c:v>
                </c:pt>
                <c:pt idx="95">
                  <c:v>247.5116</c:v>
                </c:pt>
                <c:pt idx="96">
                  <c:v>247.7234</c:v>
                </c:pt>
                <c:pt idx="97">
                  <c:v>248.01755</c:v>
                </c:pt>
                <c:pt idx="98">
                  <c:v>248.34845</c:v>
                </c:pt>
                <c:pt idx="99">
                  <c:v>248.7411</c:v>
                </c:pt>
                <c:pt idx="100">
                  <c:v>249.258</c:v>
                </c:pt>
                <c:pt idx="101">
                  <c:v>249.727</c:v>
                </c:pt>
                <c:pt idx="102">
                  <c:v>250.25255</c:v>
                </c:pt>
                <c:pt idx="103">
                  <c:v>250.93135</c:v>
                </c:pt>
                <c:pt idx="104">
                  <c:v>251.83375</c:v>
                </c:pt>
                <c:pt idx="105">
                  <c:v>252.76365</c:v>
                </c:pt>
                <c:pt idx="106">
                  <c:v>253.57955</c:v>
                </c:pt>
                <c:pt idx="107">
                  <c:v>254.32315</c:v>
                </c:pt>
                <c:pt idx="108">
                  <c:v>255.06775</c:v>
                </c:pt>
                <c:pt idx="109">
                  <c:v>255.767</c:v>
                </c:pt>
                <c:pt idx="110">
                  <c:v>256.4847</c:v>
                </c:pt>
                <c:pt idx="111">
                  <c:v>257.01285</c:v>
                </c:pt>
                <c:pt idx="112">
                  <c:v>257.4436</c:v>
                </c:pt>
                <c:pt idx="113">
                  <c:v>258.0197</c:v>
                </c:pt>
                <c:pt idx="114">
                  <c:v>258.57215</c:v>
                </c:pt>
                <c:pt idx="115">
                  <c:v>259.1175</c:v>
                </c:pt>
                <c:pt idx="116">
                  <c:v>259.60415</c:v>
                </c:pt>
                <c:pt idx="117">
                  <c:v>260.08455</c:v>
                </c:pt>
                <c:pt idx="118">
                  <c:v>260.6013</c:v>
                </c:pt>
                <c:pt idx="119">
                  <c:v>261.09905</c:v>
                </c:pt>
                <c:pt idx="120">
                  <c:v>261.5272</c:v>
                </c:pt>
                <c:pt idx="121">
                  <c:v>261.9404</c:v>
                </c:pt>
                <c:pt idx="122">
                  <c:v>262.3916</c:v>
                </c:pt>
                <c:pt idx="123">
                  <c:v>262.86015</c:v>
                </c:pt>
                <c:pt idx="124">
                  <c:v>263.2852</c:v>
                </c:pt>
                <c:pt idx="125">
                  <c:v>263.6675</c:v>
                </c:pt>
                <c:pt idx="126">
                  <c:v>264.0999</c:v>
                </c:pt>
                <c:pt idx="127">
                  <c:v>264.6549</c:v>
                </c:pt>
                <c:pt idx="128">
                  <c:v>265.23155</c:v>
                </c:pt>
                <c:pt idx="129">
                  <c:v>265.8076</c:v>
                </c:pt>
                <c:pt idx="130">
                  <c:v>266.4872</c:v>
                </c:pt>
                <c:pt idx="131">
                  <c:v>267.1842</c:v>
                </c:pt>
                <c:pt idx="132">
                  <c:v>267.8085</c:v>
                </c:pt>
                <c:pt idx="133">
                  <c:v>268.42485</c:v>
                </c:pt>
                <c:pt idx="134">
                  <c:v>269.0481</c:v>
                </c:pt>
                <c:pt idx="135">
                  <c:v>269.6978</c:v>
                </c:pt>
                <c:pt idx="136">
                  <c:v>270.4748</c:v>
                </c:pt>
                <c:pt idx="137">
                  <c:v>271.23985</c:v>
                </c:pt>
                <c:pt idx="138">
                  <c:v>272.03465</c:v>
                </c:pt>
                <c:pt idx="139">
                  <c:v>272.9271</c:v>
                </c:pt>
                <c:pt idx="140">
                  <c:v>273.82225</c:v>
                </c:pt>
                <c:pt idx="141">
                  <c:v>274.69655</c:v>
                </c:pt>
                <c:pt idx="142">
                  <c:v>275.77415</c:v>
                </c:pt>
                <c:pt idx="143">
                  <c:v>276.77455</c:v>
                </c:pt>
                <c:pt idx="144">
                  <c:v>277.75695</c:v>
                </c:pt>
                <c:pt idx="145">
                  <c:v>278.7903</c:v>
                </c:pt>
                <c:pt idx="146">
                  <c:v>279.9272</c:v>
                </c:pt>
                <c:pt idx="147">
                  <c:v>281.0293</c:v>
                </c:pt>
                <c:pt idx="148">
                  <c:v>282.15575</c:v>
                </c:pt>
                <c:pt idx="149">
                  <c:v>283.3538</c:v>
                </c:pt>
                <c:pt idx="150">
                  <c:v>284.531</c:v>
                </c:pt>
                <c:pt idx="151">
                  <c:v>285.6128</c:v>
                </c:pt>
                <c:pt idx="152">
                  <c:v>286.674</c:v>
                </c:pt>
                <c:pt idx="153">
                  <c:v>287.71875</c:v>
                </c:pt>
                <c:pt idx="154">
                  <c:v>288.8035</c:v>
                </c:pt>
                <c:pt idx="155">
                  <c:v>289.96275</c:v>
                </c:pt>
                <c:pt idx="156">
                  <c:v>291.09645</c:v>
                </c:pt>
                <c:pt idx="157">
                  <c:v>292.0476</c:v>
                </c:pt>
                <c:pt idx="158">
                  <c:v>293.02755</c:v>
                </c:pt>
                <c:pt idx="159">
                  <c:v>293.9888</c:v>
                </c:pt>
                <c:pt idx="160">
                  <c:v>295.0109</c:v>
                </c:pt>
                <c:pt idx="161">
                  <c:v>295.9833</c:v>
                </c:pt>
                <c:pt idx="162">
                  <c:v>296.96705</c:v>
                </c:pt>
                <c:pt idx="163">
                  <c:v>297.9604</c:v>
                </c:pt>
                <c:pt idx="164">
                  <c:v>298.87785</c:v>
                </c:pt>
                <c:pt idx="165">
                  <c:v>299.78615</c:v>
                </c:pt>
                <c:pt idx="166">
                  <c:v>300.70905</c:v>
                </c:pt>
                <c:pt idx="167">
                  <c:v>301.6441</c:v>
                </c:pt>
                <c:pt idx="168">
                  <c:v>302.5678</c:v>
                </c:pt>
                <c:pt idx="169">
                  <c:v>303.63985</c:v>
                </c:pt>
                <c:pt idx="170">
                  <c:v>304.67455</c:v>
                </c:pt>
                <c:pt idx="171">
                  <c:v>305.70385</c:v>
                </c:pt>
                <c:pt idx="172">
                  <c:v>306.7536</c:v>
                </c:pt>
                <c:pt idx="173">
                  <c:v>307.78735</c:v>
                </c:pt>
                <c:pt idx="174">
                  <c:v>308.7424</c:v>
                </c:pt>
                <c:pt idx="175">
                  <c:v>309.6483</c:v>
                </c:pt>
                <c:pt idx="176">
                  <c:v>310.5529</c:v>
                </c:pt>
                <c:pt idx="177">
                  <c:v>311.05285</c:v>
                </c:pt>
                <c:pt idx="178">
                  <c:v>311.67725</c:v>
                </c:pt>
                <c:pt idx="179">
                  <c:v>312.27445</c:v>
                </c:pt>
                <c:pt idx="180">
                  <c:v>312.92465</c:v>
                </c:pt>
                <c:pt idx="181">
                  <c:v>313.51625</c:v>
                </c:pt>
                <c:pt idx="182">
                  <c:v>314.30575</c:v>
                </c:pt>
                <c:pt idx="183">
                  <c:v>314.99395</c:v>
                </c:pt>
                <c:pt idx="184">
                  <c:v>315.55875</c:v>
                </c:pt>
                <c:pt idx="185">
                  <c:v>316.16535</c:v>
                </c:pt>
                <c:pt idx="186">
                  <c:v>316.82575</c:v>
                </c:pt>
                <c:pt idx="187">
                  <c:v>317.434</c:v>
                </c:pt>
                <c:pt idx="188">
                  <c:v>317.95835</c:v>
                </c:pt>
                <c:pt idx="189">
                  <c:v>318.46115</c:v>
                </c:pt>
                <c:pt idx="190">
                  <c:v>318.7984</c:v>
                </c:pt>
                <c:pt idx="191">
                  <c:v>319.2264</c:v>
                </c:pt>
                <c:pt idx="192">
                  <c:v>319.68115</c:v>
                </c:pt>
                <c:pt idx="193">
                  <c:v>320.0924</c:v>
                </c:pt>
                <c:pt idx="194">
                  <c:v>320.55215</c:v>
                </c:pt>
                <c:pt idx="195">
                  <c:v>321.0139</c:v>
                </c:pt>
                <c:pt idx="196">
                  <c:v>321.4697</c:v>
                </c:pt>
                <c:pt idx="197">
                  <c:v>322.0316</c:v>
                </c:pt>
                <c:pt idx="198">
                  <c:v>322.5541</c:v>
                </c:pt>
                <c:pt idx="199">
                  <c:v>323.0447</c:v>
                </c:pt>
                <c:pt idx="200">
                  <c:v>323.5427</c:v>
                </c:pt>
                <c:pt idx="201">
                  <c:v>324.01145</c:v>
                </c:pt>
                <c:pt idx="202">
                  <c:v>324.42925</c:v>
                </c:pt>
                <c:pt idx="203">
                  <c:v>324.87295</c:v>
                </c:pt>
                <c:pt idx="204">
                  <c:v>325.29465</c:v>
                </c:pt>
                <c:pt idx="205">
                  <c:v>325.73385</c:v>
                </c:pt>
                <c:pt idx="206">
                  <c:v>326.21005</c:v>
                </c:pt>
                <c:pt idx="207">
                  <c:v>326.79205</c:v>
                </c:pt>
                <c:pt idx="208">
                  <c:v>327.34435</c:v>
                </c:pt>
                <c:pt idx="209">
                  <c:v>327.9555</c:v>
                </c:pt>
                <c:pt idx="210">
                  <c:v>328.62385</c:v>
                </c:pt>
                <c:pt idx="211">
                  <c:v>329.3167</c:v>
                </c:pt>
                <c:pt idx="212">
                  <c:v>330.01555</c:v>
                </c:pt>
                <c:pt idx="213">
                  <c:v>330.7753</c:v>
                </c:pt>
                <c:pt idx="214">
                  <c:v>331.55425</c:v>
                </c:pt>
                <c:pt idx="215">
                  <c:v>332.34375</c:v>
                </c:pt>
                <c:pt idx="216">
                  <c:v>333.0439</c:v>
                </c:pt>
                <c:pt idx="217">
                  <c:v>333.8535</c:v>
                </c:pt>
                <c:pt idx="218">
                  <c:v>334.63305</c:v>
                </c:pt>
                <c:pt idx="219">
                  <c:v>335.46155</c:v>
                </c:pt>
                <c:pt idx="220">
                  <c:v>336.2672</c:v>
                </c:pt>
                <c:pt idx="221">
                  <c:v>337.10115</c:v>
                </c:pt>
                <c:pt idx="222">
                  <c:v>337.96</c:v>
                </c:pt>
                <c:pt idx="223">
                  <c:v>338.79455</c:v>
                </c:pt>
                <c:pt idx="224">
                  <c:v>339.5842</c:v>
                </c:pt>
                <c:pt idx="225">
                  <c:v>340.3822</c:v>
                </c:pt>
                <c:pt idx="226">
                  <c:v>341.1324</c:v>
                </c:pt>
                <c:pt idx="227">
                  <c:v>342.00285</c:v>
                </c:pt>
                <c:pt idx="228">
                  <c:v>342.88235</c:v>
                </c:pt>
                <c:pt idx="229">
                  <c:v>343.7656</c:v>
                </c:pt>
                <c:pt idx="230">
                  <c:v>344.65725</c:v>
                </c:pt>
                <c:pt idx="231">
                  <c:v>345.5655</c:v>
                </c:pt>
                <c:pt idx="232">
                  <c:v>346.49935</c:v>
                </c:pt>
                <c:pt idx="233">
                  <c:v>347.5405</c:v>
                </c:pt>
                <c:pt idx="234">
                  <c:v>348.47475</c:v>
                </c:pt>
                <c:pt idx="235">
                  <c:v>349.4033</c:v>
                </c:pt>
                <c:pt idx="236">
                  <c:v>350.3494</c:v>
                </c:pt>
                <c:pt idx="237">
                  <c:v>351.2687</c:v>
                </c:pt>
                <c:pt idx="238">
                  <c:v>352.196</c:v>
                </c:pt>
                <c:pt idx="239">
                  <c:v>353.1411</c:v>
                </c:pt>
                <c:pt idx="240">
                  <c:v>354.0356</c:v>
                </c:pt>
                <c:pt idx="241">
                  <c:v>354.9455</c:v>
                </c:pt>
                <c:pt idx="242">
                  <c:v>355.852</c:v>
                </c:pt>
                <c:pt idx="243">
                  <c:v>356.77575</c:v>
                </c:pt>
                <c:pt idx="244">
                  <c:v>357.7021</c:v>
                </c:pt>
                <c:pt idx="245">
                  <c:v>358.6097</c:v>
                </c:pt>
                <c:pt idx="246">
                  <c:v>359.468</c:v>
                </c:pt>
                <c:pt idx="247">
                  <c:v>360.3435</c:v>
                </c:pt>
                <c:pt idx="248">
                  <c:v>361.20765</c:v>
                </c:pt>
                <c:pt idx="249">
                  <c:v>362.1404</c:v>
                </c:pt>
                <c:pt idx="250">
                  <c:v>363.0628</c:v>
                </c:pt>
                <c:pt idx="251">
                  <c:v>363.94025</c:v>
                </c:pt>
                <c:pt idx="252">
                  <c:v>364.8217</c:v>
                </c:pt>
                <c:pt idx="253">
                  <c:v>365.74775</c:v>
                </c:pt>
                <c:pt idx="254">
                  <c:v>366.6811</c:v>
                </c:pt>
                <c:pt idx="255">
                  <c:v>367.62785</c:v>
                </c:pt>
                <c:pt idx="256">
                  <c:v>368.58</c:v>
                </c:pt>
                <c:pt idx="257">
                  <c:v>369.51065</c:v>
                </c:pt>
                <c:pt idx="258">
                  <c:v>370.45355</c:v>
                </c:pt>
                <c:pt idx="259">
                  <c:v>371.39645</c:v>
                </c:pt>
                <c:pt idx="260">
                  <c:v>372.3452</c:v>
                </c:pt>
                <c:pt idx="261">
                  <c:v>373.30605</c:v>
                </c:pt>
                <c:pt idx="262">
                  <c:v>374.24695</c:v>
                </c:pt>
                <c:pt idx="263">
                  <c:v>375.21265</c:v>
                </c:pt>
                <c:pt idx="264">
                  <c:v>376.156</c:v>
                </c:pt>
                <c:pt idx="265">
                  <c:v>377.11555</c:v>
                </c:pt>
                <c:pt idx="266">
                  <c:v>378.07</c:v>
                </c:pt>
                <c:pt idx="267">
                  <c:v>379.0337</c:v>
                </c:pt>
                <c:pt idx="268">
                  <c:v>379.9884</c:v>
                </c:pt>
                <c:pt idx="269">
                  <c:v>380.9709</c:v>
                </c:pt>
                <c:pt idx="270">
                  <c:v>381.9402</c:v>
                </c:pt>
                <c:pt idx="271">
                  <c:v>382.90335</c:v>
                </c:pt>
                <c:pt idx="272">
                  <c:v>383.89725</c:v>
                </c:pt>
                <c:pt idx="273">
                  <c:v>384.91245</c:v>
                </c:pt>
                <c:pt idx="274">
                  <c:v>385.97435</c:v>
                </c:pt>
                <c:pt idx="275">
                  <c:v>387.01165</c:v>
                </c:pt>
                <c:pt idx="276">
                  <c:v>388.0569</c:v>
                </c:pt>
                <c:pt idx="277">
                  <c:v>389.1592</c:v>
                </c:pt>
                <c:pt idx="278">
                  <c:v>390.27535</c:v>
                </c:pt>
                <c:pt idx="279">
                  <c:v>391.40655</c:v>
                </c:pt>
                <c:pt idx="280">
                  <c:v>392.40275</c:v>
                </c:pt>
                <c:pt idx="281">
                  <c:v>393.41605</c:v>
                </c:pt>
                <c:pt idx="282">
                  <c:v>394.4782</c:v>
                </c:pt>
                <c:pt idx="283">
                  <c:v>395.49335</c:v>
                </c:pt>
                <c:pt idx="284">
                  <c:v>396.5119</c:v>
                </c:pt>
                <c:pt idx="285">
                  <c:v>397.46905</c:v>
                </c:pt>
                <c:pt idx="286">
                  <c:v>398.41295</c:v>
                </c:pt>
                <c:pt idx="287">
                  <c:v>399.292</c:v>
                </c:pt>
                <c:pt idx="288">
                  <c:v>400.2169</c:v>
                </c:pt>
                <c:pt idx="289">
                  <c:v>401.2026</c:v>
                </c:pt>
                <c:pt idx="290">
                  <c:v>402.15645</c:v>
                </c:pt>
                <c:pt idx="291">
                  <c:v>403.12655</c:v>
                </c:pt>
                <c:pt idx="292">
                  <c:v>404.06815</c:v>
                </c:pt>
                <c:pt idx="293">
                  <c:v>404.93825</c:v>
                </c:pt>
                <c:pt idx="294">
                  <c:v>405.78865</c:v>
                </c:pt>
                <c:pt idx="295">
                  <c:v>406.6462</c:v>
                </c:pt>
                <c:pt idx="296">
                  <c:v>407.5006</c:v>
                </c:pt>
                <c:pt idx="297">
                  <c:v>408.31705</c:v>
                </c:pt>
                <c:pt idx="298">
                  <c:v>409.10395</c:v>
                </c:pt>
                <c:pt idx="299">
                  <c:v>409.80185</c:v>
                </c:pt>
                <c:pt idx="300">
                  <c:v>410.42725</c:v>
                </c:pt>
                <c:pt idx="301">
                  <c:v>411.1308</c:v>
                </c:pt>
                <c:pt idx="302">
                  <c:v>411.6754</c:v>
                </c:pt>
                <c:pt idx="303">
                  <c:v>412.0776</c:v>
                </c:pt>
                <c:pt idx="304">
                  <c:v>412.2885</c:v>
                </c:pt>
                <c:pt idx="305">
                  <c:v>412.4509</c:v>
                </c:pt>
                <c:pt idx="306">
                  <c:v>412.7432</c:v>
                </c:pt>
                <c:pt idx="307">
                  <c:v>413.1077</c:v>
                </c:pt>
                <c:pt idx="308">
                  <c:v>413.4411</c:v>
                </c:pt>
                <c:pt idx="309">
                  <c:v>413.8468</c:v>
                </c:pt>
                <c:pt idx="310">
                  <c:v>414.3055</c:v>
                </c:pt>
                <c:pt idx="311">
                  <c:v>415.23605</c:v>
                </c:pt>
                <c:pt idx="312">
                  <c:v>416.29615</c:v>
                </c:pt>
                <c:pt idx="313">
                  <c:v>417.27645</c:v>
                </c:pt>
                <c:pt idx="314">
                  <c:v>418.2428</c:v>
                </c:pt>
                <c:pt idx="315">
                  <c:v>419.24345</c:v>
                </c:pt>
                <c:pt idx="316">
                  <c:v>420.31815</c:v>
                </c:pt>
                <c:pt idx="317">
                  <c:v>421.50995</c:v>
                </c:pt>
                <c:pt idx="318">
                  <c:v>422.70905</c:v>
                </c:pt>
                <c:pt idx="319">
                  <c:v>423.90745</c:v>
                </c:pt>
                <c:pt idx="320">
                  <c:v>425.20925</c:v>
                </c:pt>
                <c:pt idx="321">
                  <c:v>426.49585</c:v>
                </c:pt>
                <c:pt idx="322">
                  <c:v>427.7769</c:v>
                </c:pt>
                <c:pt idx="323">
                  <c:v>429.04565</c:v>
                </c:pt>
                <c:pt idx="324">
                  <c:v>430.3322</c:v>
                </c:pt>
                <c:pt idx="325">
                  <c:v>431.7747</c:v>
                </c:pt>
                <c:pt idx="326">
                  <c:v>433.5191</c:v>
                </c:pt>
                <c:pt idx="327">
                  <c:v>435.2863</c:v>
                </c:pt>
                <c:pt idx="328">
                  <c:v>436.9201</c:v>
                </c:pt>
                <c:pt idx="329">
                  <c:v>438.6278</c:v>
                </c:pt>
                <c:pt idx="330">
                  <c:v>440.6154</c:v>
                </c:pt>
                <c:pt idx="331">
                  <c:v>442.4924</c:v>
                </c:pt>
                <c:pt idx="332">
                  <c:v>444.47395</c:v>
                </c:pt>
                <c:pt idx="333">
                  <c:v>446.51775</c:v>
                </c:pt>
                <c:pt idx="334">
                  <c:v>448.2245</c:v>
                </c:pt>
                <c:pt idx="335">
                  <c:v>449.7429</c:v>
                </c:pt>
                <c:pt idx="336">
                  <c:v>450.82545</c:v>
                </c:pt>
                <c:pt idx="337">
                  <c:v>452.0432</c:v>
                </c:pt>
                <c:pt idx="338">
                  <c:v>453.41945</c:v>
                </c:pt>
                <c:pt idx="339">
                  <c:v>454.6933</c:v>
                </c:pt>
                <c:pt idx="340">
                  <c:v>455.79415</c:v>
                </c:pt>
                <c:pt idx="341">
                  <c:v>457.0051</c:v>
                </c:pt>
                <c:pt idx="342">
                  <c:v>457.9825</c:v>
                </c:pt>
                <c:pt idx="343">
                  <c:v>458.99525</c:v>
                </c:pt>
                <c:pt idx="344">
                  <c:v>460.19355</c:v>
                </c:pt>
                <c:pt idx="345">
                  <c:v>461.36445</c:v>
                </c:pt>
                <c:pt idx="346">
                  <c:v>462.56785</c:v>
                </c:pt>
                <c:pt idx="347">
                  <c:v>463.61575</c:v>
                </c:pt>
                <c:pt idx="348">
                  <c:v>464.74815</c:v>
                </c:pt>
                <c:pt idx="349">
                  <c:v>465.78165</c:v>
                </c:pt>
                <c:pt idx="350">
                  <c:v>466.86915</c:v>
                </c:pt>
                <c:pt idx="351">
                  <c:v>467.8679</c:v>
                </c:pt>
                <c:pt idx="352">
                  <c:v>469.0205</c:v>
                </c:pt>
                <c:pt idx="353">
                  <c:v>470.13895</c:v>
                </c:pt>
                <c:pt idx="354">
                  <c:v>471.189</c:v>
                </c:pt>
                <c:pt idx="355">
                  <c:v>472.16515</c:v>
                </c:pt>
                <c:pt idx="356">
                  <c:v>473.21875</c:v>
                </c:pt>
                <c:pt idx="357">
                  <c:v>474.3984</c:v>
                </c:pt>
                <c:pt idx="358">
                  <c:v>475.58305</c:v>
                </c:pt>
                <c:pt idx="359">
                  <c:v>476.81075</c:v>
                </c:pt>
                <c:pt idx="360">
                  <c:v>477.9729</c:v>
                </c:pt>
                <c:pt idx="361">
                  <c:v>479.23315</c:v>
                </c:pt>
                <c:pt idx="362">
                  <c:v>480.4589</c:v>
                </c:pt>
                <c:pt idx="363">
                  <c:v>481.6505</c:v>
                </c:pt>
                <c:pt idx="364">
                  <c:v>482.8081</c:v>
                </c:pt>
                <c:pt idx="365">
                  <c:v>483.98495</c:v>
                </c:pt>
                <c:pt idx="366">
                  <c:v>485.08905</c:v>
                </c:pt>
                <c:pt idx="367">
                  <c:v>486.20985</c:v>
                </c:pt>
                <c:pt idx="368">
                  <c:v>487.3605</c:v>
                </c:pt>
                <c:pt idx="369">
                  <c:v>488.3541</c:v>
                </c:pt>
                <c:pt idx="370">
                  <c:v>489.3522</c:v>
                </c:pt>
                <c:pt idx="371">
                  <c:v>490.38705</c:v>
                </c:pt>
                <c:pt idx="372">
                  <c:v>491.4241</c:v>
                </c:pt>
                <c:pt idx="373">
                  <c:v>492.46315</c:v>
                </c:pt>
                <c:pt idx="374">
                  <c:v>493.57245</c:v>
                </c:pt>
                <c:pt idx="375">
                  <c:v>494.54345</c:v>
                </c:pt>
                <c:pt idx="376">
                  <c:v>495.4193</c:v>
                </c:pt>
                <c:pt idx="377">
                  <c:v>496.319</c:v>
                </c:pt>
                <c:pt idx="378">
                  <c:v>497.2423</c:v>
                </c:pt>
                <c:pt idx="379">
                  <c:v>498.2875</c:v>
                </c:pt>
                <c:pt idx="380">
                  <c:v>499.27805</c:v>
                </c:pt>
                <c:pt idx="381">
                  <c:v>500.36025</c:v>
                </c:pt>
                <c:pt idx="382">
                  <c:v>501.24325</c:v>
                </c:pt>
                <c:pt idx="383">
                  <c:v>502.15375</c:v>
                </c:pt>
                <c:pt idx="384">
                  <c:v>503.1715</c:v>
                </c:pt>
                <c:pt idx="385">
                  <c:v>504.2087</c:v>
                </c:pt>
                <c:pt idx="386">
                  <c:v>505.133</c:v>
                </c:pt>
                <c:pt idx="387">
                  <c:v>506.1147</c:v>
                </c:pt>
                <c:pt idx="388">
                  <c:v>507.08925</c:v>
                </c:pt>
                <c:pt idx="389">
                  <c:v>507.99025</c:v>
                </c:pt>
                <c:pt idx="390">
                  <c:v>508.93115</c:v>
                </c:pt>
                <c:pt idx="391">
                  <c:v>509.93285</c:v>
                </c:pt>
                <c:pt idx="392">
                  <c:v>510.9128</c:v>
                </c:pt>
                <c:pt idx="393">
                  <c:v>511.9435</c:v>
                </c:pt>
                <c:pt idx="394">
                  <c:v>512.9552</c:v>
                </c:pt>
                <c:pt idx="395">
                  <c:v>513.9999</c:v>
                </c:pt>
                <c:pt idx="396">
                  <c:v>515.062</c:v>
                </c:pt>
                <c:pt idx="397">
                  <c:v>516.04805</c:v>
                </c:pt>
                <c:pt idx="398">
                  <c:v>517.0375</c:v>
                </c:pt>
                <c:pt idx="399">
                  <c:v>518.05265</c:v>
                </c:pt>
                <c:pt idx="400">
                  <c:v>519.0431</c:v>
                </c:pt>
                <c:pt idx="401">
                  <c:v>520.08385</c:v>
                </c:pt>
                <c:pt idx="402">
                  <c:v>521.07465</c:v>
                </c:pt>
                <c:pt idx="403">
                  <c:v>522.0595</c:v>
                </c:pt>
                <c:pt idx="404">
                  <c:v>523.0344</c:v>
                </c:pt>
                <c:pt idx="405">
                  <c:v>523.9989</c:v>
                </c:pt>
                <c:pt idx="406">
                  <c:v>524.90835</c:v>
                </c:pt>
                <c:pt idx="407">
                  <c:v>525.7405</c:v>
                </c:pt>
                <c:pt idx="408">
                  <c:v>526.6268</c:v>
                </c:pt>
                <c:pt idx="409">
                  <c:v>527.59425</c:v>
                </c:pt>
                <c:pt idx="410">
                  <c:v>528.57785</c:v>
                </c:pt>
                <c:pt idx="411">
                  <c:v>529.50035</c:v>
                </c:pt>
                <c:pt idx="412">
                  <c:v>530.4617</c:v>
                </c:pt>
                <c:pt idx="413">
                  <c:v>531.35045</c:v>
                </c:pt>
                <c:pt idx="414">
                  <c:v>532.2975</c:v>
                </c:pt>
                <c:pt idx="415">
                  <c:v>533.2201</c:v>
                </c:pt>
                <c:pt idx="416">
                  <c:v>534.23895</c:v>
                </c:pt>
                <c:pt idx="417">
                  <c:v>535.15895</c:v>
                </c:pt>
                <c:pt idx="418">
                  <c:v>536.07495</c:v>
                </c:pt>
                <c:pt idx="419">
                  <c:v>536.96385</c:v>
                </c:pt>
                <c:pt idx="420">
                  <c:v>537.8404</c:v>
                </c:pt>
                <c:pt idx="421">
                  <c:v>538.69895</c:v>
                </c:pt>
                <c:pt idx="422">
                  <c:v>539.5564</c:v>
                </c:pt>
                <c:pt idx="423">
                  <c:v>540.4306</c:v>
                </c:pt>
                <c:pt idx="424">
                  <c:v>541.38565</c:v>
                </c:pt>
                <c:pt idx="425">
                  <c:v>542.33465</c:v>
                </c:pt>
                <c:pt idx="426">
                  <c:v>543.3259</c:v>
                </c:pt>
                <c:pt idx="427">
                  <c:v>544.3305</c:v>
                </c:pt>
                <c:pt idx="428">
                  <c:v>545.29535</c:v>
                </c:pt>
                <c:pt idx="429">
                  <c:v>546.2491</c:v>
                </c:pt>
                <c:pt idx="430">
                  <c:v>547.2116</c:v>
                </c:pt>
                <c:pt idx="431">
                  <c:v>548.15595</c:v>
                </c:pt>
                <c:pt idx="432">
                  <c:v>549.11145</c:v>
                </c:pt>
                <c:pt idx="433">
                  <c:v>550.04305</c:v>
                </c:pt>
                <c:pt idx="434">
                  <c:v>551.01535</c:v>
                </c:pt>
                <c:pt idx="435">
                  <c:v>551.9827</c:v>
                </c:pt>
                <c:pt idx="436">
                  <c:v>552.95255</c:v>
                </c:pt>
                <c:pt idx="437">
                  <c:v>553.95375</c:v>
                </c:pt>
                <c:pt idx="438">
                  <c:v>554.9354</c:v>
                </c:pt>
                <c:pt idx="439">
                  <c:v>555.9083</c:v>
                </c:pt>
                <c:pt idx="440">
                  <c:v>556.91175</c:v>
                </c:pt>
                <c:pt idx="441">
                  <c:v>557.92655</c:v>
                </c:pt>
                <c:pt idx="442">
                  <c:v>558.9296</c:v>
                </c:pt>
                <c:pt idx="443">
                  <c:v>559.9595</c:v>
                </c:pt>
                <c:pt idx="444">
                  <c:v>560.9737</c:v>
                </c:pt>
                <c:pt idx="445">
                  <c:v>561.97315</c:v>
                </c:pt>
                <c:pt idx="446">
                  <c:v>563.002</c:v>
                </c:pt>
                <c:pt idx="447">
                  <c:v>564.13055</c:v>
                </c:pt>
                <c:pt idx="448">
                  <c:v>565.22465</c:v>
                </c:pt>
                <c:pt idx="449">
                  <c:v>566.27645</c:v>
                </c:pt>
                <c:pt idx="450">
                  <c:v>567.3516</c:v>
                </c:pt>
                <c:pt idx="451">
                  <c:v>568.46045</c:v>
                </c:pt>
                <c:pt idx="452">
                  <c:v>569.6061</c:v>
                </c:pt>
                <c:pt idx="453">
                  <c:v>570.72375</c:v>
                </c:pt>
                <c:pt idx="454">
                  <c:v>571.8109</c:v>
                </c:pt>
                <c:pt idx="455">
                  <c:v>572.8601</c:v>
                </c:pt>
                <c:pt idx="456">
                  <c:v>573.89955</c:v>
                </c:pt>
                <c:pt idx="457">
                  <c:v>574.95635</c:v>
                </c:pt>
                <c:pt idx="458">
                  <c:v>576.1083</c:v>
                </c:pt>
                <c:pt idx="459">
                  <c:v>577.2562</c:v>
                </c:pt>
                <c:pt idx="460">
                  <c:v>578.39615</c:v>
                </c:pt>
                <c:pt idx="461">
                  <c:v>579.57025</c:v>
                </c:pt>
                <c:pt idx="462">
                  <c:v>580.84295</c:v>
                </c:pt>
                <c:pt idx="463">
                  <c:v>582.182</c:v>
                </c:pt>
                <c:pt idx="464">
                  <c:v>583.51205</c:v>
                </c:pt>
                <c:pt idx="465">
                  <c:v>584.94445</c:v>
                </c:pt>
                <c:pt idx="466">
                  <c:v>586.3036</c:v>
                </c:pt>
                <c:pt idx="467">
                  <c:v>587.6565</c:v>
                </c:pt>
                <c:pt idx="468">
                  <c:v>589.15535</c:v>
                </c:pt>
                <c:pt idx="469">
                  <c:v>590.7114</c:v>
                </c:pt>
                <c:pt idx="470">
                  <c:v>592.0064</c:v>
                </c:pt>
                <c:pt idx="471">
                  <c:v>593.38315</c:v>
                </c:pt>
                <c:pt idx="472">
                  <c:v>594.7328</c:v>
                </c:pt>
                <c:pt idx="473">
                  <c:v>596.1031</c:v>
                </c:pt>
                <c:pt idx="474">
                  <c:v>597.37395</c:v>
                </c:pt>
                <c:pt idx="475">
                  <c:v>598.68765</c:v>
                </c:pt>
                <c:pt idx="476">
                  <c:v>600.01405</c:v>
                </c:pt>
                <c:pt idx="477">
                  <c:v>601.2563</c:v>
                </c:pt>
                <c:pt idx="478">
                  <c:v>602.50995</c:v>
                </c:pt>
                <c:pt idx="479">
                  <c:v>603.67965</c:v>
                </c:pt>
                <c:pt idx="480">
                  <c:v>604.97315</c:v>
                </c:pt>
                <c:pt idx="481">
                  <c:v>606.25635</c:v>
                </c:pt>
                <c:pt idx="482">
                  <c:v>607.5237</c:v>
                </c:pt>
                <c:pt idx="483">
                  <c:v>608.95285</c:v>
                </c:pt>
                <c:pt idx="484">
                  <c:v>610.3215</c:v>
                </c:pt>
                <c:pt idx="485">
                  <c:v>611.8321</c:v>
                </c:pt>
                <c:pt idx="486">
                  <c:v>613.3249</c:v>
                </c:pt>
                <c:pt idx="487">
                  <c:v>614.74145</c:v>
                </c:pt>
                <c:pt idx="488">
                  <c:v>616.17355</c:v>
                </c:pt>
                <c:pt idx="489">
                  <c:v>617.5953</c:v>
                </c:pt>
                <c:pt idx="490">
                  <c:v>618.99335</c:v>
                </c:pt>
                <c:pt idx="491">
                  <c:v>620.36935</c:v>
                </c:pt>
                <c:pt idx="492">
                  <c:v>621.74725</c:v>
                </c:pt>
                <c:pt idx="493">
                  <c:v>623.16185</c:v>
                </c:pt>
                <c:pt idx="494">
                  <c:v>624.5362</c:v>
                </c:pt>
                <c:pt idx="495">
                  <c:v>625.90265</c:v>
                </c:pt>
                <c:pt idx="496">
                  <c:v>627.2746</c:v>
                </c:pt>
                <c:pt idx="497">
                  <c:v>628.69355</c:v>
                </c:pt>
                <c:pt idx="498">
                  <c:v>630.1562</c:v>
                </c:pt>
                <c:pt idx="499">
                  <c:v>631.72415</c:v>
                </c:pt>
                <c:pt idx="500">
                  <c:v>633.2881</c:v>
                </c:pt>
                <c:pt idx="501">
                  <c:v>634.85025</c:v>
                </c:pt>
                <c:pt idx="502">
                  <c:v>636.41835</c:v>
                </c:pt>
                <c:pt idx="503">
                  <c:v>637.9891</c:v>
                </c:pt>
                <c:pt idx="504">
                  <c:v>639.5794</c:v>
                </c:pt>
                <c:pt idx="505">
                  <c:v>641.20645</c:v>
                </c:pt>
                <c:pt idx="506">
                  <c:v>642.8442</c:v>
                </c:pt>
                <c:pt idx="507">
                  <c:v>644.4886</c:v>
                </c:pt>
                <c:pt idx="508">
                  <c:v>646.0864</c:v>
                </c:pt>
                <c:pt idx="509">
                  <c:v>647.70625</c:v>
                </c:pt>
                <c:pt idx="510">
                  <c:v>649.2308</c:v>
                </c:pt>
                <c:pt idx="511">
                  <c:v>650.50285</c:v>
                </c:pt>
                <c:pt idx="512">
                  <c:v>651.75755</c:v>
                </c:pt>
                <c:pt idx="513">
                  <c:v>652.9997</c:v>
                </c:pt>
                <c:pt idx="514">
                  <c:v>654.28585</c:v>
                </c:pt>
                <c:pt idx="515">
                  <c:v>655.56525</c:v>
                </c:pt>
                <c:pt idx="516">
                  <c:v>656.82995</c:v>
                </c:pt>
                <c:pt idx="517">
                  <c:v>657.96865</c:v>
                </c:pt>
                <c:pt idx="518">
                  <c:v>659.2596</c:v>
                </c:pt>
                <c:pt idx="519">
                  <c:v>660.66385</c:v>
                </c:pt>
                <c:pt idx="520">
                  <c:v>662.3163</c:v>
                </c:pt>
                <c:pt idx="521">
                  <c:v>663.87525</c:v>
                </c:pt>
                <c:pt idx="522">
                  <c:v>665.4398</c:v>
                </c:pt>
                <c:pt idx="523">
                  <c:v>667.06295</c:v>
                </c:pt>
                <c:pt idx="524">
                  <c:v>668.7874</c:v>
                </c:pt>
                <c:pt idx="525">
                  <c:v>670.65075</c:v>
                </c:pt>
                <c:pt idx="526">
                  <c:v>672.11505</c:v>
                </c:pt>
                <c:pt idx="527">
                  <c:v>673.38905</c:v>
                </c:pt>
                <c:pt idx="528">
                  <c:v>674.83115</c:v>
                </c:pt>
                <c:pt idx="529">
                  <c:v>676.302</c:v>
                </c:pt>
                <c:pt idx="530">
                  <c:v>677.51045</c:v>
                </c:pt>
                <c:pt idx="531">
                  <c:v>678.8525</c:v>
                </c:pt>
                <c:pt idx="532">
                  <c:v>680.70905</c:v>
                </c:pt>
                <c:pt idx="533">
                  <c:v>681.90025</c:v>
                </c:pt>
                <c:pt idx="534">
                  <c:v>682.8632</c:v>
                </c:pt>
                <c:pt idx="535">
                  <c:v>684.0699</c:v>
                </c:pt>
                <c:pt idx="536">
                  <c:v>685.66405</c:v>
                </c:pt>
                <c:pt idx="537">
                  <c:v>687.02185</c:v>
                </c:pt>
                <c:pt idx="538">
                  <c:v>688.20695</c:v>
                </c:pt>
                <c:pt idx="539">
                  <c:v>688.81725</c:v>
                </c:pt>
                <c:pt idx="540">
                  <c:v>689.6857</c:v>
                </c:pt>
                <c:pt idx="541">
                  <c:v>690.55345</c:v>
                </c:pt>
                <c:pt idx="542">
                  <c:v>691.4513</c:v>
                </c:pt>
                <c:pt idx="543">
                  <c:v>692.42075</c:v>
                </c:pt>
                <c:pt idx="544">
                  <c:v>693.22535</c:v>
                </c:pt>
                <c:pt idx="545">
                  <c:v>694.3644</c:v>
                </c:pt>
                <c:pt idx="546">
                  <c:v>695.2796</c:v>
                </c:pt>
                <c:pt idx="547">
                  <c:v>696.47645</c:v>
                </c:pt>
                <c:pt idx="548">
                  <c:v>697.5381</c:v>
                </c:pt>
                <c:pt idx="549">
                  <c:v>698.81405</c:v>
                </c:pt>
                <c:pt idx="550">
                  <c:v>700.0762</c:v>
                </c:pt>
                <c:pt idx="551">
                  <c:v>701.41985</c:v>
                </c:pt>
                <c:pt idx="552">
                  <c:v>702.5182</c:v>
                </c:pt>
                <c:pt idx="553">
                  <c:v>703.71015</c:v>
                </c:pt>
                <c:pt idx="554">
                  <c:v>705.03305</c:v>
                </c:pt>
                <c:pt idx="555">
                  <c:v>706.39135</c:v>
                </c:pt>
                <c:pt idx="556">
                  <c:v>707.68345</c:v>
                </c:pt>
                <c:pt idx="557">
                  <c:v>708.98945</c:v>
                </c:pt>
                <c:pt idx="558">
                  <c:v>710.29735</c:v>
                </c:pt>
                <c:pt idx="559">
                  <c:v>711.81</c:v>
                </c:pt>
                <c:pt idx="560">
                  <c:v>713.44215</c:v>
                </c:pt>
                <c:pt idx="561">
                  <c:v>715.08405</c:v>
                </c:pt>
                <c:pt idx="562">
                  <c:v>716.79655</c:v>
                </c:pt>
                <c:pt idx="563">
                  <c:v>718.60435</c:v>
                </c:pt>
                <c:pt idx="564">
                  <c:v>720.35135</c:v>
                </c:pt>
                <c:pt idx="565">
                  <c:v>722.12785</c:v>
                </c:pt>
                <c:pt idx="566">
                  <c:v>724.1243</c:v>
                </c:pt>
                <c:pt idx="567">
                  <c:v>726.1203</c:v>
                </c:pt>
                <c:pt idx="568">
                  <c:v>727.7865</c:v>
                </c:pt>
                <c:pt idx="569">
                  <c:v>729.5075</c:v>
                </c:pt>
                <c:pt idx="570">
                  <c:v>731.33045</c:v>
                </c:pt>
                <c:pt idx="571">
                  <c:v>733.0937</c:v>
                </c:pt>
                <c:pt idx="572">
                  <c:v>734.8208</c:v>
                </c:pt>
                <c:pt idx="573">
                  <c:v>736.6054</c:v>
                </c:pt>
                <c:pt idx="574">
                  <c:v>738.3987</c:v>
                </c:pt>
                <c:pt idx="575">
                  <c:v>740.45855</c:v>
                </c:pt>
                <c:pt idx="576">
                  <c:v>742.71905</c:v>
                </c:pt>
                <c:pt idx="577">
                  <c:v>745.34245</c:v>
                </c:pt>
                <c:pt idx="578">
                  <c:v>747.77505</c:v>
                </c:pt>
                <c:pt idx="579">
                  <c:v>750.28665</c:v>
                </c:pt>
                <c:pt idx="580">
                  <c:v>753.0131</c:v>
                </c:pt>
                <c:pt idx="581">
                  <c:v>755.6981</c:v>
                </c:pt>
                <c:pt idx="582">
                  <c:v>758.6569</c:v>
                </c:pt>
                <c:pt idx="583">
                  <c:v>761.63405</c:v>
                </c:pt>
                <c:pt idx="584">
                  <c:v>764.4918</c:v>
                </c:pt>
                <c:pt idx="585">
                  <c:v>767.44165</c:v>
                </c:pt>
                <c:pt idx="586">
                  <c:v>770.48115</c:v>
                </c:pt>
                <c:pt idx="587">
                  <c:v>773.51785</c:v>
                </c:pt>
                <c:pt idx="588">
                  <c:v>776.7356</c:v>
                </c:pt>
                <c:pt idx="589">
                  <c:v>780.2065</c:v>
                </c:pt>
                <c:pt idx="590">
                  <c:v>783.83185</c:v>
                </c:pt>
                <c:pt idx="591">
                  <c:v>787.3066</c:v>
                </c:pt>
                <c:pt idx="592">
                  <c:v>790.82925</c:v>
                </c:pt>
                <c:pt idx="593">
                  <c:v>794.38375</c:v>
                </c:pt>
                <c:pt idx="594">
                  <c:v>797.7022</c:v>
                </c:pt>
                <c:pt idx="595">
                  <c:v>800.54395</c:v>
                </c:pt>
                <c:pt idx="596">
                  <c:v>803.624</c:v>
                </c:pt>
                <c:pt idx="597">
                  <c:v>806.24305</c:v>
                </c:pt>
                <c:pt idx="598">
                  <c:v>809.27165</c:v>
                </c:pt>
                <c:pt idx="599">
                  <c:v>812.5572</c:v>
                </c:pt>
                <c:pt idx="600">
                  <c:v>815.90675</c:v>
                </c:pt>
                <c:pt idx="601">
                  <c:v>819.2474</c:v>
                </c:pt>
                <c:pt idx="602">
                  <c:v>822.7082</c:v>
                </c:pt>
                <c:pt idx="603">
                  <c:v>825.7067</c:v>
                </c:pt>
                <c:pt idx="604">
                  <c:v>828.1885</c:v>
                </c:pt>
                <c:pt idx="605">
                  <c:v>830.16375</c:v>
                </c:pt>
                <c:pt idx="606">
                  <c:v>832.39675</c:v>
                </c:pt>
                <c:pt idx="607">
                  <c:v>834.75645</c:v>
                </c:pt>
                <c:pt idx="608">
                  <c:v>837.4475</c:v>
                </c:pt>
                <c:pt idx="609">
                  <c:v>839.6158</c:v>
                </c:pt>
                <c:pt idx="610">
                  <c:v>841.6819</c:v>
                </c:pt>
                <c:pt idx="611">
                  <c:v>843.3278</c:v>
                </c:pt>
                <c:pt idx="612">
                  <c:v>845.08145</c:v>
                </c:pt>
                <c:pt idx="613">
                  <c:v>846.8708</c:v>
                </c:pt>
                <c:pt idx="614">
                  <c:v>848.94135</c:v>
                </c:pt>
                <c:pt idx="615">
                  <c:v>851.058</c:v>
                </c:pt>
                <c:pt idx="616">
                  <c:v>853.15565</c:v>
                </c:pt>
                <c:pt idx="617">
                  <c:v>855.32765</c:v>
                </c:pt>
                <c:pt idx="618">
                  <c:v>857.7389</c:v>
                </c:pt>
                <c:pt idx="619">
                  <c:v>860.15575</c:v>
                </c:pt>
                <c:pt idx="620">
                  <c:v>862.68355</c:v>
                </c:pt>
                <c:pt idx="621">
                  <c:v>865.41935</c:v>
                </c:pt>
                <c:pt idx="622">
                  <c:v>868.09965</c:v>
                </c:pt>
                <c:pt idx="623">
                  <c:v>870.725</c:v>
                </c:pt>
                <c:pt idx="624">
                  <c:v>873.6295</c:v>
                </c:pt>
                <c:pt idx="625">
                  <c:v>876.5565</c:v>
                </c:pt>
                <c:pt idx="626">
                  <c:v>879.451</c:v>
                </c:pt>
                <c:pt idx="627">
                  <c:v>882.52085</c:v>
                </c:pt>
                <c:pt idx="628">
                  <c:v>885.5898</c:v>
                </c:pt>
                <c:pt idx="629">
                  <c:v>888.69495</c:v>
                </c:pt>
                <c:pt idx="630">
                  <c:v>891.7474</c:v>
                </c:pt>
                <c:pt idx="631">
                  <c:v>894.6243</c:v>
                </c:pt>
                <c:pt idx="632">
                  <c:v>897.4576</c:v>
                </c:pt>
                <c:pt idx="633">
                  <c:v>900.3233</c:v>
                </c:pt>
                <c:pt idx="634">
                  <c:v>903.18805</c:v>
                </c:pt>
                <c:pt idx="635">
                  <c:v>906.10765</c:v>
                </c:pt>
                <c:pt idx="636">
                  <c:v>909.0724</c:v>
                </c:pt>
                <c:pt idx="637">
                  <c:v>912.0652</c:v>
                </c:pt>
                <c:pt idx="638">
                  <c:v>915.18395</c:v>
                </c:pt>
                <c:pt idx="639">
                  <c:v>918.36895</c:v>
                </c:pt>
                <c:pt idx="640">
                  <c:v>921.55225</c:v>
                </c:pt>
                <c:pt idx="641">
                  <c:v>924.74635</c:v>
                </c:pt>
                <c:pt idx="642">
                  <c:v>927.9734</c:v>
                </c:pt>
                <c:pt idx="643">
                  <c:v>931.2893</c:v>
                </c:pt>
                <c:pt idx="644">
                  <c:v>934.684</c:v>
                </c:pt>
                <c:pt idx="645">
                  <c:v>938.3432</c:v>
                </c:pt>
                <c:pt idx="646">
                  <c:v>942.0163</c:v>
                </c:pt>
                <c:pt idx="647">
                  <c:v>945.63285</c:v>
                </c:pt>
                <c:pt idx="648">
                  <c:v>949.37665</c:v>
                </c:pt>
                <c:pt idx="649">
                  <c:v>953.38085</c:v>
                </c:pt>
                <c:pt idx="650">
                  <c:v>957.55065</c:v>
                </c:pt>
                <c:pt idx="651">
                  <c:v>962.02485</c:v>
                </c:pt>
                <c:pt idx="652">
                  <c:v>966.6322</c:v>
                </c:pt>
                <c:pt idx="653">
                  <c:v>971.1909</c:v>
                </c:pt>
                <c:pt idx="654">
                  <c:v>975.9423</c:v>
                </c:pt>
                <c:pt idx="655">
                  <c:v>980.8412</c:v>
                </c:pt>
                <c:pt idx="656">
                  <c:v>986.26595</c:v>
                </c:pt>
                <c:pt idx="657">
                  <c:v>991.71395</c:v>
                </c:pt>
                <c:pt idx="658">
                  <c:v>997.42515</c:v>
                </c:pt>
                <c:pt idx="659">
                  <c:v>1003.3596</c:v>
                </c:pt>
                <c:pt idx="660">
                  <c:v>1008.58775</c:v>
                </c:pt>
                <c:pt idx="661">
                  <c:v>1014.2799</c:v>
                </c:pt>
                <c:pt idx="662">
                  <c:v>1019.90985</c:v>
                </c:pt>
                <c:pt idx="663">
                  <c:v>1025.19285</c:v>
                </c:pt>
                <c:pt idx="664">
                  <c:v>1030.6305</c:v>
                </c:pt>
                <c:pt idx="665">
                  <c:v>1036.12525</c:v>
                </c:pt>
                <c:pt idx="666">
                  <c:v>1042.134</c:v>
                </c:pt>
                <c:pt idx="667">
                  <c:v>1048.53065</c:v>
                </c:pt>
                <c:pt idx="668">
                  <c:v>1055.1717</c:v>
                </c:pt>
                <c:pt idx="669">
                  <c:v>1061.7337</c:v>
                </c:pt>
                <c:pt idx="670">
                  <c:v>1068.90015</c:v>
                </c:pt>
                <c:pt idx="671">
                  <c:v>1076.7323</c:v>
                </c:pt>
                <c:pt idx="672">
                  <c:v>1085.3622</c:v>
                </c:pt>
                <c:pt idx="673">
                  <c:v>1093.5521</c:v>
                </c:pt>
                <c:pt idx="674">
                  <c:v>1101.3835</c:v>
                </c:pt>
                <c:pt idx="675">
                  <c:v>1108.3277</c:v>
                </c:pt>
                <c:pt idx="676">
                  <c:v>1115.88675</c:v>
                </c:pt>
                <c:pt idx="677">
                  <c:v>1123.7196</c:v>
                </c:pt>
                <c:pt idx="678">
                  <c:v>1131.093</c:v>
                </c:pt>
                <c:pt idx="679">
                  <c:v>1139.0868</c:v>
                </c:pt>
                <c:pt idx="680">
                  <c:v>1147.6667</c:v>
                </c:pt>
                <c:pt idx="681">
                  <c:v>1156.52005</c:v>
                </c:pt>
                <c:pt idx="682">
                  <c:v>1165.69885</c:v>
                </c:pt>
                <c:pt idx="683">
                  <c:v>1174.6064</c:v>
                </c:pt>
                <c:pt idx="684">
                  <c:v>1184.44285</c:v>
                </c:pt>
                <c:pt idx="685">
                  <c:v>1195.0566</c:v>
                </c:pt>
                <c:pt idx="686">
                  <c:v>1204.73095</c:v>
                </c:pt>
                <c:pt idx="687">
                  <c:v>1215.06965</c:v>
                </c:pt>
                <c:pt idx="688">
                  <c:v>1225.4446</c:v>
                </c:pt>
                <c:pt idx="689">
                  <c:v>1236.36705</c:v>
                </c:pt>
                <c:pt idx="690">
                  <c:v>1247.65435</c:v>
                </c:pt>
                <c:pt idx="691">
                  <c:v>1257.24295</c:v>
                </c:pt>
                <c:pt idx="692">
                  <c:v>1267.0893</c:v>
                </c:pt>
                <c:pt idx="693">
                  <c:v>1275.57185</c:v>
                </c:pt>
                <c:pt idx="694">
                  <c:v>1283.97555</c:v>
                </c:pt>
                <c:pt idx="695">
                  <c:v>1292.72885</c:v>
                </c:pt>
                <c:pt idx="696">
                  <c:v>1302.2417</c:v>
                </c:pt>
                <c:pt idx="697">
                  <c:v>1311.1045</c:v>
                </c:pt>
                <c:pt idx="698">
                  <c:v>1320.3194</c:v>
                </c:pt>
                <c:pt idx="699">
                  <c:v>1330.09855</c:v>
                </c:pt>
                <c:pt idx="700">
                  <c:v>1339.4804</c:v>
                </c:pt>
                <c:pt idx="701">
                  <c:v>1349.0404</c:v>
                </c:pt>
                <c:pt idx="702">
                  <c:v>1358.7342</c:v>
                </c:pt>
                <c:pt idx="703">
                  <c:v>1367.8094</c:v>
                </c:pt>
                <c:pt idx="704">
                  <c:v>1376.51575</c:v>
                </c:pt>
                <c:pt idx="705">
                  <c:v>1384.71585</c:v>
                </c:pt>
                <c:pt idx="706">
                  <c:v>1393.7285</c:v>
                </c:pt>
                <c:pt idx="707">
                  <c:v>1402.61475</c:v>
                </c:pt>
                <c:pt idx="708">
                  <c:v>1411.4095</c:v>
                </c:pt>
                <c:pt idx="709">
                  <c:v>1419.79075</c:v>
                </c:pt>
                <c:pt idx="710">
                  <c:v>1428.028</c:v>
                </c:pt>
                <c:pt idx="711">
                  <c:v>1436.723</c:v>
                </c:pt>
                <c:pt idx="712">
                  <c:v>1445.55425</c:v>
                </c:pt>
                <c:pt idx="713">
                  <c:v>1454.65935</c:v>
                </c:pt>
                <c:pt idx="714">
                  <c:v>1463.8013</c:v>
                </c:pt>
                <c:pt idx="715">
                  <c:v>1472.8719</c:v>
                </c:pt>
                <c:pt idx="716">
                  <c:v>1481.4236</c:v>
                </c:pt>
                <c:pt idx="717">
                  <c:v>1490.2342</c:v>
                </c:pt>
                <c:pt idx="718">
                  <c:v>1498.60665</c:v>
                </c:pt>
                <c:pt idx="719">
                  <c:v>1505.9818</c:v>
                </c:pt>
                <c:pt idx="720">
                  <c:v>1512.94555</c:v>
                </c:pt>
                <c:pt idx="721">
                  <c:v>1520.40515</c:v>
                </c:pt>
                <c:pt idx="722">
                  <c:v>1527.62455</c:v>
                </c:pt>
                <c:pt idx="723">
                  <c:v>1534.2003</c:v>
                </c:pt>
                <c:pt idx="724">
                  <c:v>1539.39585</c:v>
                </c:pt>
                <c:pt idx="725">
                  <c:v>1544.0439</c:v>
                </c:pt>
                <c:pt idx="726">
                  <c:v>1550.36625</c:v>
                </c:pt>
                <c:pt idx="727">
                  <c:v>1557.10295</c:v>
                </c:pt>
                <c:pt idx="728">
                  <c:v>1563.53105</c:v>
                </c:pt>
                <c:pt idx="729">
                  <c:v>1572.9337</c:v>
                </c:pt>
                <c:pt idx="730">
                  <c:v>1581.1637</c:v>
                </c:pt>
                <c:pt idx="731">
                  <c:v>1590.1867</c:v>
                </c:pt>
                <c:pt idx="732">
                  <c:v>1598.3066</c:v>
                </c:pt>
                <c:pt idx="733">
                  <c:v>1607.0829</c:v>
                </c:pt>
                <c:pt idx="734">
                  <c:v>1615.42435</c:v>
                </c:pt>
                <c:pt idx="735">
                  <c:v>1623.5093</c:v>
                </c:pt>
                <c:pt idx="736">
                  <c:v>1632.2176</c:v>
                </c:pt>
                <c:pt idx="737">
                  <c:v>1641.63465</c:v>
                </c:pt>
                <c:pt idx="738">
                  <c:v>1650.6007</c:v>
                </c:pt>
                <c:pt idx="739">
                  <c:v>1660.2418</c:v>
                </c:pt>
                <c:pt idx="740">
                  <c:v>1670.46495</c:v>
                </c:pt>
                <c:pt idx="741">
                  <c:v>1679.9708</c:v>
                </c:pt>
                <c:pt idx="742">
                  <c:v>1689.3303</c:v>
                </c:pt>
                <c:pt idx="743">
                  <c:v>1699.09885</c:v>
                </c:pt>
                <c:pt idx="744">
                  <c:v>1709.2135</c:v>
                </c:pt>
                <c:pt idx="745">
                  <c:v>1720.90095</c:v>
                </c:pt>
                <c:pt idx="746">
                  <c:v>1732.5721</c:v>
                </c:pt>
                <c:pt idx="747">
                  <c:v>1745.04865</c:v>
                </c:pt>
                <c:pt idx="748">
                  <c:v>1757.68925</c:v>
                </c:pt>
                <c:pt idx="749">
                  <c:v>1769.77795</c:v>
                </c:pt>
                <c:pt idx="750">
                  <c:v>1782.34675</c:v>
                </c:pt>
                <c:pt idx="751">
                  <c:v>1796.074</c:v>
                </c:pt>
                <c:pt idx="752">
                  <c:v>1811.009</c:v>
                </c:pt>
                <c:pt idx="753">
                  <c:v>1826.83135</c:v>
                </c:pt>
                <c:pt idx="754">
                  <c:v>1843.84925</c:v>
                </c:pt>
                <c:pt idx="755">
                  <c:v>1860.03575</c:v>
                </c:pt>
                <c:pt idx="756">
                  <c:v>1877.2609</c:v>
                </c:pt>
                <c:pt idx="757">
                  <c:v>1894.07825</c:v>
                </c:pt>
                <c:pt idx="758">
                  <c:v>1909.9707</c:v>
                </c:pt>
                <c:pt idx="759">
                  <c:v>1925.9077</c:v>
                </c:pt>
                <c:pt idx="760">
                  <c:v>1941.1989</c:v>
                </c:pt>
                <c:pt idx="761">
                  <c:v>1956.167</c:v>
                </c:pt>
                <c:pt idx="762">
                  <c:v>1971.537</c:v>
                </c:pt>
                <c:pt idx="763">
                  <c:v>1987.07675</c:v>
                </c:pt>
                <c:pt idx="764">
                  <c:v>2003.5553</c:v>
                </c:pt>
                <c:pt idx="765">
                  <c:v>2020.2424</c:v>
                </c:pt>
                <c:pt idx="766">
                  <c:v>2036.6942</c:v>
                </c:pt>
                <c:pt idx="767">
                  <c:v>2053.11125</c:v>
                </c:pt>
                <c:pt idx="768">
                  <c:v>2070.065</c:v>
                </c:pt>
                <c:pt idx="769">
                  <c:v>2088.05005</c:v>
                </c:pt>
                <c:pt idx="770">
                  <c:v>2105.8667</c:v>
                </c:pt>
                <c:pt idx="771">
                  <c:v>2124.5364</c:v>
                </c:pt>
                <c:pt idx="772">
                  <c:v>2144.26225</c:v>
                </c:pt>
                <c:pt idx="773">
                  <c:v>2162.4426</c:v>
                </c:pt>
                <c:pt idx="774">
                  <c:v>2180.5002</c:v>
                </c:pt>
                <c:pt idx="775">
                  <c:v>2197.79675</c:v>
                </c:pt>
                <c:pt idx="776">
                  <c:v>2214.6728</c:v>
                </c:pt>
                <c:pt idx="777">
                  <c:v>2232.44295</c:v>
                </c:pt>
                <c:pt idx="778">
                  <c:v>2250.26445</c:v>
                </c:pt>
                <c:pt idx="779">
                  <c:v>2266.56535</c:v>
                </c:pt>
                <c:pt idx="780">
                  <c:v>2282.5957</c:v>
                </c:pt>
                <c:pt idx="781">
                  <c:v>2298.20895</c:v>
                </c:pt>
                <c:pt idx="782">
                  <c:v>2313.32805</c:v>
                </c:pt>
                <c:pt idx="783">
                  <c:v>2328.2161</c:v>
                </c:pt>
                <c:pt idx="784">
                  <c:v>2341.7027</c:v>
                </c:pt>
                <c:pt idx="785">
                  <c:v>2352.03015</c:v>
                </c:pt>
                <c:pt idx="786">
                  <c:v>2364.7512</c:v>
                </c:pt>
                <c:pt idx="787">
                  <c:v>2377.40835</c:v>
                </c:pt>
                <c:pt idx="788">
                  <c:v>2389.8582</c:v>
                </c:pt>
                <c:pt idx="789">
                  <c:v>2404.01235</c:v>
                </c:pt>
                <c:pt idx="790">
                  <c:v>2417.0986</c:v>
                </c:pt>
                <c:pt idx="791">
                  <c:v>2430.08905</c:v>
                </c:pt>
                <c:pt idx="792">
                  <c:v>2441.7815</c:v>
                </c:pt>
                <c:pt idx="793">
                  <c:v>2453.4516</c:v>
                </c:pt>
                <c:pt idx="794">
                  <c:v>2466.20145</c:v>
                </c:pt>
                <c:pt idx="795">
                  <c:v>2478.7954</c:v>
                </c:pt>
                <c:pt idx="796">
                  <c:v>2492.4078</c:v>
                </c:pt>
                <c:pt idx="797">
                  <c:v>2506.2882</c:v>
                </c:pt>
                <c:pt idx="798">
                  <c:v>2521.34765</c:v>
                </c:pt>
                <c:pt idx="799">
                  <c:v>2536.11685</c:v>
                </c:pt>
                <c:pt idx="800">
                  <c:v>2550.67435</c:v>
                </c:pt>
                <c:pt idx="801">
                  <c:v>2566.13225</c:v>
                </c:pt>
                <c:pt idx="802">
                  <c:v>2581.7913</c:v>
                </c:pt>
                <c:pt idx="803">
                  <c:v>2597.8793</c:v>
                </c:pt>
                <c:pt idx="804">
                  <c:v>2614.0714</c:v>
                </c:pt>
                <c:pt idx="805">
                  <c:v>2630.2956</c:v>
                </c:pt>
                <c:pt idx="806">
                  <c:v>2646.79835</c:v>
                </c:pt>
                <c:pt idx="807">
                  <c:v>2663.3885</c:v>
                </c:pt>
                <c:pt idx="808">
                  <c:v>2679.9414</c:v>
                </c:pt>
                <c:pt idx="809">
                  <c:v>2697.786</c:v>
                </c:pt>
                <c:pt idx="810">
                  <c:v>2716.50805</c:v>
                </c:pt>
                <c:pt idx="811">
                  <c:v>2735.5837</c:v>
                </c:pt>
                <c:pt idx="812">
                  <c:v>2754.84005</c:v>
                </c:pt>
                <c:pt idx="813">
                  <c:v>2777.17465</c:v>
                </c:pt>
                <c:pt idx="814">
                  <c:v>2800.08825</c:v>
                </c:pt>
                <c:pt idx="815">
                  <c:v>2823.9569</c:v>
                </c:pt>
                <c:pt idx="816">
                  <c:v>2847.20905</c:v>
                </c:pt>
                <c:pt idx="817">
                  <c:v>2870.77185</c:v>
                </c:pt>
                <c:pt idx="818">
                  <c:v>2893.2969</c:v>
                </c:pt>
                <c:pt idx="819">
                  <c:v>2915.7091</c:v>
                </c:pt>
                <c:pt idx="820">
                  <c:v>2938.6592</c:v>
                </c:pt>
                <c:pt idx="821">
                  <c:v>2962.8417</c:v>
                </c:pt>
                <c:pt idx="822">
                  <c:v>2987.24605</c:v>
                </c:pt>
                <c:pt idx="823">
                  <c:v>3011.60635</c:v>
                </c:pt>
                <c:pt idx="824">
                  <c:v>3035.1748</c:v>
                </c:pt>
                <c:pt idx="825">
                  <c:v>3056.83195</c:v>
                </c:pt>
                <c:pt idx="826">
                  <c:v>3079.6093</c:v>
                </c:pt>
                <c:pt idx="827">
                  <c:v>3103.0125</c:v>
                </c:pt>
                <c:pt idx="828">
                  <c:v>3125.8625</c:v>
                </c:pt>
                <c:pt idx="829">
                  <c:v>3148.5026</c:v>
                </c:pt>
                <c:pt idx="830">
                  <c:v>3173.1318</c:v>
                </c:pt>
                <c:pt idx="831">
                  <c:v>3197.86735</c:v>
                </c:pt>
                <c:pt idx="832">
                  <c:v>3224.2237</c:v>
                </c:pt>
                <c:pt idx="833">
                  <c:v>3252.2479</c:v>
                </c:pt>
                <c:pt idx="834">
                  <c:v>3281.55785</c:v>
                </c:pt>
                <c:pt idx="835">
                  <c:v>3311.45835</c:v>
                </c:pt>
                <c:pt idx="836">
                  <c:v>3342.5114</c:v>
                </c:pt>
                <c:pt idx="837">
                  <c:v>3373.40035</c:v>
                </c:pt>
                <c:pt idx="838">
                  <c:v>3402.0684</c:v>
                </c:pt>
                <c:pt idx="839">
                  <c:v>3431.4516</c:v>
                </c:pt>
                <c:pt idx="840">
                  <c:v>3462.5564</c:v>
                </c:pt>
                <c:pt idx="841">
                  <c:v>3492.0765</c:v>
                </c:pt>
                <c:pt idx="842">
                  <c:v>3518.67815</c:v>
                </c:pt>
                <c:pt idx="843">
                  <c:v>3544.00585</c:v>
                </c:pt>
                <c:pt idx="844">
                  <c:v>3566.9454</c:v>
                </c:pt>
                <c:pt idx="845">
                  <c:v>3592.87845</c:v>
                </c:pt>
                <c:pt idx="846">
                  <c:v>3619.13675</c:v>
                </c:pt>
                <c:pt idx="847">
                  <c:v>3648.7796</c:v>
                </c:pt>
                <c:pt idx="848">
                  <c:v>3681.0495</c:v>
                </c:pt>
                <c:pt idx="849">
                  <c:v>3712.44055</c:v>
                </c:pt>
                <c:pt idx="850">
                  <c:v>3743.96565</c:v>
                </c:pt>
                <c:pt idx="851">
                  <c:v>3776.45975</c:v>
                </c:pt>
                <c:pt idx="852">
                  <c:v>3809.92285</c:v>
                </c:pt>
                <c:pt idx="853">
                  <c:v>3842.71135</c:v>
                </c:pt>
                <c:pt idx="854">
                  <c:v>3876.0344</c:v>
                </c:pt>
                <c:pt idx="855">
                  <c:v>3908.14235</c:v>
                </c:pt>
                <c:pt idx="856">
                  <c:v>3940.6524</c:v>
                </c:pt>
                <c:pt idx="857">
                  <c:v>3976.02775</c:v>
                </c:pt>
                <c:pt idx="858">
                  <c:v>4014.05835</c:v>
                </c:pt>
                <c:pt idx="859">
                  <c:v>4053.71225</c:v>
                </c:pt>
                <c:pt idx="860">
                  <c:v>4094.9792</c:v>
                </c:pt>
                <c:pt idx="861">
                  <c:v>4135.69545</c:v>
                </c:pt>
                <c:pt idx="862">
                  <c:v>4176.2105</c:v>
                </c:pt>
                <c:pt idx="863">
                  <c:v>4221.82065</c:v>
                </c:pt>
                <c:pt idx="864">
                  <c:v>4267.58445</c:v>
                </c:pt>
                <c:pt idx="865">
                  <c:v>4314.9683</c:v>
                </c:pt>
                <c:pt idx="866">
                  <c:v>4363.6924</c:v>
                </c:pt>
                <c:pt idx="867">
                  <c:v>4412.403</c:v>
                </c:pt>
                <c:pt idx="868">
                  <c:v>4472.55845</c:v>
                </c:pt>
                <c:pt idx="869">
                  <c:v>4549.2235</c:v>
                </c:pt>
                <c:pt idx="870">
                  <c:v>4620.4422</c:v>
                </c:pt>
                <c:pt idx="871">
                  <c:v>4685.62835</c:v>
                </c:pt>
                <c:pt idx="872">
                  <c:v>4749.91355</c:v>
                </c:pt>
                <c:pt idx="873">
                  <c:v>4822.56735</c:v>
                </c:pt>
                <c:pt idx="874">
                  <c:v>4899.85445</c:v>
                </c:pt>
                <c:pt idx="875">
                  <c:v>4972.80255</c:v>
                </c:pt>
                <c:pt idx="876">
                  <c:v>5045.38755</c:v>
                </c:pt>
                <c:pt idx="877">
                  <c:v>5122.6835</c:v>
                </c:pt>
                <c:pt idx="878">
                  <c:v>5209.97565</c:v>
                </c:pt>
                <c:pt idx="879">
                  <c:v>5295.35415</c:v>
                </c:pt>
                <c:pt idx="880">
                  <c:v>5378.44925</c:v>
                </c:pt>
                <c:pt idx="881">
                  <c:v>5455.24795</c:v>
                </c:pt>
                <c:pt idx="882">
                  <c:v>5524.99215</c:v>
                </c:pt>
                <c:pt idx="883">
                  <c:v>5591.17935</c:v>
                </c:pt>
                <c:pt idx="884">
                  <c:v>5648.7422</c:v>
                </c:pt>
                <c:pt idx="885">
                  <c:v>5709.7652</c:v>
                </c:pt>
                <c:pt idx="886">
                  <c:v>5767.4467</c:v>
                </c:pt>
                <c:pt idx="887">
                  <c:v>5824.30795</c:v>
                </c:pt>
                <c:pt idx="888">
                  <c:v>5889.2054</c:v>
                </c:pt>
                <c:pt idx="889">
                  <c:v>5951.38505</c:v>
                </c:pt>
                <c:pt idx="890">
                  <c:v>6008.6402</c:v>
                </c:pt>
                <c:pt idx="891">
                  <c:v>6068.1869</c:v>
                </c:pt>
                <c:pt idx="892">
                  <c:v>6118.8418</c:v>
                </c:pt>
                <c:pt idx="893">
                  <c:v>6175.9964</c:v>
                </c:pt>
                <c:pt idx="894">
                  <c:v>6231.34655</c:v>
                </c:pt>
                <c:pt idx="895">
                  <c:v>6292.85195</c:v>
                </c:pt>
                <c:pt idx="896">
                  <c:v>6355.16795</c:v>
                </c:pt>
                <c:pt idx="897">
                  <c:v>6418.31665</c:v>
                </c:pt>
                <c:pt idx="898">
                  <c:v>6490.1318</c:v>
                </c:pt>
                <c:pt idx="899">
                  <c:v>6562.00135</c:v>
                </c:pt>
                <c:pt idx="900">
                  <c:v>6629.6557</c:v>
                </c:pt>
                <c:pt idx="901">
                  <c:v>6691.22445</c:v>
                </c:pt>
                <c:pt idx="902">
                  <c:v>6750.1756</c:v>
                </c:pt>
                <c:pt idx="903">
                  <c:v>6811.6773</c:v>
                </c:pt>
                <c:pt idx="904">
                  <c:v>6865.68955</c:v>
                </c:pt>
                <c:pt idx="905">
                  <c:v>6922.75</c:v>
                </c:pt>
                <c:pt idx="906">
                  <c:v>6980.811</c:v>
                </c:pt>
                <c:pt idx="907">
                  <c:v>7036.32655</c:v>
                </c:pt>
                <c:pt idx="908">
                  <c:v>7091.62655</c:v>
                </c:pt>
                <c:pt idx="909">
                  <c:v>7137.20065</c:v>
                </c:pt>
                <c:pt idx="910">
                  <c:v>7181.08255</c:v>
                </c:pt>
                <c:pt idx="911">
                  <c:v>7225.0269</c:v>
                </c:pt>
                <c:pt idx="912">
                  <c:v>7269.8098</c:v>
                </c:pt>
                <c:pt idx="913">
                  <c:v>7320.6138</c:v>
                </c:pt>
                <c:pt idx="914">
                  <c:v>7365.11985</c:v>
                </c:pt>
                <c:pt idx="915">
                  <c:v>7405.92915</c:v>
                </c:pt>
                <c:pt idx="916">
                  <c:v>7447.5481</c:v>
                </c:pt>
                <c:pt idx="917">
                  <c:v>7491.5265</c:v>
                </c:pt>
                <c:pt idx="918">
                  <c:v>7534.57155</c:v>
                </c:pt>
                <c:pt idx="919">
                  <c:v>7578.35075</c:v>
                </c:pt>
                <c:pt idx="920">
                  <c:v>7623.3957</c:v>
                </c:pt>
                <c:pt idx="921">
                  <c:v>7669.1586</c:v>
                </c:pt>
                <c:pt idx="922">
                  <c:v>7713.07365</c:v>
                </c:pt>
                <c:pt idx="923">
                  <c:v>7751.96245</c:v>
                </c:pt>
                <c:pt idx="924">
                  <c:v>7792.64085</c:v>
                </c:pt>
                <c:pt idx="925">
                  <c:v>7828.1531</c:v>
                </c:pt>
                <c:pt idx="926">
                  <c:v>7860.91475</c:v>
                </c:pt>
                <c:pt idx="927">
                  <c:v>7895.574</c:v>
                </c:pt>
                <c:pt idx="928">
                  <c:v>7925.1186</c:v>
                </c:pt>
                <c:pt idx="929">
                  <c:v>7945.27715</c:v>
                </c:pt>
                <c:pt idx="930">
                  <c:v>7970.4322</c:v>
                </c:pt>
                <c:pt idx="931">
                  <c:v>7994.1846</c:v>
                </c:pt>
                <c:pt idx="932">
                  <c:v>8021.5037</c:v>
                </c:pt>
                <c:pt idx="933">
                  <c:v>8051.04745</c:v>
                </c:pt>
                <c:pt idx="934">
                  <c:v>8080.9649</c:v>
                </c:pt>
                <c:pt idx="935">
                  <c:v>8108.6999</c:v>
                </c:pt>
                <c:pt idx="936">
                  <c:v>8139.73635</c:v>
                </c:pt>
                <c:pt idx="937">
                  <c:v>8168.40605</c:v>
                </c:pt>
                <c:pt idx="938">
                  <c:v>8202.2699</c:v>
                </c:pt>
                <c:pt idx="939">
                  <c:v>8238.8061</c:v>
                </c:pt>
                <c:pt idx="940">
                  <c:v>8275.35915</c:v>
                </c:pt>
                <c:pt idx="941">
                  <c:v>8317.3037</c:v>
                </c:pt>
                <c:pt idx="942">
                  <c:v>8355.7044</c:v>
                </c:pt>
                <c:pt idx="943">
                  <c:v>8397.4693</c:v>
                </c:pt>
                <c:pt idx="944">
                  <c:v>8439.36045</c:v>
                </c:pt>
                <c:pt idx="945">
                  <c:v>8475.41435</c:v>
                </c:pt>
                <c:pt idx="946">
                  <c:v>8508.45325</c:v>
                </c:pt>
                <c:pt idx="947">
                  <c:v>8542.18705</c:v>
                </c:pt>
                <c:pt idx="948">
                  <c:v>8573.518</c:v>
                </c:pt>
                <c:pt idx="949">
                  <c:v>8604.79395</c:v>
                </c:pt>
                <c:pt idx="950">
                  <c:v>8639.06905</c:v>
                </c:pt>
                <c:pt idx="951">
                  <c:v>8673.62115</c:v>
                </c:pt>
                <c:pt idx="952">
                  <c:v>8705.7875</c:v>
                </c:pt>
                <c:pt idx="953">
                  <c:v>8739.96475</c:v>
                </c:pt>
                <c:pt idx="954">
                  <c:v>8773.36175</c:v>
                </c:pt>
                <c:pt idx="955">
                  <c:v>8809.7246</c:v>
                </c:pt>
                <c:pt idx="956">
                  <c:v>8845.22405</c:v>
                </c:pt>
                <c:pt idx="957">
                  <c:v>8880.7117</c:v>
                </c:pt>
                <c:pt idx="958">
                  <c:v>8913.7031</c:v>
                </c:pt>
                <c:pt idx="959">
                  <c:v>8942.51605</c:v>
                </c:pt>
                <c:pt idx="960">
                  <c:v>8968.7856</c:v>
                </c:pt>
                <c:pt idx="961">
                  <c:v>8995.0506</c:v>
                </c:pt>
                <c:pt idx="962">
                  <c:v>9018.5678</c:v>
                </c:pt>
                <c:pt idx="963">
                  <c:v>9045.51975</c:v>
                </c:pt>
                <c:pt idx="964">
                  <c:v>9069.5596</c:v>
                </c:pt>
                <c:pt idx="965">
                  <c:v>9093.48665</c:v>
                </c:pt>
                <c:pt idx="966">
                  <c:v>9112.8002</c:v>
                </c:pt>
                <c:pt idx="967">
                  <c:v>9132.3996</c:v>
                </c:pt>
                <c:pt idx="968">
                  <c:v>9151.84965</c:v>
                </c:pt>
                <c:pt idx="969">
                  <c:v>9168.17975</c:v>
                </c:pt>
                <c:pt idx="970">
                  <c:v>9186.22985</c:v>
                </c:pt>
                <c:pt idx="971">
                  <c:v>9205.45515</c:v>
                </c:pt>
                <c:pt idx="972">
                  <c:v>9225.2152</c:v>
                </c:pt>
                <c:pt idx="973">
                  <c:v>9246.4243</c:v>
                </c:pt>
                <c:pt idx="974">
                  <c:v>9266.8695</c:v>
                </c:pt>
                <c:pt idx="975">
                  <c:v>9289.01375</c:v>
                </c:pt>
                <c:pt idx="976">
                  <c:v>9309.5079</c:v>
                </c:pt>
                <c:pt idx="977">
                  <c:v>9328.692</c:v>
                </c:pt>
                <c:pt idx="978">
                  <c:v>9346.2961</c:v>
                </c:pt>
                <c:pt idx="979">
                  <c:v>9363.51415</c:v>
                </c:pt>
                <c:pt idx="980">
                  <c:v>9381.55595</c:v>
                </c:pt>
                <c:pt idx="981">
                  <c:v>9395.6991</c:v>
                </c:pt>
                <c:pt idx="982">
                  <c:v>9408.88555</c:v>
                </c:pt>
                <c:pt idx="983">
                  <c:v>9422.70545</c:v>
                </c:pt>
                <c:pt idx="984">
                  <c:v>9437.5089</c:v>
                </c:pt>
                <c:pt idx="985">
                  <c:v>9456.48195</c:v>
                </c:pt>
                <c:pt idx="986">
                  <c:v>9474.90635</c:v>
                </c:pt>
                <c:pt idx="987">
                  <c:v>9490.2322</c:v>
                </c:pt>
                <c:pt idx="988">
                  <c:v>9505.5616</c:v>
                </c:pt>
                <c:pt idx="989">
                  <c:v>9518.15665</c:v>
                </c:pt>
                <c:pt idx="990">
                  <c:v>9533.07615</c:v>
                </c:pt>
                <c:pt idx="991">
                  <c:v>9548.8159</c:v>
                </c:pt>
                <c:pt idx="992">
                  <c:v>9564.5842</c:v>
                </c:pt>
                <c:pt idx="993">
                  <c:v>9580.6141</c:v>
                </c:pt>
                <c:pt idx="994">
                  <c:v>9596.3924</c:v>
                </c:pt>
                <c:pt idx="995">
                  <c:v>9617.62735</c:v>
                </c:pt>
                <c:pt idx="996">
                  <c:v>9637.4944</c:v>
                </c:pt>
                <c:pt idx="997">
                  <c:v>9658.0845</c:v>
                </c:pt>
                <c:pt idx="998">
                  <c:v>9678.86075</c:v>
                </c:pt>
                <c:pt idx="999">
                  <c:v>9698.1583</c:v>
                </c:pt>
                <c:pt idx="1000">
                  <c:v>9716.83385</c:v>
                </c:pt>
                <c:pt idx="1001">
                  <c:v>9735.8991</c:v>
                </c:pt>
                <c:pt idx="1002">
                  <c:v>9755.29505</c:v>
                </c:pt>
                <c:pt idx="1003">
                  <c:v>9777.66285</c:v>
                </c:pt>
                <c:pt idx="1004">
                  <c:v>9800.7</c:v>
                </c:pt>
                <c:pt idx="1005">
                  <c:v>9823.60085</c:v>
                </c:pt>
                <c:pt idx="1006">
                  <c:v>9846.65715</c:v>
                </c:pt>
                <c:pt idx="1007">
                  <c:v>9873.0922</c:v>
                </c:pt>
                <c:pt idx="1008">
                  <c:v>9895.2971</c:v>
                </c:pt>
                <c:pt idx="1009">
                  <c:v>9918.6402</c:v>
                </c:pt>
                <c:pt idx="1010">
                  <c:v>9939.4052</c:v>
                </c:pt>
                <c:pt idx="1011">
                  <c:v>9962.30515</c:v>
                </c:pt>
                <c:pt idx="1012">
                  <c:v>9985.17525</c:v>
                </c:pt>
                <c:pt idx="1013">
                  <c:v>10004.19435</c:v>
                </c:pt>
                <c:pt idx="1014">
                  <c:v>10021.4318</c:v>
                </c:pt>
                <c:pt idx="1015">
                  <c:v>10038.28855</c:v>
                </c:pt>
                <c:pt idx="1016">
                  <c:v>10058.44875</c:v>
                </c:pt>
                <c:pt idx="1017">
                  <c:v>10078.09925</c:v>
                </c:pt>
                <c:pt idx="1018">
                  <c:v>10099.12925</c:v>
                </c:pt>
                <c:pt idx="1019">
                  <c:v>10119.25705</c:v>
                </c:pt>
                <c:pt idx="1020">
                  <c:v>10137.51825</c:v>
                </c:pt>
                <c:pt idx="1021">
                  <c:v>10153.4618</c:v>
                </c:pt>
                <c:pt idx="1022">
                  <c:v>10169.8379</c:v>
                </c:pt>
                <c:pt idx="1023">
                  <c:v>10184.8652</c:v>
                </c:pt>
                <c:pt idx="1024">
                  <c:v>10197.3519</c:v>
                </c:pt>
                <c:pt idx="1025">
                  <c:v>10212.09975</c:v>
                </c:pt>
                <c:pt idx="1026">
                  <c:v>10226.8304</c:v>
                </c:pt>
                <c:pt idx="1027">
                  <c:v>10240.72235</c:v>
                </c:pt>
                <c:pt idx="1028">
                  <c:v>10254.20965</c:v>
                </c:pt>
                <c:pt idx="1029">
                  <c:v>10267.1696</c:v>
                </c:pt>
                <c:pt idx="1030">
                  <c:v>10276.76455</c:v>
                </c:pt>
                <c:pt idx="1031">
                  <c:v>10287.3363</c:v>
                </c:pt>
                <c:pt idx="1032">
                  <c:v>10296.28925</c:v>
                </c:pt>
                <c:pt idx="1033">
                  <c:v>10304.9551</c:v>
                </c:pt>
                <c:pt idx="1034">
                  <c:v>10311.7224</c:v>
                </c:pt>
                <c:pt idx="1035">
                  <c:v>10315.81085</c:v>
                </c:pt>
                <c:pt idx="1036">
                  <c:v>10316.2731</c:v>
                </c:pt>
                <c:pt idx="1037">
                  <c:v>10317.23385</c:v>
                </c:pt>
                <c:pt idx="1038">
                  <c:v>10319.6806</c:v>
                </c:pt>
                <c:pt idx="1039">
                  <c:v>10320.7372</c:v>
                </c:pt>
                <c:pt idx="1040">
                  <c:v>10320.1306</c:v>
                </c:pt>
                <c:pt idx="1041">
                  <c:v>10319.8903</c:v>
                </c:pt>
                <c:pt idx="1042">
                  <c:v>10324.3022</c:v>
                </c:pt>
                <c:pt idx="1043">
                  <c:v>10329.46875</c:v>
                </c:pt>
                <c:pt idx="1044">
                  <c:v>10337.462</c:v>
                </c:pt>
                <c:pt idx="1045">
                  <c:v>10342.35425</c:v>
                </c:pt>
                <c:pt idx="1046">
                  <c:v>10347.51135</c:v>
                </c:pt>
                <c:pt idx="1047">
                  <c:v>10349.5732</c:v>
                </c:pt>
                <c:pt idx="1048">
                  <c:v>10347.8174</c:v>
                </c:pt>
                <c:pt idx="1049">
                  <c:v>10347.3064</c:v>
                </c:pt>
                <c:pt idx="1050">
                  <c:v>10346.69635</c:v>
                </c:pt>
                <c:pt idx="1051">
                  <c:v>10344.9619</c:v>
                </c:pt>
                <c:pt idx="1052">
                  <c:v>10341.776</c:v>
                </c:pt>
                <c:pt idx="1053">
                  <c:v>10338.713</c:v>
                </c:pt>
                <c:pt idx="1054">
                  <c:v>10331.31455</c:v>
                </c:pt>
                <c:pt idx="1055">
                  <c:v>10325.56375</c:v>
                </c:pt>
                <c:pt idx="1056">
                  <c:v>10317.21365</c:v>
                </c:pt>
                <c:pt idx="1057">
                  <c:v>10304.74775</c:v>
                </c:pt>
                <c:pt idx="1058">
                  <c:v>10290.93465</c:v>
                </c:pt>
                <c:pt idx="1059">
                  <c:v>10274.0472</c:v>
                </c:pt>
                <c:pt idx="1060">
                  <c:v>10256.72365</c:v>
                </c:pt>
                <c:pt idx="1061">
                  <c:v>10239.27955</c:v>
                </c:pt>
                <c:pt idx="1062">
                  <c:v>10223.30965</c:v>
                </c:pt>
                <c:pt idx="1063">
                  <c:v>10202.6425</c:v>
                </c:pt>
                <c:pt idx="1064">
                  <c:v>10181.7718</c:v>
                </c:pt>
                <c:pt idx="1065">
                  <c:v>10158.91685</c:v>
                </c:pt>
                <c:pt idx="1066">
                  <c:v>10130.99605</c:v>
                </c:pt>
                <c:pt idx="1067">
                  <c:v>10103.29575</c:v>
                </c:pt>
                <c:pt idx="1068">
                  <c:v>10063.5957</c:v>
                </c:pt>
                <c:pt idx="1069">
                  <c:v>10007.8757</c:v>
                </c:pt>
                <c:pt idx="1070">
                  <c:v>9956.41055</c:v>
                </c:pt>
                <c:pt idx="1071">
                  <c:v>9910.5215</c:v>
                </c:pt>
                <c:pt idx="1072">
                  <c:v>9863.32975</c:v>
                </c:pt>
                <c:pt idx="1073">
                  <c:v>9809.91275</c:v>
                </c:pt>
                <c:pt idx="1074">
                  <c:v>9753.1781</c:v>
                </c:pt>
                <c:pt idx="1075">
                  <c:v>9701.47755</c:v>
                </c:pt>
                <c:pt idx="1076">
                  <c:v>9650.7876</c:v>
                </c:pt>
                <c:pt idx="1077">
                  <c:v>9594.60735</c:v>
                </c:pt>
                <c:pt idx="1078">
                  <c:v>9529.29465</c:v>
                </c:pt>
                <c:pt idx="1079">
                  <c:v>9465.06445</c:v>
                </c:pt>
                <c:pt idx="1080">
                  <c:v>9402.8694</c:v>
                </c:pt>
                <c:pt idx="1081">
                  <c:v>9347.44215</c:v>
                </c:pt>
                <c:pt idx="1082">
                  <c:v>9298.46755</c:v>
                </c:pt>
                <c:pt idx="1083">
                  <c:v>9252.9936</c:v>
                </c:pt>
                <c:pt idx="1084">
                  <c:v>9213.45925</c:v>
                </c:pt>
                <c:pt idx="1085">
                  <c:v>9170.03</c:v>
                </c:pt>
                <c:pt idx="1086">
                  <c:v>9130.16905</c:v>
                </c:pt>
                <c:pt idx="1087">
                  <c:v>9090.3906</c:v>
                </c:pt>
                <c:pt idx="1088">
                  <c:v>9042.67945</c:v>
                </c:pt>
                <c:pt idx="1089">
                  <c:v>8997.5877</c:v>
                </c:pt>
                <c:pt idx="1090">
                  <c:v>8958.9817</c:v>
                </c:pt>
                <c:pt idx="1091">
                  <c:v>8922.7315</c:v>
                </c:pt>
                <c:pt idx="1092">
                  <c:v>8895.4265</c:v>
                </c:pt>
                <c:pt idx="1093">
                  <c:v>8863.4609</c:v>
                </c:pt>
                <c:pt idx="1094">
                  <c:v>8832.73315</c:v>
                </c:pt>
                <c:pt idx="1095">
                  <c:v>8795.8656</c:v>
                </c:pt>
                <c:pt idx="1096">
                  <c:v>8757.3639</c:v>
                </c:pt>
                <c:pt idx="1097">
                  <c:v>8720.2394</c:v>
                </c:pt>
                <c:pt idx="1098">
                  <c:v>8677.36685</c:v>
                </c:pt>
                <c:pt idx="1099">
                  <c:v>8632.65765</c:v>
                </c:pt>
                <c:pt idx="1100">
                  <c:v>8591.4465</c:v>
                </c:pt>
                <c:pt idx="1101">
                  <c:v>8557.39885</c:v>
                </c:pt>
                <c:pt idx="1102">
                  <c:v>8526.1384</c:v>
                </c:pt>
                <c:pt idx="1103">
                  <c:v>8492.8442</c:v>
                </c:pt>
                <c:pt idx="1104">
                  <c:v>8467.15395</c:v>
                </c:pt>
                <c:pt idx="1105">
                  <c:v>8436.6903</c:v>
                </c:pt>
                <c:pt idx="1106">
                  <c:v>8403.7705</c:v>
                </c:pt>
                <c:pt idx="1107">
                  <c:v>8373.15895</c:v>
                </c:pt>
                <c:pt idx="1108">
                  <c:v>8342.27935</c:v>
                </c:pt>
                <c:pt idx="1109">
                  <c:v>8319.4543</c:v>
                </c:pt>
                <c:pt idx="1110">
                  <c:v>8298.6043</c:v>
                </c:pt>
                <c:pt idx="1111">
                  <c:v>8276.76665</c:v>
                </c:pt>
                <c:pt idx="1112">
                  <c:v>8252.8628</c:v>
                </c:pt>
                <c:pt idx="1113">
                  <c:v>8220.4613</c:v>
                </c:pt>
                <c:pt idx="1114">
                  <c:v>8195.6027</c:v>
                </c:pt>
                <c:pt idx="1115">
                  <c:v>8172.49925</c:v>
                </c:pt>
                <c:pt idx="1116">
                  <c:v>8149.55235</c:v>
                </c:pt>
                <c:pt idx="1117">
                  <c:v>8124.34845</c:v>
                </c:pt>
                <c:pt idx="1118">
                  <c:v>8100.0268</c:v>
                </c:pt>
                <c:pt idx="1119">
                  <c:v>8075.5674</c:v>
                </c:pt>
                <c:pt idx="1120">
                  <c:v>8050.31745</c:v>
                </c:pt>
                <c:pt idx="1121">
                  <c:v>8024.21695</c:v>
                </c:pt>
                <c:pt idx="1122">
                  <c:v>8001.52935</c:v>
                </c:pt>
                <c:pt idx="1123">
                  <c:v>7983.53755</c:v>
                </c:pt>
                <c:pt idx="1124">
                  <c:v>7965.48525</c:v>
                </c:pt>
                <c:pt idx="1125">
                  <c:v>7951.7078</c:v>
                </c:pt>
                <c:pt idx="1126">
                  <c:v>7940.14965</c:v>
                </c:pt>
                <c:pt idx="1127">
                  <c:v>7925.7496</c:v>
                </c:pt>
                <c:pt idx="1128">
                  <c:v>7917.54185</c:v>
                </c:pt>
                <c:pt idx="1129">
                  <c:v>7916.4703</c:v>
                </c:pt>
                <c:pt idx="1130">
                  <c:v>7911.7156</c:v>
                </c:pt>
                <c:pt idx="1131">
                  <c:v>7907.38675</c:v>
                </c:pt>
                <c:pt idx="1132">
                  <c:v>7900.85575</c:v>
                </c:pt>
                <c:pt idx="1133">
                  <c:v>7892.85575</c:v>
                </c:pt>
                <c:pt idx="1134">
                  <c:v>7885.2728</c:v>
                </c:pt>
                <c:pt idx="1135">
                  <c:v>7879.82285</c:v>
                </c:pt>
                <c:pt idx="1136">
                  <c:v>7870.5365</c:v>
                </c:pt>
                <c:pt idx="1137">
                  <c:v>7863.89185</c:v>
                </c:pt>
                <c:pt idx="1138">
                  <c:v>7853.00195</c:v>
                </c:pt>
                <c:pt idx="1139">
                  <c:v>7839.1307</c:v>
                </c:pt>
                <c:pt idx="1140">
                  <c:v>7825.09325</c:v>
                </c:pt>
                <c:pt idx="1141">
                  <c:v>7802.92555</c:v>
                </c:pt>
                <c:pt idx="1142">
                  <c:v>7783.50035</c:v>
                </c:pt>
                <c:pt idx="1143">
                  <c:v>7759.7754</c:v>
                </c:pt>
                <c:pt idx="1144">
                  <c:v>7734.53755</c:v>
                </c:pt>
                <c:pt idx="1145">
                  <c:v>7713.44125</c:v>
                </c:pt>
                <c:pt idx="1146">
                  <c:v>7695.79125</c:v>
                </c:pt>
                <c:pt idx="1147">
                  <c:v>7676.47895</c:v>
                </c:pt>
                <c:pt idx="1148">
                  <c:v>7659.66585</c:v>
                </c:pt>
                <c:pt idx="1149">
                  <c:v>7644.10585</c:v>
                </c:pt>
                <c:pt idx="1150">
                  <c:v>7624.99605</c:v>
                </c:pt>
                <c:pt idx="1151">
                  <c:v>7604.7566</c:v>
                </c:pt>
                <c:pt idx="1152">
                  <c:v>7585.71025</c:v>
                </c:pt>
                <c:pt idx="1153">
                  <c:v>7562.48415</c:v>
                </c:pt>
                <c:pt idx="1154">
                  <c:v>7539.16265</c:v>
                </c:pt>
                <c:pt idx="1155">
                  <c:v>7513.93485</c:v>
                </c:pt>
                <c:pt idx="1156">
                  <c:v>7489.0509</c:v>
                </c:pt>
                <c:pt idx="1157">
                  <c:v>7465.9132</c:v>
                </c:pt>
                <c:pt idx="1158">
                  <c:v>7445.94985</c:v>
                </c:pt>
                <c:pt idx="1159">
                  <c:v>7429.8348</c:v>
                </c:pt>
                <c:pt idx="1160">
                  <c:v>7416.22075</c:v>
                </c:pt>
                <c:pt idx="1161">
                  <c:v>7402.1302</c:v>
                </c:pt>
                <c:pt idx="1162">
                  <c:v>7390.4313</c:v>
                </c:pt>
                <c:pt idx="1163">
                  <c:v>7376.16195</c:v>
                </c:pt>
                <c:pt idx="1164">
                  <c:v>7363.662</c:v>
                </c:pt>
                <c:pt idx="1165">
                  <c:v>7350.83995</c:v>
                </c:pt>
                <c:pt idx="1166">
                  <c:v>7342.8298</c:v>
                </c:pt>
                <c:pt idx="1167">
                  <c:v>7334.394</c:v>
                </c:pt>
                <c:pt idx="1168">
                  <c:v>7325.5113</c:v>
                </c:pt>
                <c:pt idx="1169">
                  <c:v>7318.51635</c:v>
                </c:pt>
                <c:pt idx="1170">
                  <c:v>7310.2936</c:v>
                </c:pt>
                <c:pt idx="1171">
                  <c:v>7300.3183</c:v>
                </c:pt>
                <c:pt idx="1172">
                  <c:v>7288.58045</c:v>
                </c:pt>
                <c:pt idx="1173">
                  <c:v>7276.9714</c:v>
                </c:pt>
                <c:pt idx="1174">
                  <c:v>7266.4363</c:v>
                </c:pt>
                <c:pt idx="1175">
                  <c:v>7254.7482</c:v>
                </c:pt>
                <c:pt idx="1176">
                  <c:v>7244.7143</c:v>
                </c:pt>
                <c:pt idx="1177">
                  <c:v>7233.22275</c:v>
                </c:pt>
                <c:pt idx="1178">
                  <c:v>7223.4378</c:v>
                </c:pt>
                <c:pt idx="1179">
                  <c:v>7215.44975</c:v>
                </c:pt>
                <c:pt idx="1180">
                  <c:v>7206.6536</c:v>
                </c:pt>
                <c:pt idx="1181">
                  <c:v>7203.45575</c:v>
                </c:pt>
                <c:pt idx="1182">
                  <c:v>7201.50125</c:v>
                </c:pt>
                <c:pt idx="1183">
                  <c:v>7199.07725</c:v>
                </c:pt>
                <c:pt idx="1184">
                  <c:v>7196.972</c:v>
                </c:pt>
                <c:pt idx="1185">
                  <c:v>7193.6619</c:v>
                </c:pt>
                <c:pt idx="1186">
                  <c:v>7188.6074</c:v>
                </c:pt>
                <c:pt idx="1187">
                  <c:v>7186.7284</c:v>
                </c:pt>
                <c:pt idx="1188">
                  <c:v>7184.8374</c:v>
                </c:pt>
                <c:pt idx="1189">
                  <c:v>7183.71805</c:v>
                </c:pt>
                <c:pt idx="1190">
                  <c:v>7181.3279</c:v>
                </c:pt>
                <c:pt idx="1191">
                  <c:v>7178.20575</c:v>
                </c:pt>
                <c:pt idx="1192">
                  <c:v>7176.37445</c:v>
                </c:pt>
                <c:pt idx="1193">
                  <c:v>7174.2951</c:v>
                </c:pt>
                <c:pt idx="1194">
                  <c:v>7171.59825</c:v>
                </c:pt>
                <c:pt idx="1195">
                  <c:v>7163.34825</c:v>
                </c:pt>
                <c:pt idx="1196">
                  <c:v>7155.22045</c:v>
                </c:pt>
                <c:pt idx="1197">
                  <c:v>7146.7258</c:v>
                </c:pt>
                <c:pt idx="1198">
                  <c:v>7136.66955</c:v>
                </c:pt>
                <c:pt idx="1199">
                  <c:v>7128.1739</c:v>
                </c:pt>
                <c:pt idx="1200">
                  <c:v>7120.3732</c:v>
                </c:pt>
                <c:pt idx="1201">
                  <c:v>7111.72935</c:v>
                </c:pt>
                <c:pt idx="1202">
                  <c:v>7102.37935</c:v>
                </c:pt>
                <c:pt idx="1203">
                  <c:v>7090.2905</c:v>
                </c:pt>
                <c:pt idx="1204">
                  <c:v>7078.229</c:v>
                </c:pt>
                <c:pt idx="1205">
                  <c:v>7066.28515</c:v>
                </c:pt>
                <c:pt idx="1206">
                  <c:v>7053.3031</c:v>
                </c:pt>
                <c:pt idx="1207">
                  <c:v>7036.7902</c:v>
                </c:pt>
                <c:pt idx="1208">
                  <c:v>7024.2483</c:v>
                </c:pt>
                <c:pt idx="1209">
                  <c:v>7009.5271</c:v>
                </c:pt>
                <c:pt idx="1210">
                  <c:v>6996.21105</c:v>
                </c:pt>
                <c:pt idx="1211">
                  <c:v>6977.5884</c:v>
                </c:pt>
                <c:pt idx="1212">
                  <c:v>6958.54095</c:v>
                </c:pt>
                <c:pt idx="1213">
                  <c:v>6939.88305</c:v>
                </c:pt>
                <c:pt idx="1214">
                  <c:v>6922.04245</c:v>
                </c:pt>
                <c:pt idx="1215">
                  <c:v>6903.89005</c:v>
                </c:pt>
                <c:pt idx="1216">
                  <c:v>6878.92885</c:v>
                </c:pt>
                <c:pt idx="1217">
                  <c:v>6852.25</c:v>
                </c:pt>
                <c:pt idx="1218">
                  <c:v>6825.97555</c:v>
                </c:pt>
                <c:pt idx="1219">
                  <c:v>6799.30235</c:v>
                </c:pt>
                <c:pt idx="1220">
                  <c:v>6773.9401</c:v>
                </c:pt>
                <c:pt idx="1221">
                  <c:v>6746.926</c:v>
                </c:pt>
                <c:pt idx="1222">
                  <c:v>6720.10905</c:v>
                </c:pt>
                <c:pt idx="1223">
                  <c:v>6693.7131</c:v>
                </c:pt>
                <c:pt idx="1224">
                  <c:v>6670.57145</c:v>
                </c:pt>
                <c:pt idx="1225">
                  <c:v>6649.3216</c:v>
                </c:pt>
                <c:pt idx="1226">
                  <c:v>6627.1311</c:v>
                </c:pt>
                <c:pt idx="1227">
                  <c:v>6603.6611</c:v>
                </c:pt>
                <c:pt idx="1228">
                  <c:v>6581.98385</c:v>
                </c:pt>
                <c:pt idx="1229">
                  <c:v>6560.7798</c:v>
                </c:pt>
                <c:pt idx="1230">
                  <c:v>6539.65215</c:v>
                </c:pt>
                <c:pt idx="1231">
                  <c:v>6517.9688</c:v>
                </c:pt>
                <c:pt idx="1232">
                  <c:v>6495.26275</c:v>
                </c:pt>
                <c:pt idx="1233">
                  <c:v>6469.84475</c:v>
                </c:pt>
                <c:pt idx="1234">
                  <c:v>6444.7776</c:v>
                </c:pt>
                <c:pt idx="1235">
                  <c:v>6421.8441</c:v>
                </c:pt>
                <c:pt idx="1236">
                  <c:v>6401.975</c:v>
                </c:pt>
                <c:pt idx="1237">
                  <c:v>6381.105</c:v>
                </c:pt>
                <c:pt idx="1238">
                  <c:v>6360.55625</c:v>
                </c:pt>
                <c:pt idx="1239">
                  <c:v>6341.0177</c:v>
                </c:pt>
                <c:pt idx="1240">
                  <c:v>6320.6095</c:v>
                </c:pt>
                <c:pt idx="1241">
                  <c:v>6301.04835</c:v>
                </c:pt>
                <c:pt idx="1242">
                  <c:v>6279.66335</c:v>
                </c:pt>
                <c:pt idx="1243">
                  <c:v>6258.7383</c:v>
                </c:pt>
                <c:pt idx="1244">
                  <c:v>6238.7974</c:v>
                </c:pt>
                <c:pt idx="1245">
                  <c:v>6219.56465</c:v>
                </c:pt>
                <c:pt idx="1246">
                  <c:v>6199.7951</c:v>
                </c:pt>
                <c:pt idx="1247">
                  <c:v>6181.63995</c:v>
                </c:pt>
                <c:pt idx="1248">
                  <c:v>6163.3984</c:v>
                </c:pt>
                <c:pt idx="1249">
                  <c:v>6145.23815</c:v>
                </c:pt>
                <c:pt idx="1250">
                  <c:v>6126.6878</c:v>
                </c:pt>
                <c:pt idx="1251">
                  <c:v>6108.43315</c:v>
                </c:pt>
                <c:pt idx="1252">
                  <c:v>6089.239</c:v>
                </c:pt>
                <c:pt idx="1253">
                  <c:v>6070.8064</c:v>
                </c:pt>
                <c:pt idx="1254">
                  <c:v>6054.9043</c:v>
                </c:pt>
                <c:pt idx="1255">
                  <c:v>6039.9396</c:v>
                </c:pt>
                <c:pt idx="1256">
                  <c:v>6025.8612</c:v>
                </c:pt>
                <c:pt idx="1257">
                  <c:v>6013.4946</c:v>
                </c:pt>
                <c:pt idx="1258">
                  <c:v>5998.76145</c:v>
                </c:pt>
                <c:pt idx="1259">
                  <c:v>5985.93585</c:v>
                </c:pt>
                <c:pt idx="1260">
                  <c:v>5972.96835</c:v>
                </c:pt>
                <c:pt idx="1261">
                  <c:v>5959.6704</c:v>
                </c:pt>
                <c:pt idx="1262">
                  <c:v>5945.22655</c:v>
                </c:pt>
                <c:pt idx="1263">
                  <c:v>5930.5376</c:v>
                </c:pt>
                <c:pt idx="1264">
                  <c:v>5916.96205</c:v>
                </c:pt>
                <c:pt idx="1265">
                  <c:v>5903.39705</c:v>
                </c:pt>
                <c:pt idx="1266">
                  <c:v>5893.06725</c:v>
                </c:pt>
                <c:pt idx="1267">
                  <c:v>5882.1964</c:v>
                </c:pt>
                <c:pt idx="1268">
                  <c:v>5869.57705</c:v>
                </c:pt>
                <c:pt idx="1269">
                  <c:v>5856.52545</c:v>
                </c:pt>
                <c:pt idx="1270">
                  <c:v>5844.2525</c:v>
                </c:pt>
                <c:pt idx="1271">
                  <c:v>5831.16285</c:v>
                </c:pt>
                <c:pt idx="1272">
                  <c:v>5820.2255</c:v>
                </c:pt>
                <c:pt idx="1273">
                  <c:v>5807.1175</c:v>
                </c:pt>
                <c:pt idx="1274">
                  <c:v>5793.2501</c:v>
                </c:pt>
                <c:pt idx="1275">
                  <c:v>5779.70585</c:v>
                </c:pt>
                <c:pt idx="1276">
                  <c:v>5764.68615</c:v>
                </c:pt>
                <c:pt idx="1277">
                  <c:v>5750.5863</c:v>
                </c:pt>
                <c:pt idx="1278">
                  <c:v>5735.3299</c:v>
                </c:pt>
                <c:pt idx="1279">
                  <c:v>5720.32395</c:v>
                </c:pt>
                <c:pt idx="1280">
                  <c:v>5705.2091</c:v>
                </c:pt>
                <c:pt idx="1281">
                  <c:v>5689.20775</c:v>
                </c:pt>
                <c:pt idx="1282">
                  <c:v>5673.54275</c:v>
                </c:pt>
                <c:pt idx="1283">
                  <c:v>5658.03355</c:v>
                </c:pt>
                <c:pt idx="1284">
                  <c:v>5644.2954</c:v>
                </c:pt>
                <c:pt idx="1285">
                  <c:v>5630.0003</c:v>
                </c:pt>
                <c:pt idx="1286">
                  <c:v>5615.9013</c:v>
                </c:pt>
                <c:pt idx="1287">
                  <c:v>5601.80695</c:v>
                </c:pt>
                <c:pt idx="1288">
                  <c:v>5587.75145</c:v>
                </c:pt>
                <c:pt idx="1289">
                  <c:v>5573.0653</c:v>
                </c:pt>
                <c:pt idx="1290">
                  <c:v>5556.60875</c:v>
                </c:pt>
                <c:pt idx="1291">
                  <c:v>5537.37585</c:v>
                </c:pt>
                <c:pt idx="1292">
                  <c:v>5517.5548</c:v>
                </c:pt>
                <c:pt idx="1293">
                  <c:v>5497.2526</c:v>
                </c:pt>
                <c:pt idx="1294">
                  <c:v>5477.7223</c:v>
                </c:pt>
                <c:pt idx="1295">
                  <c:v>5457.5191</c:v>
                </c:pt>
                <c:pt idx="1296">
                  <c:v>5437.3251</c:v>
                </c:pt>
                <c:pt idx="1297">
                  <c:v>5416.8346</c:v>
                </c:pt>
                <c:pt idx="1298">
                  <c:v>5393.02575</c:v>
                </c:pt>
                <c:pt idx="1299">
                  <c:v>5370.4842</c:v>
                </c:pt>
                <c:pt idx="1300">
                  <c:v>5348.77605</c:v>
                </c:pt>
                <c:pt idx="1301">
                  <c:v>5325.7953</c:v>
                </c:pt>
                <c:pt idx="1302">
                  <c:v>5302.5342</c:v>
                </c:pt>
                <c:pt idx="1303">
                  <c:v>5279.26</c:v>
                </c:pt>
                <c:pt idx="1304">
                  <c:v>5256.2429</c:v>
                </c:pt>
                <c:pt idx="1305">
                  <c:v>5235.5184</c:v>
                </c:pt>
                <c:pt idx="1306">
                  <c:v>5215.62385</c:v>
                </c:pt>
                <c:pt idx="1307">
                  <c:v>5197.28925</c:v>
                </c:pt>
                <c:pt idx="1308">
                  <c:v>5179.6589</c:v>
                </c:pt>
                <c:pt idx="1309">
                  <c:v>5164.32885</c:v>
                </c:pt>
                <c:pt idx="1310">
                  <c:v>5148.66735</c:v>
                </c:pt>
                <c:pt idx="1311">
                  <c:v>5133.68745</c:v>
                </c:pt>
                <c:pt idx="1312">
                  <c:v>5120.64635</c:v>
                </c:pt>
                <c:pt idx="1313">
                  <c:v>5107.90495</c:v>
                </c:pt>
                <c:pt idx="1314">
                  <c:v>5094.26665</c:v>
                </c:pt>
                <c:pt idx="1315">
                  <c:v>5082.534</c:v>
                </c:pt>
                <c:pt idx="1316">
                  <c:v>5070.35575</c:v>
                </c:pt>
                <c:pt idx="1317">
                  <c:v>5057.7364</c:v>
                </c:pt>
                <c:pt idx="1318">
                  <c:v>5045.4989</c:v>
                </c:pt>
                <c:pt idx="1319">
                  <c:v>5033.57235</c:v>
                </c:pt>
                <c:pt idx="1320">
                  <c:v>5021.16195</c:v>
                </c:pt>
                <c:pt idx="1321">
                  <c:v>5008.08605</c:v>
                </c:pt>
                <c:pt idx="1322">
                  <c:v>4994.38155</c:v>
                </c:pt>
                <c:pt idx="1323">
                  <c:v>4981.6578</c:v>
                </c:pt>
                <c:pt idx="1324">
                  <c:v>4968.4954</c:v>
                </c:pt>
                <c:pt idx="1325">
                  <c:v>4956.4173</c:v>
                </c:pt>
                <c:pt idx="1326">
                  <c:v>4943.62285</c:v>
                </c:pt>
                <c:pt idx="1327">
                  <c:v>4931.32755</c:v>
                </c:pt>
                <c:pt idx="1328">
                  <c:v>4917.94415</c:v>
                </c:pt>
                <c:pt idx="1329">
                  <c:v>4903.78975</c:v>
                </c:pt>
                <c:pt idx="1330">
                  <c:v>4889.35725</c:v>
                </c:pt>
                <c:pt idx="1331">
                  <c:v>4875.0771</c:v>
                </c:pt>
                <c:pt idx="1332">
                  <c:v>4860.0316</c:v>
                </c:pt>
                <c:pt idx="1333">
                  <c:v>4844.62655</c:v>
                </c:pt>
                <c:pt idx="1334">
                  <c:v>4829.3071</c:v>
                </c:pt>
                <c:pt idx="1335">
                  <c:v>4814.2446</c:v>
                </c:pt>
                <c:pt idx="1336">
                  <c:v>4799.1738</c:v>
                </c:pt>
                <c:pt idx="1337">
                  <c:v>4783.37765</c:v>
                </c:pt>
                <c:pt idx="1338">
                  <c:v>4766.76645</c:v>
                </c:pt>
                <c:pt idx="1339">
                  <c:v>4750.40045</c:v>
                </c:pt>
                <c:pt idx="1340">
                  <c:v>4733.5176</c:v>
                </c:pt>
                <c:pt idx="1341">
                  <c:v>4719.9254</c:v>
                </c:pt>
                <c:pt idx="1342">
                  <c:v>4706.98805</c:v>
                </c:pt>
                <c:pt idx="1343">
                  <c:v>4694.62025</c:v>
                </c:pt>
                <c:pt idx="1344">
                  <c:v>4683.8129</c:v>
                </c:pt>
                <c:pt idx="1345">
                  <c:v>4672.6937</c:v>
                </c:pt>
                <c:pt idx="1346">
                  <c:v>4661.64875</c:v>
                </c:pt>
                <c:pt idx="1347">
                  <c:v>4650.7068</c:v>
                </c:pt>
                <c:pt idx="1348">
                  <c:v>4639.55175</c:v>
                </c:pt>
                <c:pt idx="1349">
                  <c:v>4627.8068</c:v>
                </c:pt>
                <c:pt idx="1350">
                  <c:v>4619.92625</c:v>
                </c:pt>
                <c:pt idx="1351">
                  <c:v>4612.2127</c:v>
                </c:pt>
                <c:pt idx="1352">
                  <c:v>4604.25515</c:v>
                </c:pt>
                <c:pt idx="1353">
                  <c:v>4598.20495</c:v>
                </c:pt>
                <c:pt idx="1354">
                  <c:v>4591.77255</c:v>
                </c:pt>
                <c:pt idx="1355">
                  <c:v>4585.8118</c:v>
                </c:pt>
                <c:pt idx="1356">
                  <c:v>4579.77395</c:v>
                </c:pt>
                <c:pt idx="1357">
                  <c:v>4571.96</c:v>
                </c:pt>
                <c:pt idx="1358">
                  <c:v>4565.01625</c:v>
                </c:pt>
                <c:pt idx="1359">
                  <c:v>4556.7378</c:v>
                </c:pt>
                <c:pt idx="1360">
                  <c:v>4549.2183</c:v>
                </c:pt>
                <c:pt idx="1361">
                  <c:v>4542.36495</c:v>
                </c:pt>
                <c:pt idx="1362">
                  <c:v>4535.908</c:v>
                </c:pt>
                <c:pt idx="1363">
                  <c:v>4527.6579</c:v>
                </c:pt>
                <c:pt idx="1364">
                  <c:v>4520.57235</c:v>
                </c:pt>
                <c:pt idx="1365">
                  <c:v>4513.80235</c:v>
                </c:pt>
                <c:pt idx="1366">
                  <c:v>4507.1798</c:v>
                </c:pt>
                <c:pt idx="1367">
                  <c:v>4500.76745</c:v>
                </c:pt>
                <c:pt idx="1368">
                  <c:v>4494.8746</c:v>
                </c:pt>
                <c:pt idx="1369">
                  <c:v>4489.03265</c:v>
                </c:pt>
                <c:pt idx="1370">
                  <c:v>4483.2334</c:v>
                </c:pt>
                <c:pt idx="1371">
                  <c:v>4477.92745</c:v>
                </c:pt>
                <c:pt idx="1372">
                  <c:v>4472.3748</c:v>
                </c:pt>
                <c:pt idx="1373">
                  <c:v>4465.19885</c:v>
                </c:pt>
                <c:pt idx="1374">
                  <c:v>4457.95605</c:v>
                </c:pt>
                <c:pt idx="1375">
                  <c:v>4450.86165</c:v>
                </c:pt>
                <c:pt idx="1376">
                  <c:v>4444.01385</c:v>
                </c:pt>
                <c:pt idx="1377">
                  <c:v>4438.98165</c:v>
                </c:pt>
                <c:pt idx="1378">
                  <c:v>4434.39505</c:v>
                </c:pt>
                <c:pt idx="1379">
                  <c:v>4430.0208</c:v>
                </c:pt>
                <c:pt idx="1380">
                  <c:v>4426.0534</c:v>
                </c:pt>
                <c:pt idx="1381">
                  <c:v>4422.1383</c:v>
                </c:pt>
                <c:pt idx="1382">
                  <c:v>4418.7028</c:v>
                </c:pt>
                <c:pt idx="1383">
                  <c:v>4415.0636</c:v>
                </c:pt>
                <c:pt idx="1384">
                  <c:v>4411.5283</c:v>
                </c:pt>
                <c:pt idx="1385">
                  <c:v>4408.3556</c:v>
                </c:pt>
                <c:pt idx="1386">
                  <c:v>4406.02765</c:v>
                </c:pt>
                <c:pt idx="1387">
                  <c:v>4404.7137</c:v>
                </c:pt>
                <c:pt idx="1388">
                  <c:v>4404.39115</c:v>
                </c:pt>
                <c:pt idx="1389">
                  <c:v>4408.5152</c:v>
                </c:pt>
                <c:pt idx="1390">
                  <c:v>4411.3341</c:v>
                </c:pt>
                <c:pt idx="1391">
                  <c:v>4418.48085</c:v>
                </c:pt>
                <c:pt idx="1392">
                  <c:v>4426.4111</c:v>
                </c:pt>
                <c:pt idx="1393">
                  <c:v>4435.3821</c:v>
                </c:pt>
                <c:pt idx="1394">
                  <c:v>4442.7588</c:v>
                </c:pt>
                <c:pt idx="1395">
                  <c:v>4448.24725</c:v>
                </c:pt>
                <c:pt idx="1396">
                  <c:v>4453.2211</c:v>
                </c:pt>
                <c:pt idx="1397">
                  <c:v>4462.7002</c:v>
                </c:pt>
                <c:pt idx="1398">
                  <c:v>4470.9779</c:v>
                </c:pt>
                <c:pt idx="1399">
                  <c:v>4478.9874</c:v>
                </c:pt>
                <c:pt idx="1400">
                  <c:v>4485.46</c:v>
                </c:pt>
                <c:pt idx="1401">
                  <c:v>4492.7535</c:v>
                </c:pt>
                <c:pt idx="1402">
                  <c:v>4500.7079</c:v>
                </c:pt>
                <c:pt idx="1403">
                  <c:v>4508.80245</c:v>
                </c:pt>
                <c:pt idx="1404">
                  <c:v>4520.087</c:v>
                </c:pt>
                <c:pt idx="1405">
                  <c:v>4531.97205</c:v>
                </c:pt>
                <c:pt idx="1406">
                  <c:v>4543.7301</c:v>
                </c:pt>
                <c:pt idx="1407">
                  <c:v>4555.2955</c:v>
                </c:pt>
                <c:pt idx="1408">
                  <c:v>4564.87535</c:v>
                </c:pt>
                <c:pt idx="1409">
                  <c:v>4575.9869</c:v>
                </c:pt>
                <c:pt idx="1410">
                  <c:v>4587.48025</c:v>
                </c:pt>
                <c:pt idx="1411">
                  <c:v>4603.1588</c:v>
                </c:pt>
                <c:pt idx="1412">
                  <c:v>4615.33625</c:v>
                </c:pt>
                <c:pt idx="1413">
                  <c:v>4626.21635</c:v>
                </c:pt>
                <c:pt idx="1414">
                  <c:v>4637.53005</c:v>
                </c:pt>
                <c:pt idx="1415">
                  <c:v>4648.7908</c:v>
                </c:pt>
                <c:pt idx="1416">
                  <c:v>4665.08415</c:v>
                </c:pt>
                <c:pt idx="1417">
                  <c:v>4683.0312</c:v>
                </c:pt>
                <c:pt idx="1418">
                  <c:v>4698.42485</c:v>
                </c:pt>
                <c:pt idx="1419">
                  <c:v>4717.3287</c:v>
                </c:pt>
                <c:pt idx="1420">
                  <c:v>4735.5007</c:v>
                </c:pt>
                <c:pt idx="1421">
                  <c:v>4757.4708</c:v>
                </c:pt>
                <c:pt idx="1422">
                  <c:v>4779.06735</c:v>
                </c:pt>
                <c:pt idx="1423">
                  <c:v>4803.88065</c:v>
                </c:pt>
                <c:pt idx="1424">
                  <c:v>4829.3123</c:v>
                </c:pt>
                <c:pt idx="1425">
                  <c:v>4853.1719</c:v>
                </c:pt>
                <c:pt idx="1426">
                  <c:v>4878.66425</c:v>
                </c:pt>
                <c:pt idx="1427">
                  <c:v>4904.2342</c:v>
                </c:pt>
                <c:pt idx="1428">
                  <c:v>4929.9441</c:v>
                </c:pt>
                <c:pt idx="1429">
                  <c:v>4957.14115</c:v>
                </c:pt>
                <c:pt idx="1430">
                  <c:v>4988.8532</c:v>
                </c:pt>
                <c:pt idx="1431">
                  <c:v>5022.6355</c:v>
                </c:pt>
                <c:pt idx="1432">
                  <c:v>5058.2062</c:v>
                </c:pt>
                <c:pt idx="1433">
                  <c:v>5096.24005</c:v>
                </c:pt>
                <c:pt idx="1434">
                  <c:v>5138.02495</c:v>
                </c:pt>
                <c:pt idx="1435">
                  <c:v>5185.53255</c:v>
                </c:pt>
                <c:pt idx="1436">
                  <c:v>5223.51365</c:v>
                </c:pt>
                <c:pt idx="1437">
                  <c:v>5268.05155</c:v>
                </c:pt>
                <c:pt idx="1438">
                  <c:v>5310.8734</c:v>
                </c:pt>
                <c:pt idx="1439">
                  <c:v>5347.6159</c:v>
                </c:pt>
                <c:pt idx="1440">
                  <c:v>5384.144</c:v>
                </c:pt>
                <c:pt idx="1441">
                  <c:v>5422.5905</c:v>
                </c:pt>
                <c:pt idx="1442">
                  <c:v>5466.78855</c:v>
                </c:pt>
                <c:pt idx="1443">
                  <c:v>5506.4683</c:v>
                </c:pt>
                <c:pt idx="1444">
                  <c:v>5544.17725</c:v>
                </c:pt>
                <c:pt idx="1445">
                  <c:v>5581.7774</c:v>
                </c:pt>
                <c:pt idx="1446">
                  <c:v>5620.75935</c:v>
                </c:pt>
                <c:pt idx="1447">
                  <c:v>5661.8742</c:v>
                </c:pt>
                <c:pt idx="1448">
                  <c:v>5705.4762</c:v>
                </c:pt>
                <c:pt idx="1449">
                  <c:v>5745.98955</c:v>
                </c:pt>
                <c:pt idx="1450">
                  <c:v>5782.88465</c:v>
                </c:pt>
                <c:pt idx="1451">
                  <c:v>5821.7746</c:v>
                </c:pt>
                <c:pt idx="1452">
                  <c:v>5859.9151</c:v>
                </c:pt>
                <c:pt idx="1453">
                  <c:v>5891.8175</c:v>
                </c:pt>
                <c:pt idx="1454">
                  <c:v>5928.14585</c:v>
                </c:pt>
                <c:pt idx="1455">
                  <c:v>5955.88555</c:v>
                </c:pt>
                <c:pt idx="1456">
                  <c:v>5985.78175</c:v>
                </c:pt>
                <c:pt idx="1457">
                  <c:v>6019.908</c:v>
                </c:pt>
                <c:pt idx="1458">
                  <c:v>6054.1889</c:v>
                </c:pt>
                <c:pt idx="1459">
                  <c:v>6088.833</c:v>
                </c:pt>
                <c:pt idx="1460">
                  <c:v>6122.54675</c:v>
                </c:pt>
                <c:pt idx="1461">
                  <c:v>6155.1321</c:v>
                </c:pt>
                <c:pt idx="1462">
                  <c:v>6185.1968</c:v>
                </c:pt>
                <c:pt idx="1463">
                  <c:v>6214.9599</c:v>
                </c:pt>
                <c:pt idx="1464">
                  <c:v>6244.1583</c:v>
                </c:pt>
                <c:pt idx="1465">
                  <c:v>6273.33805</c:v>
                </c:pt>
                <c:pt idx="1466">
                  <c:v>6300.71335</c:v>
                </c:pt>
                <c:pt idx="1467">
                  <c:v>6328.44125</c:v>
                </c:pt>
                <c:pt idx="1468">
                  <c:v>6357.82725</c:v>
                </c:pt>
                <c:pt idx="1469">
                  <c:v>6387.5488</c:v>
                </c:pt>
                <c:pt idx="1470">
                  <c:v>6419.94675</c:v>
                </c:pt>
                <c:pt idx="1471">
                  <c:v>6454.46175</c:v>
                </c:pt>
                <c:pt idx="1472">
                  <c:v>6488.80615</c:v>
                </c:pt>
                <c:pt idx="1473">
                  <c:v>6525.0061</c:v>
                </c:pt>
                <c:pt idx="1474">
                  <c:v>6561.94665</c:v>
                </c:pt>
                <c:pt idx="1475">
                  <c:v>6602.6191</c:v>
                </c:pt>
                <c:pt idx="1476">
                  <c:v>6641.78025</c:v>
                </c:pt>
                <c:pt idx="1477">
                  <c:v>6683.43905</c:v>
                </c:pt>
                <c:pt idx="1478">
                  <c:v>6725.84755</c:v>
                </c:pt>
                <c:pt idx="1479">
                  <c:v>6767.63375</c:v>
                </c:pt>
                <c:pt idx="1480">
                  <c:v>6806.1677</c:v>
                </c:pt>
                <c:pt idx="1481">
                  <c:v>6846.0624</c:v>
                </c:pt>
                <c:pt idx="1482">
                  <c:v>6885.15445</c:v>
                </c:pt>
                <c:pt idx="1483">
                  <c:v>6921.6215</c:v>
                </c:pt>
                <c:pt idx="1484">
                  <c:v>6954.36785</c:v>
                </c:pt>
                <c:pt idx="1485">
                  <c:v>6988.11755</c:v>
                </c:pt>
                <c:pt idx="1486">
                  <c:v>7022.81195</c:v>
                </c:pt>
                <c:pt idx="1487">
                  <c:v>7056.9167</c:v>
                </c:pt>
                <c:pt idx="1488">
                  <c:v>7091.27415</c:v>
                </c:pt>
                <c:pt idx="1489">
                  <c:v>7128.895</c:v>
                </c:pt>
                <c:pt idx="1490">
                  <c:v>7165.56245</c:v>
                </c:pt>
                <c:pt idx="1491">
                  <c:v>7198.90905</c:v>
                </c:pt>
                <c:pt idx="1492">
                  <c:v>7232.2796</c:v>
                </c:pt>
                <c:pt idx="1493">
                  <c:v>7267.3068</c:v>
                </c:pt>
                <c:pt idx="1494">
                  <c:v>7300.9448</c:v>
                </c:pt>
                <c:pt idx="1495">
                  <c:v>7334.8505</c:v>
                </c:pt>
                <c:pt idx="1496">
                  <c:v>7369.92425</c:v>
                </c:pt>
                <c:pt idx="1497">
                  <c:v>7402.6651</c:v>
                </c:pt>
                <c:pt idx="1498">
                  <c:v>7433.09835</c:v>
                </c:pt>
                <c:pt idx="1499">
                  <c:v>7462.47915</c:v>
                </c:pt>
                <c:pt idx="1500">
                  <c:v>7492.43035</c:v>
                </c:pt>
                <c:pt idx="1501">
                  <c:v>7522.4598</c:v>
                </c:pt>
                <c:pt idx="1502">
                  <c:v>7553.4246</c:v>
                </c:pt>
                <c:pt idx="1503">
                  <c:v>7587.64235</c:v>
                </c:pt>
                <c:pt idx="1504">
                  <c:v>7622.9517</c:v>
                </c:pt>
                <c:pt idx="1505">
                  <c:v>7657.9682</c:v>
                </c:pt>
                <c:pt idx="1506">
                  <c:v>7692.71415</c:v>
                </c:pt>
                <c:pt idx="1507">
                  <c:v>7724.97315</c:v>
                </c:pt>
                <c:pt idx="1508">
                  <c:v>7757.95745</c:v>
                </c:pt>
                <c:pt idx="1509">
                  <c:v>7790.23835</c:v>
                </c:pt>
                <c:pt idx="1510">
                  <c:v>7822.29985</c:v>
                </c:pt>
                <c:pt idx="1511">
                  <c:v>7853.0398</c:v>
                </c:pt>
                <c:pt idx="1512">
                  <c:v>7883.33725</c:v>
                </c:pt>
                <c:pt idx="1513">
                  <c:v>7916.8521</c:v>
                </c:pt>
                <c:pt idx="1514">
                  <c:v>7949.6677</c:v>
                </c:pt>
                <c:pt idx="1515">
                  <c:v>7982.4713</c:v>
                </c:pt>
                <c:pt idx="1516">
                  <c:v>8015.005</c:v>
                </c:pt>
                <c:pt idx="1517">
                  <c:v>8047.38815</c:v>
                </c:pt>
                <c:pt idx="1518">
                  <c:v>8079.283</c:v>
                </c:pt>
                <c:pt idx="1519">
                  <c:v>8111.0108</c:v>
                </c:pt>
                <c:pt idx="1520">
                  <c:v>8143.60085</c:v>
                </c:pt>
                <c:pt idx="1521">
                  <c:v>8175.93945</c:v>
                </c:pt>
                <c:pt idx="1522">
                  <c:v>8206.62845</c:v>
                </c:pt>
                <c:pt idx="1523">
                  <c:v>8237.544</c:v>
                </c:pt>
                <c:pt idx="1524">
                  <c:v>8266.6782</c:v>
                </c:pt>
                <c:pt idx="1525">
                  <c:v>8290.24475</c:v>
                </c:pt>
                <c:pt idx="1526">
                  <c:v>8312.8926</c:v>
                </c:pt>
                <c:pt idx="1527">
                  <c:v>8333.70295</c:v>
                </c:pt>
                <c:pt idx="1528">
                  <c:v>8355.42445</c:v>
                </c:pt>
                <c:pt idx="1529">
                  <c:v>8377.26555</c:v>
                </c:pt>
                <c:pt idx="1530">
                  <c:v>8398.32575</c:v>
                </c:pt>
                <c:pt idx="1531">
                  <c:v>8420.5817</c:v>
                </c:pt>
                <c:pt idx="1532">
                  <c:v>8442.68485</c:v>
                </c:pt>
                <c:pt idx="1533">
                  <c:v>8464.71485</c:v>
                </c:pt>
                <c:pt idx="1534">
                  <c:v>8486.08605</c:v>
                </c:pt>
                <c:pt idx="1535">
                  <c:v>8507.0321</c:v>
                </c:pt>
                <c:pt idx="1536">
                  <c:v>8527.7928</c:v>
                </c:pt>
                <c:pt idx="1537">
                  <c:v>8546.9469</c:v>
                </c:pt>
                <c:pt idx="1538">
                  <c:v>8568.2072</c:v>
                </c:pt>
                <c:pt idx="1539">
                  <c:v>8589.22195</c:v>
                </c:pt>
                <c:pt idx="1540">
                  <c:v>8612.3048</c:v>
                </c:pt>
                <c:pt idx="1541">
                  <c:v>8635.40225</c:v>
                </c:pt>
                <c:pt idx="1542">
                  <c:v>8657.1828</c:v>
                </c:pt>
                <c:pt idx="1543">
                  <c:v>8679.09605</c:v>
                </c:pt>
                <c:pt idx="1544">
                  <c:v>8700.36345</c:v>
                </c:pt>
                <c:pt idx="1545">
                  <c:v>8722.1226</c:v>
                </c:pt>
                <c:pt idx="1546">
                  <c:v>8742.45015</c:v>
                </c:pt>
                <c:pt idx="1547">
                  <c:v>8761.94445</c:v>
                </c:pt>
                <c:pt idx="1548">
                  <c:v>8781.8545</c:v>
                </c:pt>
                <c:pt idx="1549">
                  <c:v>8800.9403</c:v>
                </c:pt>
                <c:pt idx="1550">
                  <c:v>8816.257</c:v>
                </c:pt>
                <c:pt idx="1551">
                  <c:v>8832.55435</c:v>
                </c:pt>
                <c:pt idx="1552">
                  <c:v>8849.0948</c:v>
                </c:pt>
                <c:pt idx="1553">
                  <c:v>8863.9317</c:v>
                </c:pt>
                <c:pt idx="1554">
                  <c:v>8876.0527</c:v>
                </c:pt>
                <c:pt idx="1555">
                  <c:v>8887.2752</c:v>
                </c:pt>
                <c:pt idx="1556">
                  <c:v>8904.37175</c:v>
                </c:pt>
                <c:pt idx="1557">
                  <c:v>8924.84205</c:v>
                </c:pt>
                <c:pt idx="1558">
                  <c:v>8946.10205</c:v>
                </c:pt>
                <c:pt idx="1559">
                  <c:v>8967.00535</c:v>
                </c:pt>
                <c:pt idx="1560">
                  <c:v>8988.77075</c:v>
                </c:pt>
                <c:pt idx="1561">
                  <c:v>9009.3185</c:v>
                </c:pt>
                <c:pt idx="1562">
                  <c:v>9029.2309</c:v>
                </c:pt>
                <c:pt idx="1563">
                  <c:v>9050.42095</c:v>
                </c:pt>
                <c:pt idx="1564">
                  <c:v>9071.00645</c:v>
                </c:pt>
                <c:pt idx="1565">
                  <c:v>9090.9465</c:v>
                </c:pt>
                <c:pt idx="1566">
                  <c:v>9111.61405</c:v>
                </c:pt>
                <c:pt idx="1567">
                  <c:v>9131.7372</c:v>
                </c:pt>
                <c:pt idx="1568">
                  <c:v>9151.8533</c:v>
                </c:pt>
                <c:pt idx="1569">
                  <c:v>9171.34865</c:v>
                </c:pt>
                <c:pt idx="1570">
                  <c:v>9188.2041</c:v>
                </c:pt>
                <c:pt idx="1571">
                  <c:v>9204.53225</c:v>
                </c:pt>
                <c:pt idx="1572">
                  <c:v>9222.50685</c:v>
                </c:pt>
                <c:pt idx="1573">
                  <c:v>9240.43585</c:v>
                </c:pt>
                <c:pt idx="1574">
                  <c:v>9258.75655</c:v>
                </c:pt>
                <c:pt idx="1575">
                  <c:v>9276.7316</c:v>
                </c:pt>
                <c:pt idx="1576">
                  <c:v>9294.10665</c:v>
                </c:pt>
                <c:pt idx="1577">
                  <c:v>9310.6654</c:v>
                </c:pt>
                <c:pt idx="1578">
                  <c:v>9326.75195</c:v>
                </c:pt>
                <c:pt idx="1579">
                  <c:v>9342.64625</c:v>
                </c:pt>
                <c:pt idx="1580">
                  <c:v>9356.49985</c:v>
                </c:pt>
                <c:pt idx="1581">
                  <c:v>9368.82965</c:v>
                </c:pt>
                <c:pt idx="1582">
                  <c:v>9380.3944</c:v>
                </c:pt>
                <c:pt idx="1583">
                  <c:v>9389.9089</c:v>
                </c:pt>
                <c:pt idx="1584">
                  <c:v>9397.95165</c:v>
                </c:pt>
                <c:pt idx="1585">
                  <c:v>9405.904</c:v>
                </c:pt>
                <c:pt idx="1586">
                  <c:v>9410.6932</c:v>
                </c:pt>
                <c:pt idx="1587">
                  <c:v>9415.55275</c:v>
                </c:pt>
                <c:pt idx="1588">
                  <c:v>9419.61205</c:v>
                </c:pt>
                <c:pt idx="1589">
                  <c:v>9421.2093</c:v>
                </c:pt>
                <c:pt idx="1590">
                  <c:v>9423.37575</c:v>
                </c:pt>
                <c:pt idx="1591">
                  <c:v>9423.00755</c:v>
                </c:pt>
                <c:pt idx="1592">
                  <c:v>9420.81145</c:v>
                </c:pt>
                <c:pt idx="1593">
                  <c:v>9416.86405</c:v>
                </c:pt>
                <c:pt idx="1594">
                  <c:v>9414.0447</c:v>
                </c:pt>
                <c:pt idx="1595">
                  <c:v>9413.70625</c:v>
                </c:pt>
                <c:pt idx="1596">
                  <c:v>9413.3221</c:v>
                </c:pt>
                <c:pt idx="1597">
                  <c:v>9409.26585</c:v>
                </c:pt>
                <c:pt idx="1598">
                  <c:v>9407.07195</c:v>
                </c:pt>
                <c:pt idx="1599">
                  <c:v>9404.82445</c:v>
                </c:pt>
                <c:pt idx="1600">
                  <c:v>9404.29205</c:v>
                </c:pt>
                <c:pt idx="1601">
                  <c:v>9401.5456</c:v>
                </c:pt>
                <c:pt idx="1602">
                  <c:v>9397.64965</c:v>
                </c:pt>
                <c:pt idx="1603">
                  <c:v>9393.68845</c:v>
                </c:pt>
                <c:pt idx="1604">
                  <c:v>9385.85925</c:v>
                </c:pt>
                <c:pt idx="1605">
                  <c:v>9378.18925</c:v>
                </c:pt>
                <c:pt idx="1606">
                  <c:v>9370.0545</c:v>
                </c:pt>
                <c:pt idx="1607">
                  <c:v>9362.307</c:v>
                </c:pt>
                <c:pt idx="1608">
                  <c:v>9355.32435</c:v>
                </c:pt>
                <c:pt idx="1609">
                  <c:v>9345.66655</c:v>
                </c:pt>
                <c:pt idx="1610">
                  <c:v>9339.4221</c:v>
                </c:pt>
                <c:pt idx="1611">
                  <c:v>9331.4862</c:v>
                </c:pt>
                <c:pt idx="1612">
                  <c:v>9327.3605</c:v>
                </c:pt>
                <c:pt idx="1613">
                  <c:v>9324.63425</c:v>
                </c:pt>
                <c:pt idx="1614">
                  <c:v>9323.5497</c:v>
                </c:pt>
                <c:pt idx="1615">
                  <c:v>9321.07985</c:v>
                </c:pt>
                <c:pt idx="1616">
                  <c:v>9317.41835</c:v>
                </c:pt>
                <c:pt idx="1617">
                  <c:v>9313.69895</c:v>
                </c:pt>
                <c:pt idx="1618">
                  <c:v>9311.55475</c:v>
                </c:pt>
                <c:pt idx="1619">
                  <c:v>9307.56085</c:v>
                </c:pt>
                <c:pt idx="1620">
                  <c:v>9304.48835</c:v>
                </c:pt>
                <c:pt idx="1621">
                  <c:v>9300.53595</c:v>
                </c:pt>
                <c:pt idx="1622">
                  <c:v>9295.21095</c:v>
                </c:pt>
                <c:pt idx="1623">
                  <c:v>9287.5311</c:v>
                </c:pt>
                <c:pt idx="1624">
                  <c:v>9279.09605</c:v>
                </c:pt>
                <c:pt idx="1625">
                  <c:v>9268.83635</c:v>
                </c:pt>
                <c:pt idx="1626">
                  <c:v>9258.7817</c:v>
                </c:pt>
                <c:pt idx="1627">
                  <c:v>9250.09925</c:v>
                </c:pt>
                <c:pt idx="1628">
                  <c:v>9240.42275</c:v>
                </c:pt>
                <c:pt idx="1629">
                  <c:v>9231.57715</c:v>
                </c:pt>
                <c:pt idx="1630">
                  <c:v>9221.5475</c:v>
                </c:pt>
                <c:pt idx="1631">
                  <c:v>9208.4314</c:v>
                </c:pt>
                <c:pt idx="1632">
                  <c:v>9193.45765</c:v>
                </c:pt>
                <c:pt idx="1633">
                  <c:v>9179.17695</c:v>
                </c:pt>
                <c:pt idx="1634">
                  <c:v>9160.50645</c:v>
                </c:pt>
                <c:pt idx="1635">
                  <c:v>9136.95715</c:v>
                </c:pt>
                <c:pt idx="1636">
                  <c:v>9121.86825</c:v>
                </c:pt>
                <c:pt idx="1637">
                  <c:v>9104.0655</c:v>
                </c:pt>
                <c:pt idx="1638">
                  <c:v>9088.65615</c:v>
                </c:pt>
                <c:pt idx="1639">
                  <c:v>9078.39855</c:v>
                </c:pt>
                <c:pt idx="1640">
                  <c:v>9069.9245</c:v>
                </c:pt>
                <c:pt idx="1641">
                  <c:v>9060.00445</c:v>
                </c:pt>
                <c:pt idx="1642">
                  <c:v>9043.44345</c:v>
                </c:pt>
                <c:pt idx="1643">
                  <c:v>9030.95705</c:v>
                </c:pt>
                <c:pt idx="1644">
                  <c:v>9019.414</c:v>
                </c:pt>
                <c:pt idx="1645">
                  <c:v>9006.8</c:v>
                </c:pt>
                <c:pt idx="1646">
                  <c:v>8991.33865</c:v>
                </c:pt>
                <c:pt idx="1647">
                  <c:v>8971.9719</c:v>
                </c:pt>
                <c:pt idx="1648">
                  <c:v>8950.6948</c:v>
                </c:pt>
                <c:pt idx="1649">
                  <c:v>8933.44375</c:v>
                </c:pt>
                <c:pt idx="1650">
                  <c:v>8921.3402</c:v>
                </c:pt>
                <c:pt idx="1651">
                  <c:v>8909.36845</c:v>
                </c:pt>
                <c:pt idx="1652">
                  <c:v>8898.67795</c:v>
                </c:pt>
                <c:pt idx="1653">
                  <c:v>8895.1942</c:v>
                </c:pt>
                <c:pt idx="1654">
                  <c:v>8887.6328</c:v>
                </c:pt>
                <c:pt idx="1655">
                  <c:v>8887.3281</c:v>
                </c:pt>
                <c:pt idx="1656">
                  <c:v>8885.35565</c:v>
                </c:pt>
                <c:pt idx="1657">
                  <c:v>8878.49585</c:v>
                </c:pt>
                <c:pt idx="1658">
                  <c:v>8871.5485</c:v>
                </c:pt>
                <c:pt idx="1659">
                  <c:v>8865.8911</c:v>
                </c:pt>
                <c:pt idx="1660">
                  <c:v>8861.5532</c:v>
                </c:pt>
                <c:pt idx="1661">
                  <c:v>8859.0549</c:v>
                </c:pt>
                <c:pt idx="1662">
                  <c:v>8859.4446</c:v>
                </c:pt>
                <c:pt idx="1663">
                  <c:v>8861.56245</c:v>
                </c:pt>
                <c:pt idx="1664">
                  <c:v>8861.4316</c:v>
                </c:pt>
                <c:pt idx="1665">
                  <c:v>8863.62175</c:v>
                </c:pt>
                <c:pt idx="1666">
                  <c:v>8867.9972</c:v>
                </c:pt>
                <c:pt idx="1667">
                  <c:v>8871.44655</c:v>
                </c:pt>
                <c:pt idx="1668">
                  <c:v>8875.82995</c:v>
                </c:pt>
                <c:pt idx="1669">
                  <c:v>8877.43665</c:v>
                </c:pt>
                <c:pt idx="1670">
                  <c:v>8876.51685</c:v>
                </c:pt>
                <c:pt idx="1671">
                  <c:v>8872.9904</c:v>
                </c:pt>
                <c:pt idx="1672">
                  <c:v>8871.2826</c:v>
                </c:pt>
                <c:pt idx="1673">
                  <c:v>8865.13655</c:v>
                </c:pt>
                <c:pt idx="1674">
                  <c:v>8858.1977</c:v>
                </c:pt>
                <c:pt idx="1675">
                  <c:v>8847.80705</c:v>
                </c:pt>
                <c:pt idx="1676">
                  <c:v>8838.94795</c:v>
                </c:pt>
                <c:pt idx="1677">
                  <c:v>8828.6967</c:v>
                </c:pt>
                <c:pt idx="1678">
                  <c:v>8816.94765</c:v>
                </c:pt>
                <c:pt idx="1679">
                  <c:v>8804.0077</c:v>
                </c:pt>
                <c:pt idx="1680">
                  <c:v>8791.46865</c:v>
                </c:pt>
                <c:pt idx="1681">
                  <c:v>8777.89245</c:v>
                </c:pt>
                <c:pt idx="1682">
                  <c:v>8764.52135</c:v>
                </c:pt>
                <c:pt idx="1683">
                  <c:v>8753.00385</c:v>
                </c:pt>
                <c:pt idx="1684">
                  <c:v>8744.92865</c:v>
                </c:pt>
                <c:pt idx="1685">
                  <c:v>8738.14145</c:v>
                </c:pt>
                <c:pt idx="1686">
                  <c:v>8730.14565</c:v>
                </c:pt>
                <c:pt idx="1687">
                  <c:v>8722.8788</c:v>
                </c:pt>
                <c:pt idx="1688">
                  <c:v>8716.6014</c:v>
                </c:pt>
                <c:pt idx="1689">
                  <c:v>8707.73795</c:v>
                </c:pt>
                <c:pt idx="1690">
                  <c:v>8698.3114</c:v>
                </c:pt>
                <c:pt idx="1691">
                  <c:v>8687.96265</c:v>
                </c:pt>
                <c:pt idx="1692">
                  <c:v>8677.24335</c:v>
                </c:pt>
                <c:pt idx="1693">
                  <c:v>8664.60335</c:v>
                </c:pt>
                <c:pt idx="1694">
                  <c:v>8653.60845</c:v>
                </c:pt>
                <c:pt idx="1695">
                  <c:v>8627.76595</c:v>
                </c:pt>
                <c:pt idx="1696">
                  <c:v>8603.86105</c:v>
                </c:pt>
                <c:pt idx="1697">
                  <c:v>8578.92335</c:v>
                </c:pt>
                <c:pt idx="1698">
                  <c:v>8557.00705</c:v>
                </c:pt>
                <c:pt idx="1699">
                  <c:v>8534.75305</c:v>
                </c:pt>
                <c:pt idx="1700">
                  <c:v>8513.6589</c:v>
                </c:pt>
                <c:pt idx="1701">
                  <c:v>8492.8227</c:v>
                </c:pt>
                <c:pt idx="1702">
                  <c:v>8475.07445</c:v>
                </c:pt>
                <c:pt idx="1703">
                  <c:v>8454.1262</c:v>
                </c:pt>
                <c:pt idx="1704">
                  <c:v>8431.8275</c:v>
                </c:pt>
                <c:pt idx="1705">
                  <c:v>8407.8576</c:v>
                </c:pt>
                <c:pt idx="1706">
                  <c:v>8387.90315</c:v>
                </c:pt>
                <c:pt idx="1707">
                  <c:v>8370.0202</c:v>
                </c:pt>
                <c:pt idx="1708">
                  <c:v>8351.36</c:v>
                </c:pt>
                <c:pt idx="1709">
                  <c:v>8333.24515</c:v>
                </c:pt>
                <c:pt idx="1710">
                  <c:v>8313.2974</c:v>
                </c:pt>
                <c:pt idx="1711">
                  <c:v>8294.1964</c:v>
                </c:pt>
                <c:pt idx="1712">
                  <c:v>8272.8367</c:v>
                </c:pt>
                <c:pt idx="1713">
                  <c:v>8252.65705</c:v>
                </c:pt>
                <c:pt idx="1714">
                  <c:v>8232.92115</c:v>
                </c:pt>
                <c:pt idx="1715">
                  <c:v>8214.7171</c:v>
                </c:pt>
                <c:pt idx="1716">
                  <c:v>8197.13305</c:v>
                </c:pt>
                <c:pt idx="1717">
                  <c:v>8179.42915</c:v>
                </c:pt>
                <c:pt idx="1718">
                  <c:v>8162.98645</c:v>
                </c:pt>
                <c:pt idx="1719">
                  <c:v>8146.1089</c:v>
                </c:pt>
                <c:pt idx="1720">
                  <c:v>8131.18455</c:v>
                </c:pt>
                <c:pt idx="1721">
                  <c:v>8116.36525</c:v>
                </c:pt>
                <c:pt idx="1722">
                  <c:v>8103.17155</c:v>
                </c:pt>
                <c:pt idx="1723">
                  <c:v>8089.47</c:v>
                </c:pt>
                <c:pt idx="1724">
                  <c:v>8075.51325</c:v>
                </c:pt>
                <c:pt idx="1725">
                  <c:v>8067.18825</c:v>
                </c:pt>
                <c:pt idx="1726">
                  <c:v>8059.26025</c:v>
                </c:pt>
                <c:pt idx="1727">
                  <c:v>8053.30025</c:v>
                </c:pt>
                <c:pt idx="1728">
                  <c:v>8046.65895</c:v>
                </c:pt>
                <c:pt idx="1729">
                  <c:v>8038.40165</c:v>
                </c:pt>
                <c:pt idx="1730">
                  <c:v>8033.7028</c:v>
                </c:pt>
                <c:pt idx="1731">
                  <c:v>8027.4532</c:v>
                </c:pt>
                <c:pt idx="1732">
                  <c:v>8022.1937</c:v>
                </c:pt>
                <c:pt idx="1733">
                  <c:v>8015.84025</c:v>
                </c:pt>
                <c:pt idx="1734">
                  <c:v>8008.79685</c:v>
                </c:pt>
                <c:pt idx="1735">
                  <c:v>8002.2233</c:v>
                </c:pt>
                <c:pt idx="1736">
                  <c:v>7997.1783</c:v>
                </c:pt>
                <c:pt idx="1737">
                  <c:v>7995.26025</c:v>
                </c:pt>
                <c:pt idx="1738">
                  <c:v>7991.70935</c:v>
                </c:pt>
                <c:pt idx="1739">
                  <c:v>7988.45415</c:v>
                </c:pt>
                <c:pt idx="1740">
                  <c:v>7984.2831</c:v>
                </c:pt>
                <c:pt idx="1741">
                  <c:v>7980.20305</c:v>
                </c:pt>
                <c:pt idx="1742">
                  <c:v>7977.7568</c:v>
                </c:pt>
                <c:pt idx="1743">
                  <c:v>7980.1818</c:v>
                </c:pt>
                <c:pt idx="1744">
                  <c:v>7982.04325</c:v>
                </c:pt>
                <c:pt idx="1745">
                  <c:v>7984.29775</c:v>
                </c:pt>
                <c:pt idx="1746">
                  <c:v>7988.47515</c:v>
                </c:pt>
                <c:pt idx="1747">
                  <c:v>7993.0983</c:v>
                </c:pt>
                <c:pt idx="1748">
                  <c:v>7997.21475</c:v>
                </c:pt>
                <c:pt idx="1749">
                  <c:v>8002.6324</c:v>
                </c:pt>
                <c:pt idx="1750">
                  <c:v>8008.46725</c:v>
                </c:pt>
                <c:pt idx="1751">
                  <c:v>8017.32785</c:v>
                </c:pt>
                <c:pt idx="1752">
                  <c:v>8025.2061</c:v>
                </c:pt>
                <c:pt idx="1753">
                  <c:v>8032.94045</c:v>
                </c:pt>
                <c:pt idx="1754">
                  <c:v>8039.4428</c:v>
                </c:pt>
                <c:pt idx="1755">
                  <c:v>8045.0332</c:v>
                </c:pt>
                <c:pt idx="1756">
                  <c:v>8045.55465</c:v>
                </c:pt>
                <c:pt idx="1757">
                  <c:v>8045.8275</c:v>
                </c:pt>
                <c:pt idx="1758">
                  <c:v>8047.0507</c:v>
                </c:pt>
                <c:pt idx="1759">
                  <c:v>8047.5968</c:v>
                </c:pt>
                <c:pt idx="1760">
                  <c:v>8047.20675</c:v>
                </c:pt>
                <c:pt idx="1761">
                  <c:v>8049.82955</c:v>
                </c:pt>
                <c:pt idx="1762">
                  <c:v>8052.76185</c:v>
                </c:pt>
                <c:pt idx="1763">
                  <c:v>8055.3414</c:v>
                </c:pt>
                <c:pt idx="1764">
                  <c:v>8056.2302</c:v>
                </c:pt>
                <c:pt idx="1765">
                  <c:v>8055.35075</c:v>
                </c:pt>
                <c:pt idx="1766">
                  <c:v>8054.1469</c:v>
                </c:pt>
                <c:pt idx="1767">
                  <c:v>8053.40205</c:v>
                </c:pt>
                <c:pt idx="1768">
                  <c:v>8050.0547</c:v>
                </c:pt>
                <c:pt idx="1769">
                  <c:v>8048.5331</c:v>
                </c:pt>
                <c:pt idx="1770">
                  <c:v>8048.9235</c:v>
                </c:pt>
                <c:pt idx="1771">
                  <c:v>8050.9316</c:v>
                </c:pt>
                <c:pt idx="1772">
                  <c:v>8053.7161</c:v>
                </c:pt>
                <c:pt idx="1773">
                  <c:v>8057.2474</c:v>
                </c:pt>
                <c:pt idx="1774">
                  <c:v>8061.55215</c:v>
                </c:pt>
                <c:pt idx="1775">
                  <c:v>8064.9031</c:v>
                </c:pt>
                <c:pt idx="1776">
                  <c:v>8072.81495</c:v>
                </c:pt>
                <c:pt idx="1777">
                  <c:v>8078.0617</c:v>
                </c:pt>
                <c:pt idx="1778">
                  <c:v>8083.98505</c:v>
                </c:pt>
                <c:pt idx="1779">
                  <c:v>8090.48285</c:v>
                </c:pt>
                <c:pt idx="1780">
                  <c:v>8097.52395</c:v>
                </c:pt>
                <c:pt idx="1781">
                  <c:v>8105.23395</c:v>
                </c:pt>
                <c:pt idx="1782">
                  <c:v>8113.63915</c:v>
                </c:pt>
                <c:pt idx="1783">
                  <c:v>8124.71505</c:v>
                </c:pt>
                <c:pt idx="1784">
                  <c:v>8137.1258</c:v>
                </c:pt>
                <c:pt idx="1785">
                  <c:v>8149.9271</c:v>
                </c:pt>
                <c:pt idx="1786">
                  <c:v>8161.68935</c:v>
                </c:pt>
                <c:pt idx="1787">
                  <c:v>8173.3982</c:v>
                </c:pt>
                <c:pt idx="1788">
                  <c:v>8185.00905</c:v>
                </c:pt>
                <c:pt idx="1789">
                  <c:v>8193.8906</c:v>
                </c:pt>
                <c:pt idx="1790">
                  <c:v>8204.0115</c:v>
                </c:pt>
                <c:pt idx="1791">
                  <c:v>8212.92905</c:v>
                </c:pt>
                <c:pt idx="1792">
                  <c:v>8222.4732</c:v>
                </c:pt>
                <c:pt idx="1793">
                  <c:v>8232.24475</c:v>
                </c:pt>
                <c:pt idx="1794">
                  <c:v>8242.097</c:v>
                </c:pt>
                <c:pt idx="1795">
                  <c:v>8252.42605</c:v>
                </c:pt>
                <c:pt idx="1796">
                  <c:v>8262.8966</c:v>
                </c:pt>
                <c:pt idx="1797">
                  <c:v>8274.4574</c:v>
                </c:pt>
                <c:pt idx="1798">
                  <c:v>8284.7723</c:v>
                </c:pt>
                <c:pt idx="1799">
                  <c:v>8293.6818</c:v>
                </c:pt>
                <c:pt idx="1800">
                  <c:v>8302.246</c:v>
                </c:pt>
                <c:pt idx="1801">
                  <c:v>8311.36865</c:v>
                </c:pt>
                <c:pt idx="1802">
                  <c:v>8320.2964</c:v>
                </c:pt>
                <c:pt idx="1803">
                  <c:v>8329.53335</c:v>
                </c:pt>
                <c:pt idx="1804">
                  <c:v>8339.51765</c:v>
                </c:pt>
                <c:pt idx="1805">
                  <c:v>8348.91875</c:v>
                </c:pt>
                <c:pt idx="1806">
                  <c:v>8359.81645</c:v>
                </c:pt>
                <c:pt idx="1807">
                  <c:v>8369.70415</c:v>
                </c:pt>
                <c:pt idx="1808">
                  <c:v>8380.5692</c:v>
                </c:pt>
                <c:pt idx="1809">
                  <c:v>8393.1672</c:v>
                </c:pt>
                <c:pt idx="1810">
                  <c:v>8402.0642</c:v>
                </c:pt>
                <c:pt idx="1811">
                  <c:v>8412.9527</c:v>
                </c:pt>
                <c:pt idx="1812">
                  <c:v>8423.32115</c:v>
                </c:pt>
                <c:pt idx="1813">
                  <c:v>8434.78615</c:v>
                </c:pt>
                <c:pt idx="1814">
                  <c:v>8443.18855</c:v>
                </c:pt>
                <c:pt idx="1815">
                  <c:v>8453.08845</c:v>
                </c:pt>
                <c:pt idx="1816">
                  <c:v>8462.9641</c:v>
                </c:pt>
                <c:pt idx="1817">
                  <c:v>8473.55915</c:v>
                </c:pt>
                <c:pt idx="1818">
                  <c:v>8483.73485</c:v>
                </c:pt>
                <c:pt idx="1819">
                  <c:v>8493.7898</c:v>
                </c:pt>
                <c:pt idx="1820">
                  <c:v>8503.24385</c:v>
                </c:pt>
                <c:pt idx="1821">
                  <c:v>8512.00575</c:v>
                </c:pt>
                <c:pt idx="1822">
                  <c:v>8521.789</c:v>
                </c:pt>
                <c:pt idx="1823">
                  <c:v>8531.87195</c:v>
                </c:pt>
                <c:pt idx="1824">
                  <c:v>8542.1089</c:v>
                </c:pt>
                <c:pt idx="1825">
                  <c:v>8553.1895</c:v>
                </c:pt>
                <c:pt idx="1826">
                  <c:v>8563.49505</c:v>
                </c:pt>
                <c:pt idx="1827">
                  <c:v>8574.4591</c:v>
                </c:pt>
                <c:pt idx="1828">
                  <c:v>8585.7759</c:v>
                </c:pt>
                <c:pt idx="1829">
                  <c:v>8594.67555</c:v>
                </c:pt>
                <c:pt idx="1830">
                  <c:v>8602.3709</c:v>
                </c:pt>
                <c:pt idx="1831">
                  <c:v>8611.9184</c:v>
                </c:pt>
                <c:pt idx="1832">
                  <c:v>8628.3917</c:v>
                </c:pt>
                <c:pt idx="1833">
                  <c:v>8642.2365</c:v>
                </c:pt>
                <c:pt idx="1834">
                  <c:v>8657.724</c:v>
                </c:pt>
                <c:pt idx="1835">
                  <c:v>8672.45905</c:v>
                </c:pt>
                <c:pt idx="1836">
                  <c:v>8688.77475</c:v>
                </c:pt>
                <c:pt idx="1837">
                  <c:v>8704.01795</c:v>
                </c:pt>
                <c:pt idx="1838">
                  <c:v>8715.1088</c:v>
                </c:pt>
                <c:pt idx="1839">
                  <c:v>8727.6499</c:v>
                </c:pt>
                <c:pt idx="1840">
                  <c:v>8739.26105</c:v>
                </c:pt>
                <c:pt idx="1841">
                  <c:v>8753.444</c:v>
                </c:pt>
                <c:pt idx="1842">
                  <c:v>8768.72505</c:v>
                </c:pt>
                <c:pt idx="1843">
                  <c:v>8783.5515</c:v>
                </c:pt>
                <c:pt idx="1844">
                  <c:v>8798.8022</c:v>
                </c:pt>
                <c:pt idx="1845">
                  <c:v>8813.941</c:v>
                </c:pt>
                <c:pt idx="1846">
                  <c:v>8831.4888</c:v>
                </c:pt>
                <c:pt idx="1847">
                  <c:v>8846.29905</c:v>
                </c:pt>
                <c:pt idx="1848">
                  <c:v>8862.59465</c:v>
                </c:pt>
                <c:pt idx="1849">
                  <c:v>8878.555</c:v>
                </c:pt>
                <c:pt idx="1850">
                  <c:v>8892.96525</c:v>
                </c:pt>
                <c:pt idx="1851">
                  <c:v>8905.1484</c:v>
                </c:pt>
                <c:pt idx="1852">
                  <c:v>8918.4184</c:v>
                </c:pt>
                <c:pt idx="1853">
                  <c:v>8932.57585</c:v>
                </c:pt>
                <c:pt idx="1854">
                  <c:v>8945.77705</c:v>
                </c:pt>
                <c:pt idx="1855">
                  <c:v>8957.72575</c:v>
                </c:pt>
                <c:pt idx="1856">
                  <c:v>8970.43665</c:v>
                </c:pt>
                <c:pt idx="1857">
                  <c:v>8981.6568</c:v>
                </c:pt>
                <c:pt idx="1858">
                  <c:v>8994.24285</c:v>
                </c:pt>
                <c:pt idx="1859">
                  <c:v>9004.3758</c:v>
                </c:pt>
                <c:pt idx="1860">
                  <c:v>9014.3577</c:v>
                </c:pt>
                <c:pt idx="1861">
                  <c:v>9021.9571</c:v>
                </c:pt>
                <c:pt idx="1862">
                  <c:v>9029.7015</c:v>
                </c:pt>
                <c:pt idx="1863">
                  <c:v>9035.5361</c:v>
                </c:pt>
                <c:pt idx="1864">
                  <c:v>9043.9636</c:v>
                </c:pt>
                <c:pt idx="1865">
                  <c:v>9049.90645</c:v>
                </c:pt>
                <c:pt idx="1866">
                  <c:v>9056.81135</c:v>
                </c:pt>
                <c:pt idx="1867">
                  <c:v>9063.94315</c:v>
                </c:pt>
                <c:pt idx="1868">
                  <c:v>9071.60185</c:v>
                </c:pt>
                <c:pt idx="1869">
                  <c:v>9079.04575</c:v>
                </c:pt>
                <c:pt idx="1870">
                  <c:v>9080.59965</c:v>
                </c:pt>
                <c:pt idx="1871">
                  <c:v>9082.80475</c:v>
                </c:pt>
                <c:pt idx="1872">
                  <c:v>9083.1232</c:v>
                </c:pt>
                <c:pt idx="1873">
                  <c:v>9087.11475</c:v>
                </c:pt>
                <c:pt idx="1874">
                  <c:v>9089.68055</c:v>
                </c:pt>
                <c:pt idx="1875">
                  <c:v>9092.3705</c:v>
                </c:pt>
                <c:pt idx="1876">
                  <c:v>9095.75895</c:v>
                </c:pt>
                <c:pt idx="1877">
                  <c:v>9097.9381</c:v>
                </c:pt>
                <c:pt idx="1878">
                  <c:v>9101.81775</c:v>
                </c:pt>
                <c:pt idx="1879">
                  <c:v>9106.9941</c:v>
                </c:pt>
                <c:pt idx="1880">
                  <c:v>9116.5107</c:v>
                </c:pt>
                <c:pt idx="1881">
                  <c:v>9126.37615</c:v>
                </c:pt>
                <c:pt idx="1882">
                  <c:v>9137.57725</c:v>
                </c:pt>
                <c:pt idx="1883">
                  <c:v>9149.556</c:v>
                </c:pt>
                <c:pt idx="1884">
                  <c:v>9161.8155</c:v>
                </c:pt>
                <c:pt idx="1885">
                  <c:v>9172.57455</c:v>
                </c:pt>
                <c:pt idx="1886">
                  <c:v>9183.28415</c:v>
                </c:pt>
                <c:pt idx="1887">
                  <c:v>9191.5884</c:v>
                </c:pt>
                <c:pt idx="1888">
                  <c:v>9198.96565</c:v>
                </c:pt>
                <c:pt idx="1889">
                  <c:v>9204.3013</c:v>
                </c:pt>
                <c:pt idx="1890">
                  <c:v>9213.5779</c:v>
                </c:pt>
                <c:pt idx="1891">
                  <c:v>9226.7044</c:v>
                </c:pt>
                <c:pt idx="1892">
                  <c:v>9240.6304</c:v>
                </c:pt>
                <c:pt idx="1893">
                  <c:v>9255.15625</c:v>
                </c:pt>
                <c:pt idx="1894">
                  <c:v>9268.7762</c:v>
                </c:pt>
                <c:pt idx="1895">
                  <c:v>9298.1057</c:v>
                </c:pt>
                <c:pt idx="1896">
                  <c:v>9324.05805</c:v>
                </c:pt>
                <c:pt idx="1897">
                  <c:v>9351.13815</c:v>
                </c:pt>
                <c:pt idx="1898">
                  <c:v>9377.39215</c:v>
                </c:pt>
                <c:pt idx="1899">
                  <c:v>9404.7472</c:v>
                </c:pt>
                <c:pt idx="1900">
                  <c:v>9431.25015</c:v>
                </c:pt>
                <c:pt idx="1901">
                  <c:v>9458.1166</c:v>
                </c:pt>
                <c:pt idx="1902">
                  <c:v>9479.9874</c:v>
                </c:pt>
                <c:pt idx="1903">
                  <c:v>9502.26655</c:v>
                </c:pt>
                <c:pt idx="1904">
                  <c:v>9526.0565</c:v>
                </c:pt>
                <c:pt idx="1905">
                  <c:v>9552.39455</c:v>
                </c:pt>
                <c:pt idx="1906">
                  <c:v>9575.99545</c:v>
                </c:pt>
                <c:pt idx="1907">
                  <c:v>9599.13665</c:v>
                </c:pt>
                <c:pt idx="1908">
                  <c:v>9623.04665</c:v>
                </c:pt>
                <c:pt idx="1909">
                  <c:v>9646.35745</c:v>
                </c:pt>
                <c:pt idx="1910">
                  <c:v>9671.8895</c:v>
                </c:pt>
                <c:pt idx="1911">
                  <c:v>9698.0867</c:v>
                </c:pt>
                <c:pt idx="1912">
                  <c:v>9725.2456</c:v>
                </c:pt>
                <c:pt idx="1913">
                  <c:v>9750.0691</c:v>
                </c:pt>
                <c:pt idx="1914">
                  <c:v>9775.47825</c:v>
                </c:pt>
                <c:pt idx="1915">
                  <c:v>9800.70675</c:v>
                </c:pt>
                <c:pt idx="1916">
                  <c:v>9826.34425</c:v>
                </c:pt>
                <c:pt idx="1917">
                  <c:v>9856.88615</c:v>
                </c:pt>
                <c:pt idx="1918">
                  <c:v>9887.28825</c:v>
                </c:pt>
                <c:pt idx="1919">
                  <c:v>9918.10465</c:v>
                </c:pt>
                <c:pt idx="1920">
                  <c:v>9947.10865</c:v>
                </c:pt>
                <c:pt idx="1921">
                  <c:v>9976.33735</c:v>
                </c:pt>
                <c:pt idx="1922">
                  <c:v>10004.98385</c:v>
                </c:pt>
                <c:pt idx="1923">
                  <c:v>10037.0013</c:v>
                </c:pt>
                <c:pt idx="1924">
                  <c:v>10068.9386</c:v>
                </c:pt>
                <c:pt idx="1925">
                  <c:v>10101.78145</c:v>
                </c:pt>
                <c:pt idx="1926">
                  <c:v>10135.39145</c:v>
                </c:pt>
                <c:pt idx="1927">
                  <c:v>10169.76155</c:v>
                </c:pt>
                <c:pt idx="1928">
                  <c:v>10204.35555</c:v>
                </c:pt>
                <c:pt idx="1929">
                  <c:v>10239.3414</c:v>
                </c:pt>
                <c:pt idx="1930">
                  <c:v>10273.9779</c:v>
                </c:pt>
                <c:pt idx="1931">
                  <c:v>10309.5018</c:v>
                </c:pt>
                <c:pt idx="1932">
                  <c:v>10351.32715</c:v>
                </c:pt>
                <c:pt idx="1933">
                  <c:v>10393.68225</c:v>
                </c:pt>
                <c:pt idx="1934">
                  <c:v>10433.5925</c:v>
                </c:pt>
                <c:pt idx="1935">
                  <c:v>10476.8069</c:v>
                </c:pt>
                <c:pt idx="1936">
                  <c:v>10517.7588</c:v>
                </c:pt>
                <c:pt idx="1937">
                  <c:v>10556.98975</c:v>
                </c:pt>
                <c:pt idx="1938">
                  <c:v>10598.0356</c:v>
                </c:pt>
                <c:pt idx="1939">
                  <c:v>10641.95575</c:v>
                </c:pt>
                <c:pt idx="1940">
                  <c:v>10684.82475</c:v>
                </c:pt>
                <c:pt idx="1941">
                  <c:v>10726.42625</c:v>
                </c:pt>
                <c:pt idx="1942">
                  <c:v>10767.2875</c:v>
                </c:pt>
                <c:pt idx="1943">
                  <c:v>10806.9149</c:v>
                </c:pt>
                <c:pt idx="1944">
                  <c:v>10851.9579</c:v>
                </c:pt>
                <c:pt idx="1945">
                  <c:v>10896.9025</c:v>
                </c:pt>
                <c:pt idx="1946">
                  <c:v>10940.9647</c:v>
                </c:pt>
                <c:pt idx="1947">
                  <c:v>10989.8909</c:v>
                </c:pt>
                <c:pt idx="1948">
                  <c:v>11038.94015</c:v>
                </c:pt>
                <c:pt idx="1949">
                  <c:v>11086.1391</c:v>
                </c:pt>
                <c:pt idx="1950">
                  <c:v>11132.43395</c:v>
                </c:pt>
                <c:pt idx="1951">
                  <c:v>11178.3215</c:v>
                </c:pt>
                <c:pt idx="1952">
                  <c:v>11222.9011</c:v>
                </c:pt>
                <c:pt idx="1953">
                  <c:v>11260.99155</c:v>
                </c:pt>
                <c:pt idx="1954">
                  <c:v>11302.90705</c:v>
                </c:pt>
                <c:pt idx="1955">
                  <c:v>11348.7117</c:v>
                </c:pt>
                <c:pt idx="1956">
                  <c:v>11395.8586</c:v>
                </c:pt>
                <c:pt idx="1957">
                  <c:v>11447.8144</c:v>
                </c:pt>
                <c:pt idx="1958">
                  <c:v>11492.55505</c:v>
                </c:pt>
                <c:pt idx="1959">
                  <c:v>11542.1272</c:v>
                </c:pt>
                <c:pt idx="1960">
                  <c:v>11592.51125</c:v>
                </c:pt>
                <c:pt idx="1961">
                  <c:v>11637.4712</c:v>
                </c:pt>
                <c:pt idx="1962">
                  <c:v>11684.58925</c:v>
                </c:pt>
                <c:pt idx="1963">
                  <c:v>11732.6551</c:v>
                </c:pt>
                <c:pt idx="1964">
                  <c:v>11781.1807</c:v>
                </c:pt>
                <c:pt idx="1965">
                  <c:v>11827.5439</c:v>
                </c:pt>
                <c:pt idx="1966">
                  <c:v>11874.4278</c:v>
                </c:pt>
                <c:pt idx="1967">
                  <c:v>11920.0317</c:v>
                </c:pt>
                <c:pt idx="1968">
                  <c:v>11966.9042</c:v>
                </c:pt>
                <c:pt idx="1969">
                  <c:v>12016.57405</c:v>
                </c:pt>
                <c:pt idx="1970">
                  <c:v>12068.0554</c:v>
                </c:pt>
                <c:pt idx="1971">
                  <c:v>12118.49755</c:v>
                </c:pt>
                <c:pt idx="1972">
                  <c:v>12167.78565</c:v>
                </c:pt>
                <c:pt idx="1973">
                  <c:v>12227.57445</c:v>
                </c:pt>
                <c:pt idx="1974">
                  <c:v>12293.30315</c:v>
                </c:pt>
                <c:pt idx="1975">
                  <c:v>12361.97045</c:v>
                </c:pt>
                <c:pt idx="1976">
                  <c:v>12429.9831</c:v>
                </c:pt>
                <c:pt idx="1977">
                  <c:v>12499.69475</c:v>
                </c:pt>
                <c:pt idx="1978">
                  <c:v>12565.2177</c:v>
                </c:pt>
                <c:pt idx="1979">
                  <c:v>12635.4198</c:v>
                </c:pt>
                <c:pt idx="1980">
                  <c:v>12703.5579</c:v>
                </c:pt>
                <c:pt idx="1981">
                  <c:v>12773.93115</c:v>
                </c:pt>
                <c:pt idx="1982">
                  <c:v>12848.79325</c:v>
                </c:pt>
                <c:pt idx="1983">
                  <c:v>12932.21905</c:v>
                </c:pt>
                <c:pt idx="1984">
                  <c:v>13014.92635</c:v>
                </c:pt>
                <c:pt idx="1985">
                  <c:v>13100.65115</c:v>
                </c:pt>
                <c:pt idx="1986">
                  <c:v>13191.3969</c:v>
                </c:pt>
                <c:pt idx="1987">
                  <c:v>13288.73585</c:v>
                </c:pt>
                <c:pt idx="1988">
                  <c:v>13386.48485</c:v>
                </c:pt>
                <c:pt idx="1989">
                  <c:v>13486.86175</c:v>
                </c:pt>
                <c:pt idx="1990">
                  <c:v>13600.89925</c:v>
                </c:pt>
                <c:pt idx="1991">
                  <c:v>13718.89575</c:v>
                </c:pt>
                <c:pt idx="1992">
                  <c:v>13832.22965</c:v>
                </c:pt>
                <c:pt idx="1993">
                  <c:v>13956.04505</c:v>
                </c:pt>
                <c:pt idx="1994">
                  <c:v>14094.5164</c:v>
                </c:pt>
                <c:pt idx="1995">
                  <c:v>14245.5743</c:v>
                </c:pt>
                <c:pt idx="1996">
                  <c:v>14402.5095</c:v>
                </c:pt>
                <c:pt idx="1997">
                  <c:v>14555.73645</c:v>
                </c:pt>
                <c:pt idx="1998">
                  <c:v>14698.82785</c:v>
                </c:pt>
                <c:pt idx="1999">
                  <c:v>14829.7789</c:v>
                </c:pt>
                <c:pt idx="2000">
                  <c:v>14953.45685</c:v>
                </c:pt>
                <c:pt idx="2001">
                  <c:v>15095.27405</c:v>
                </c:pt>
                <c:pt idx="2002">
                  <c:v>15246.12345</c:v>
                </c:pt>
                <c:pt idx="2003">
                  <c:v>15384.8526</c:v>
                </c:pt>
                <c:pt idx="2004">
                  <c:v>15518.2447</c:v>
                </c:pt>
                <c:pt idx="2005">
                  <c:v>15652.2531</c:v>
                </c:pt>
                <c:pt idx="2006">
                  <c:v>15789.8875</c:v>
                </c:pt>
                <c:pt idx="2007">
                  <c:v>15922.80995</c:v>
                </c:pt>
                <c:pt idx="2008">
                  <c:v>16055.4119</c:v>
                </c:pt>
                <c:pt idx="2009">
                  <c:v>16162.9571</c:v>
                </c:pt>
                <c:pt idx="2010">
                  <c:v>16281.94205</c:v>
                </c:pt>
                <c:pt idx="2011">
                  <c:v>16395.39025</c:v>
                </c:pt>
                <c:pt idx="2012">
                  <c:v>16510.3225</c:v>
                </c:pt>
                <c:pt idx="2013">
                  <c:v>16623.03745</c:v>
                </c:pt>
                <c:pt idx="2014">
                  <c:v>16739.78415</c:v>
                </c:pt>
                <c:pt idx="2015">
                  <c:v>16846.05365</c:v>
                </c:pt>
                <c:pt idx="2016">
                  <c:v>16967.30265</c:v>
                </c:pt>
                <c:pt idx="2017">
                  <c:v>17092.3845</c:v>
                </c:pt>
                <c:pt idx="2018">
                  <c:v>17217.38005</c:v>
                </c:pt>
                <c:pt idx="2019">
                  <c:v>17336.4688</c:v>
                </c:pt>
                <c:pt idx="2020">
                  <c:v>17457.78425</c:v>
                </c:pt>
                <c:pt idx="2021">
                  <c:v>17589.68505</c:v>
                </c:pt>
                <c:pt idx="2022">
                  <c:v>17732.79385</c:v>
                </c:pt>
                <c:pt idx="2023">
                  <c:v>17872.2752</c:v>
                </c:pt>
                <c:pt idx="2024">
                  <c:v>18018.05095</c:v>
                </c:pt>
                <c:pt idx="2025">
                  <c:v>18167.2229</c:v>
                </c:pt>
                <c:pt idx="2026">
                  <c:v>18314.68335</c:v>
                </c:pt>
                <c:pt idx="2027">
                  <c:v>18500.324</c:v>
                </c:pt>
                <c:pt idx="2028">
                  <c:v>18685.24095</c:v>
                </c:pt>
                <c:pt idx="2029">
                  <c:v>18861.91035</c:v>
                </c:pt>
                <c:pt idx="2030">
                  <c:v>19053.97025</c:v>
                </c:pt>
                <c:pt idx="2031">
                  <c:v>19241.86825</c:v>
                </c:pt>
                <c:pt idx="2032">
                  <c:v>19422.6972</c:v>
                </c:pt>
                <c:pt idx="2033">
                  <c:v>19611.44925</c:v>
                </c:pt>
                <c:pt idx="2034">
                  <c:v>19795.50665</c:v>
                </c:pt>
                <c:pt idx="2035">
                  <c:v>19986.09445</c:v>
                </c:pt>
                <c:pt idx="2036">
                  <c:v>20190.57985</c:v>
                </c:pt>
                <c:pt idx="2037">
                  <c:v>20389.77155</c:v>
                </c:pt>
                <c:pt idx="2038">
                  <c:v>20614.66895</c:v>
                </c:pt>
                <c:pt idx="2039">
                  <c:v>20838.292</c:v>
                </c:pt>
                <c:pt idx="2040">
                  <c:v>21069.99415</c:v>
                </c:pt>
                <c:pt idx="2041">
                  <c:v>21281.95785</c:v>
                </c:pt>
                <c:pt idx="2042">
                  <c:v>21467.9853</c:v>
                </c:pt>
                <c:pt idx="2043">
                  <c:v>21658.94045</c:v>
                </c:pt>
                <c:pt idx="2044">
                  <c:v>21834.6784</c:v>
                </c:pt>
                <c:pt idx="2045">
                  <c:v>22008.01545</c:v>
                </c:pt>
                <c:pt idx="2046">
                  <c:v>22178.4023</c:v>
                </c:pt>
                <c:pt idx="2047">
                  <c:v>22348.2287</c:v>
                </c:pt>
                <c:pt idx="2048">
                  <c:v>22538.67385</c:v>
                </c:pt>
                <c:pt idx="2049">
                  <c:v>22721.39</c:v>
                </c:pt>
                <c:pt idx="2050">
                  <c:v>22913.2869</c:v>
                </c:pt>
                <c:pt idx="2051">
                  <c:v>23095.6525</c:v>
                </c:pt>
                <c:pt idx="2052">
                  <c:v>23280.57295</c:v>
                </c:pt>
                <c:pt idx="2053">
                  <c:v>23463.8817</c:v>
                </c:pt>
                <c:pt idx="2054">
                  <c:v>23658.2558</c:v>
                </c:pt>
                <c:pt idx="2055">
                  <c:v>23861.79475</c:v>
                </c:pt>
                <c:pt idx="2056">
                  <c:v>24077.5135</c:v>
                </c:pt>
                <c:pt idx="2057">
                  <c:v>24300.11325</c:v>
                </c:pt>
                <c:pt idx="2058">
                  <c:v>24531.28945</c:v>
                </c:pt>
                <c:pt idx="2059">
                  <c:v>24758.91375</c:v>
                </c:pt>
                <c:pt idx="2060">
                  <c:v>25005.75315</c:v>
                </c:pt>
                <c:pt idx="2061">
                  <c:v>25245.09375</c:v>
                </c:pt>
                <c:pt idx="2062">
                  <c:v>25464.94465</c:v>
                </c:pt>
                <c:pt idx="2063">
                  <c:v>25693.8686</c:v>
                </c:pt>
                <c:pt idx="2064">
                  <c:v>25932.27475</c:v>
                </c:pt>
                <c:pt idx="2065">
                  <c:v>26162.74425</c:v>
                </c:pt>
                <c:pt idx="2066">
                  <c:v>26394.12575</c:v>
                </c:pt>
                <c:pt idx="2067">
                  <c:v>26626.05115</c:v>
                </c:pt>
                <c:pt idx="2068">
                  <c:v>26853.5026</c:v>
                </c:pt>
                <c:pt idx="2069">
                  <c:v>27067.70305</c:v>
                </c:pt>
                <c:pt idx="2070">
                  <c:v>27287.918</c:v>
                </c:pt>
                <c:pt idx="2071">
                  <c:v>27498.6264</c:v>
                </c:pt>
                <c:pt idx="2072">
                  <c:v>27704.2814</c:v>
                </c:pt>
                <c:pt idx="2073">
                  <c:v>27928.9027</c:v>
                </c:pt>
                <c:pt idx="2074">
                  <c:v>28157.94755</c:v>
                </c:pt>
                <c:pt idx="2075">
                  <c:v>28385.8805</c:v>
                </c:pt>
                <c:pt idx="2076">
                  <c:v>28622.30435</c:v>
                </c:pt>
                <c:pt idx="2077">
                  <c:v>28864.3044</c:v>
                </c:pt>
                <c:pt idx="2078">
                  <c:v>29106.2729</c:v>
                </c:pt>
                <c:pt idx="2079">
                  <c:v>29348.4357</c:v>
                </c:pt>
                <c:pt idx="2080">
                  <c:v>29590.1368</c:v>
                </c:pt>
                <c:pt idx="2081">
                  <c:v>29819.8428</c:v>
                </c:pt>
                <c:pt idx="2082">
                  <c:v>30056.40785</c:v>
                </c:pt>
                <c:pt idx="2083">
                  <c:v>30297.6687</c:v>
                </c:pt>
                <c:pt idx="2084">
                  <c:v>30533.04925</c:v>
                </c:pt>
                <c:pt idx="2085">
                  <c:v>30757.48315</c:v>
                </c:pt>
                <c:pt idx="2086">
                  <c:v>30993.46845</c:v>
                </c:pt>
                <c:pt idx="2087">
                  <c:v>31231.9699</c:v>
                </c:pt>
                <c:pt idx="2088">
                  <c:v>31479.5216</c:v>
                </c:pt>
                <c:pt idx="2089">
                  <c:v>31729.0379</c:v>
                </c:pt>
                <c:pt idx="2090">
                  <c:v>31974.8481</c:v>
                </c:pt>
                <c:pt idx="2091">
                  <c:v>32239.6863</c:v>
                </c:pt>
                <c:pt idx="2092">
                  <c:v>32502.4523</c:v>
                </c:pt>
                <c:pt idx="2093">
                  <c:v>32765.22605</c:v>
                </c:pt>
                <c:pt idx="2094">
                  <c:v>33019.2514</c:v>
                </c:pt>
                <c:pt idx="2095">
                  <c:v>33266.01855</c:v>
                </c:pt>
                <c:pt idx="2096">
                  <c:v>33493.85835</c:v>
                </c:pt>
                <c:pt idx="2097">
                  <c:v>33719.8521</c:v>
                </c:pt>
                <c:pt idx="2098">
                  <c:v>33949.537</c:v>
                </c:pt>
                <c:pt idx="2099">
                  <c:v>34166.40835</c:v>
                </c:pt>
                <c:pt idx="2100">
                  <c:v>34371.3629</c:v>
                </c:pt>
                <c:pt idx="2101">
                  <c:v>34573.52135</c:v>
                </c:pt>
                <c:pt idx="2102">
                  <c:v>34771.3881</c:v>
                </c:pt>
                <c:pt idx="2103">
                  <c:v>34964.39225</c:v>
                </c:pt>
                <c:pt idx="2104">
                  <c:v>35179.60725</c:v>
                </c:pt>
                <c:pt idx="2105">
                  <c:v>35399.9148</c:v>
                </c:pt>
                <c:pt idx="2106">
                  <c:v>35618.21755</c:v>
                </c:pt>
                <c:pt idx="2107">
                  <c:v>35829.17965</c:v>
                </c:pt>
                <c:pt idx="2108">
                  <c:v>36059.70635</c:v>
                </c:pt>
                <c:pt idx="2109">
                  <c:v>36291.87925</c:v>
                </c:pt>
                <c:pt idx="2110">
                  <c:v>36517.9031</c:v>
                </c:pt>
                <c:pt idx="2111">
                  <c:v>36746.4233</c:v>
                </c:pt>
                <c:pt idx="2112">
                  <c:v>36955.42005</c:v>
                </c:pt>
                <c:pt idx="2113">
                  <c:v>37186.1803</c:v>
                </c:pt>
                <c:pt idx="2114">
                  <c:v>37411.02635</c:v>
                </c:pt>
                <c:pt idx="2115">
                  <c:v>37639.0703</c:v>
                </c:pt>
                <c:pt idx="2116">
                  <c:v>37874.70945</c:v>
                </c:pt>
                <c:pt idx="2117">
                  <c:v>38102.5793</c:v>
                </c:pt>
                <c:pt idx="2118">
                  <c:v>38317.37805</c:v>
                </c:pt>
                <c:pt idx="2119">
                  <c:v>38536.2579</c:v>
                </c:pt>
                <c:pt idx="2120">
                  <c:v>38716.1314</c:v>
                </c:pt>
                <c:pt idx="2121">
                  <c:v>38899.05705</c:v>
                </c:pt>
                <c:pt idx="2122">
                  <c:v>39083.3119</c:v>
                </c:pt>
                <c:pt idx="2123">
                  <c:v>39249.7447</c:v>
                </c:pt>
                <c:pt idx="2124">
                  <c:v>39415.96125</c:v>
                </c:pt>
                <c:pt idx="2125">
                  <c:v>39567.50495</c:v>
                </c:pt>
                <c:pt idx="2126">
                  <c:v>39714.5391</c:v>
                </c:pt>
                <c:pt idx="2127">
                  <c:v>39831.99705</c:v>
                </c:pt>
                <c:pt idx="2128">
                  <c:v>39966.82335</c:v>
                </c:pt>
                <c:pt idx="2129">
                  <c:v>40086.0787</c:v>
                </c:pt>
                <c:pt idx="2130">
                  <c:v>40202.74245</c:v>
                </c:pt>
                <c:pt idx="2131">
                  <c:v>40306.57945</c:v>
                </c:pt>
                <c:pt idx="2132">
                  <c:v>40422.02175</c:v>
                </c:pt>
                <c:pt idx="2133">
                  <c:v>40535.8901</c:v>
                </c:pt>
                <c:pt idx="2134">
                  <c:v>40657.88405</c:v>
                </c:pt>
                <c:pt idx="2135">
                  <c:v>40772.2855</c:v>
                </c:pt>
                <c:pt idx="2136">
                  <c:v>40874.46365</c:v>
                </c:pt>
                <c:pt idx="2137">
                  <c:v>40970.9456</c:v>
                </c:pt>
                <c:pt idx="2138">
                  <c:v>41070.0529</c:v>
                </c:pt>
                <c:pt idx="2139">
                  <c:v>41174.22285</c:v>
                </c:pt>
                <c:pt idx="2140">
                  <c:v>41276.3478</c:v>
                </c:pt>
                <c:pt idx="2141">
                  <c:v>41383.3881</c:v>
                </c:pt>
                <c:pt idx="2142">
                  <c:v>41499.73035</c:v>
                </c:pt>
                <c:pt idx="2143">
                  <c:v>41600.63485</c:v>
                </c:pt>
                <c:pt idx="2144">
                  <c:v>41690.15535</c:v>
                </c:pt>
                <c:pt idx="2145">
                  <c:v>41780.50835</c:v>
                </c:pt>
                <c:pt idx="2146">
                  <c:v>41860.5666</c:v>
                </c:pt>
                <c:pt idx="2147">
                  <c:v>41934.21355</c:v>
                </c:pt>
                <c:pt idx="2148">
                  <c:v>42027.44795</c:v>
                </c:pt>
                <c:pt idx="2149">
                  <c:v>42118.6481</c:v>
                </c:pt>
                <c:pt idx="2150">
                  <c:v>42213.1028</c:v>
                </c:pt>
                <c:pt idx="2151">
                  <c:v>42295.22575</c:v>
                </c:pt>
                <c:pt idx="2152">
                  <c:v>42397.30515</c:v>
                </c:pt>
                <c:pt idx="2153">
                  <c:v>42513.92475</c:v>
                </c:pt>
                <c:pt idx="2154">
                  <c:v>42628.60945</c:v>
                </c:pt>
                <c:pt idx="2155">
                  <c:v>42731.98995</c:v>
                </c:pt>
                <c:pt idx="2156">
                  <c:v>42830.9355</c:v>
                </c:pt>
                <c:pt idx="2157">
                  <c:v>42911.18745</c:v>
                </c:pt>
                <c:pt idx="2158">
                  <c:v>42994.8619</c:v>
                </c:pt>
                <c:pt idx="2159">
                  <c:v>43076.46295</c:v>
                </c:pt>
                <c:pt idx="2160">
                  <c:v>43137.74605</c:v>
                </c:pt>
                <c:pt idx="2161">
                  <c:v>43206.82575</c:v>
                </c:pt>
                <c:pt idx="2162">
                  <c:v>43279.4834</c:v>
                </c:pt>
                <c:pt idx="2163">
                  <c:v>43355.9747</c:v>
                </c:pt>
                <c:pt idx="2164">
                  <c:v>43418.48465</c:v>
                </c:pt>
                <c:pt idx="2165">
                  <c:v>43488.2556</c:v>
                </c:pt>
                <c:pt idx="2166">
                  <c:v>43568.4905</c:v>
                </c:pt>
                <c:pt idx="2167">
                  <c:v>43649.7655</c:v>
                </c:pt>
                <c:pt idx="2168">
                  <c:v>43739.16855</c:v>
                </c:pt>
                <c:pt idx="2169">
                  <c:v>43820.0159</c:v>
                </c:pt>
                <c:pt idx="2170">
                  <c:v>43892.04315</c:v>
                </c:pt>
                <c:pt idx="2171">
                  <c:v>43964.76345</c:v>
                </c:pt>
                <c:pt idx="2172">
                  <c:v>44040.6764</c:v>
                </c:pt>
                <c:pt idx="2173">
                  <c:v>44109.38775</c:v>
                </c:pt>
                <c:pt idx="2174">
                  <c:v>44163.60215</c:v>
                </c:pt>
                <c:pt idx="2175">
                  <c:v>44218.72535</c:v>
                </c:pt>
                <c:pt idx="2176">
                  <c:v>44268.6058</c:v>
                </c:pt>
                <c:pt idx="2177">
                  <c:v>44315.73855</c:v>
                </c:pt>
                <c:pt idx="2178">
                  <c:v>44370.6866</c:v>
                </c:pt>
                <c:pt idx="2179">
                  <c:v>44419.2226</c:v>
                </c:pt>
                <c:pt idx="2180">
                  <c:v>44474.4208</c:v>
                </c:pt>
                <c:pt idx="2181">
                  <c:v>44521.20505</c:v>
                </c:pt>
                <c:pt idx="2182">
                  <c:v>44561.36565</c:v>
                </c:pt>
                <c:pt idx="2183">
                  <c:v>44592.85605</c:v>
                </c:pt>
                <c:pt idx="2184">
                  <c:v>44620.7112</c:v>
                </c:pt>
                <c:pt idx="2185">
                  <c:v>44642.5344</c:v>
                </c:pt>
                <c:pt idx="2186">
                  <c:v>44663.01405</c:v>
                </c:pt>
                <c:pt idx="2187">
                  <c:v>44677.10635</c:v>
                </c:pt>
                <c:pt idx="2188">
                  <c:v>44686.221</c:v>
                </c:pt>
                <c:pt idx="2189">
                  <c:v>44688.2086</c:v>
                </c:pt>
                <c:pt idx="2190">
                  <c:v>44687.41515</c:v>
                </c:pt>
                <c:pt idx="2191">
                  <c:v>44683.3844</c:v>
                </c:pt>
                <c:pt idx="2192">
                  <c:v>44691.24785</c:v>
                </c:pt>
                <c:pt idx="2193">
                  <c:v>44691.96885</c:v>
                </c:pt>
                <c:pt idx="2194">
                  <c:v>44683.91265</c:v>
                </c:pt>
                <c:pt idx="2195">
                  <c:v>44672.3913</c:v>
                </c:pt>
                <c:pt idx="2196">
                  <c:v>44665.9668</c:v>
                </c:pt>
                <c:pt idx="2197">
                  <c:v>44664.3931</c:v>
                </c:pt>
                <c:pt idx="2198">
                  <c:v>44673.3077</c:v>
                </c:pt>
                <c:pt idx="2199">
                  <c:v>44706.8809</c:v>
                </c:pt>
                <c:pt idx="2200">
                  <c:v>44744.40085</c:v>
                </c:pt>
                <c:pt idx="2201">
                  <c:v>44755.88135</c:v>
                </c:pt>
                <c:pt idx="2202">
                  <c:v>44755.7592</c:v>
                </c:pt>
                <c:pt idx="2203">
                  <c:v>44762.4536</c:v>
                </c:pt>
                <c:pt idx="2204">
                  <c:v>44781.75625</c:v>
                </c:pt>
                <c:pt idx="2205">
                  <c:v>44806.56925</c:v>
                </c:pt>
                <c:pt idx="2206">
                  <c:v>44836.8782</c:v>
                </c:pt>
                <c:pt idx="2207">
                  <c:v>44880.9574</c:v>
                </c:pt>
                <c:pt idx="2208">
                  <c:v>44922.7715</c:v>
                </c:pt>
                <c:pt idx="2209">
                  <c:v>45000.5777</c:v>
                </c:pt>
                <c:pt idx="2210">
                  <c:v>45063.97895</c:v>
                </c:pt>
                <c:pt idx="2211">
                  <c:v>45131.28705</c:v>
                </c:pt>
                <c:pt idx="2212">
                  <c:v>45192.30885</c:v>
                </c:pt>
                <c:pt idx="2213">
                  <c:v>45271.2409</c:v>
                </c:pt>
                <c:pt idx="2214">
                  <c:v>45344.01485</c:v>
                </c:pt>
                <c:pt idx="2215">
                  <c:v>45426.70455</c:v>
                </c:pt>
                <c:pt idx="2216">
                  <c:v>45488.9341</c:v>
                </c:pt>
                <c:pt idx="2217">
                  <c:v>45540.87595</c:v>
                </c:pt>
                <c:pt idx="2218">
                  <c:v>45593.4057</c:v>
                </c:pt>
                <c:pt idx="2219">
                  <c:v>45661.70895</c:v>
                </c:pt>
                <c:pt idx="2220">
                  <c:v>45741.1759</c:v>
                </c:pt>
                <c:pt idx="2221">
                  <c:v>45808.1053</c:v>
                </c:pt>
                <c:pt idx="2222">
                  <c:v>45865.9006</c:v>
                </c:pt>
                <c:pt idx="2223">
                  <c:v>45927.86955</c:v>
                </c:pt>
                <c:pt idx="2224">
                  <c:v>45974.83725</c:v>
                </c:pt>
                <c:pt idx="2225">
                  <c:v>46024.7849</c:v>
                </c:pt>
                <c:pt idx="2226">
                  <c:v>46064.1942</c:v>
                </c:pt>
                <c:pt idx="2227">
                  <c:v>46076.2322</c:v>
                </c:pt>
                <c:pt idx="2228">
                  <c:v>46088.07205</c:v>
                </c:pt>
                <c:pt idx="2229">
                  <c:v>46107.4895</c:v>
                </c:pt>
                <c:pt idx="2230">
                  <c:v>46101.5053</c:v>
                </c:pt>
                <c:pt idx="2231">
                  <c:v>46099.21305</c:v>
                </c:pt>
                <c:pt idx="2232">
                  <c:v>46107.28785</c:v>
                </c:pt>
                <c:pt idx="2233">
                  <c:v>46110.1382</c:v>
                </c:pt>
                <c:pt idx="2234">
                  <c:v>46120.1754</c:v>
                </c:pt>
                <c:pt idx="2235">
                  <c:v>46123.6346</c:v>
                </c:pt>
                <c:pt idx="2236">
                  <c:v>46121.1992</c:v>
                </c:pt>
                <c:pt idx="2237">
                  <c:v>46126.4344</c:v>
                </c:pt>
                <c:pt idx="2238">
                  <c:v>46081.00595</c:v>
                </c:pt>
                <c:pt idx="2239">
                  <c:v>46031.3181</c:v>
                </c:pt>
                <c:pt idx="2240">
                  <c:v>45975.69865</c:v>
                </c:pt>
                <c:pt idx="2241">
                  <c:v>45929.53575</c:v>
                </c:pt>
                <c:pt idx="2242">
                  <c:v>45910.3126</c:v>
                </c:pt>
                <c:pt idx="2243">
                  <c:v>45891.4133</c:v>
                </c:pt>
                <c:pt idx="2244">
                  <c:v>45881.61975</c:v>
                </c:pt>
                <c:pt idx="2245">
                  <c:v>45885.3013</c:v>
                </c:pt>
                <c:pt idx="2246">
                  <c:v>45895.96705</c:v>
                </c:pt>
                <c:pt idx="2247">
                  <c:v>45908.0691</c:v>
                </c:pt>
                <c:pt idx="2248">
                  <c:v>45896.49715</c:v>
                </c:pt>
                <c:pt idx="2249">
                  <c:v>45896.15625</c:v>
                </c:pt>
                <c:pt idx="2250">
                  <c:v>45881.68665</c:v>
                </c:pt>
                <c:pt idx="2251">
                  <c:v>45855.0054</c:v>
                </c:pt>
                <c:pt idx="2252">
                  <c:v>45813.7456</c:v>
                </c:pt>
                <c:pt idx="2253">
                  <c:v>45786.5318</c:v>
                </c:pt>
                <c:pt idx="2254">
                  <c:v>45756.70365</c:v>
                </c:pt>
                <c:pt idx="2255">
                  <c:v>45708.42395</c:v>
                </c:pt>
                <c:pt idx="2256">
                  <c:v>45646.8353</c:v>
                </c:pt>
                <c:pt idx="2257">
                  <c:v>45582.31415</c:v>
                </c:pt>
                <c:pt idx="2258">
                  <c:v>45503.83165</c:v>
                </c:pt>
                <c:pt idx="2259">
                  <c:v>45422.98815</c:v>
                </c:pt>
                <c:pt idx="2260">
                  <c:v>45324.9495</c:v>
                </c:pt>
                <c:pt idx="2261">
                  <c:v>45248.15475</c:v>
                </c:pt>
                <c:pt idx="2262">
                  <c:v>45211.7305</c:v>
                </c:pt>
                <c:pt idx="2263">
                  <c:v>45164.56215</c:v>
                </c:pt>
                <c:pt idx="2264">
                  <c:v>45109.35515</c:v>
                </c:pt>
                <c:pt idx="2265">
                  <c:v>45067.78625</c:v>
                </c:pt>
                <c:pt idx="2266">
                  <c:v>45034.9885</c:v>
                </c:pt>
                <c:pt idx="2267">
                  <c:v>45021.12665</c:v>
                </c:pt>
                <c:pt idx="2268">
                  <c:v>45003.3402</c:v>
                </c:pt>
                <c:pt idx="2269">
                  <c:v>45002.1052</c:v>
                </c:pt>
                <c:pt idx="2270">
                  <c:v>45005.51765</c:v>
                </c:pt>
                <c:pt idx="2271">
                  <c:v>45017.3209</c:v>
                </c:pt>
                <c:pt idx="2272">
                  <c:v>45047.59015</c:v>
                </c:pt>
                <c:pt idx="2273">
                  <c:v>45051.11605</c:v>
                </c:pt>
                <c:pt idx="2274">
                  <c:v>45058.3181</c:v>
                </c:pt>
                <c:pt idx="2275">
                  <c:v>45065.8456</c:v>
                </c:pt>
                <c:pt idx="2276">
                  <c:v>45086.1044</c:v>
                </c:pt>
                <c:pt idx="2277">
                  <c:v>45096.50865</c:v>
                </c:pt>
                <c:pt idx="2278">
                  <c:v>45110.02515</c:v>
                </c:pt>
                <c:pt idx="2279">
                  <c:v>45126.3657</c:v>
                </c:pt>
                <c:pt idx="2280">
                  <c:v>45153.0356</c:v>
                </c:pt>
                <c:pt idx="2281">
                  <c:v>45199.40645</c:v>
                </c:pt>
                <c:pt idx="2282">
                  <c:v>45218.83495</c:v>
                </c:pt>
                <c:pt idx="2283">
                  <c:v>45226.1937</c:v>
                </c:pt>
                <c:pt idx="2284">
                  <c:v>45242.6426</c:v>
                </c:pt>
                <c:pt idx="2285">
                  <c:v>45267.2791</c:v>
                </c:pt>
                <c:pt idx="2286">
                  <c:v>45292.25</c:v>
                </c:pt>
                <c:pt idx="2287">
                  <c:v>45303.32535</c:v>
                </c:pt>
                <c:pt idx="2288">
                  <c:v>45295.71665</c:v>
                </c:pt>
                <c:pt idx="2289">
                  <c:v>45297.9379</c:v>
                </c:pt>
                <c:pt idx="2290">
                  <c:v>45310.0047</c:v>
                </c:pt>
                <c:pt idx="2291">
                  <c:v>45302.0144</c:v>
                </c:pt>
                <c:pt idx="2292">
                  <c:v>45292.2645</c:v>
                </c:pt>
                <c:pt idx="2293">
                  <c:v>45280.27985</c:v>
                </c:pt>
                <c:pt idx="2294">
                  <c:v>45289.63545</c:v>
                </c:pt>
                <c:pt idx="2295">
                  <c:v>45303.3608</c:v>
                </c:pt>
                <c:pt idx="2296">
                  <c:v>45329.101</c:v>
                </c:pt>
                <c:pt idx="2297">
                  <c:v>45355.1141</c:v>
                </c:pt>
                <c:pt idx="2298">
                  <c:v>45380.2361</c:v>
                </c:pt>
                <c:pt idx="2299">
                  <c:v>45427.807</c:v>
                </c:pt>
                <c:pt idx="2300">
                  <c:v>45507.09095</c:v>
                </c:pt>
                <c:pt idx="2301">
                  <c:v>45585.7724</c:v>
                </c:pt>
                <c:pt idx="2302">
                  <c:v>45659.4192</c:v>
                </c:pt>
                <c:pt idx="2303">
                  <c:v>45737.02735</c:v>
                </c:pt>
                <c:pt idx="2304">
                  <c:v>45787.97135</c:v>
                </c:pt>
                <c:pt idx="2305">
                  <c:v>45834.78</c:v>
                </c:pt>
                <c:pt idx="2306">
                  <c:v>45888.5297</c:v>
                </c:pt>
                <c:pt idx="2307">
                  <c:v>45937.92375</c:v>
                </c:pt>
                <c:pt idx="2308">
                  <c:v>45950.4595</c:v>
                </c:pt>
                <c:pt idx="2309">
                  <c:v>45962.6862</c:v>
                </c:pt>
                <c:pt idx="2310">
                  <c:v>45964.6149</c:v>
                </c:pt>
                <c:pt idx="2311">
                  <c:v>45969.4877</c:v>
                </c:pt>
                <c:pt idx="2312">
                  <c:v>46002.70285</c:v>
                </c:pt>
                <c:pt idx="2313">
                  <c:v>46008.8273</c:v>
                </c:pt>
                <c:pt idx="2314">
                  <c:v>46007.6713</c:v>
                </c:pt>
                <c:pt idx="2315">
                  <c:v>46008.80185</c:v>
                </c:pt>
                <c:pt idx="2316">
                  <c:v>45999.8522</c:v>
                </c:pt>
                <c:pt idx="2317">
                  <c:v>46002.9127</c:v>
                </c:pt>
                <c:pt idx="2318">
                  <c:v>45992.4258</c:v>
                </c:pt>
                <c:pt idx="2319">
                  <c:v>45982.16045</c:v>
                </c:pt>
                <c:pt idx="2320">
                  <c:v>46024.04195</c:v>
                </c:pt>
                <c:pt idx="2321">
                  <c:v>46065.00635</c:v>
                </c:pt>
                <c:pt idx="2322">
                  <c:v>46099.7841</c:v>
                </c:pt>
                <c:pt idx="2323">
                  <c:v>46151.00275</c:v>
                </c:pt>
                <c:pt idx="2324">
                  <c:v>46201.21765</c:v>
                </c:pt>
                <c:pt idx="2325">
                  <c:v>46250.78375</c:v>
                </c:pt>
                <c:pt idx="2326">
                  <c:v>46282.50975</c:v>
                </c:pt>
                <c:pt idx="2327">
                  <c:v>46343.8855</c:v>
                </c:pt>
                <c:pt idx="2328">
                  <c:v>46393.08115</c:v>
                </c:pt>
                <c:pt idx="2329">
                  <c:v>46459.3366</c:v>
                </c:pt>
                <c:pt idx="2330">
                  <c:v>46525.07745</c:v>
                </c:pt>
                <c:pt idx="2331">
                  <c:v>46588.6358</c:v>
                </c:pt>
                <c:pt idx="2332">
                  <c:v>46631.3529</c:v>
                </c:pt>
                <c:pt idx="2333">
                  <c:v>46686.6652</c:v>
                </c:pt>
                <c:pt idx="2334">
                  <c:v>46740.9251</c:v>
                </c:pt>
                <c:pt idx="2335">
                  <c:v>46782.28355</c:v>
                </c:pt>
                <c:pt idx="2336">
                  <c:v>46845.14935</c:v>
                </c:pt>
                <c:pt idx="2337">
                  <c:v>46916.471</c:v>
                </c:pt>
                <c:pt idx="2338">
                  <c:v>46976.77205</c:v>
                </c:pt>
                <c:pt idx="2339">
                  <c:v>47022.20425</c:v>
                </c:pt>
                <c:pt idx="2340">
                  <c:v>47072.447</c:v>
                </c:pt>
                <c:pt idx="2341">
                  <c:v>47118.35905</c:v>
                </c:pt>
                <c:pt idx="2342">
                  <c:v>47157.10215</c:v>
                </c:pt>
                <c:pt idx="2343">
                  <c:v>47217.3971</c:v>
                </c:pt>
                <c:pt idx="2344">
                  <c:v>47282.8068</c:v>
                </c:pt>
                <c:pt idx="2345">
                  <c:v>47357.642</c:v>
                </c:pt>
                <c:pt idx="2346">
                  <c:v>47442.64005</c:v>
                </c:pt>
                <c:pt idx="2347">
                  <c:v>47527.4541</c:v>
                </c:pt>
                <c:pt idx="2348">
                  <c:v>47594.87765</c:v>
                </c:pt>
                <c:pt idx="2349">
                  <c:v>47664.6064</c:v>
                </c:pt>
                <c:pt idx="2350">
                  <c:v>47716.1684</c:v>
                </c:pt>
                <c:pt idx="2351">
                  <c:v>47770.7141</c:v>
                </c:pt>
                <c:pt idx="2352">
                  <c:v>47810.5932</c:v>
                </c:pt>
                <c:pt idx="2353">
                  <c:v>47839.33175</c:v>
                </c:pt>
                <c:pt idx="2354">
                  <c:v>47877.60625</c:v>
                </c:pt>
                <c:pt idx="2355">
                  <c:v>47921.92685</c:v>
                </c:pt>
                <c:pt idx="2356">
                  <c:v>47964.3875</c:v>
                </c:pt>
                <c:pt idx="2357">
                  <c:v>48014.94755</c:v>
                </c:pt>
                <c:pt idx="2358">
                  <c:v>48054.5706</c:v>
                </c:pt>
                <c:pt idx="2359">
                  <c:v>48092.40815</c:v>
                </c:pt>
                <c:pt idx="2360">
                  <c:v>48142.2555</c:v>
                </c:pt>
                <c:pt idx="2361">
                  <c:v>48188.0516</c:v>
                </c:pt>
                <c:pt idx="2362">
                  <c:v>48228.80375</c:v>
                </c:pt>
                <c:pt idx="2363">
                  <c:v>48264.6894</c:v>
                </c:pt>
                <c:pt idx="2364">
                  <c:v>48320.02125</c:v>
                </c:pt>
                <c:pt idx="2365">
                  <c:v>48378.11275</c:v>
                </c:pt>
                <c:pt idx="2366">
                  <c:v>48418.216</c:v>
                </c:pt>
                <c:pt idx="2367">
                  <c:v>48461.3004</c:v>
                </c:pt>
                <c:pt idx="2368">
                  <c:v>48497.06835</c:v>
                </c:pt>
                <c:pt idx="2369">
                  <c:v>48537.77755</c:v>
                </c:pt>
                <c:pt idx="2370">
                  <c:v>48581.51245</c:v>
                </c:pt>
                <c:pt idx="2371">
                  <c:v>48624.40805</c:v>
                </c:pt>
                <c:pt idx="2372">
                  <c:v>48659.85585</c:v>
                </c:pt>
                <c:pt idx="2373">
                  <c:v>48687.70245</c:v>
                </c:pt>
                <c:pt idx="2374">
                  <c:v>48701.9028</c:v>
                </c:pt>
                <c:pt idx="2375">
                  <c:v>48706.4741</c:v>
                </c:pt>
                <c:pt idx="2376">
                  <c:v>48718.6843</c:v>
                </c:pt>
                <c:pt idx="2377">
                  <c:v>48737.5106</c:v>
                </c:pt>
                <c:pt idx="2378">
                  <c:v>48753.55945</c:v>
                </c:pt>
                <c:pt idx="2379">
                  <c:v>48770.018</c:v>
                </c:pt>
                <c:pt idx="2380">
                  <c:v>48784.53535</c:v>
                </c:pt>
                <c:pt idx="2381">
                  <c:v>48807.44005</c:v>
                </c:pt>
                <c:pt idx="2382">
                  <c:v>48834.43045</c:v>
                </c:pt>
                <c:pt idx="2383">
                  <c:v>48859.93755</c:v>
                </c:pt>
                <c:pt idx="2384">
                  <c:v>48892.6336</c:v>
                </c:pt>
                <c:pt idx="2385">
                  <c:v>48929.31525</c:v>
                </c:pt>
                <c:pt idx="2386">
                  <c:v>48956.32625</c:v>
                </c:pt>
                <c:pt idx="2387">
                  <c:v>48983.7527</c:v>
                </c:pt>
                <c:pt idx="2388">
                  <c:v>49037.23015</c:v>
                </c:pt>
                <c:pt idx="2389">
                  <c:v>49095.5246</c:v>
                </c:pt>
                <c:pt idx="2390">
                  <c:v>49147.57745</c:v>
                </c:pt>
                <c:pt idx="2391">
                  <c:v>49205.4275</c:v>
                </c:pt>
                <c:pt idx="2392">
                  <c:v>49257.66545</c:v>
                </c:pt>
                <c:pt idx="2393">
                  <c:v>49308.303</c:v>
                </c:pt>
                <c:pt idx="2394">
                  <c:v>49348.8466</c:v>
                </c:pt>
                <c:pt idx="2395">
                  <c:v>49374.4587</c:v>
                </c:pt>
                <c:pt idx="2396">
                  <c:v>49388.637</c:v>
                </c:pt>
                <c:pt idx="2397">
                  <c:v>49398.96585</c:v>
                </c:pt>
                <c:pt idx="2398">
                  <c:v>49411.70395</c:v>
                </c:pt>
                <c:pt idx="2399">
                  <c:v>49423.10785</c:v>
                </c:pt>
                <c:pt idx="2400">
                  <c:v>49435.23185</c:v>
                </c:pt>
                <c:pt idx="2401">
                  <c:v>49438.91715</c:v>
                </c:pt>
                <c:pt idx="2402">
                  <c:v>49443.14925</c:v>
                </c:pt>
                <c:pt idx="2403">
                  <c:v>49452.5588</c:v>
                </c:pt>
                <c:pt idx="2404">
                  <c:v>49446.0408</c:v>
                </c:pt>
                <c:pt idx="2405">
                  <c:v>49426.94905</c:v>
                </c:pt>
                <c:pt idx="2406">
                  <c:v>49404.11755</c:v>
                </c:pt>
                <c:pt idx="2407">
                  <c:v>49367.7982</c:v>
                </c:pt>
                <c:pt idx="2408">
                  <c:v>49339.96995</c:v>
                </c:pt>
                <c:pt idx="2409">
                  <c:v>49304.99145</c:v>
                </c:pt>
                <c:pt idx="2410">
                  <c:v>49272.8537</c:v>
                </c:pt>
                <c:pt idx="2411">
                  <c:v>49233.93895</c:v>
                </c:pt>
                <c:pt idx="2412">
                  <c:v>49227.6972</c:v>
                </c:pt>
                <c:pt idx="2413">
                  <c:v>49210.93115</c:v>
                </c:pt>
                <c:pt idx="2414">
                  <c:v>49194.57185</c:v>
                </c:pt>
                <c:pt idx="2415">
                  <c:v>49171.28185</c:v>
                </c:pt>
                <c:pt idx="2416">
                  <c:v>49137.65715</c:v>
                </c:pt>
                <c:pt idx="2417">
                  <c:v>49111.01905</c:v>
                </c:pt>
                <c:pt idx="2418">
                  <c:v>49079.5036</c:v>
                </c:pt>
                <c:pt idx="2419">
                  <c:v>49035.84335</c:v>
                </c:pt>
                <c:pt idx="2420">
                  <c:v>48982.70945</c:v>
                </c:pt>
                <c:pt idx="2421">
                  <c:v>48948.154</c:v>
                </c:pt>
                <c:pt idx="2422">
                  <c:v>48898.786</c:v>
                </c:pt>
                <c:pt idx="2423">
                  <c:v>48844.8165</c:v>
                </c:pt>
                <c:pt idx="2424">
                  <c:v>48799.8044</c:v>
                </c:pt>
                <c:pt idx="2425">
                  <c:v>48743.77985</c:v>
                </c:pt>
                <c:pt idx="2426">
                  <c:v>48708.15125</c:v>
                </c:pt>
                <c:pt idx="2427">
                  <c:v>48659.54785</c:v>
                </c:pt>
                <c:pt idx="2428">
                  <c:v>48620.28005</c:v>
                </c:pt>
                <c:pt idx="2429">
                  <c:v>48581.2465</c:v>
                </c:pt>
                <c:pt idx="2430">
                  <c:v>48555.65585</c:v>
                </c:pt>
                <c:pt idx="2431">
                  <c:v>48531.42495</c:v>
                </c:pt>
                <c:pt idx="2432">
                  <c:v>48493.33465</c:v>
                </c:pt>
                <c:pt idx="2433">
                  <c:v>48452.0179</c:v>
                </c:pt>
                <c:pt idx="2434">
                  <c:v>48414.22075</c:v>
                </c:pt>
                <c:pt idx="2435">
                  <c:v>48379.1768</c:v>
                </c:pt>
                <c:pt idx="2436">
                  <c:v>48340.1604</c:v>
                </c:pt>
                <c:pt idx="2437">
                  <c:v>48298.47995</c:v>
                </c:pt>
                <c:pt idx="2438">
                  <c:v>48286.50295</c:v>
                </c:pt>
                <c:pt idx="2439">
                  <c:v>48290.48945</c:v>
                </c:pt>
                <c:pt idx="2440">
                  <c:v>48294.3731</c:v>
                </c:pt>
                <c:pt idx="2441">
                  <c:v>48307.03805</c:v>
                </c:pt>
                <c:pt idx="2442">
                  <c:v>48316.51475</c:v>
                </c:pt>
                <c:pt idx="2443">
                  <c:v>48313.84325</c:v>
                </c:pt>
                <c:pt idx="2444">
                  <c:v>48320.1103</c:v>
                </c:pt>
                <c:pt idx="2445">
                  <c:v>48313.9852</c:v>
                </c:pt>
                <c:pt idx="2446">
                  <c:v>48305.2419</c:v>
                </c:pt>
                <c:pt idx="2447">
                  <c:v>48299.22285</c:v>
                </c:pt>
                <c:pt idx="2448">
                  <c:v>48289.7801</c:v>
                </c:pt>
                <c:pt idx="2449">
                  <c:v>48264.3101</c:v>
                </c:pt>
                <c:pt idx="2450">
                  <c:v>48245.11675</c:v>
                </c:pt>
                <c:pt idx="2451">
                  <c:v>48241.56855</c:v>
                </c:pt>
                <c:pt idx="2452">
                  <c:v>48252.15475</c:v>
                </c:pt>
                <c:pt idx="2453">
                  <c:v>48245.3203</c:v>
                </c:pt>
                <c:pt idx="2454">
                  <c:v>48218.93275</c:v>
                </c:pt>
                <c:pt idx="2455">
                  <c:v>48205.3755</c:v>
                </c:pt>
                <c:pt idx="2456">
                  <c:v>48197.4694</c:v>
                </c:pt>
                <c:pt idx="2457">
                  <c:v>48181.30945</c:v>
                </c:pt>
                <c:pt idx="2458">
                  <c:v>48173.06985</c:v>
                </c:pt>
                <c:pt idx="2459">
                  <c:v>48169.93015</c:v>
                </c:pt>
                <c:pt idx="2460">
                  <c:v>48160.67135</c:v>
                </c:pt>
                <c:pt idx="2461">
                  <c:v>48145.5886</c:v>
                </c:pt>
                <c:pt idx="2462">
                  <c:v>48112.26315</c:v>
                </c:pt>
                <c:pt idx="2463">
                  <c:v>48080.55015</c:v>
                </c:pt>
                <c:pt idx="2464">
                  <c:v>48041.9736</c:v>
                </c:pt>
                <c:pt idx="2465">
                  <c:v>47994.2712</c:v>
                </c:pt>
                <c:pt idx="2466">
                  <c:v>47934.403</c:v>
                </c:pt>
                <c:pt idx="2467">
                  <c:v>47855.45835</c:v>
                </c:pt>
                <c:pt idx="2468">
                  <c:v>47788.6867</c:v>
                </c:pt>
                <c:pt idx="2469">
                  <c:v>47709.28455</c:v>
                </c:pt>
                <c:pt idx="2470">
                  <c:v>47630.47015</c:v>
                </c:pt>
                <c:pt idx="2471">
                  <c:v>47555.8822</c:v>
                </c:pt>
                <c:pt idx="2472">
                  <c:v>47461.6678</c:v>
                </c:pt>
                <c:pt idx="2473">
                  <c:v>47369.864</c:v>
                </c:pt>
                <c:pt idx="2474">
                  <c:v>47275.48315</c:v>
                </c:pt>
                <c:pt idx="2475">
                  <c:v>47181.2895</c:v>
                </c:pt>
                <c:pt idx="2476">
                  <c:v>47061.41915</c:v>
                </c:pt>
                <c:pt idx="2477">
                  <c:v>46955.37405</c:v>
                </c:pt>
                <c:pt idx="2478">
                  <c:v>46830.25295</c:v>
                </c:pt>
                <c:pt idx="2479">
                  <c:v>46700.1343</c:v>
                </c:pt>
                <c:pt idx="2480">
                  <c:v>46555.59435</c:v>
                </c:pt>
                <c:pt idx="2481">
                  <c:v>46396.0173</c:v>
                </c:pt>
                <c:pt idx="2482">
                  <c:v>46236.1405</c:v>
                </c:pt>
                <c:pt idx="2483">
                  <c:v>46087.5909</c:v>
                </c:pt>
                <c:pt idx="2484">
                  <c:v>45926.18955</c:v>
                </c:pt>
                <c:pt idx="2485">
                  <c:v>45766.54215</c:v>
                </c:pt>
                <c:pt idx="2486">
                  <c:v>45597.49</c:v>
                </c:pt>
                <c:pt idx="2487">
                  <c:v>45445.84705</c:v>
                </c:pt>
                <c:pt idx="2488">
                  <c:v>45309.55275</c:v>
                </c:pt>
                <c:pt idx="2489">
                  <c:v>45155.938</c:v>
                </c:pt>
                <c:pt idx="2490">
                  <c:v>44996.3112</c:v>
                </c:pt>
                <c:pt idx="2491">
                  <c:v>44829.81145</c:v>
                </c:pt>
                <c:pt idx="2492">
                  <c:v>44674.4384</c:v>
                </c:pt>
                <c:pt idx="2493">
                  <c:v>44515.37915</c:v>
                </c:pt>
                <c:pt idx="2494">
                  <c:v>44345.72615</c:v>
                </c:pt>
                <c:pt idx="2495">
                  <c:v>44182.10975</c:v>
                </c:pt>
                <c:pt idx="2496">
                  <c:v>44020.09195</c:v>
                </c:pt>
                <c:pt idx="2497">
                  <c:v>43863.1202</c:v>
                </c:pt>
                <c:pt idx="2498">
                  <c:v>43702.86285</c:v>
                </c:pt>
                <c:pt idx="2499">
                  <c:v>43531.49935</c:v>
                </c:pt>
                <c:pt idx="2500">
                  <c:v>43336.9918</c:v>
                </c:pt>
                <c:pt idx="2501">
                  <c:v>43147.0234</c:v>
                </c:pt>
                <c:pt idx="2502">
                  <c:v>42969.74495</c:v>
                </c:pt>
                <c:pt idx="2503">
                  <c:v>42804.2342</c:v>
                </c:pt>
                <c:pt idx="2504">
                  <c:v>42642.463</c:v>
                </c:pt>
                <c:pt idx="2505">
                  <c:v>42468.9461</c:v>
                </c:pt>
                <c:pt idx="2506">
                  <c:v>42292.52075</c:v>
                </c:pt>
                <c:pt idx="2507">
                  <c:v>42123.7357</c:v>
                </c:pt>
                <c:pt idx="2508">
                  <c:v>41972.1592</c:v>
                </c:pt>
                <c:pt idx="2509">
                  <c:v>41820.0577</c:v>
                </c:pt>
                <c:pt idx="2510">
                  <c:v>41691.5952</c:v>
                </c:pt>
                <c:pt idx="2511">
                  <c:v>41556.02475</c:v>
                </c:pt>
                <c:pt idx="2512">
                  <c:v>41408.14285</c:v>
                </c:pt>
                <c:pt idx="2513">
                  <c:v>41264.7819</c:v>
                </c:pt>
                <c:pt idx="2514">
                  <c:v>41128.81845</c:v>
                </c:pt>
                <c:pt idx="2515">
                  <c:v>40982.72575</c:v>
                </c:pt>
                <c:pt idx="2516">
                  <c:v>40829.6163</c:v>
                </c:pt>
                <c:pt idx="2517">
                  <c:v>40646.1691</c:v>
                </c:pt>
                <c:pt idx="2518">
                  <c:v>40487.585</c:v>
                </c:pt>
                <c:pt idx="2519">
                  <c:v>40326.9757</c:v>
                </c:pt>
                <c:pt idx="2520">
                  <c:v>40141.29945</c:v>
                </c:pt>
                <c:pt idx="2521">
                  <c:v>39954.2639</c:v>
                </c:pt>
                <c:pt idx="2522">
                  <c:v>39764.8126</c:v>
                </c:pt>
                <c:pt idx="2523">
                  <c:v>39581.27165</c:v>
                </c:pt>
                <c:pt idx="2524">
                  <c:v>39401.11185</c:v>
                </c:pt>
                <c:pt idx="2525">
                  <c:v>39236.07765</c:v>
                </c:pt>
                <c:pt idx="2526">
                  <c:v>39089.3888</c:v>
                </c:pt>
                <c:pt idx="2527">
                  <c:v>38947.43775</c:v>
                </c:pt>
                <c:pt idx="2528">
                  <c:v>38800.5248</c:v>
                </c:pt>
                <c:pt idx="2529">
                  <c:v>38654.51815</c:v>
                </c:pt>
                <c:pt idx="2530">
                  <c:v>38506.9867</c:v>
                </c:pt>
                <c:pt idx="2531">
                  <c:v>38372.38505</c:v>
                </c:pt>
                <c:pt idx="2532">
                  <c:v>38237.29935</c:v>
                </c:pt>
                <c:pt idx="2533">
                  <c:v>38090.6092</c:v>
                </c:pt>
                <c:pt idx="2534">
                  <c:v>37939.47015</c:v>
                </c:pt>
                <c:pt idx="2535">
                  <c:v>37802.62235</c:v>
                </c:pt>
                <c:pt idx="2536">
                  <c:v>37656.95915</c:v>
                </c:pt>
                <c:pt idx="2537">
                  <c:v>37508.94465</c:v>
                </c:pt>
                <c:pt idx="2538">
                  <c:v>37371.9467</c:v>
                </c:pt>
                <c:pt idx="2539">
                  <c:v>37241.60145</c:v>
                </c:pt>
                <c:pt idx="2540">
                  <c:v>37110.3198</c:v>
                </c:pt>
                <c:pt idx="2541">
                  <c:v>36985.1879</c:v>
                </c:pt>
                <c:pt idx="2542">
                  <c:v>36858.28205</c:v>
                </c:pt>
                <c:pt idx="2543">
                  <c:v>36721.37655</c:v>
                </c:pt>
                <c:pt idx="2544">
                  <c:v>36582.1766</c:v>
                </c:pt>
                <c:pt idx="2545">
                  <c:v>36427.68885</c:v>
                </c:pt>
                <c:pt idx="2546">
                  <c:v>36270.1239</c:v>
                </c:pt>
                <c:pt idx="2547">
                  <c:v>36119.18165</c:v>
                </c:pt>
                <c:pt idx="2548">
                  <c:v>35967.8904</c:v>
                </c:pt>
                <c:pt idx="2549">
                  <c:v>35818.76605</c:v>
                </c:pt>
                <c:pt idx="2550">
                  <c:v>35686.7697</c:v>
                </c:pt>
                <c:pt idx="2551">
                  <c:v>35557.9863</c:v>
                </c:pt>
                <c:pt idx="2552">
                  <c:v>35434.3408</c:v>
                </c:pt>
                <c:pt idx="2553">
                  <c:v>35320.17225</c:v>
                </c:pt>
                <c:pt idx="2554">
                  <c:v>35197.61365</c:v>
                </c:pt>
                <c:pt idx="2555">
                  <c:v>35077.02565</c:v>
                </c:pt>
                <c:pt idx="2556">
                  <c:v>34957.9586</c:v>
                </c:pt>
                <c:pt idx="2557">
                  <c:v>34840.79725</c:v>
                </c:pt>
                <c:pt idx="2558">
                  <c:v>34736.64495</c:v>
                </c:pt>
                <c:pt idx="2559">
                  <c:v>34627.21985</c:v>
                </c:pt>
                <c:pt idx="2560">
                  <c:v>34525.32555</c:v>
                </c:pt>
                <c:pt idx="2561">
                  <c:v>34431.92185</c:v>
                </c:pt>
                <c:pt idx="2562">
                  <c:v>34342.10605</c:v>
                </c:pt>
                <c:pt idx="2563">
                  <c:v>34251.8312</c:v>
                </c:pt>
                <c:pt idx="2564">
                  <c:v>34156.19155</c:v>
                </c:pt>
                <c:pt idx="2565">
                  <c:v>34053.251</c:v>
                </c:pt>
                <c:pt idx="2566">
                  <c:v>33956.41375</c:v>
                </c:pt>
                <c:pt idx="2567">
                  <c:v>33855.64645</c:v>
                </c:pt>
                <c:pt idx="2568">
                  <c:v>33754.33715</c:v>
                </c:pt>
                <c:pt idx="2569">
                  <c:v>33651.67195</c:v>
                </c:pt>
                <c:pt idx="2570">
                  <c:v>33556.6703</c:v>
                </c:pt>
                <c:pt idx="2571">
                  <c:v>33459.41305</c:v>
                </c:pt>
                <c:pt idx="2572">
                  <c:v>33366.73265</c:v>
                </c:pt>
                <c:pt idx="2573">
                  <c:v>33282.37605</c:v>
                </c:pt>
                <c:pt idx="2574">
                  <c:v>33215.50415</c:v>
                </c:pt>
                <c:pt idx="2575">
                  <c:v>33159.8771</c:v>
                </c:pt>
                <c:pt idx="2576">
                  <c:v>33098.4933</c:v>
                </c:pt>
                <c:pt idx="2577">
                  <c:v>33037.2673</c:v>
                </c:pt>
                <c:pt idx="2578">
                  <c:v>32974.6195</c:v>
                </c:pt>
                <c:pt idx="2579">
                  <c:v>32911.93355</c:v>
                </c:pt>
                <c:pt idx="2580">
                  <c:v>32846.6965</c:v>
                </c:pt>
                <c:pt idx="2581">
                  <c:v>32777.6165</c:v>
                </c:pt>
                <c:pt idx="2582">
                  <c:v>32703.57285</c:v>
                </c:pt>
                <c:pt idx="2583">
                  <c:v>32629.85935</c:v>
                </c:pt>
                <c:pt idx="2584">
                  <c:v>32541.95805</c:v>
                </c:pt>
                <c:pt idx="2585">
                  <c:v>32453.98975</c:v>
                </c:pt>
                <c:pt idx="2586">
                  <c:v>32377.02915</c:v>
                </c:pt>
                <c:pt idx="2587">
                  <c:v>32297.8567</c:v>
                </c:pt>
                <c:pt idx="2588">
                  <c:v>32197.77645</c:v>
                </c:pt>
                <c:pt idx="2589">
                  <c:v>32097.3323</c:v>
                </c:pt>
                <c:pt idx="2590">
                  <c:v>31992.441</c:v>
                </c:pt>
                <c:pt idx="2591">
                  <c:v>31874.1021</c:v>
                </c:pt>
                <c:pt idx="2592">
                  <c:v>31753.4563</c:v>
                </c:pt>
                <c:pt idx="2593">
                  <c:v>31629.35575</c:v>
                </c:pt>
                <c:pt idx="2594">
                  <c:v>31513.42465</c:v>
                </c:pt>
                <c:pt idx="2595">
                  <c:v>31400.64545</c:v>
                </c:pt>
                <c:pt idx="2596">
                  <c:v>31289.68545</c:v>
                </c:pt>
                <c:pt idx="2597">
                  <c:v>31179.76135</c:v>
                </c:pt>
                <c:pt idx="2598">
                  <c:v>31066.6329</c:v>
                </c:pt>
                <c:pt idx="2599">
                  <c:v>30943.4848</c:v>
                </c:pt>
                <c:pt idx="2600">
                  <c:v>30824.0314</c:v>
                </c:pt>
                <c:pt idx="2601">
                  <c:v>30720.301</c:v>
                </c:pt>
                <c:pt idx="2602">
                  <c:v>30614.22045</c:v>
                </c:pt>
                <c:pt idx="2603">
                  <c:v>30510.2057</c:v>
                </c:pt>
                <c:pt idx="2604">
                  <c:v>30414.67375</c:v>
                </c:pt>
                <c:pt idx="2605">
                  <c:v>30336.0745</c:v>
                </c:pt>
                <c:pt idx="2606">
                  <c:v>30253.06915</c:v>
                </c:pt>
                <c:pt idx="2607">
                  <c:v>30176.03455</c:v>
                </c:pt>
                <c:pt idx="2608">
                  <c:v>30096.2595</c:v>
                </c:pt>
                <c:pt idx="2609">
                  <c:v>30001.01595</c:v>
                </c:pt>
                <c:pt idx="2610">
                  <c:v>29906.40805</c:v>
                </c:pt>
                <c:pt idx="2611">
                  <c:v>29816.3618</c:v>
                </c:pt>
                <c:pt idx="2612">
                  <c:v>29699.25255</c:v>
                </c:pt>
                <c:pt idx="2613">
                  <c:v>29577.77745</c:v>
                </c:pt>
                <c:pt idx="2614">
                  <c:v>29455.58895</c:v>
                </c:pt>
                <c:pt idx="2615">
                  <c:v>29341.19445</c:v>
                </c:pt>
                <c:pt idx="2616">
                  <c:v>29239.5117</c:v>
                </c:pt>
                <c:pt idx="2617">
                  <c:v>29134.99995</c:v>
                </c:pt>
                <c:pt idx="2618">
                  <c:v>29039.85115</c:v>
                </c:pt>
                <c:pt idx="2619">
                  <c:v>28946.34985</c:v>
                </c:pt>
                <c:pt idx="2620">
                  <c:v>28847.4491</c:v>
                </c:pt>
                <c:pt idx="2621">
                  <c:v>28731.46285</c:v>
                </c:pt>
                <c:pt idx="2622">
                  <c:v>28630.31255</c:v>
                </c:pt>
                <c:pt idx="2623">
                  <c:v>28532.3236</c:v>
                </c:pt>
                <c:pt idx="2624">
                  <c:v>28435.5218</c:v>
                </c:pt>
                <c:pt idx="2625">
                  <c:v>28344.67415</c:v>
                </c:pt>
                <c:pt idx="2626">
                  <c:v>28243.52875</c:v>
                </c:pt>
                <c:pt idx="2627">
                  <c:v>28143.26575</c:v>
                </c:pt>
                <c:pt idx="2628">
                  <c:v>28033.07795</c:v>
                </c:pt>
                <c:pt idx="2629">
                  <c:v>27926.4618</c:v>
                </c:pt>
                <c:pt idx="2630">
                  <c:v>27819.1535</c:v>
                </c:pt>
                <c:pt idx="2631">
                  <c:v>27708.8174</c:v>
                </c:pt>
                <c:pt idx="2632">
                  <c:v>27602.2727</c:v>
                </c:pt>
                <c:pt idx="2633">
                  <c:v>27494.8439</c:v>
                </c:pt>
                <c:pt idx="2634">
                  <c:v>27380.0931</c:v>
                </c:pt>
                <c:pt idx="2635">
                  <c:v>27262.5768</c:v>
                </c:pt>
                <c:pt idx="2636">
                  <c:v>27138.20275</c:v>
                </c:pt>
                <c:pt idx="2637">
                  <c:v>27011.77565</c:v>
                </c:pt>
                <c:pt idx="2638">
                  <c:v>26884.82015</c:v>
                </c:pt>
                <c:pt idx="2639">
                  <c:v>26747.6339</c:v>
                </c:pt>
                <c:pt idx="2640">
                  <c:v>26607.61555</c:v>
                </c:pt>
                <c:pt idx="2641">
                  <c:v>26465.8339</c:v>
                </c:pt>
                <c:pt idx="2642">
                  <c:v>26327.07375</c:v>
                </c:pt>
                <c:pt idx="2643">
                  <c:v>26197.5244</c:v>
                </c:pt>
                <c:pt idx="2644">
                  <c:v>26063.0861</c:v>
                </c:pt>
                <c:pt idx="2645">
                  <c:v>25929.33965</c:v>
                </c:pt>
                <c:pt idx="2646">
                  <c:v>25792.78325</c:v>
                </c:pt>
                <c:pt idx="2647">
                  <c:v>25655.80165</c:v>
                </c:pt>
                <c:pt idx="2648">
                  <c:v>25524.6085</c:v>
                </c:pt>
                <c:pt idx="2649">
                  <c:v>25406.3958</c:v>
                </c:pt>
                <c:pt idx="2650">
                  <c:v>25285.89765</c:v>
                </c:pt>
                <c:pt idx="2651">
                  <c:v>25175.05885</c:v>
                </c:pt>
                <c:pt idx="2652">
                  <c:v>25064.9948</c:v>
                </c:pt>
                <c:pt idx="2653">
                  <c:v>24955.54465</c:v>
                </c:pt>
                <c:pt idx="2654">
                  <c:v>24860.4387</c:v>
                </c:pt>
                <c:pt idx="2655">
                  <c:v>24764.06865</c:v>
                </c:pt>
                <c:pt idx="2656">
                  <c:v>24661.7382</c:v>
                </c:pt>
                <c:pt idx="2657">
                  <c:v>24564.5519</c:v>
                </c:pt>
                <c:pt idx="2658">
                  <c:v>24464.11635</c:v>
                </c:pt>
                <c:pt idx="2659">
                  <c:v>24362.9679</c:v>
                </c:pt>
                <c:pt idx="2660">
                  <c:v>24265.64085</c:v>
                </c:pt>
                <c:pt idx="2661">
                  <c:v>24167.34325</c:v>
                </c:pt>
                <c:pt idx="2662">
                  <c:v>24066.4656</c:v>
                </c:pt>
                <c:pt idx="2663">
                  <c:v>23964.27605</c:v>
                </c:pt>
                <c:pt idx="2664">
                  <c:v>23864.8473</c:v>
                </c:pt>
                <c:pt idx="2665">
                  <c:v>23759.1143</c:v>
                </c:pt>
                <c:pt idx="2666">
                  <c:v>23641.0269</c:v>
                </c:pt>
                <c:pt idx="2667">
                  <c:v>23531.4441</c:v>
                </c:pt>
                <c:pt idx="2668">
                  <c:v>23413.97775</c:v>
                </c:pt>
                <c:pt idx="2669">
                  <c:v>23307.3525</c:v>
                </c:pt>
                <c:pt idx="2670">
                  <c:v>23192.8635</c:v>
                </c:pt>
                <c:pt idx="2671">
                  <c:v>23077.0574</c:v>
                </c:pt>
                <c:pt idx="2672">
                  <c:v>22968.41725</c:v>
                </c:pt>
                <c:pt idx="2673">
                  <c:v>22863.427</c:v>
                </c:pt>
                <c:pt idx="2674">
                  <c:v>22754.3317</c:v>
                </c:pt>
                <c:pt idx="2675">
                  <c:v>22645.25525</c:v>
                </c:pt>
                <c:pt idx="2676">
                  <c:v>22540.0519</c:v>
                </c:pt>
                <c:pt idx="2677">
                  <c:v>22422.99885</c:v>
                </c:pt>
                <c:pt idx="2678">
                  <c:v>22319.19365</c:v>
                </c:pt>
                <c:pt idx="2679">
                  <c:v>22220.15915</c:v>
                </c:pt>
                <c:pt idx="2680">
                  <c:v>22125.91875</c:v>
                </c:pt>
                <c:pt idx="2681">
                  <c:v>22038.36645</c:v>
                </c:pt>
                <c:pt idx="2682">
                  <c:v>21970.02525</c:v>
                </c:pt>
                <c:pt idx="2683">
                  <c:v>21897.47805</c:v>
                </c:pt>
                <c:pt idx="2684">
                  <c:v>21834.4828</c:v>
                </c:pt>
                <c:pt idx="2685">
                  <c:v>21770.6526</c:v>
                </c:pt>
                <c:pt idx="2686">
                  <c:v>21706.39875</c:v>
                </c:pt>
                <c:pt idx="2687">
                  <c:v>21642.23455</c:v>
                </c:pt>
                <c:pt idx="2688">
                  <c:v>21570.84355</c:v>
                </c:pt>
                <c:pt idx="2689">
                  <c:v>21507.06655</c:v>
                </c:pt>
                <c:pt idx="2690">
                  <c:v>21439.52975</c:v>
                </c:pt>
                <c:pt idx="2691">
                  <c:v>21381.22685</c:v>
                </c:pt>
                <c:pt idx="2692">
                  <c:v>21314.7866</c:v>
                </c:pt>
                <c:pt idx="2693">
                  <c:v>21254.5456</c:v>
                </c:pt>
                <c:pt idx="2694">
                  <c:v>21191.63285</c:v>
                </c:pt>
                <c:pt idx="2695">
                  <c:v>21126.6684</c:v>
                </c:pt>
                <c:pt idx="2696">
                  <c:v>21066.83505</c:v>
                </c:pt>
                <c:pt idx="2697">
                  <c:v>21004.4619</c:v>
                </c:pt>
                <c:pt idx="2698">
                  <c:v>20942.45985</c:v>
                </c:pt>
                <c:pt idx="2699">
                  <c:v>20882.70315</c:v>
                </c:pt>
                <c:pt idx="2700">
                  <c:v>20828.47865</c:v>
                </c:pt>
                <c:pt idx="2701">
                  <c:v>20772.6861</c:v>
                </c:pt>
                <c:pt idx="2702">
                  <c:v>20712.27025</c:v>
                </c:pt>
                <c:pt idx="2703">
                  <c:v>20636.9492</c:v>
                </c:pt>
                <c:pt idx="2704">
                  <c:v>20561.8572</c:v>
                </c:pt>
                <c:pt idx="2705">
                  <c:v>20496.7344</c:v>
                </c:pt>
                <c:pt idx="2706">
                  <c:v>20426.85485</c:v>
                </c:pt>
                <c:pt idx="2707">
                  <c:v>20362.8966</c:v>
                </c:pt>
                <c:pt idx="2708">
                  <c:v>20297.84165</c:v>
                </c:pt>
                <c:pt idx="2709">
                  <c:v>20232.4678</c:v>
                </c:pt>
                <c:pt idx="2710">
                  <c:v>20159.72725</c:v>
                </c:pt>
                <c:pt idx="2711">
                  <c:v>20088.5265</c:v>
                </c:pt>
                <c:pt idx="2712">
                  <c:v>20021.7057</c:v>
                </c:pt>
                <c:pt idx="2713">
                  <c:v>19956.05625</c:v>
                </c:pt>
                <c:pt idx="2714">
                  <c:v>19894.21375</c:v>
                </c:pt>
                <c:pt idx="2715">
                  <c:v>19835.0016</c:v>
                </c:pt>
                <c:pt idx="2716">
                  <c:v>19784.9654</c:v>
                </c:pt>
                <c:pt idx="2717">
                  <c:v>19756.33255</c:v>
                </c:pt>
                <c:pt idx="2718">
                  <c:v>19728.3747</c:v>
                </c:pt>
                <c:pt idx="2719">
                  <c:v>19698.73025</c:v>
                </c:pt>
                <c:pt idx="2720">
                  <c:v>19680.3513</c:v>
                </c:pt>
                <c:pt idx="2721">
                  <c:v>19661.5971</c:v>
                </c:pt>
                <c:pt idx="2722">
                  <c:v>19650.90305</c:v>
                </c:pt>
                <c:pt idx="2723">
                  <c:v>19632.42655</c:v>
                </c:pt>
                <c:pt idx="2724">
                  <c:v>19614.5079</c:v>
                </c:pt>
                <c:pt idx="2725">
                  <c:v>19595.859</c:v>
                </c:pt>
                <c:pt idx="2726">
                  <c:v>19581.54455</c:v>
                </c:pt>
                <c:pt idx="2727">
                  <c:v>19561.84255</c:v>
                </c:pt>
                <c:pt idx="2728">
                  <c:v>19543.0347</c:v>
                </c:pt>
                <c:pt idx="2729">
                  <c:v>19525.372</c:v>
                </c:pt>
                <c:pt idx="2730">
                  <c:v>19514.5646</c:v>
                </c:pt>
                <c:pt idx="2731">
                  <c:v>19510.51695</c:v>
                </c:pt>
                <c:pt idx="2732">
                  <c:v>19514.1145</c:v>
                </c:pt>
                <c:pt idx="2733">
                  <c:v>19517.9986</c:v>
                </c:pt>
                <c:pt idx="2734">
                  <c:v>19524.74535</c:v>
                </c:pt>
                <c:pt idx="2735">
                  <c:v>19534.1607</c:v>
                </c:pt>
                <c:pt idx="2736">
                  <c:v>19541.66255</c:v>
                </c:pt>
                <c:pt idx="2737">
                  <c:v>19550.6879</c:v>
                </c:pt>
                <c:pt idx="2738">
                  <c:v>19563.0927</c:v>
                </c:pt>
                <c:pt idx="2739">
                  <c:v>19576.16515</c:v>
                </c:pt>
                <c:pt idx="2740">
                  <c:v>19586.9147</c:v>
                </c:pt>
                <c:pt idx="2741">
                  <c:v>19593.20435</c:v>
                </c:pt>
                <c:pt idx="2742">
                  <c:v>19598.35335</c:v>
                </c:pt>
                <c:pt idx="2743">
                  <c:v>19605.8486</c:v>
                </c:pt>
                <c:pt idx="2744">
                  <c:v>19616.9556</c:v>
                </c:pt>
                <c:pt idx="2745">
                  <c:v>19632.60415</c:v>
                </c:pt>
                <c:pt idx="2746">
                  <c:v>19651.26415</c:v>
                </c:pt>
                <c:pt idx="2747">
                  <c:v>19668.91365</c:v>
                </c:pt>
                <c:pt idx="2748">
                  <c:v>19680.15785</c:v>
                </c:pt>
                <c:pt idx="2749">
                  <c:v>19691.6396</c:v>
                </c:pt>
                <c:pt idx="2750">
                  <c:v>19704.3633</c:v>
                </c:pt>
                <c:pt idx="2751">
                  <c:v>19718.2976</c:v>
                </c:pt>
                <c:pt idx="2752">
                  <c:v>19723.58585</c:v>
                </c:pt>
                <c:pt idx="2753">
                  <c:v>19723.126</c:v>
                </c:pt>
                <c:pt idx="2754">
                  <c:v>19721.6306</c:v>
                </c:pt>
                <c:pt idx="2755">
                  <c:v>19719.68495</c:v>
                </c:pt>
                <c:pt idx="2756">
                  <c:v>19722.4553</c:v>
                </c:pt>
                <c:pt idx="2757">
                  <c:v>19725.03655</c:v>
                </c:pt>
                <c:pt idx="2758">
                  <c:v>19721.0954</c:v>
                </c:pt>
                <c:pt idx="2759">
                  <c:v>19723.00175</c:v>
                </c:pt>
                <c:pt idx="2760">
                  <c:v>19725.9028</c:v>
                </c:pt>
                <c:pt idx="2761">
                  <c:v>19719.8895</c:v>
                </c:pt>
                <c:pt idx="2762">
                  <c:v>19709.44305</c:v>
                </c:pt>
                <c:pt idx="2763">
                  <c:v>19701.324</c:v>
                </c:pt>
                <c:pt idx="2764">
                  <c:v>19704.81125</c:v>
                </c:pt>
                <c:pt idx="2765">
                  <c:v>19705.6716</c:v>
                </c:pt>
                <c:pt idx="2766">
                  <c:v>19712.23085</c:v>
                </c:pt>
                <c:pt idx="2767">
                  <c:v>19720.3359</c:v>
                </c:pt>
                <c:pt idx="2768">
                  <c:v>19727.81375</c:v>
                </c:pt>
                <c:pt idx="2769">
                  <c:v>19738.96875</c:v>
                </c:pt>
                <c:pt idx="2770">
                  <c:v>19744.7826</c:v>
                </c:pt>
                <c:pt idx="2771">
                  <c:v>19750.91995</c:v>
                </c:pt>
                <c:pt idx="2772">
                  <c:v>19754.6753</c:v>
                </c:pt>
                <c:pt idx="2773">
                  <c:v>19751.45805</c:v>
                </c:pt>
                <c:pt idx="2774">
                  <c:v>19751.54855</c:v>
                </c:pt>
                <c:pt idx="2775">
                  <c:v>19749.39075</c:v>
                </c:pt>
                <c:pt idx="2776">
                  <c:v>19747.0074</c:v>
                </c:pt>
                <c:pt idx="2777">
                  <c:v>19740.7506</c:v>
                </c:pt>
                <c:pt idx="2778">
                  <c:v>19736.6875</c:v>
                </c:pt>
                <c:pt idx="2779">
                  <c:v>19732.5244</c:v>
                </c:pt>
                <c:pt idx="2780">
                  <c:v>19723.7808</c:v>
                </c:pt>
                <c:pt idx="2781">
                  <c:v>19716.19765</c:v>
                </c:pt>
                <c:pt idx="2782">
                  <c:v>19711.5557</c:v>
                </c:pt>
                <c:pt idx="2783">
                  <c:v>19707.77285</c:v>
                </c:pt>
                <c:pt idx="2784">
                  <c:v>19714.5174</c:v>
                </c:pt>
                <c:pt idx="2785">
                  <c:v>19717.32335</c:v>
                </c:pt>
                <c:pt idx="2786">
                  <c:v>19711.5745</c:v>
                </c:pt>
                <c:pt idx="2787">
                  <c:v>19705.6905</c:v>
                </c:pt>
                <c:pt idx="2788">
                  <c:v>19701.08275</c:v>
                </c:pt>
                <c:pt idx="2789">
                  <c:v>19705.7112</c:v>
                </c:pt>
                <c:pt idx="2790">
                  <c:v>19719.3188</c:v>
                </c:pt>
                <c:pt idx="2791">
                  <c:v>19742.10205</c:v>
                </c:pt>
                <c:pt idx="2792">
                  <c:v>19763.76275</c:v>
                </c:pt>
                <c:pt idx="2793">
                  <c:v>19791.04915</c:v>
                </c:pt>
                <c:pt idx="2794">
                  <c:v>19826.80635</c:v>
                </c:pt>
                <c:pt idx="2795">
                  <c:v>19862.5842</c:v>
                </c:pt>
                <c:pt idx="2796">
                  <c:v>19902.70685</c:v>
                </c:pt>
                <c:pt idx="2797">
                  <c:v>19941.23465</c:v>
                </c:pt>
                <c:pt idx="2798">
                  <c:v>19982.4781</c:v>
                </c:pt>
                <c:pt idx="2799">
                  <c:v>20019.898</c:v>
                </c:pt>
                <c:pt idx="2800">
                  <c:v>20061.67185</c:v>
                </c:pt>
                <c:pt idx="2801">
                  <c:v>20100.0778</c:v>
                </c:pt>
                <c:pt idx="2802">
                  <c:v>20143.62005</c:v>
                </c:pt>
                <c:pt idx="2803">
                  <c:v>20187.1246</c:v>
                </c:pt>
                <c:pt idx="2804">
                  <c:v>20226.22275</c:v>
                </c:pt>
                <c:pt idx="2805">
                  <c:v>20255.8106</c:v>
                </c:pt>
                <c:pt idx="2806">
                  <c:v>20289.342</c:v>
                </c:pt>
                <c:pt idx="2807">
                  <c:v>20320.436</c:v>
                </c:pt>
                <c:pt idx="2808">
                  <c:v>20350.8366</c:v>
                </c:pt>
                <c:pt idx="2809">
                  <c:v>20392.37525</c:v>
                </c:pt>
                <c:pt idx="2810">
                  <c:v>20432.18815</c:v>
                </c:pt>
                <c:pt idx="2811">
                  <c:v>20472.77345</c:v>
                </c:pt>
                <c:pt idx="2812">
                  <c:v>20514.7127</c:v>
                </c:pt>
                <c:pt idx="2813">
                  <c:v>20555.0652</c:v>
                </c:pt>
                <c:pt idx="2814">
                  <c:v>20598.2073</c:v>
                </c:pt>
                <c:pt idx="2815">
                  <c:v>20640.07755</c:v>
                </c:pt>
                <c:pt idx="2816">
                  <c:v>20685.52895</c:v>
                </c:pt>
                <c:pt idx="2817">
                  <c:v>20734.77145</c:v>
                </c:pt>
                <c:pt idx="2818">
                  <c:v>20786.1531</c:v>
                </c:pt>
                <c:pt idx="2819">
                  <c:v>20840.8506</c:v>
                </c:pt>
                <c:pt idx="2820">
                  <c:v>20895.6956</c:v>
                </c:pt>
                <c:pt idx="2821">
                  <c:v>20953.8162</c:v>
                </c:pt>
                <c:pt idx="2822">
                  <c:v>21010.16075</c:v>
                </c:pt>
                <c:pt idx="2823">
                  <c:v>21066.3945</c:v>
                </c:pt>
                <c:pt idx="2824">
                  <c:v>21120.9965</c:v>
                </c:pt>
                <c:pt idx="2825">
                  <c:v>21170.19335</c:v>
                </c:pt>
                <c:pt idx="2826">
                  <c:v>21225.0262</c:v>
                </c:pt>
                <c:pt idx="2827">
                  <c:v>21272.55495</c:v>
                </c:pt>
                <c:pt idx="2828">
                  <c:v>21318.3697</c:v>
                </c:pt>
                <c:pt idx="2829">
                  <c:v>21356.4605</c:v>
                </c:pt>
                <c:pt idx="2830">
                  <c:v>21393.7996</c:v>
                </c:pt>
                <c:pt idx="2831">
                  <c:v>21430.9495</c:v>
                </c:pt>
                <c:pt idx="2832">
                  <c:v>21468.7326</c:v>
                </c:pt>
                <c:pt idx="2833">
                  <c:v>21512.7195</c:v>
                </c:pt>
                <c:pt idx="2834">
                  <c:v>21557.7011</c:v>
                </c:pt>
                <c:pt idx="2835">
                  <c:v>21608.03</c:v>
                </c:pt>
                <c:pt idx="2836">
                  <c:v>21659.22845</c:v>
                </c:pt>
                <c:pt idx="2837">
                  <c:v>21710.1283</c:v>
                </c:pt>
                <c:pt idx="2838">
                  <c:v>21760.6975</c:v>
                </c:pt>
                <c:pt idx="2839">
                  <c:v>21804.06705</c:v>
                </c:pt>
                <c:pt idx="2840">
                  <c:v>21851.54275</c:v>
                </c:pt>
                <c:pt idx="2841">
                  <c:v>21901.4079</c:v>
                </c:pt>
                <c:pt idx="2842">
                  <c:v>21949.36175</c:v>
                </c:pt>
                <c:pt idx="2843">
                  <c:v>21999.1067</c:v>
                </c:pt>
                <c:pt idx="2844">
                  <c:v>22046.97115</c:v>
                </c:pt>
                <c:pt idx="2845">
                  <c:v>22093.4853</c:v>
                </c:pt>
                <c:pt idx="2846">
                  <c:v>22136.66495</c:v>
                </c:pt>
                <c:pt idx="2847">
                  <c:v>22179.03785</c:v>
                </c:pt>
                <c:pt idx="2848">
                  <c:v>22221.08575</c:v>
                </c:pt>
                <c:pt idx="2849">
                  <c:v>22258.308</c:v>
                </c:pt>
                <c:pt idx="2850">
                  <c:v>22295.70345</c:v>
                </c:pt>
                <c:pt idx="2851">
                  <c:v>22329.0872</c:v>
                </c:pt>
                <c:pt idx="2852">
                  <c:v>22359.9413</c:v>
                </c:pt>
                <c:pt idx="2853">
                  <c:v>22394.39695</c:v>
                </c:pt>
                <c:pt idx="2854">
                  <c:v>22426.6323</c:v>
                </c:pt>
                <c:pt idx="2855">
                  <c:v>22459.562</c:v>
                </c:pt>
                <c:pt idx="2856">
                  <c:v>22490.5347</c:v>
                </c:pt>
                <c:pt idx="2857">
                  <c:v>22522.5607</c:v>
                </c:pt>
                <c:pt idx="2858">
                  <c:v>22555.74615</c:v>
                </c:pt>
                <c:pt idx="2859">
                  <c:v>22588.7526</c:v>
                </c:pt>
                <c:pt idx="2860">
                  <c:v>22621.9987</c:v>
                </c:pt>
                <c:pt idx="2861">
                  <c:v>22652.32765</c:v>
                </c:pt>
                <c:pt idx="2862">
                  <c:v>22677.4122</c:v>
                </c:pt>
                <c:pt idx="2863">
                  <c:v>22705.293</c:v>
                </c:pt>
                <c:pt idx="2864">
                  <c:v>22736.03945</c:v>
                </c:pt>
                <c:pt idx="2865">
                  <c:v>22777.65025</c:v>
                </c:pt>
                <c:pt idx="2866">
                  <c:v>22838.89425</c:v>
                </c:pt>
                <c:pt idx="2867">
                  <c:v>22889.8051</c:v>
                </c:pt>
                <c:pt idx="2868">
                  <c:v>22943.30265</c:v>
                </c:pt>
                <c:pt idx="2869">
                  <c:v>22995.5285</c:v>
                </c:pt>
                <c:pt idx="2870">
                  <c:v>23048.2609</c:v>
                </c:pt>
                <c:pt idx="2871">
                  <c:v>23101.6309</c:v>
                </c:pt>
                <c:pt idx="2872">
                  <c:v>23152.65365</c:v>
                </c:pt>
                <c:pt idx="2873">
                  <c:v>23204.8896</c:v>
                </c:pt>
                <c:pt idx="2874">
                  <c:v>23250.259</c:v>
                </c:pt>
                <c:pt idx="2875">
                  <c:v>23303.12265</c:v>
                </c:pt>
                <c:pt idx="2876">
                  <c:v>23351.5224</c:v>
                </c:pt>
                <c:pt idx="2877">
                  <c:v>23402.74035</c:v>
                </c:pt>
                <c:pt idx="2878">
                  <c:v>23456.3776</c:v>
                </c:pt>
                <c:pt idx="2879">
                  <c:v>23504.5013</c:v>
                </c:pt>
                <c:pt idx="2880">
                  <c:v>23551.2477</c:v>
                </c:pt>
                <c:pt idx="2881">
                  <c:v>23597.88575</c:v>
                </c:pt>
                <c:pt idx="2882">
                  <c:v>23645.0085</c:v>
                </c:pt>
                <c:pt idx="2883">
                  <c:v>23688.2656</c:v>
                </c:pt>
                <c:pt idx="2884">
                  <c:v>23733.83355</c:v>
                </c:pt>
                <c:pt idx="2885">
                  <c:v>23784.57075</c:v>
                </c:pt>
                <c:pt idx="2886">
                  <c:v>23834.9179</c:v>
                </c:pt>
                <c:pt idx="2887">
                  <c:v>23880.65035</c:v>
                </c:pt>
                <c:pt idx="2888">
                  <c:v>23929.85855</c:v>
                </c:pt>
                <c:pt idx="2889">
                  <c:v>23985.93725</c:v>
                </c:pt>
                <c:pt idx="2890">
                  <c:v>24051.50995</c:v>
                </c:pt>
                <c:pt idx="2891">
                  <c:v>24115.42465</c:v>
                </c:pt>
                <c:pt idx="2892">
                  <c:v>24184.0316</c:v>
                </c:pt>
                <c:pt idx="2893">
                  <c:v>24251.3653</c:v>
                </c:pt>
                <c:pt idx="2894">
                  <c:v>24319.5869</c:v>
                </c:pt>
                <c:pt idx="2895">
                  <c:v>24384.84565</c:v>
                </c:pt>
                <c:pt idx="2896">
                  <c:v>24452.7111</c:v>
                </c:pt>
                <c:pt idx="2897">
                  <c:v>24517.56895</c:v>
                </c:pt>
                <c:pt idx="2898">
                  <c:v>24584.33885</c:v>
                </c:pt>
                <c:pt idx="2899">
                  <c:v>24650.66985</c:v>
                </c:pt>
                <c:pt idx="2900">
                  <c:v>24714.7766</c:v>
                </c:pt>
                <c:pt idx="2901">
                  <c:v>24778.7777</c:v>
                </c:pt>
                <c:pt idx="2902">
                  <c:v>24847.80365</c:v>
                </c:pt>
                <c:pt idx="2903">
                  <c:v>24918.50155</c:v>
                </c:pt>
                <c:pt idx="2904">
                  <c:v>24987.03575</c:v>
                </c:pt>
                <c:pt idx="2905">
                  <c:v>25052.8172</c:v>
                </c:pt>
                <c:pt idx="2906">
                  <c:v>25122.2385</c:v>
                </c:pt>
                <c:pt idx="2907">
                  <c:v>25189.2809</c:v>
                </c:pt>
                <c:pt idx="2908">
                  <c:v>25256.03125</c:v>
                </c:pt>
                <c:pt idx="2909">
                  <c:v>25324.0728</c:v>
                </c:pt>
                <c:pt idx="2910">
                  <c:v>25393.37005</c:v>
                </c:pt>
                <c:pt idx="2911">
                  <c:v>25461.09705</c:v>
                </c:pt>
                <c:pt idx="2912">
                  <c:v>25534.29885</c:v>
                </c:pt>
                <c:pt idx="2913">
                  <c:v>25601.15885</c:v>
                </c:pt>
                <c:pt idx="2914">
                  <c:v>25669.1953</c:v>
                </c:pt>
                <c:pt idx="2915">
                  <c:v>25737.6808</c:v>
                </c:pt>
                <c:pt idx="2916">
                  <c:v>25805.30225</c:v>
                </c:pt>
                <c:pt idx="2917">
                  <c:v>25871.57435</c:v>
                </c:pt>
                <c:pt idx="2918">
                  <c:v>25938.5122</c:v>
                </c:pt>
                <c:pt idx="2919">
                  <c:v>26004.4758</c:v>
                </c:pt>
                <c:pt idx="2920">
                  <c:v>26070.70735</c:v>
                </c:pt>
                <c:pt idx="2921">
                  <c:v>26136.3859</c:v>
                </c:pt>
                <c:pt idx="2922">
                  <c:v>26202.54775</c:v>
                </c:pt>
                <c:pt idx="2923">
                  <c:v>26264.27915</c:v>
                </c:pt>
                <c:pt idx="2924">
                  <c:v>26325.63485</c:v>
                </c:pt>
                <c:pt idx="2925">
                  <c:v>26387.6656</c:v>
                </c:pt>
                <c:pt idx="2926">
                  <c:v>26448.0597</c:v>
                </c:pt>
                <c:pt idx="2927">
                  <c:v>26508.71005</c:v>
                </c:pt>
                <c:pt idx="2928">
                  <c:v>26568.2757</c:v>
                </c:pt>
                <c:pt idx="2929">
                  <c:v>26624.95385</c:v>
                </c:pt>
                <c:pt idx="2930">
                  <c:v>26676.7517</c:v>
                </c:pt>
                <c:pt idx="2931">
                  <c:v>26725.85005</c:v>
                </c:pt>
                <c:pt idx="2932">
                  <c:v>26766.77495</c:v>
                </c:pt>
                <c:pt idx="2933">
                  <c:v>26808.2594</c:v>
                </c:pt>
                <c:pt idx="2934">
                  <c:v>26847.69325</c:v>
                </c:pt>
                <c:pt idx="2935">
                  <c:v>26887.15495</c:v>
                </c:pt>
                <c:pt idx="2936">
                  <c:v>26928.8027</c:v>
                </c:pt>
                <c:pt idx="2937">
                  <c:v>26969.25705</c:v>
                </c:pt>
                <c:pt idx="2938">
                  <c:v>27004.6949</c:v>
                </c:pt>
                <c:pt idx="2939">
                  <c:v>27038.57465</c:v>
                </c:pt>
                <c:pt idx="2940">
                  <c:v>27072.13155</c:v>
                </c:pt>
                <c:pt idx="2941">
                  <c:v>27104.5552</c:v>
                </c:pt>
                <c:pt idx="2942">
                  <c:v>27138.5784</c:v>
                </c:pt>
                <c:pt idx="2943">
                  <c:v>27169.5541</c:v>
                </c:pt>
                <c:pt idx="2944">
                  <c:v>27201.3991</c:v>
                </c:pt>
                <c:pt idx="2945">
                  <c:v>27231.8658</c:v>
                </c:pt>
                <c:pt idx="2946">
                  <c:v>27260.1639</c:v>
                </c:pt>
                <c:pt idx="2947">
                  <c:v>27274.4862</c:v>
                </c:pt>
                <c:pt idx="2948">
                  <c:v>27290.54455</c:v>
                </c:pt>
                <c:pt idx="2949">
                  <c:v>27305.27705</c:v>
                </c:pt>
                <c:pt idx="2950">
                  <c:v>27317.51295</c:v>
                </c:pt>
                <c:pt idx="2951">
                  <c:v>27330.40895</c:v>
                </c:pt>
                <c:pt idx="2952">
                  <c:v>27343.46905</c:v>
                </c:pt>
                <c:pt idx="2953">
                  <c:v>27359.022</c:v>
                </c:pt>
                <c:pt idx="2954">
                  <c:v>27375.17245</c:v>
                </c:pt>
                <c:pt idx="2955">
                  <c:v>27391.6854</c:v>
                </c:pt>
                <c:pt idx="2956">
                  <c:v>27405.40405</c:v>
                </c:pt>
                <c:pt idx="2957">
                  <c:v>27420.98355</c:v>
                </c:pt>
                <c:pt idx="2958">
                  <c:v>27442.4753</c:v>
                </c:pt>
                <c:pt idx="2959">
                  <c:v>27472.8958</c:v>
                </c:pt>
                <c:pt idx="2960">
                  <c:v>27500.0938</c:v>
                </c:pt>
                <c:pt idx="2961">
                  <c:v>27520.78595</c:v>
                </c:pt>
                <c:pt idx="2962">
                  <c:v>27540.8644</c:v>
                </c:pt>
                <c:pt idx="2963">
                  <c:v>27559.2531</c:v>
                </c:pt>
                <c:pt idx="2964">
                  <c:v>27567.4125</c:v>
                </c:pt>
                <c:pt idx="2965">
                  <c:v>27579.1454</c:v>
                </c:pt>
                <c:pt idx="2966">
                  <c:v>27585.22535</c:v>
                </c:pt>
                <c:pt idx="2967">
                  <c:v>27590.8347</c:v>
                </c:pt>
                <c:pt idx="2968">
                  <c:v>27600.59125</c:v>
                </c:pt>
                <c:pt idx="2969">
                  <c:v>27605.94485</c:v>
                </c:pt>
                <c:pt idx="2970">
                  <c:v>27613.1977</c:v>
                </c:pt>
                <c:pt idx="2971">
                  <c:v>27621.4362</c:v>
                </c:pt>
                <c:pt idx="2972">
                  <c:v>27627.5522</c:v>
                </c:pt>
                <c:pt idx="2973">
                  <c:v>27640.90675</c:v>
                </c:pt>
                <c:pt idx="2974">
                  <c:v>27656.20235</c:v>
                </c:pt>
                <c:pt idx="2975">
                  <c:v>27671.10295</c:v>
                </c:pt>
                <c:pt idx="2976">
                  <c:v>27686.805</c:v>
                </c:pt>
                <c:pt idx="2977">
                  <c:v>27703.9197</c:v>
                </c:pt>
                <c:pt idx="2978">
                  <c:v>27718.4154</c:v>
                </c:pt>
                <c:pt idx="2979">
                  <c:v>27734.90765</c:v>
                </c:pt>
                <c:pt idx="2980">
                  <c:v>27759.18665</c:v>
                </c:pt>
                <c:pt idx="2981">
                  <c:v>27783.05785</c:v>
                </c:pt>
                <c:pt idx="2982">
                  <c:v>27803.7468</c:v>
                </c:pt>
                <c:pt idx="2983">
                  <c:v>27824.5633</c:v>
                </c:pt>
                <c:pt idx="2984">
                  <c:v>27846.4701</c:v>
                </c:pt>
                <c:pt idx="2985">
                  <c:v>27869.05335</c:v>
                </c:pt>
                <c:pt idx="2986">
                  <c:v>27898.7172</c:v>
                </c:pt>
                <c:pt idx="2987">
                  <c:v>27928.58275</c:v>
                </c:pt>
                <c:pt idx="2988">
                  <c:v>27957.3029</c:v>
                </c:pt>
                <c:pt idx="2989">
                  <c:v>27981.0602</c:v>
                </c:pt>
                <c:pt idx="2990">
                  <c:v>27994.36235</c:v>
                </c:pt>
                <c:pt idx="2991">
                  <c:v>28005.2252</c:v>
                </c:pt>
                <c:pt idx="2992">
                  <c:v>28023.4468</c:v>
                </c:pt>
                <c:pt idx="2993">
                  <c:v>28035.83185</c:v>
                </c:pt>
                <c:pt idx="2994">
                  <c:v>28035.7289</c:v>
                </c:pt>
                <c:pt idx="2995">
                  <c:v>28039.684</c:v>
                </c:pt>
                <c:pt idx="2996">
                  <c:v>28036.5309</c:v>
                </c:pt>
                <c:pt idx="2997">
                  <c:v>28037.18615</c:v>
                </c:pt>
                <c:pt idx="2998">
                  <c:v>28036.07875</c:v>
                </c:pt>
                <c:pt idx="2999">
                  <c:v>28039.1464</c:v>
                </c:pt>
                <c:pt idx="3000">
                  <c:v>28035.277</c:v>
                </c:pt>
                <c:pt idx="3001">
                  <c:v>28034.791</c:v>
                </c:pt>
                <c:pt idx="3002">
                  <c:v>28031.623</c:v>
                </c:pt>
                <c:pt idx="3003">
                  <c:v>28025.4148</c:v>
                </c:pt>
                <c:pt idx="3004">
                  <c:v>28024.0121</c:v>
                </c:pt>
                <c:pt idx="3005">
                  <c:v>28021.93295</c:v>
                </c:pt>
                <c:pt idx="3006">
                  <c:v>28015.8763</c:v>
                </c:pt>
                <c:pt idx="3007">
                  <c:v>28018.36335</c:v>
                </c:pt>
                <c:pt idx="3008">
                  <c:v>28017.9407</c:v>
                </c:pt>
                <c:pt idx="3009">
                  <c:v>28017.12835</c:v>
                </c:pt>
                <c:pt idx="3010">
                  <c:v>28019.90485</c:v>
                </c:pt>
                <c:pt idx="3011">
                  <c:v>28029.2991</c:v>
                </c:pt>
                <c:pt idx="3012">
                  <c:v>28038.0844</c:v>
                </c:pt>
                <c:pt idx="3013">
                  <c:v>28047.08665</c:v>
                </c:pt>
                <c:pt idx="3014">
                  <c:v>28072.3536</c:v>
                </c:pt>
                <c:pt idx="3015">
                  <c:v>28102.31745</c:v>
                </c:pt>
                <c:pt idx="3016">
                  <c:v>28134.9695</c:v>
                </c:pt>
                <c:pt idx="3017">
                  <c:v>28163.9843</c:v>
                </c:pt>
                <c:pt idx="3018">
                  <c:v>28185.1167</c:v>
                </c:pt>
                <c:pt idx="3019">
                  <c:v>28204.25365</c:v>
                </c:pt>
                <c:pt idx="3020">
                  <c:v>28227.47695</c:v>
                </c:pt>
                <c:pt idx="3021">
                  <c:v>28247.84075</c:v>
                </c:pt>
                <c:pt idx="3022">
                  <c:v>28268.71155</c:v>
                </c:pt>
                <c:pt idx="3023">
                  <c:v>28294.4601</c:v>
                </c:pt>
                <c:pt idx="3024">
                  <c:v>28317.49625</c:v>
                </c:pt>
                <c:pt idx="3025">
                  <c:v>28343.9259</c:v>
                </c:pt>
                <c:pt idx="3026">
                  <c:v>28367.48905</c:v>
                </c:pt>
                <c:pt idx="3027">
                  <c:v>28398.4958</c:v>
                </c:pt>
                <c:pt idx="3028">
                  <c:v>28432.6394</c:v>
                </c:pt>
                <c:pt idx="3029">
                  <c:v>28473.44915</c:v>
                </c:pt>
                <c:pt idx="3030">
                  <c:v>28512.2966</c:v>
                </c:pt>
                <c:pt idx="3031">
                  <c:v>28557.73155</c:v>
                </c:pt>
                <c:pt idx="3032">
                  <c:v>28606.66655</c:v>
                </c:pt>
                <c:pt idx="3033">
                  <c:v>28650.8409</c:v>
                </c:pt>
                <c:pt idx="3034">
                  <c:v>28694.2774</c:v>
                </c:pt>
                <c:pt idx="3035">
                  <c:v>28729.11565</c:v>
                </c:pt>
                <c:pt idx="3036">
                  <c:v>28760.15785</c:v>
                </c:pt>
                <c:pt idx="3037">
                  <c:v>28803.29115</c:v>
                </c:pt>
                <c:pt idx="3038">
                  <c:v>28837.6855</c:v>
                </c:pt>
                <c:pt idx="3039">
                  <c:v>28880.5363</c:v>
                </c:pt>
                <c:pt idx="3040">
                  <c:v>28920.10015</c:v>
                </c:pt>
                <c:pt idx="3041">
                  <c:v>28961.82555</c:v>
                </c:pt>
                <c:pt idx="3042">
                  <c:v>29004.89815</c:v>
                </c:pt>
                <c:pt idx="3043">
                  <c:v>29035.9943</c:v>
                </c:pt>
                <c:pt idx="3044">
                  <c:v>29078.6753</c:v>
                </c:pt>
                <c:pt idx="3045">
                  <c:v>29123.0403</c:v>
                </c:pt>
                <c:pt idx="3046">
                  <c:v>29173.3565</c:v>
                </c:pt>
                <c:pt idx="3047">
                  <c:v>29224.1295</c:v>
                </c:pt>
                <c:pt idx="3048">
                  <c:v>29273.3811</c:v>
                </c:pt>
                <c:pt idx="3049">
                  <c:v>29324.5633</c:v>
                </c:pt>
                <c:pt idx="3050">
                  <c:v>29379.7079</c:v>
                </c:pt>
                <c:pt idx="3051">
                  <c:v>29435.07925</c:v>
                </c:pt>
                <c:pt idx="3052">
                  <c:v>29489.13735</c:v>
                </c:pt>
                <c:pt idx="3053">
                  <c:v>29546.81585</c:v>
                </c:pt>
                <c:pt idx="3054">
                  <c:v>29608.9487</c:v>
                </c:pt>
                <c:pt idx="3055">
                  <c:v>29672.00725</c:v>
                </c:pt>
                <c:pt idx="3056">
                  <c:v>29747.14135</c:v>
                </c:pt>
                <c:pt idx="3057">
                  <c:v>29833.0517</c:v>
                </c:pt>
                <c:pt idx="3058">
                  <c:v>29916.36135</c:v>
                </c:pt>
                <c:pt idx="3059">
                  <c:v>29999.14165</c:v>
                </c:pt>
                <c:pt idx="3060">
                  <c:v>30085.98865</c:v>
                </c:pt>
                <c:pt idx="3061">
                  <c:v>30168.5434</c:v>
                </c:pt>
                <c:pt idx="3062">
                  <c:v>30255.8034</c:v>
                </c:pt>
                <c:pt idx="3063">
                  <c:v>30329.38855</c:v>
                </c:pt>
                <c:pt idx="3064">
                  <c:v>30403.0115</c:v>
                </c:pt>
                <c:pt idx="3065">
                  <c:v>30483.22825</c:v>
                </c:pt>
                <c:pt idx="3066">
                  <c:v>30557.88785</c:v>
                </c:pt>
                <c:pt idx="3067">
                  <c:v>30628.8103</c:v>
                </c:pt>
                <c:pt idx="3068">
                  <c:v>30701.47705</c:v>
                </c:pt>
                <c:pt idx="3069">
                  <c:v>30772.3003</c:v>
                </c:pt>
                <c:pt idx="3070">
                  <c:v>30851.3062</c:v>
                </c:pt>
                <c:pt idx="3071">
                  <c:v>30926.31475</c:v>
                </c:pt>
                <c:pt idx="3072">
                  <c:v>31009.18135</c:v>
                </c:pt>
                <c:pt idx="3073">
                  <c:v>31093.0279</c:v>
                </c:pt>
                <c:pt idx="3074">
                  <c:v>31184.3497</c:v>
                </c:pt>
                <c:pt idx="3075">
                  <c:v>31266.69865</c:v>
                </c:pt>
                <c:pt idx="3076">
                  <c:v>31349.99295</c:v>
                </c:pt>
                <c:pt idx="3077">
                  <c:v>31435.4873</c:v>
                </c:pt>
                <c:pt idx="3078">
                  <c:v>31515.6726</c:v>
                </c:pt>
                <c:pt idx="3079">
                  <c:v>31603.73955</c:v>
                </c:pt>
                <c:pt idx="3080">
                  <c:v>31687.07105</c:v>
                </c:pt>
                <c:pt idx="3081">
                  <c:v>31767.818</c:v>
                </c:pt>
                <c:pt idx="3082">
                  <c:v>31848.9766</c:v>
                </c:pt>
                <c:pt idx="3083">
                  <c:v>31934.96145</c:v>
                </c:pt>
                <c:pt idx="3084">
                  <c:v>32028.3975</c:v>
                </c:pt>
                <c:pt idx="3085">
                  <c:v>32121.84105</c:v>
                </c:pt>
                <c:pt idx="3086">
                  <c:v>32203.46725</c:v>
                </c:pt>
                <c:pt idx="3087">
                  <c:v>32292.98645</c:v>
                </c:pt>
                <c:pt idx="3088">
                  <c:v>32379.748</c:v>
                </c:pt>
                <c:pt idx="3089">
                  <c:v>32458.17295</c:v>
                </c:pt>
                <c:pt idx="3090">
                  <c:v>32527.80025</c:v>
                </c:pt>
                <c:pt idx="3091">
                  <c:v>32613.37535</c:v>
                </c:pt>
                <c:pt idx="3092">
                  <c:v>32690.42945</c:v>
                </c:pt>
                <c:pt idx="3093">
                  <c:v>32770.5977</c:v>
                </c:pt>
                <c:pt idx="3094">
                  <c:v>32849.78075</c:v>
                </c:pt>
                <c:pt idx="3095">
                  <c:v>32912.3679</c:v>
                </c:pt>
                <c:pt idx="3096">
                  <c:v>32973.0064</c:v>
                </c:pt>
                <c:pt idx="3097">
                  <c:v>33031.0725</c:v>
                </c:pt>
                <c:pt idx="3098">
                  <c:v>33091.3655</c:v>
                </c:pt>
                <c:pt idx="3099">
                  <c:v>33154.74935</c:v>
                </c:pt>
                <c:pt idx="3100">
                  <c:v>33215.3497</c:v>
                </c:pt>
                <c:pt idx="3101">
                  <c:v>33268.4444</c:v>
                </c:pt>
                <c:pt idx="3102">
                  <c:v>33320.79685</c:v>
                </c:pt>
                <c:pt idx="3103">
                  <c:v>33375.28625</c:v>
                </c:pt>
                <c:pt idx="3104">
                  <c:v>33430.65195</c:v>
                </c:pt>
                <c:pt idx="3105">
                  <c:v>33478.8357</c:v>
                </c:pt>
                <c:pt idx="3106">
                  <c:v>33526.48295</c:v>
                </c:pt>
                <c:pt idx="3107">
                  <c:v>33575.23445</c:v>
                </c:pt>
                <c:pt idx="3108">
                  <c:v>33624.10145</c:v>
                </c:pt>
                <c:pt idx="3109">
                  <c:v>33680.9253</c:v>
                </c:pt>
                <c:pt idx="3110">
                  <c:v>33738.46485</c:v>
                </c:pt>
                <c:pt idx="3111">
                  <c:v>33796.5285</c:v>
                </c:pt>
                <c:pt idx="3112">
                  <c:v>33855.5326</c:v>
                </c:pt>
                <c:pt idx="3113">
                  <c:v>33918.8983</c:v>
                </c:pt>
                <c:pt idx="3114">
                  <c:v>33980.3924</c:v>
                </c:pt>
                <c:pt idx="3115">
                  <c:v>34044.6625</c:v>
                </c:pt>
                <c:pt idx="3116">
                  <c:v>34109.84755</c:v>
                </c:pt>
                <c:pt idx="3117">
                  <c:v>34175.4822</c:v>
                </c:pt>
                <c:pt idx="3118">
                  <c:v>34238.7225</c:v>
                </c:pt>
                <c:pt idx="3119">
                  <c:v>34302.956</c:v>
                </c:pt>
                <c:pt idx="3120">
                  <c:v>34368.88715</c:v>
                </c:pt>
                <c:pt idx="3121">
                  <c:v>34441.8224</c:v>
                </c:pt>
                <c:pt idx="3122">
                  <c:v>34518.13755</c:v>
                </c:pt>
                <c:pt idx="3123">
                  <c:v>34608.0535</c:v>
                </c:pt>
                <c:pt idx="3124">
                  <c:v>34700.93675</c:v>
                </c:pt>
                <c:pt idx="3125">
                  <c:v>34795.7407</c:v>
                </c:pt>
                <c:pt idx="3126">
                  <c:v>34899.4799</c:v>
                </c:pt>
                <c:pt idx="3127">
                  <c:v>35001.38115</c:v>
                </c:pt>
                <c:pt idx="3128">
                  <c:v>35113.75905</c:v>
                </c:pt>
                <c:pt idx="3129">
                  <c:v>35227.0491</c:v>
                </c:pt>
                <c:pt idx="3130">
                  <c:v>35341.83815</c:v>
                </c:pt>
                <c:pt idx="3131">
                  <c:v>35451.58225</c:v>
                </c:pt>
                <c:pt idx="3132">
                  <c:v>35566.6066</c:v>
                </c:pt>
                <c:pt idx="3133">
                  <c:v>35679.597</c:v>
                </c:pt>
                <c:pt idx="3134">
                  <c:v>35795.6504</c:v>
                </c:pt>
                <c:pt idx="3135">
                  <c:v>35909.5918</c:v>
                </c:pt>
                <c:pt idx="3136">
                  <c:v>36020.70215</c:v>
                </c:pt>
                <c:pt idx="3137">
                  <c:v>36128.56305</c:v>
                </c:pt>
                <c:pt idx="3138">
                  <c:v>36237.45685</c:v>
                </c:pt>
                <c:pt idx="3139">
                  <c:v>36348.2989</c:v>
                </c:pt>
                <c:pt idx="3140">
                  <c:v>36474.00345</c:v>
                </c:pt>
                <c:pt idx="3141">
                  <c:v>36612.32465</c:v>
                </c:pt>
                <c:pt idx="3142">
                  <c:v>36777.6367</c:v>
                </c:pt>
                <c:pt idx="3143">
                  <c:v>36937.49955</c:v>
                </c:pt>
                <c:pt idx="3144">
                  <c:v>37102.85515</c:v>
                </c:pt>
                <c:pt idx="3145">
                  <c:v>37267.15565</c:v>
                </c:pt>
                <c:pt idx="3146">
                  <c:v>37439.73005</c:v>
                </c:pt>
                <c:pt idx="3147">
                  <c:v>37648.1132</c:v>
                </c:pt>
                <c:pt idx="3148">
                  <c:v>37837.3618</c:v>
                </c:pt>
                <c:pt idx="3149">
                  <c:v>38037.41915</c:v>
                </c:pt>
                <c:pt idx="3150">
                  <c:v>38241.0571</c:v>
                </c:pt>
                <c:pt idx="3151">
                  <c:v>38451.9847</c:v>
                </c:pt>
                <c:pt idx="3152">
                  <c:v>38664.30885</c:v>
                </c:pt>
                <c:pt idx="3153">
                  <c:v>38877.15055</c:v>
                </c:pt>
                <c:pt idx="3154">
                  <c:v>39107.3209</c:v>
                </c:pt>
                <c:pt idx="3155">
                  <c:v>39334.4071</c:v>
                </c:pt>
                <c:pt idx="3156">
                  <c:v>39569.87875</c:v>
                </c:pt>
                <c:pt idx="3157">
                  <c:v>39796.7151</c:v>
                </c:pt>
                <c:pt idx="3158">
                  <c:v>40013.66465</c:v>
                </c:pt>
                <c:pt idx="3159">
                  <c:v>40202.70185</c:v>
                </c:pt>
                <c:pt idx="3160">
                  <c:v>40408.0168</c:v>
                </c:pt>
                <c:pt idx="3161">
                  <c:v>40616.239</c:v>
                </c:pt>
                <c:pt idx="3162">
                  <c:v>40797.1187</c:v>
                </c:pt>
                <c:pt idx="3163">
                  <c:v>41007.0732</c:v>
                </c:pt>
                <c:pt idx="3164">
                  <c:v>41204.73555</c:v>
                </c:pt>
                <c:pt idx="3165">
                  <c:v>41394.2238</c:v>
                </c:pt>
                <c:pt idx="3166">
                  <c:v>41585.4959</c:v>
                </c:pt>
                <c:pt idx="3167">
                  <c:v>41793.2432</c:v>
                </c:pt>
                <c:pt idx="3168">
                  <c:v>42011.47865</c:v>
                </c:pt>
                <c:pt idx="3169">
                  <c:v>42231.8282</c:v>
                </c:pt>
                <c:pt idx="3170">
                  <c:v>42449.1971</c:v>
                </c:pt>
                <c:pt idx="3171">
                  <c:v>42673.87435</c:v>
                </c:pt>
                <c:pt idx="3172">
                  <c:v>42897.73365</c:v>
                </c:pt>
                <c:pt idx="3173">
                  <c:v>43116.7427</c:v>
                </c:pt>
                <c:pt idx="3174">
                  <c:v>43341.7276</c:v>
                </c:pt>
                <c:pt idx="3175">
                  <c:v>43557.5817</c:v>
                </c:pt>
                <c:pt idx="3176">
                  <c:v>43751.8751</c:v>
                </c:pt>
                <c:pt idx="3177">
                  <c:v>43948.9369</c:v>
                </c:pt>
                <c:pt idx="3178">
                  <c:v>44158.3485</c:v>
                </c:pt>
                <c:pt idx="3179">
                  <c:v>44363.9042</c:v>
                </c:pt>
                <c:pt idx="3180">
                  <c:v>44572.63805</c:v>
                </c:pt>
                <c:pt idx="3181">
                  <c:v>44783.76485</c:v>
                </c:pt>
                <c:pt idx="3182">
                  <c:v>45008.9678</c:v>
                </c:pt>
                <c:pt idx="3183">
                  <c:v>45221.5587</c:v>
                </c:pt>
                <c:pt idx="3184">
                  <c:v>45441.431</c:v>
                </c:pt>
                <c:pt idx="3185">
                  <c:v>45660.29135</c:v>
                </c:pt>
                <c:pt idx="3186">
                  <c:v>45864.3434</c:v>
                </c:pt>
                <c:pt idx="3187">
                  <c:v>46053.51275</c:v>
                </c:pt>
                <c:pt idx="3188">
                  <c:v>46249.9696</c:v>
                </c:pt>
                <c:pt idx="3189">
                  <c:v>46431.5869</c:v>
                </c:pt>
                <c:pt idx="3190">
                  <c:v>46616.2854</c:v>
                </c:pt>
                <c:pt idx="3191">
                  <c:v>46787.8274</c:v>
                </c:pt>
                <c:pt idx="3192">
                  <c:v>46965.08975</c:v>
                </c:pt>
                <c:pt idx="3193">
                  <c:v>47146.68665</c:v>
                </c:pt>
                <c:pt idx="3194">
                  <c:v>47334.1068</c:v>
                </c:pt>
                <c:pt idx="3195">
                  <c:v>47519.94885</c:v>
                </c:pt>
                <c:pt idx="3196">
                  <c:v>47716.99605</c:v>
                </c:pt>
                <c:pt idx="3197">
                  <c:v>47909.61195</c:v>
                </c:pt>
                <c:pt idx="3198">
                  <c:v>48090.73405</c:v>
                </c:pt>
                <c:pt idx="3199">
                  <c:v>48273.59665</c:v>
                </c:pt>
                <c:pt idx="3200">
                  <c:v>48454.3961</c:v>
                </c:pt>
                <c:pt idx="3201">
                  <c:v>48634.66485</c:v>
                </c:pt>
                <c:pt idx="3202">
                  <c:v>48815.36195</c:v>
                </c:pt>
                <c:pt idx="3203">
                  <c:v>49000.65645</c:v>
                </c:pt>
                <c:pt idx="3204">
                  <c:v>49169.81495</c:v>
                </c:pt>
                <c:pt idx="3205">
                  <c:v>49326.91895</c:v>
                </c:pt>
                <c:pt idx="3206">
                  <c:v>49486.4983</c:v>
                </c:pt>
                <c:pt idx="3207">
                  <c:v>49658.10615</c:v>
                </c:pt>
                <c:pt idx="3208">
                  <c:v>49836.03655</c:v>
                </c:pt>
                <c:pt idx="3209">
                  <c:v>50014.7825</c:v>
                </c:pt>
                <c:pt idx="3210">
                  <c:v>50186.8383</c:v>
                </c:pt>
                <c:pt idx="3211">
                  <c:v>50350.1251</c:v>
                </c:pt>
                <c:pt idx="3212">
                  <c:v>50506.26415</c:v>
                </c:pt>
                <c:pt idx="3213">
                  <c:v>50671.7666</c:v>
                </c:pt>
                <c:pt idx="3214">
                  <c:v>50810.2378</c:v>
                </c:pt>
                <c:pt idx="3215">
                  <c:v>50944.58825</c:v>
                </c:pt>
                <c:pt idx="3216">
                  <c:v>51079.6069</c:v>
                </c:pt>
                <c:pt idx="3217">
                  <c:v>51223.45205</c:v>
                </c:pt>
                <c:pt idx="3218">
                  <c:v>51361.71695</c:v>
                </c:pt>
                <c:pt idx="3219">
                  <c:v>51522.8273</c:v>
                </c:pt>
                <c:pt idx="3220">
                  <c:v>51676.4518</c:v>
                </c:pt>
                <c:pt idx="3221">
                  <c:v>51838.73045</c:v>
                </c:pt>
                <c:pt idx="3222">
                  <c:v>52000.30475</c:v>
                </c:pt>
                <c:pt idx="3223">
                  <c:v>52154.2931</c:v>
                </c:pt>
                <c:pt idx="3224">
                  <c:v>52336.9479</c:v>
                </c:pt>
                <c:pt idx="3225">
                  <c:v>52514.2243</c:v>
                </c:pt>
                <c:pt idx="3226">
                  <c:v>52684.47885</c:v>
                </c:pt>
                <c:pt idx="3227">
                  <c:v>52848.91865</c:v>
                </c:pt>
                <c:pt idx="3228">
                  <c:v>53016.4369</c:v>
                </c:pt>
                <c:pt idx="3229">
                  <c:v>53185.85515</c:v>
                </c:pt>
                <c:pt idx="3230">
                  <c:v>53350.31975</c:v>
                </c:pt>
                <c:pt idx="3231">
                  <c:v>53513.7924</c:v>
                </c:pt>
                <c:pt idx="3232">
                  <c:v>53669.01495</c:v>
                </c:pt>
                <c:pt idx="3233">
                  <c:v>53821.10045</c:v>
                </c:pt>
                <c:pt idx="3234">
                  <c:v>53977.4143</c:v>
                </c:pt>
                <c:pt idx="3235">
                  <c:v>54132.5922</c:v>
                </c:pt>
                <c:pt idx="3236">
                  <c:v>54293.428</c:v>
                </c:pt>
                <c:pt idx="3237">
                  <c:v>54442.6556</c:v>
                </c:pt>
                <c:pt idx="3238">
                  <c:v>54605.8783</c:v>
                </c:pt>
                <c:pt idx="3239">
                  <c:v>54775.7281</c:v>
                </c:pt>
                <c:pt idx="3240">
                  <c:v>54948.5723</c:v>
                </c:pt>
                <c:pt idx="3241">
                  <c:v>55115.4632</c:v>
                </c:pt>
                <c:pt idx="3242">
                  <c:v>55274.5007</c:v>
                </c:pt>
                <c:pt idx="3243">
                  <c:v>55442.3593</c:v>
                </c:pt>
                <c:pt idx="3244">
                  <c:v>55603.41495</c:v>
                </c:pt>
                <c:pt idx="3245">
                  <c:v>55764.37805</c:v>
                </c:pt>
                <c:pt idx="3246">
                  <c:v>55912.23055</c:v>
                </c:pt>
                <c:pt idx="3247">
                  <c:v>56064.5767</c:v>
                </c:pt>
                <c:pt idx="3248">
                  <c:v>56211.0456</c:v>
                </c:pt>
                <c:pt idx="3249">
                  <c:v>56354.93575</c:v>
                </c:pt>
                <c:pt idx="3250">
                  <c:v>56496.5083</c:v>
                </c:pt>
                <c:pt idx="3251">
                  <c:v>56640.2526</c:v>
                </c:pt>
                <c:pt idx="3252">
                  <c:v>56784.12535</c:v>
                </c:pt>
                <c:pt idx="3253">
                  <c:v>56916.18835</c:v>
                </c:pt>
                <c:pt idx="3254">
                  <c:v>57043.36775</c:v>
                </c:pt>
                <c:pt idx="3255">
                  <c:v>57167.4362</c:v>
                </c:pt>
                <c:pt idx="3256">
                  <c:v>57278.83655</c:v>
                </c:pt>
                <c:pt idx="3257">
                  <c:v>57379.8274</c:v>
                </c:pt>
                <c:pt idx="3258">
                  <c:v>57477.00665</c:v>
                </c:pt>
                <c:pt idx="3259">
                  <c:v>57561.65715</c:v>
                </c:pt>
                <c:pt idx="3260">
                  <c:v>57649.64235</c:v>
                </c:pt>
                <c:pt idx="3261">
                  <c:v>57734.9405</c:v>
                </c:pt>
                <c:pt idx="3262">
                  <c:v>57824.18555</c:v>
                </c:pt>
                <c:pt idx="3263">
                  <c:v>57919.7693</c:v>
                </c:pt>
                <c:pt idx="3264">
                  <c:v>58016.95725</c:v>
                </c:pt>
                <c:pt idx="3265">
                  <c:v>58115.7122</c:v>
                </c:pt>
                <c:pt idx="3266">
                  <c:v>58214.9072</c:v>
                </c:pt>
                <c:pt idx="3267">
                  <c:v>58315.49085</c:v>
                </c:pt>
                <c:pt idx="3268">
                  <c:v>58405.27755</c:v>
                </c:pt>
                <c:pt idx="3269">
                  <c:v>58484.19575</c:v>
                </c:pt>
                <c:pt idx="3270">
                  <c:v>58554.1278</c:v>
                </c:pt>
                <c:pt idx="3271">
                  <c:v>58633.96345</c:v>
                </c:pt>
                <c:pt idx="3272">
                  <c:v>58695.29575</c:v>
                </c:pt>
                <c:pt idx="3273">
                  <c:v>58759.3345</c:v>
                </c:pt>
                <c:pt idx="3274">
                  <c:v>58829.23435</c:v>
                </c:pt>
                <c:pt idx="3275">
                  <c:v>58898.923</c:v>
                </c:pt>
                <c:pt idx="3276">
                  <c:v>58970.81435</c:v>
                </c:pt>
                <c:pt idx="3277">
                  <c:v>59042.3489</c:v>
                </c:pt>
                <c:pt idx="3278">
                  <c:v>59126.00365</c:v>
                </c:pt>
                <c:pt idx="3279">
                  <c:v>59212.77205</c:v>
                </c:pt>
                <c:pt idx="3280">
                  <c:v>59323.5697</c:v>
                </c:pt>
                <c:pt idx="3281">
                  <c:v>59438.51725</c:v>
                </c:pt>
                <c:pt idx="3282">
                  <c:v>59548.4801</c:v>
                </c:pt>
                <c:pt idx="3283">
                  <c:v>59656.97415</c:v>
                </c:pt>
                <c:pt idx="3284">
                  <c:v>59769.6826</c:v>
                </c:pt>
                <c:pt idx="3285">
                  <c:v>59880.61335</c:v>
                </c:pt>
                <c:pt idx="3286">
                  <c:v>60007.63005</c:v>
                </c:pt>
                <c:pt idx="3287">
                  <c:v>60124.4072</c:v>
                </c:pt>
                <c:pt idx="3288">
                  <c:v>60233.1534</c:v>
                </c:pt>
                <c:pt idx="3289">
                  <c:v>60340.30685</c:v>
                </c:pt>
                <c:pt idx="3290">
                  <c:v>60449.7695</c:v>
                </c:pt>
                <c:pt idx="3291">
                  <c:v>60554.41645</c:v>
                </c:pt>
                <c:pt idx="3292">
                  <c:v>60662.92885</c:v>
                </c:pt>
                <c:pt idx="3293">
                  <c:v>60771.3501</c:v>
                </c:pt>
                <c:pt idx="3294">
                  <c:v>60873.86465</c:v>
                </c:pt>
                <c:pt idx="3295">
                  <c:v>60990.88165</c:v>
                </c:pt>
                <c:pt idx="3296">
                  <c:v>61099.7712</c:v>
                </c:pt>
                <c:pt idx="3297">
                  <c:v>61217.9041</c:v>
                </c:pt>
                <c:pt idx="3298">
                  <c:v>61312.7374</c:v>
                </c:pt>
                <c:pt idx="3299">
                  <c:v>61400.13</c:v>
                </c:pt>
                <c:pt idx="3300">
                  <c:v>61477.5099</c:v>
                </c:pt>
                <c:pt idx="3301">
                  <c:v>61541.46465</c:v>
                </c:pt>
                <c:pt idx="3302">
                  <c:v>61613.78065</c:v>
                </c:pt>
                <c:pt idx="3303">
                  <c:v>61680.9616</c:v>
                </c:pt>
                <c:pt idx="3304">
                  <c:v>61781.3558</c:v>
                </c:pt>
                <c:pt idx="3305">
                  <c:v>61887.71085</c:v>
                </c:pt>
                <c:pt idx="3306">
                  <c:v>61993.0858</c:v>
                </c:pt>
                <c:pt idx="3307">
                  <c:v>62086.49155</c:v>
                </c:pt>
                <c:pt idx="3308">
                  <c:v>62183.4586</c:v>
                </c:pt>
                <c:pt idx="3309">
                  <c:v>62277.4772</c:v>
                </c:pt>
                <c:pt idx="3310">
                  <c:v>62360.65305</c:v>
                </c:pt>
                <c:pt idx="3311">
                  <c:v>62438.20585</c:v>
                </c:pt>
                <c:pt idx="3312">
                  <c:v>62516.2427</c:v>
                </c:pt>
                <c:pt idx="3313">
                  <c:v>62598.69865</c:v>
                </c:pt>
                <c:pt idx="3314">
                  <c:v>62677.94145</c:v>
                </c:pt>
                <c:pt idx="3315">
                  <c:v>62759.8383</c:v>
                </c:pt>
                <c:pt idx="3316">
                  <c:v>62839.2137</c:v>
                </c:pt>
                <c:pt idx="3317">
                  <c:v>62930.24415</c:v>
                </c:pt>
                <c:pt idx="3318">
                  <c:v>63019.3045</c:v>
                </c:pt>
                <c:pt idx="3319">
                  <c:v>63126.68585</c:v>
                </c:pt>
                <c:pt idx="3320">
                  <c:v>63232.00835</c:v>
                </c:pt>
                <c:pt idx="3321">
                  <c:v>63331.47715</c:v>
                </c:pt>
                <c:pt idx="3322">
                  <c:v>63418.9409</c:v>
                </c:pt>
                <c:pt idx="3323">
                  <c:v>63480.1625</c:v>
                </c:pt>
                <c:pt idx="3324">
                  <c:v>63536.29055</c:v>
                </c:pt>
                <c:pt idx="3325">
                  <c:v>63591.5855</c:v>
                </c:pt>
                <c:pt idx="3326">
                  <c:v>63637.3498</c:v>
                </c:pt>
                <c:pt idx="3327">
                  <c:v>63683.67505</c:v>
                </c:pt>
                <c:pt idx="3328">
                  <c:v>63711.2452</c:v>
                </c:pt>
                <c:pt idx="3329">
                  <c:v>63747.2689</c:v>
                </c:pt>
                <c:pt idx="3330">
                  <c:v>63773.7365</c:v>
                </c:pt>
                <c:pt idx="3331">
                  <c:v>63805.31805</c:v>
                </c:pt>
                <c:pt idx="3332">
                  <c:v>63825.2746</c:v>
                </c:pt>
                <c:pt idx="3333">
                  <c:v>63836.09545</c:v>
                </c:pt>
                <c:pt idx="3334">
                  <c:v>63845.56675</c:v>
                </c:pt>
                <c:pt idx="3335">
                  <c:v>63871.6663</c:v>
                </c:pt>
                <c:pt idx="3336">
                  <c:v>63903.5817</c:v>
                </c:pt>
                <c:pt idx="3337">
                  <c:v>63936.5897</c:v>
                </c:pt>
                <c:pt idx="3338">
                  <c:v>63969.5115</c:v>
                </c:pt>
                <c:pt idx="3339">
                  <c:v>64013.5785</c:v>
                </c:pt>
                <c:pt idx="3340">
                  <c:v>64040.84525</c:v>
                </c:pt>
                <c:pt idx="3341">
                  <c:v>64051.13545</c:v>
                </c:pt>
                <c:pt idx="3342">
                  <c:v>64029.78225</c:v>
                </c:pt>
                <c:pt idx="3343">
                  <c:v>64025.1446</c:v>
                </c:pt>
                <c:pt idx="3344">
                  <c:v>64021.64815</c:v>
                </c:pt>
                <c:pt idx="3345">
                  <c:v>64026.31855</c:v>
                </c:pt>
                <c:pt idx="3346">
                  <c:v>64026.32595</c:v>
                </c:pt>
                <c:pt idx="3347">
                  <c:v>64001.7516</c:v>
                </c:pt>
                <c:pt idx="3348">
                  <c:v>64000.17135</c:v>
                </c:pt>
                <c:pt idx="3349">
                  <c:v>63986.40215</c:v>
                </c:pt>
                <c:pt idx="3350">
                  <c:v>63973.19285</c:v>
                </c:pt>
                <c:pt idx="3351">
                  <c:v>63947.2788</c:v>
                </c:pt>
                <c:pt idx="3352">
                  <c:v>63930.6486</c:v>
                </c:pt>
                <c:pt idx="3353">
                  <c:v>63914.6042</c:v>
                </c:pt>
                <c:pt idx="3354">
                  <c:v>63882.8882</c:v>
                </c:pt>
                <c:pt idx="3355">
                  <c:v>63853.53015</c:v>
                </c:pt>
                <c:pt idx="3356">
                  <c:v>63804.544</c:v>
                </c:pt>
                <c:pt idx="3357">
                  <c:v>63751.21125</c:v>
                </c:pt>
                <c:pt idx="3358">
                  <c:v>63706.906</c:v>
                </c:pt>
                <c:pt idx="3359">
                  <c:v>63683.02535</c:v>
                </c:pt>
                <c:pt idx="3360">
                  <c:v>63651.6784</c:v>
                </c:pt>
                <c:pt idx="3361">
                  <c:v>63624.1001</c:v>
                </c:pt>
                <c:pt idx="3362">
                  <c:v>63628.2646</c:v>
                </c:pt>
                <c:pt idx="3363">
                  <c:v>63599.95435</c:v>
                </c:pt>
                <c:pt idx="3364">
                  <c:v>63583.0389</c:v>
                </c:pt>
                <c:pt idx="3365">
                  <c:v>63567.3681</c:v>
                </c:pt>
                <c:pt idx="3366">
                  <c:v>63548.6035</c:v>
                </c:pt>
                <c:pt idx="3367">
                  <c:v>63524.70945</c:v>
                </c:pt>
                <c:pt idx="3368">
                  <c:v>63491.07455</c:v>
                </c:pt>
                <c:pt idx="3369">
                  <c:v>63455.41975</c:v>
                </c:pt>
                <c:pt idx="3370">
                  <c:v>63438.8867</c:v>
                </c:pt>
                <c:pt idx="3371">
                  <c:v>63420.3158</c:v>
                </c:pt>
                <c:pt idx="3372">
                  <c:v>63408.6903</c:v>
                </c:pt>
                <c:pt idx="3373">
                  <c:v>63397.4311</c:v>
                </c:pt>
                <c:pt idx="3374">
                  <c:v>63383.4961</c:v>
                </c:pt>
                <c:pt idx="3375">
                  <c:v>63376.8041</c:v>
                </c:pt>
                <c:pt idx="3376">
                  <c:v>63394.4849</c:v>
                </c:pt>
                <c:pt idx="3377">
                  <c:v>63401.3045</c:v>
                </c:pt>
                <c:pt idx="3378">
                  <c:v>63396.1253</c:v>
                </c:pt>
                <c:pt idx="3379">
                  <c:v>63389.73745</c:v>
                </c:pt>
                <c:pt idx="3380">
                  <c:v>63385.79105</c:v>
                </c:pt>
                <c:pt idx="3381">
                  <c:v>63371.88975</c:v>
                </c:pt>
                <c:pt idx="3382">
                  <c:v>63348.91315</c:v>
                </c:pt>
                <c:pt idx="3383">
                  <c:v>63343.12505</c:v>
                </c:pt>
                <c:pt idx="3384">
                  <c:v>63339.9737</c:v>
                </c:pt>
                <c:pt idx="3385">
                  <c:v>63353.58865</c:v>
                </c:pt>
                <c:pt idx="3386">
                  <c:v>63379.66685</c:v>
                </c:pt>
                <c:pt idx="3387">
                  <c:v>63410.486</c:v>
                </c:pt>
                <c:pt idx="3388">
                  <c:v>63429.6065</c:v>
                </c:pt>
                <c:pt idx="3389">
                  <c:v>63459.6048</c:v>
                </c:pt>
                <c:pt idx="3390">
                  <c:v>63484.0957</c:v>
                </c:pt>
                <c:pt idx="3391">
                  <c:v>63516.7941</c:v>
                </c:pt>
                <c:pt idx="3392">
                  <c:v>63546.46095</c:v>
                </c:pt>
                <c:pt idx="3393">
                  <c:v>63605.5112</c:v>
                </c:pt>
                <c:pt idx="3394">
                  <c:v>63660.58145</c:v>
                </c:pt>
                <c:pt idx="3395">
                  <c:v>63718.6616</c:v>
                </c:pt>
                <c:pt idx="3396">
                  <c:v>63768.09775</c:v>
                </c:pt>
                <c:pt idx="3397">
                  <c:v>63837.88085</c:v>
                </c:pt>
                <c:pt idx="3398">
                  <c:v>63960.742</c:v>
                </c:pt>
                <c:pt idx="3399">
                  <c:v>64078.36845</c:v>
                </c:pt>
                <c:pt idx="3400">
                  <c:v>64212.10095</c:v>
                </c:pt>
                <c:pt idx="3401">
                  <c:v>64331.57555</c:v>
                </c:pt>
                <c:pt idx="3402">
                  <c:v>64471.911</c:v>
                </c:pt>
                <c:pt idx="3403">
                  <c:v>64606.0702</c:v>
                </c:pt>
                <c:pt idx="3404">
                  <c:v>64752.04965</c:v>
                </c:pt>
                <c:pt idx="3405">
                  <c:v>64913.2607</c:v>
                </c:pt>
                <c:pt idx="3406">
                  <c:v>65080.0841</c:v>
                </c:pt>
                <c:pt idx="3407">
                  <c:v>65237.77055</c:v>
                </c:pt>
                <c:pt idx="3408">
                  <c:v>65409.99465</c:v>
                </c:pt>
                <c:pt idx="3409">
                  <c:v>65584.8221</c:v>
                </c:pt>
                <c:pt idx="3410">
                  <c:v>65757.9876</c:v>
                </c:pt>
                <c:pt idx="3411">
                  <c:v>65936.4084</c:v>
                </c:pt>
                <c:pt idx="3412">
                  <c:v>66095.624</c:v>
                </c:pt>
                <c:pt idx="3413">
                  <c:v>66239.8286</c:v>
                </c:pt>
                <c:pt idx="3414">
                  <c:v>66415.57905</c:v>
                </c:pt>
                <c:pt idx="3415">
                  <c:v>66589.95665</c:v>
                </c:pt>
                <c:pt idx="3416">
                  <c:v>66769.94125</c:v>
                </c:pt>
                <c:pt idx="3417">
                  <c:v>66937.7232</c:v>
                </c:pt>
                <c:pt idx="3418">
                  <c:v>67116.2484</c:v>
                </c:pt>
                <c:pt idx="3419">
                  <c:v>67264.0959</c:v>
                </c:pt>
                <c:pt idx="3420">
                  <c:v>67417.3054</c:v>
                </c:pt>
                <c:pt idx="3421">
                  <c:v>67576.3305</c:v>
                </c:pt>
                <c:pt idx="3422">
                  <c:v>67726.63795</c:v>
                </c:pt>
                <c:pt idx="3423">
                  <c:v>67894.7592</c:v>
                </c:pt>
                <c:pt idx="3424">
                  <c:v>68037.07475</c:v>
                </c:pt>
                <c:pt idx="3425">
                  <c:v>68191.99375</c:v>
                </c:pt>
                <c:pt idx="3426">
                  <c:v>68332.88825</c:v>
                </c:pt>
                <c:pt idx="3427">
                  <c:v>68476.67295</c:v>
                </c:pt>
                <c:pt idx="3428">
                  <c:v>68639.84545</c:v>
                </c:pt>
                <c:pt idx="3429">
                  <c:v>68793.4748</c:v>
                </c:pt>
                <c:pt idx="3430">
                  <c:v>68958.24555</c:v>
                </c:pt>
                <c:pt idx="3431">
                  <c:v>69118.42635</c:v>
                </c:pt>
                <c:pt idx="3432">
                  <c:v>69298.91355</c:v>
                </c:pt>
                <c:pt idx="3433">
                  <c:v>69491.54475</c:v>
                </c:pt>
                <c:pt idx="3434">
                  <c:v>69680.44915</c:v>
                </c:pt>
                <c:pt idx="3435">
                  <c:v>69843.67265</c:v>
                </c:pt>
                <c:pt idx="3436">
                  <c:v>69991.9339</c:v>
                </c:pt>
                <c:pt idx="3437">
                  <c:v>70142.1497</c:v>
                </c:pt>
                <c:pt idx="3438">
                  <c:v>70284.32725</c:v>
                </c:pt>
                <c:pt idx="3439">
                  <c:v>70406.7832</c:v>
                </c:pt>
                <c:pt idx="3440">
                  <c:v>70524.78405</c:v>
                </c:pt>
                <c:pt idx="3441">
                  <c:v>70663.9029</c:v>
                </c:pt>
                <c:pt idx="3442">
                  <c:v>70814.2164</c:v>
                </c:pt>
                <c:pt idx="3443">
                  <c:v>70946.03435</c:v>
                </c:pt>
                <c:pt idx="3444">
                  <c:v>71068.61885</c:v>
                </c:pt>
                <c:pt idx="3445">
                  <c:v>71196.81985</c:v>
                </c:pt>
                <c:pt idx="3446">
                  <c:v>71328.0544</c:v>
                </c:pt>
                <c:pt idx="3447">
                  <c:v>71449.80305</c:v>
                </c:pt>
                <c:pt idx="3448">
                  <c:v>71582.75265</c:v>
                </c:pt>
                <c:pt idx="3449">
                  <c:v>71724.5585</c:v>
                </c:pt>
                <c:pt idx="3450">
                  <c:v>71878.2996</c:v>
                </c:pt>
                <c:pt idx="3451">
                  <c:v>72035.91405</c:v>
                </c:pt>
                <c:pt idx="3452">
                  <c:v>72194.37555</c:v>
                </c:pt>
                <c:pt idx="3453">
                  <c:v>72360.4692</c:v>
                </c:pt>
                <c:pt idx="3454">
                  <c:v>72547.3486</c:v>
                </c:pt>
                <c:pt idx="3455">
                  <c:v>72707.84585</c:v>
                </c:pt>
                <c:pt idx="3456">
                  <c:v>72862.3471</c:v>
                </c:pt>
                <c:pt idx="3457">
                  <c:v>73003.79315</c:v>
                </c:pt>
                <c:pt idx="3458">
                  <c:v>73161.22725</c:v>
                </c:pt>
                <c:pt idx="3459">
                  <c:v>73332.8723</c:v>
                </c:pt>
                <c:pt idx="3460">
                  <c:v>73496.3155</c:v>
                </c:pt>
                <c:pt idx="3461">
                  <c:v>73664.8761</c:v>
                </c:pt>
                <c:pt idx="3462">
                  <c:v>73839.4377</c:v>
                </c:pt>
                <c:pt idx="3463">
                  <c:v>74040.37745</c:v>
                </c:pt>
                <c:pt idx="3464">
                  <c:v>74235.83515</c:v>
                </c:pt>
                <c:pt idx="3465">
                  <c:v>74442.97965</c:v>
                </c:pt>
                <c:pt idx="3466">
                  <c:v>74650.80295</c:v>
                </c:pt>
                <c:pt idx="3467">
                  <c:v>74846.5759</c:v>
                </c:pt>
                <c:pt idx="3468">
                  <c:v>75056.36635</c:v>
                </c:pt>
                <c:pt idx="3469">
                  <c:v>75301.3067</c:v>
                </c:pt>
                <c:pt idx="3470">
                  <c:v>75536.5188</c:v>
                </c:pt>
                <c:pt idx="3471">
                  <c:v>75765.05395</c:v>
                </c:pt>
                <c:pt idx="3472">
                  <c:v>76009.73795</c:v>
                </c:pt>
                <c:pt idx="3473">
                  <c:v>76249.9821</c:v>
                </c:pt>
                <c:pt idx="3474">
                  <c:v>76472.81925</c:v>
                </c:pt>
                <c:pt idx="3475">
                  <c:v>76694.86475</c:v>
                </c:pt>
                <c:pt idx="3476">
                  <c:v>76914.39065</c:v>
                </c:pt>
                <c:pt idx="3477">
                  <c:v>77143.57395</c:v>
                </c:pt>
                <c:pt idx="3478">
                  <c:v>77371.0311</c:v>
                </c:pt>
                <c:pt idx="3479">
                  <c:v>77579.09675</c:v>
                </c:pt>
                <c:pt idx="3480">
                  <c:v>77758.35315</c:v>
                </c:pt>
                <c:pt idx="3481">
                  <c:v>77921.5067</c:v>
                </c:pt>
                <c:pt idx="3482">
                  <c:v>78108.02105</c:v>
                </c:pt>
                <c:pt idx="3483">
                  <c:v>78276.99835</c:v>
                </c:pt>
                <c:pt idx="3484">
                  <c:v>78426.3337</c:v>
                </c:pt>
                <c:pt idx="3485">
                  <c:v>78573.07585</c:v>
                </c:pt>
                <c:pt idx="3486">
                  <c:v>78714.56305</c:v>
                </c:pt>
                <c:pt idx="3487">
                  <c:v>78859.0166</c:v>
                </c:pt>
                <c:pt idx="3488">
                  <c:v>79011.777</c:v>
                </c:pt>
                <c:pt idx="3489">
                  <c:v>79171.8456</c:v>
                </c:pt>
                <c:pt idx="3490">
                  <c:v>79321.63495</c:v>
                </c:pt>
                <c:pt idx="3491">
                  <c:v>79471.2991</c:v>
                </c:pt>
                <c:pt idx="3492">
                  <c:v>79615.39815</c:v>
                </c:pt>
                <c:pt idx="3493">
                  <c:v>79761.57035</c:v>
                </c:pt>
                <c:pt idx="3494">
                  <c:v>79915.4156</c:v>
                </c:pt>
                <c:pt idx="3495">
                  <c:v>80065.01095</c:v>
                </c:pt>
                <c:pt idx="3496">
                  <c:v>80220.8814</c:v>
                </c:pt>
                <c:pt idx="3497">
                  <c:v>80372.2064</c:v>
                </c:pt>
                <c:pt idx="3498">
                  <c:v>80548.03325</c:v>
                </c:pt>
                <c:pt idx="3499">
                  <c:v>80736.6137</c:v>
                </c:pt>
                <c:pt idx="3500">
                  <c:v>80926.4936</c:v>
                </c:pt>
                <c:pt idx="3501">
                  <c:v>81139.2747</c:v>
                </c:pt>
                <c:pt idx="3502">
                  <c:v>81340.1202</c:v>
                </c:pt>
                <c:pt idx="3503">
                  <c:v>81522.1694</c:v>
                </c:pt>
                <c:pt idx="3504">
                  <c:v>81656.86465</c:v>
                </c:pt>
                <c:pt idx="3505">
                  <c:v>81773.3303</c:v>
                </c:pt>
                <c:pt idx="3506">
                  <c:v>81891.7474</c:v>
                </c:pt>
                <c:pt idx="3507">
                  <c:v>82019.5713</c:v>
                </c:pt>
                <c:pt idx="3508">
                  <c:v>82152.97555</c:v>
                </c:pt>
                <c:pt idx="3509">
                  <c:v>82321.3229</c:v>
                </c:pt>
                <c:pt idx="3510">
                  <c:v>82458.2319</c:v>
                </c:pt>
                <c:pt idx="3511">
                  <c:v>82606.9702</c:v>
                </c:pt>
                <c:pt idx="3512">
                  <c:v>82765.59025</c:v>
                </c:pt>
                <c:pt idx="3513">
                  <c:v>82917.81375</c:v>
                </c:pt>
                <c:pt idx="3514">
                  <c:v>83059.3584</c:v>
                </c:pt>
                <c:pt idx="3515">
                  <c:v>83193.0443</c:v>
                </c:pt>
                <c:pt idx="3516">
                  <c:v>83301.2277</c:v>
                </c:pt>
                <c:pt idx="3517">
                  <c:v>83387.9819</c:v>
                </c:pt>
                <c:pt idx="3518">
                  <c:v>83500.66095</c:v>
                </c:pt>
                <c:pt idx="3519">
                  <c:v>83598.30375</c:v>
                </c:pt>
                <c:pt idx="3520">
                  <c:v>83682.88155</c:v>
                </c:pt>
                <c:pt idx="3521">
                  <c:v>83781.3495</c:v>
                </c:pt>
                <c:pt idx="3522">
                  <c:v>83888.91405</c:v>
                </c:pt>
                <c:pt idx="3523">
                  <c:v>84004.73305</c:v>
                </c:pt>
                <c:pt idx="3524">
                  <c:v>84129.67005</c:v>
                </c:pt>
                <c:pt idx="3525">
                  <c:v>84246.3075</c:v>
                </c:pt>
                <c:pt idx="3526">
                  <c:v>84385.128</c:v>
                </c:pt>
                <c:pt idx="3527">
                  <c:v>84511.2625</c:v>
                </c:pt>
                <c:pt idx="3528">
                  <c:v>84644.83485</c:v>
                </c:pt>
                <c:pt idx="3529">
                  <c:v>84768.392</c:v>
                </c:pt>
                <c:pt idx="3530">
                  <c:v>84911.4835</c:v>
                </c:pt>
                <c:pt idx="3531">
                  <c:v>85059.13155</c:v>
                </c:pt>
                <c:pt idx="3532">
                  <c:v>85215.5109</c:v>
                </c:pt>
                <c:pt idx="3533">
                  <c:v>85380.489</c:v>
                </c:pt>
                <c:pt idx="3534">
                  <c:v>85545.6832</c:v>
                </c:pt>
                <c:pt idx="3535">
                  <c:v>85682.3227</c:v>
                </c:pt>
                <c:pt idx="3536">
                  <c:v>85807.1789</c:v>
                </c:pt>
                <c:pt idx="3537">
                  <c:v>85932.31485</c:v>
                </c:pt>
                <c:pt idx="3538">
                  <c:v>86054.29875</c:v>
                </c:pt>
                <c:pt idx="3539">
                  <c:v>86177.43385</c:v>
                </c:pt>
                <c:pt idx="3540">
                  <c:v>86289.8225</c:v>
                </c:pt>
                <c:pt idx="3541">
                  <c:v>86410.0825</c:v>
                </c:pt>
                <c:pt idx="3542">
                  <c:v>86538.33955</c:v>
                </c:pt>
                <c:pt idx="3543">
                  <c:v>86654.2678</c:v>
                </c:pt>
                <c:pt idx="3544">
                  <c:v>86737.27565</c:v>
                </c:pt>
                <c:pt idx="3545">
                  <c:v>86818.175</c:v>
                </c:pt>
                <c:pt idx="3546">
                  <c:v>86883.37975</c:v>
                </c:pt>
                <c:pt idx="3547">
                  <c:v>86979.5398</c:v>
                </c:pt>
                <c:pt idx="3548">
                  <c:v>87059.4132</c:v>
                </c:pt>
                <c:pt idx="3549">
                  <c:v>87159.6212</c:v>
                </c:pt>
                <c:pt idx="3550">
                  <c:v>87264.6116</c:v>
                </c:pt>
                <c:pt idx="3551">
                  <c:v>87367.6225</c:v>
                </c:pt>
                <c:pt idx="3552">
                  <c:v>87464.68825</c:v>
                </c:pt>
                <c:pt idx="3553">
                  <c:v>87553.89215</c:v>
                </c:pt>
                <c:pt idx="3554">
                  <c:v>87644.7408</c:v>
                </c:pt>
                <c:pt idx="3555">
                  <c:v>87741.5506</c:v>
                </c:pt>
                <c:pt idx="3556">
                  <c:v>87847.3767</c:v>
                </c:pt>
                <c:pt idx="3557">
                  <c:v>87968.80165</c:v>
                </c:pt>
                <c:pt idx="3558">
                  <c:v>88091.5315</c:v>
                </c:pt>
                <c:pt idx="3559">
                  <c:v>88225.4169</c:v>
                </c:pt>
                <c:pt idx="3560">
                  <c:v>88382.40885</c:v>
                </c:pt>
                <c:pt idx="3561">
                  <c:v>88540.857</c:v>
                </c:pt>
                <c:pt idx="3562">
                  <c:v>88696.9125</c:v>
                </c:pt>
                <c:pt idx="3563">
                  <c:v>88859.45505</c:v>
                </c:pt>
                <c:pt idx="3564">
                  <c:v>89022.17815</c:v>
                </c:pt>
                <c:pt idx="3565">
                  <c:v>89188.1896</c:v>
                </c:pt>
                <c:pt idx="3566">
                  <c:v>89362.0048</c:v>
                </c:pt>
                <c:pt idx="3567">
                  <c:v>89520.7665</c:v>
                </c:pt>
                <c:pt idx="3568">
                  <c:v>89675.74185</c:v>
                </c:pt>
                <c:pt idx="3569">
                  <c:v>89844.14025</c:v>
                </c:pt>
                <c:pt idx="3570">
                  <c:v>89998.46105</c:v>
                </c:pt>
                <c:pt idx="3571">
                  <c:v>90142.4847</c:v>
                </c:pt>
                <c:pt idx="3572">
                  <c:v>90275.80525</c:v>
                </c:pt>
                <c:pt idx="3573">
                  <c:v>90412.46355</c:v>
                </c:pt>
                <c:pt idx="3574">
                  <c:v>90554.52885</c:v>
                </c:pt>
                <c:pt idx="3575">
                  <c:v>90698.0018</c:v>
                </c:pt>
                <c:pt idx="3576">
                  <c:v>90869.19495</c:v>
                </c:pt>
                <c:pt idx="3577">
                  <c:v>91047.399</c:v>
                </c:pt>
                <c:pt idx="3578">
                  <c:v>91234.60455</c:v>
                </c:pt>
                <c:pt idx="3579">
                  <c:v>91422.2871</c:v>
                </c:pt>
                <c:pt idx="3580">
                  <c:v>91595.50395</c:v>
                </c:pt>
                <c:pt idx="3581">
                  <c:v>91783.3367</c:v>
                </c:pt>
                <c:pt idx="3582">
                  <c:v>91966.0008</c:v>
                </c:pt>
                <c:pt idx="3583">
                  <c:v>92145.217</c:v>
                </c:pt>
                <c:pt idx="3584">
                  <c:v>92313.09465</c:v>
                </c:pt>
                <c:pt idx="3585">
                  <c:v>92465.27825</c:v>
                </c:pt>
                <c:pt idx="3586">
                  <c:v>92636.031</c:v>
                </c:pt>
                <c:pt idx="3587">
                  <c:v>92813.12275</c:v>
                </c:pt>
                <c:pt idx="3588">
                  <c:v>93000.2025</c:v>
                </c:pt>
                <c:pt idx="3589">
                  <c:v>93201.9055</c:v>
                </c:pt>
                <c:pt idx="3590">
                  <c:v>93416.82725</c:v>
                </c:pt>
                <c:pt idx="3591">
                  <c:v>93614.4379</c:v>
                </c:pt>
                <c:pt idx="3592">
                  <c:v>93806.5043</c:v>
                </c:pt>
                <c:pt idx="3593">
                  <c:v>93973.51495</c:v>
                </c:pt>
                <c:pt idx="3594">
                  <c:v>94141.23655</c:v>
                </c:pt>
                <c:pt idx="3595">
                  <c:v>94303.2952</c:v>
                </c:pt>
                <c:pt idx="3596">
                  <c:v>94458.81135</c:v>
                </c:pt>
                <c:pt idx="3597">
                  <c:v>94584.52965</c:v>
                </c:pt>
                <c:pt idx="3598">
                  <c:v>94660.8423</c:v>
                </c:pt>
                <c:pt idx="3599">
                  <c:v>94743.8945</c:v>
                </c:pt>
                <c:pt idx="3600">
                  <c:v>94819.9151</c:v>
                </c:pt>
                <c:pt idx="3601">
                  <c:v>94912.7378</c:v>
                </c:pt>
                <c:pt idx="3602">
                  <c:v>94984.6851</c:v>
                </c:pt>
                <c:pt idx="3603">
                  <c:v>95055.2708</c:v>
                </c:pt>
                <c:pt idx="3604">
                  <c:v>95113.68835</c:v>
                </c:pt>
                <c:pt idx="3605">
                  <c:v>95183.0768</c:v>
                </c:pt>
                <c:pt idx="3606">
                  <c:v>95248.99245</c:v>
                </c:pt>
                <c:pt idx="3607">
                  <c:v>95305.9487</c:v>
                </c:pt>
                <c:pt idx="3608">
                  <c:v>95365.259</c:v>
                </c:pt>
                <c:pt idx="3609">
                  <c:v>95421.64005</c:v>
                </c:pt>
                <c:pt idx="3610">
                  <c:v>95476.09305</c:v>
                </c:pt>
                <c:pt idx="3611">
                  <c:v>95514.5574</c:v>
                </c:pt>
                <c:pt idx="3612">
                  <c:v>95580.15085</c:v>
                </c:pt>
                <c:pt idx="3613">
                  <c:v>95647.83025</c:v>
                </c:pt>
                <c:pt idx="3614">
                  <c:v>95696.07055</c:v>
                </c:pt>
                <c:pt idx="3615">
                  <c:v>95752.0098</c:v>
                </c:pt>
                <c:pt idx="3616">
                  <c:v>95787.5092</c:v>
                </c:pt>
                <c:pt idx="3617">
                  <c:v>95829.7601</c:v>
                </c:pt>
                <c:pt idx="3618">
                  <c:v>95866.8037</c:v>
                </c:pt>
                <c:pt idx="3619">
                  <c:v>95904.07825</c:v>
                </c:pt>
                <c:pt idx="3620">
                  <c:v>95935.2558</c:v>
                </c:pt>
                <c:pt idx="3621">
                  <c:v>95946.50895</c:v>
                </c:pt>
                <c:pt idx="3622">
                  <c:v>95988.38475</c:v>
                </c:pt>
                <c:pt idx="3623">
                  <c:v>96019.633</c:v>
                </c:pt>
                <c:pt idx="3624">
                  <c:v>96056.9875</c:v>
                </c:pt>
                <c:pt idx="3625">
                  <c:v>96086.26075</c:v>
                </c:pt>
                <c:pt idx="3626">
                  <c:v>96135.2036</c:v>
                </c:pt>
                <c:pt idx="3627">
                  <c:v>96188.6608</c:v>
                </c:pt>
                <c:pt idx="3628">
                  <c:v>96224.58245</c:v>
                </c:pt>
                <c:pt idx="3629">
                  <c:v>96260.29615</c:v>
                </c:pt>
                <c:pt idx="3630">
                  <c:v>96281.7113</c:v>
                </c:pt>
                <c:pt idx="3631">
                  <c:v>96319.15295</c:v>
                </c:pt>
                <c:pt idx="3632">
                  <c:v>96345.0583</c:v>
                </c:pt>
                <c:pt idx="3633">
                  <c:v>96354.70225</c:v>
                </c:pt>
                <c:pt idx="3634">
                  <c:v>96365.25055</c:v>
                </c:pt>
                <c:pt idx="3635">
                  <c:v>96410.5868</c:v>
                </c:pt>
                <c:pt idx="3636">
                  <c:v>96465.07495</c:v>
                </c:pt>
                <c:pt idx="3637">
                  <c:v>96521.04015</c:v>
                </c:pt>
                <c:pt idx="3638">
                  <c:v>96591.304</c:v>
                </c:pt>
                <c:pt idx="3639">
                  <c:v>96696.02175</c:v>
                </c:pt>
                <c:pt idx="3640">
                  <c:v>96810.10975</c:v>
                </c:pt>
                <c:pt idx="3641">
                  <c:v>96904.50065</c:v>
                </c:pt>
                <c:pt idx="3642">
                  <c:v>97003.4233</c:v>
                </c:pt>
                <c:pt idx="3643">
                  <c:v>97124.3944</c:v>
                </c:pt>
                <c:pt idx="3644">
                  <c:v>97242.44315</c:v>
                </c:pt>
                <c:pt idx="3645">
                  <c:v>97360.19745</c:v>
                </c:pt>
                <c:pt idx="3646">
                  <c:v>97488.74915</c:v>
                </c:pt>
                <c:pt idx="3647">
                  <c:v>97615.76085</c:v>
                </c:pt>
                <c:pt idx="3648">
                  <c:v>97738.5606</c:v>
                </c:pt>
                <c:pt idx="3649">
                  <c:v>97853.20615</c:v>
                </c:pt>
                <c:pt idx="3650">
                  <c:v>97955.83415</c:v>
                </c:pt>
                <c:pt idx="3651">
                  <c:v>98065.2837</c:v>
                </c:pt>
                <c:pt idx="3652">
                  <c:v>98168.28665</c:v>
                </c:pt>
                <c:pt idx="3653">
                  <c:v>98268.5452</c:v>
                </c:pt>
                <c:pt idx="3654">
                  <c:v>98345.3145</c:v>
                </c:pt>
                <c:pt idx="3655">
                  <c:v>98450.45275</c:v>
                </c:pt>
                <c:pt idx="3656">
                  <c:v>98572.5972</c:v>
                </c:pt>
                <c:pt idx="3657">
                  <c:v>98700.21295</c:v>
                </c:pt>
                <c:pt idx="3658">
                  <c:v>98816.374</c:v>
                </c:pt>
                <c:pt idx="3659">
                  <c:v>98932.69965</c:v>
                </c:pt>
                <c:pt idx="3660">
                  <c:v>99038.9572</c:v>
                </c:pt>
                <c:pt idx="3661">
                  <c:v>99132.6686</c:v>
                </c:pt>
                <c:pt idx="3662">
                  <c:v>99212.7075</c:v>
                </c:pt>
                <c:pt idx="3663">
                  <c:v>99281.235</c:v>
                </c:pt>
                <c:pt idx="3664">
                  <c:v>99356.58535</c:v>
                </c:pt>
                <c:pt idx="3665">
                  <c:v>99406.6151</c:v>
                </c:pt>
                <c:pt idx="3666">
                  <c:v>99459.58425</c:v>
                </c:pt>
                <c:pt idx="3667">
                  <c:v>99541.10605</c:v>
                </c:pt>
                <c:pt idx="3668">
                  <c:v>99613.79785</c:v>
                </c:pt>
                <c:pt idx="3669">
                  <c:v>99665.4641</c:v>
                </c:pt>
                <c:pt idx="3670">
                  <c:v>99743.6754</c:v>
                </c:pt>
                <c:pt idx="3671">
                  <c:v>99817.5528</c:v>
                </c:pt>
                <c:pt idx="3672">
                  <c:v>99893.86735</c:v>
                </c:pt>
                <c:pt idx="3673">
                  <c:v>99987.0277</c:v>
                </c:pt>
                <c:pt idx="3674">
                  <c:v>100066.16165</c:v>
                </c:pt>
                <c:pt idx="3675">
                  <c:v>100143.03435</c:v>
                </c:pt>
                <c:pt idx="3676">
                  <c:v>100223.86275</c:v>
                </c:pt>
                <c:pt idx="3677">
                  <c:v>100292.5695</c:v>
                </c:pt>
                <c:pt idx="3678">
                  <c:v>100350.2901</c:v>
                </c:pt>
                <c:pt idx="3679">
                  <c:v>100402.51475</c:v>
                </c:pt>
                <c:pt idx="3680">
                  <c:v>100470.7755</c:v>
                </c:pt>
                <c:pt idx="3681">
                  <c:v>100544.7944</c:v>
                </c:pt>
                <c:pt idx="3682">
                  <c:v>100622.0368</c:v>
                </c:pt>
                <c:pt idx="3683">
                  <c:v>100709.9809</c:v>
                </c:pt>
                <c:pt idx="3684">
                  <c:v>100794.17925</c:v>
                </c:pt>
                <c:pt idx="3685">
                  <c:v>100861.99485</c:v>
                </c:pt>
                <c:pt idx="3686">
                  <c:v>100938.2495</c:v>
                </c:pt>
                <c:pt idx="3687">
                  <c:v>101012.1343</c:v>
                </c:pt>
                <c:pt idx="3688">
                  <c:v>101092.62945</c:v>
                </c:pt>
                <c:pt idx="3689">
                  <c:v>101147.299</c:v>
                </c:pt>
                <c:pt idx="3690">
                  <c:v>101212.56825</c:v>
                </c:pt>
                <c:pt idx="3691">
                  <c:v>101264.49535</c:v>
                </c:pt>
                <c:pt idx="3692">
                  <c:v>101327.57165</c:v>
                </c:pt>
                <c:pt idx="3693">
                  <c:v>101396.2662</c:v>
                </c:pt>
                <c:pt idx="3694">
                  <c:v>101467.06355</c:v>
                </c:pt>
                <c:pt idx="3695">
                  <c:v>101540.0681</c:v>
                </c:pt>
                <c:pt idx="3696">
                  <c:v>101614.5092</c:v>
                </c:pt>
                <c:pt idx="3697">
                  <c:v>101687.5352</c:v>
                </c:pt>
                <c:pt idx="3698">
                  <c:v>101760.0231</c:v>
                </c:pt>
                <c:pt idx="3699">
                  <c:v>101828.64995</c:v>
                </c:pt>
                <c:pt idx="3700">
                  <c:v>101905.6114</c:v>
                </c:pt>
                <c:pt idx="3701">
                  <c:v>101992.62065</c:v>
                </c:pt>
                <c:pt idx="3702">
                  <c:v>102088.99075</c:v>
                </c:pt>
                <c:pt idx="3703">
                  <c:v>102211.9668</c:v>
                </c:pt>
                <c:pt idx="3704">
                  <c:v>102348.88985</c:v>
                </c:pt>
                <c:pt idx="3705">
                  <c:v>102504.9016</c:v>
                </c:pt>
                <c:pt idx="3706">
                  <c:v>102658.68105</c:v>
                </c:pt>
                <c:pt idx="3707">
                  <c:v>102821.3552</c:v>
                </c:pt>
                <c:pt idx="3708">
                  <c:v>102973.6834</c:v>
                </c:pt>
                <c:pt idx="3709">
                  <c:v>103087.94595</c:v>
                </c:pt>
                <c:pt idx="3710">
                  <c:v>103235.5932</c:v>
                </c:pt>
                <c:pt idx="3711">
                  <c:v>103378.1054</c:v>
                </c:pt>
                <c:pt idx="3712">
                  <c:v>103501.4981</c:v>
                </c:pt>
                <c:pt idx="3713">
                  <c:v>103615.5718</c:v>
                </c:pt>
                <c:pt idx="3714">
                  <c:v>103741.87295</c:v>
                </c:pt>
                <c:pt idx="3715">
                  <c:v>103877.58035</c:v>
                </c:pt>
                <c:pt idx="3716">
                  <c:v>104019.2631</c:v>
                </c:pt>
                <c:pt idx="3717">
                  <c:v>104175.026</c:v>
                </c:pt>
                <c:pt idx="3718">
                  <c:v>104308.85925</c:v>
                </c:pt>
                <c:pt idx="3719">
                  <c:v>104451.55045</c:v>
                </c:pt>
                <c:pt idx="3720">
                  <c:v>104618.00865</c:v>
                </c:pt>
                <c:pt idx="3721">
                  <c:v>104768.44475</c:v>
                </c:pt>
                <c:pt idx="3722">
                  <c:v>104939.9873</c:v>
                </c:pt>
                <c:pt idx="3723">
                  <c:v>105130.28105</c:v>
                </c:pt>
                <c:pt idx="3724">
                  <c:v>105321.81605</c:v>
                </c:pt>
                <c:pt idx="3725">
                  <c:v>105520.61505</c:v>
                </c:pt>
                <c:pt idx="3726">
                  <c:v>105703.8292</c:v>
                </c:pt>
                <c:pt idx="3727">
                  <c:v>105906.51255</c:v>
                </c:pt>
                <c:pt idx="3728">
                  <c:v>106093.1725</c:v>
                </c:pt>
                <c:pt idx="3729">
                  <c:v>106290.6286</c:v>
                </c:pt>
                <c:pt idx="3730">
                  <c:v>106468.73645</c:v>
                </c:pt>
                <c:pt idx="3731">
                  <c:v>106596.01975</c:v>
                </c:pt>
                <c:pt idx="3732">
                  <c:v>106712.7248</c:v>
                </c:pt>
                <c:pt idx="3733">
                  <c:v>106853.43465</c:v>
                </c:pt>
                <c:pt idx="3734">
                  <c:v>106993.7174</c:v>
                </c:pt>
                <c:pt idx="3735">
                  <c:v>107137.1484</c:v>
                </c:pt>
                <c:pt idx="3736">
                  <c:v>107278.08485</c:v>
                </c:pt>
                <c:pt idx="3737">
                  <c:v>107407.17495</c:v>
                </c:pt>
                <c:pt idx="3738">
                  <c:v>107526.81985</c:v>
                </c:pt>
                <c:pt idx="3739">
                  <c:v>107637.01255</c:v>
                </c:pt>
                <c:pt idx="3740">
                  <c:v>107767.94605</c:v>
                </c:pt>
                <c:pt idx="3741">
                  <c:v>107904.9147</c:v>
                </c:pt>
                <c:pt idx="3742">
                  <c:v>108027.42525</c:v>
                </c:pt>
                <c:pt idx="3743">
                  <c:v>108147.8639</c:v>
                </c:pt>
                <c:pt idx="3744">
                  <c:v>108306.5903</c:v>
                </c:pt>
                <c:pt idx="3745">
                  <c:v>108466.1009</c:v>
                </c:pt>
                <c:pt idx="3746">
                  <c:v>108643.17375</c:v>
                </c:pt>
                <c:pt idx="3747">
                  <c:v>108802.94045</c:v>
                </c:pt>
                <c:pt idx="3748">
                  <c:v>108975.61405</c:v>
                </c:pt>
                <c:pt idx="3749">
                  <c:v>109123.24545</c:v>
                </c:pt>
                <c:pt idx="3750">
                  <c:v>109247.05105</c:v>
                </c:pt>
                <c:pt idx="3751">
                  <c:v>109369.9266</c:v>
                </c:pt>
                <c:pt idx="3752">
                  <c:v>109494.75115</c:v>
                </c:pt>
                <c:pt idx="3753">
                  <c:v>109626.8635</c:v>
                </c:pt>
                <c:pt idx="3754">
                  <c:v>109759.39995</c:v>
                </c:pt>
                <c:pt idx="3755">
                  <c:v>109867.38</c:v>
                </c:pt>
                <c:pt idx="3756">
                  <c:v>109952.3884</c:v>
                </c:pt>
                <c:pt idx="3757">
                  <c:v>110028.4727</c:v>
                </c:pt>
                <c:pt idx="3758">
                  <c:v>110119.946</c:v>
                </c:pt>
                <c:pt idx="3759">
                  <c:v>110189.5753</c:v>
                </c:pt>
                <c:pt idx="3760">
                  <c:v>110236.54055</c:v>
                </c:pt>
                <c:pt idx="3761">
                  <c:v>110277.0281</c:v>
                </c:pt>
                <c:pt idx="3762">
                  <c:v>110339.40075</c:v>
                </c:pt>
                <c:pt idx="3763">
                  <c:v>110396.21185</c:v>
                </c:pt>
                <c:pt idx="3764">
                  <c:v>110436.5533</c:v>
                </c:pt>
                <c:pt idx="3765">
                  <c:v>110477.37765</c:v>
                </c:pt>
                <c:pt idx="3766">
                  <c:v>110496.69675</c:v>
                </c:pt>
                <c:pt idx="3767">
                  <c:v>110499.48745</c:v>
                </c:pt>
                <c:pt idx="3768">
                  <c:v>110504.05155</c:v>
                </c:pt>
                <c:pt idx="3769">
                  <c:v>110497.41645</c:v>
                </c:pt>
                <c:pt idx="3770">
                  <c:v>110472.0459</c:v>
                </c:pt>
                <c:pt idx="3771">
                  <c:v>110453.6618</c:v>
                </c:pt>
                <c:pt idx="3772">
                  <c:v>110441.21735</c:v>
                </c:pt>
                <c:pt idx="3773">
                  <c:v>110403.6174</c:v>
                </c:pt>
                <c:pt idx="3774">
                  <c:v>110343.55155</c:v>
                </c:pt>
                <c:pt idx="3775">
                  <c:v>110283.92955</c:v>
                </c:pt>
                <c:pt idx="3776">
                  <c:v>110200.15835</c:v>
                </c:pt>
                <c:pt idx="3777">
                  <c:v>110125.12915</c:v>
                </c:pt>
                <c:pt idx="3778">
                  <c:v>110037.8538</c:v>
                </c:pt>
                <c:pt idx="3779">
                  <c:v>109970.34335</c:v>
                </c:pt>
                <c:pt idx="3780">
                  <c:v>109911.8123</c:v>
                </c:pt>
                <c:pt idx="3781">
                  <c:v>109845.7559</c:v>
                </c:pt>
                <c:pt idx="3782">
                  <c:v>109782.76275</c:v>
                </c:pt>
                <c:pt idx="3783">
                  <c:v>109701.06505</c:v>
                </c:pt>
                <c:pt idx="3784">
                  <c:v>109616.70615</c:v>
                </c:pt>
                <c:pt idx="3785">
                  <c:v>109558.56455</c:v>
                </c:pt>
                <c:pt idx="3786">
                  <c:v>109491.9474</c:v>
                </c:pt>
                <c:pt idx="3787">
                  <c:v>109425.63305</c:v>
                </c:pt>
                <c:pt idx="3788">
                  <c:v>109337.95275</c:v>
                </c:pt>
                <c:pt idx="3789">
                  <c:v>109236.85735</c:v>
                </c:pt>
                <c:pt idx="3790">
                  <c:v>109130.4218</c:v>
                </c:pt>
                <c:pt idx="3791">
                  <c:v>109045.4656</c:v>
                </c:pt>
                <c:pt idx="3792">
                  <c:v>108967.7134</c:v>
                </c:pt>
                <c:pt idx="3793">
                  <c:v>108878.44485</c:v>
                </c:pt>
                <c:pt idx="3794">
                  <c:v>108790.0462</c:v>
                </c:pt>
                <c:pt idx="3795">
                  <c:v>108696.9039</c:v>
                </c:pt>
                <c:pt idx="3796">
                  <c:v>108609.4375</c:v>
                </c:pt>
                <c:pt idx="3797">
                  <c:v>108523.87465</c:v>
                </c:pt>
                <c:pt idx="3798">
                  <c:v>108433.45835</c:v>
                </c:pt>
                <c:pt idx="3799">
                  <c:v>108348.22835</c:v>
                </c:pt>
                <c:pt idx="3800">
                  <c:v>108250.06035</c:v>
                </c:pt>
                <c:pt idx="3801">
                  <c:v>108147.2969</c:v>
                </c:pt>
                <c:pt idx="3802">
                  <c:v>108060.13825</c:v>
                </c:pt>
                <c:pt idx="3803">
                  <c:v>107977.9833</c:v>
                </c:pt>
                <c:pt idx="3804">
                  <c:v>107913.7123</c:v>
                </c:pt>
                <c:pt idx="3805">
                  <c:v>107835.9122</c:v>
                </c:pt>
                <c:pt idx="3806">
                  <c:v>107745.7908</c:v>
                </c:pt>
                <c:pt idx="3807">
                  <c:v>107654.4488</c:v>
                </c:pt>
                <c:pt idx="3808">
                  <c:v>107538.7398</c:v>
                </c:pt>
                <c:pt idx="3809">
                  <c:v>107423.64185</c:v>
                </c:pt>
                <c:pt idx="3810">
                  <c:v>107319.5183</c:v>
                </c:pt>
                <c:pt idx="3811">
                  <c:v>107231.06045</c:v>
                </c:pt>
                <c:pt idx="3812">
                  <c:v>107135.7431</c:v>
                </c:pt>
                <c:pt idx="3813">
                  <c:v>107049.3423</c:v>
                </c:pt>
                <c:pt idx="3814">
                  <c:v>106959.82605</c:v>
                </c:pt>
                <c:pt idx="3815">
                  <c:v>106868.77355</c:v>
                </c:pt>
                <c:pt idx="3816">
                  <c:v>106796.3814</c:v>
                </c:pt>
                <c:pt idx="3817">
                  <c:v>106728.5633</c:v>
                </c:pt>
                <c:pt idx="3818">
                  <c:v>106667.1657</c:v>
                </c:pt>
                <c:pt idx="3819">
                  <c:v>106620.0364</c:v>
                </c:pt>
                <c:pt idx="3820">
                  <c:v>106573.0962</c:v>
                </c:pt>
                <c:pt idx="3821">
                  <c:v>106525.00145</c:v>
                </c:pt>
                <c:pt idx="3822">
                  <c:v>106454.13715</c:v>
                </c:pt>
                <c:pt idx="3823">
                  <c:v>106375.8122</c:v>
                </c:pt>
                <c:pt idx="3824">
                  <c:v>106291.36065</c:v>
                </c:pt>
                <c:pt idx="3825">
                  <c:v>106213.9027</c:v>
                </c:pt>
                <c:pt idx="3826">
                  <c:v>106134.8057</c:v>
                </c:pt>
                <c:pt idx="3827">
                  <c:v>106074.1582</c:v>
                </c:pt>
                <c:pt idx="3828">
                  <c:v>106016.49055</c:v>
                </c:pt>
                <c:pt idx="3829">
                  <c:v>105958.47445</c:v>
                </c:pt>
                <c:pt idx="3830">
                  <c:v>105907.25435</c:v>
                </c:pt>
                <c:pt idx="3831">
                  <c:v>105837.8906</c:v>
                </c:pt>
                <c:pt idx="3832">
                  <c:v>105752.87015</c:v>
                </c:pt>
                <c:pt idx="3833">
                  <c:v>105675.5882</c:v>
                </c:pt>
                <c:pt idx="3834">
                  <c:v>105578.93505</c:v>
                </c:pt>
                <c:pt idx="3835">
                  <c:v>105482.5275</c:v>
                </c:pt>
                <c:pt idx="3836">
                  <c:v>105388.78995</c:v>
                </c:pt>
                <c:pt idx="3837">
                  <c:v>105290.8297</c:v>
                </c:pt>
                <c:pt idx="3838">
                  <c:v>105180.1911</c:v>
                </c:pt>
                <c:pt idx="3839">
                  <c:v>105034.92905</c:v>
                </c:pt>
                <c:pt idx="3840">
                  <c:v>104887.70065</c:v>
                </c:pt>
                <c:pt idx="3841">
                  <c:v>104746.8174</c:v>
                </c:pt>
                <c:pt idx="3842">
                  <c:v>104595.98315</c:v>
                </c:pt>
                <c:pt idx="3843">
                  <c:v>104416.3844</c:v>
                </c:pt>
                <c:pt idx="3844">
                  <c:v>104247.4063</c:v>
                </c:pt>
                <c:pt idx="3845">
                  <c:v>104047.6344</c:v>
                </c:pt>
                <c:pt idx="3846">
                  <c:v>103840.4226</c:v>
                </c:pt>
                <c:pt idx="3847">
                  <c:v>103644.99815</c:v>
                </c:pt>
                <c:pt idx="3848">
                  <c:v>103436.9972</c:v>
                </c:pt>
                <c:pt idx="3849">
                  <c:v>103214.70265</c:v>
                </c:pt>
                <c:pt idx="3850">
                  <c:v>102946.78865</c:v>
                </c:pt>
                <c:pt idx="3851">
                  <c:v>102696.33755</c:v>
                </c:pt>
                <c:pt idx="3852">
                  <c:v>102448.2853</c:v>
                </c:pt>
                <c:pt idx="3853">
                  <c:v>102208.6897</c:v>
                </c:pt>
                <c:pt idx="3854">
                  <c:v>101970.45735</c:v>
                </c:pt>
                <c:pt idx="3855">
                  <c:v>101726.7042</c:v>
                </c:pt>
                <c:pt idx="3856">
                  <c:v>101466.77225</c:v>
                </c:pt>
                <c:pt idx="3857">
                  <c:v>101206.42925</c:v>
                </c:pt>
                <c:pt idx="3858">
                  <c:v>100961.6132</c:v>
                </c:pt>
                <c:pt idx="3859">
                  <c:v>100721.4696</c:v>
                </c:pt>
                <c:pt idx="3860">
                  <c:v>100487.23255</c:v>
                </c:pt>
                <c:pt idx="3861">
                  <c:v>100265.0403</c:v>
                </c:pt>
                <c:pt idx="3862">
                  <c:v>100038.28345</c:v>
                </c:pt>
                <c:pt idx="3863">
                  <c:v>99799.8716</c:v>
                </c:pt>
                <c:pt idx="3864">
                  <c:v>99560.6838</c:v>
                </c:pt>
                <c:pt idx="3865">
                  <c:v>99329.54565</c:v>
                </c:pt>
                <c:pt idx="3866">
                  <c:v>99094.2489</c:v>
                </c:pt>
                <c:pt idx="3867">
                  <c:v>98837.86595</c:v>
                </c:pt>
                <c:pt idx="3868">
                  <c:v>98578.16695</c:v>
                </c:pt>
                <c:pt idx="3869">
                  <c:v>98317.15445</c:v>
                </c:pt>
                <c:pt idx="3870">
                  <c:v>98062.84895</c:v>
                </c:pt>
                <c:pt idx="3871">
                  <c:v>97804.68405</c:v>
                </c:pt>
                <c:pt idx="3872">
                  <c:v>97533.86815</c:v>
                </c:pt>
                <c:pt idx="3873">
                  <c:v>97250.4418</c:v>
                </c:pt>
                <c:pt idx="3874">
                  <c:v>96990.8643</c:v>
                </c:pt>
                <c:pt idx="3875">
                  <c:v>96748.7641</c:v>
                </c:pt>
                <c:pt idx="3876">
                  <c:v>96502.59975</c:v>
                </c:pt>
                <c:pt idx="3877">
                  <c:v>96279.04005</c:v>
                </c:pt>
                <c:pt idx="3878">
                  <c:v>96052.3837</c:v>
                </c:pt>
                <c:pt idx="3879">
                  <c:v>95829.85275</c:v>
                </c:pt>
                <c:pt idx="3880">
                  <c:v>95594.4421</c:v>
                </c:pt>
                <c:pt idx="3881">
                  <c:v>95362.3163</c:v>
                </c:pt>
                <c:pt idx="3882">
                  <c:v>95120.1756</c:v>
                </c:pt>
                <c:pt idx="3883">
                  <c:v>94892.496</c:v>
                </c:pt>
                <c:pt idx="3884">
                  <c:v>94676.1596</c:v>
                </c:pt>
                <c:pt idx="3885">
                  <c:v>94478.0236</c:v>
                </c:pt>
                <c:pt idx="3886">
                  <c:v>94273.27745</c:v>
                </c:pt>
                <c:pt idx="3887">
                  <c:v>94072.60405</c:v>
                </c:pt>
                <c:pt idx="3888">
                  <c:v>93874.49615</c:v>
                </c:pt>
                <c:pt idx="3889">
                  <c:v>93706.39725</c:v>
                </c:pt>
                <c:pt idx="3890">
                  <c:v>93531.48435</c:v>
                </c:pt>
                <c:pt idx="3891">
                  <c:v>93346.26935</c:v>
                </c:pt>
                <c:pt idx="3892">
                  <c:v>93149.36135</c:v>
                </c:pt>
                <c:pt idx="3893">
                  <c:v>92945.9266</c:v>
                </c:pt>
                <c:pt idx="3894">
                  <c:v>92729.13795</c:v>
                </c:pt>
                <c:pt idx="3895">
                  <c:v>92515.42255</c:v>
                </c:pt>
                <c:pt idx="3896">
                  <c:v>92316.60245</c:v>
                </c:pt>
                <c:pt idx="3897">
                  <c:v>92118.31665</c:v>
                </c:pt>
                <c:pt idx="3898">
                  <c:v>91919.0564</c:v>
                </c:pt>
                <c:pt idx="3899">
                  <c:v>91702.50455</c:v>
                </c:pt>
                <c:pt idx="3900">
                  <c:v>91476.70805</c:v>
                </c:pt>
                <c:pt idx="3901">
                  <c:v>91238.7484</c:v>
                </c:pt>
                <c:pt idx="3902">
                  <c:v>90990.36235</c:v>
                </c:pt>
                <c:pt idx="3903">
                  <c:v>90743.25105</c:v>
                </c:pt>
                <c:pt idx="3904">
                  <c:v>90504.0791</c:v>
                </c:pt>
                <c:pt idx="3905">
                  <c:v>90268.0117</c:v>
                </c:pt>
                <c:pt idx="3906">
                  <c:v>90025.90625</c:v>
                </c:pt>
                <c:pt idx="3907">
                  <c:v>89776.301</c:v>
                </c:pt>
                <c:pt idx="3908">
                  <c:v>89530.2998</c:v>
                </c:pt>
                <c:pt idx="3909">
                  <c:v>89291.1051</c:v>
                </c:pt>
                <c:pt idx="3910">
                  <c:v>89057.19765</c:v>
                </c:pt>
                <c:pt idx="3911">
                  <c:v>88837.79585</c:v>
                </c:pt>
                <c:pt idx="3912">
                  <c:v>88616.4644</c:v>
                </c:pt>
                <c:pt idx="3913">
                  <c:v>88411.7751</c:v>
                </c:pt>
                <c:pt idx="3914">
                  <c:v>88216.21535</c:v>
                </c:pt>
                <c:pt idx="3915">
                  <c:v>88014.46445</c:v>
                </c:pt>
                <c:pt idx="3916">
                  <c:v>87822.59215</c:v>
                </c:pt>
                <c:pt idx="3917">
                  <c:v>87646.6312</c:v>
                </c:pt>
                <c:pt idx="3918">
                  <c:v>87470.15545</c:v>
                </c:pt>
                <c:pt idx="3919">
                  <c:v>87282.7922</c:v>
                </c:pt>
                <c:pt idx="3920">
                  <c:v>87086.59045</c:v>
                </c:pt>
                <c:pt idx="3921">
                  <c:v>86894.936</c:v>
                </c:pt>
                <c:pt idx="3922">
                  <c:v>86670.75185</c:v>
                </c:pt>
                <c:pt idx="3923">
                  <c:v>86438.65245</c:v>
                </c:pt>
                <c:pt idx="3924">
                  <c:v>86206.33375</c:v>
                </c:pt>
                <c:pt idx="3925">
                  <c:v>85976.21105</c:v>
                </c:pt>
                <c:pt idx="3926">
                  <c:v>85750.6889</c:v>
                </c:pt>
                <c:pt idx="3927">
                  <c:v>85518.4939</c:v>
                </c:pt>
                <c:pt idx="3928">
                  <c:v>85298.9742</c:v>
                </c:pt>
                <c:pt idx="3929">
                  <c:v>85070.5105</c:v>
                </c:pt>
                <c:pt idx="3930">
                  <c:v>84856.02995</c:v>
                </c:pt>
                <c:pt idx="3931">
                  <c:v>84677.6409</c:v>
                </c:pt>
                <c:pt idx="3932">
                  <c:v>84505.6064</c:v>
                </c:pt>
                <c:pt idx="3933">
                  <c:v>84309.2385</c:v>
                </c:pt>
                <c:pt idx="3934">
                  <c:v>84115.07875</c:v>
                </c:pt>
                <c:pt idx="3935">
                  <c:v>83941.16455</c:v>
                </c:pt>
                <c:pt idx="3936">
                  <c:v>83780.66925</c:v>
                </c:pt>
                <c:pt idx="3937">
                  <c:v>83632.1608</c:v>
                </c:pt>
                <c:pt idx="3938">
                  <c:v>83499.47525</c:v>
                </c:pt>
                <c:pt idx="3939">
                  <c:v>83368.572</c:v>
                </c:pt>
                <c:pt idx="3940">
                  <c:v>83232.57065</c:v>
                </c:pt>
                <c:pt idx="3941">
                  <c:v>83079.96635</c:v>
                </c:pt>
                <c:pt idx="3942">
                  <c:v>82938.90635</c:v>
                </c:pt>
                <c:pt idx="3943">
                  <c:v>82804.20455</c:v>
                </c:pt>
                <c:pt idx="3944">
                  <c:v>82664.1433</c:v>
                </c:pt>
                <c:pt idx="3945">
                  <c:v>82517.6039</c:v>
                </c:pt>
                <c:pt idx="3946">
                  <c:v>82361.3467</c:v>
                </c:pt>
                <c:pt idx="3947">
                  <c:v>82185.4644</c:v>
                </c:pt>
                <c:pt idx="3948">
                  <c:v>82010.741</c:v>
                </c:pt>
                <c:pt idx="3949">
                  <c:v>81841.33725</c:v>
                </c:pt>
                <c:pt idx="3950">
                  <c:v>81682.0945</c:v>
                </c:pt>
                <c:pt idx="3951">
                  <c:v>81526.899</c:v>
                </c:pt>
                <c:pt idx="3952">
                  <c:v>81363.88335</c:v>
                </c:pt>
                <c:pt idx="3953">
                  <c:v>81197.61825</c:v>
                </c:pt>
                <c:pt idx="3954">
                  <c:v>81032.41125</c:v>
                </c:pt>
                <c:pt idx="3955">
                  <c:v>80886.87665</c:v>
                </c:pt>
                <c:pt idx="3956">
                  <c:v>80756.9281</c:v>
                </c:pt>
                <c:pt idx="3957">
                  <c:v>80638.6088</c:v>
                </c:pt>
                <c:pt idx="3958">
                  <c:v>80506.6397</c:v>
                </c:pt>
                <c:pt idx="3959">
                  <c:v>80385.3842</c:v>
                </c:pt>
                <c:pt idx="3960">
                  <c:v>80250.1461</c:v>
                </c:pt>
                <c:pt idx="3961">
                  <c:v>80113.06745</c:v>
                </c:pt>
                <c:pt idx="3962">
                  <c:v>79950.7105</c:v>
                </c:pt>
                <c:pt idx="3963">
                  <c:v>79789.8425</c:v>
                </c:pt>
                <c:pt idx="3964">
                  <c:v>79644.9594</c:v>
                </c:pt>
                <c:pt idx="3965">
                  <c:v>79503.67395</c:v>
                </c:pt>
                <c:pt idx="3966">
                  <c:v>79365.46015</c:v>
                </c:pt>
                <c:pt idx="3967">
                  <c:v>79224.6191</c:v>
                </c:pt>
                <c:pt idx="3968">
                  <c:v>79070.42825</c:v>
                </c:pt>
                <c:pt idx="3969">
                  <c:v>78913.15175</c:v>
                </c:pt>
                <c:pt idx="3970">
                  <c:v>78760.23485</c:v>
                </c:pt>
                <c:pt idx="3971">
                  <c:v>78603.7205</c:v>
                </c:pt>
                <c:pt idx="3972">
                  <c:v>78460.8861</c:v>
                </c:pt>
                <c:pt idx="3973">
                  <c:v>78340.0654</c:v>
                </c:pt>
                <c:pt idx="3974">
                  <c:v>78224.6951</c:v>
                </c:pt>
                <c:pt idx="3975">
                  <c:v>78106.8756</c:v>
                </c:pt>
                <c:pt idx="3976">
                  <c:v>77991.79295</c:v>
                </c:pt>
                <c:pt idx="3977">
                  <c:v>77869.66215</c:v>
                </c:pt>
                <c:pt idx="3978">
                  <c:v>77754.70165</c:v>
                </c:pt>
                <c:pt idx="3979">
                  <c:v>77629.5492</c:v>
                </c:pt>
                <c:pt idx="3980">
                  <c:v>77505.2389</c:v>
                </c:pt>
                <c:pt idx="3981">
                  <c:v>77379.03565</c:v>
                </c:pt>
                <c:pt idx="3982">
                  <c:v>77246.9517</c:v>
                </c:pt>
                <c:pt idx="3983">
                  <c:v>77123.9808</c:v>
                </c:pt>
                <c:pt idx="3984">
                  <c:v>77008.45335</c:v>
                </c:pt>
                <c:pt idx="3985">
                  <c:v>76871.6896</c:v>
                </c:pt>
                <c:pt idx="3986">
                  <c:v>76722.5453</c:v>
                </c:pt>
                <c:pt idx="3987">
                  <c:v>76580.4433</c:v>
                </c:pt>
                <c:pt idx="3988">
                  <c:v>76447.15735</c:v>
                </c:pt>
                <c:pt idx="3989">
                  <c:v>76304.50505</c:v>
                </c:pt>
                <c:pt idx="3990">
                  <c:v>76151.2217</c:v>
                </c:pt>
                <c:pt idx="3991">
                  <c:v>75999.50905</c:v>
                </c:pt>
                <c:pt idx="3992">
                  <c:v>75838.1145</c:v>
                </c:pt>
                <c:pt idx="3993">
                  <c:v>75678.9749</c:v>
                </c:pt>
                <c:pt idx="3994">
                  <c:v>75520.6924</c:v>
                </c:pt>
                <c:pt idx="3995">
                  <c:v>75361.8722</c:v>
                </c:pt>
                <c:pt idx="3996">
                  <c:v>75209.65205</c:v>
                </c:pt>
                <c:pt idx="3997">
                  <c:v>75074.46355</c:v>
                </c:pt>
                <c:pt idx="3998">
                  <c:v>74957.4035</c:v>
                </c:pt>
                <c:pt idx="3999">
                  <c:v>74834.5396</c:v>
                </c:pt>
                <c:pt idx="4000">
                  <c:v>74722.10325</c:v>
                </c:pt>
                <c:pt idx="4001">
                  <c:v>74615.24205</c:v>
                </c:pt>
                <c:pt idx="4002">
                  <c:v>74492.00155</c:v>
                </c:pt>
                <c:pt idx="4003">
                  <c:v>74361.23175</c:v>
                </c:pt>
                <c:pt idx="4004">
                  <c:v>74233.43265</c:v>
                </c:pt>
                <c:pt idx="4005">
                  <c:v>74109.52785</c:v>
                </c:pt>
                <c:pt idx="4006">
                  <c:v>73990.7093</c:v>
                </c:pt>
                <c:pt idx="4007">
                  <c:v>73872.17535</c:v>
                </c:pt>
                <c:pt idx="4008">
                  <c:v>73747.54505</c:v>
                </c:pt>
                <c:pt idx="4009">
                  <c:v>73635.9805</c:v>
                </c:pt>
                <c:pt idx="4010">
                  <c:v>73520.53505</c:v>
                </c:pt>
                <c:pt idx="4011">
                  <c:v>73399.12155</c:v>
                </c:pt>
                <c:pt idx="4012">
                  <c:v>73283.3463</c:v>
                </c:pt>
                <c:pt idx="4013">
                  <c:v>73166.3888</c:v>
                </c:pt>
                <c:pt idx="4014">
                  <c:v>73050.7647</c:v>
                </c:pt>
                <c:pt idx="4015">
                  <c:v>72933.3068</c:v>
                </c:pt>
                <c:pt idx="4016">
                  <c:v>72815.5154</c:v>
                </c:pt>
                <c:pt idx="4017">
                  <c:v>72689.07385</c:v>
                </c:pt>
                <c:pt idx="4018">
                  <c:v>72552.1169</c:v>
                </c:pt>
                <c:pt idx="4019">
                  <c:v>72403.1991</c:v>
                </c:pt>
                <c:pt idx="4020">
                  <c:v>72260.93865</c:v>
                </c:pt>
                <c:pt idx="4021">
                  <c:v>72130.2656</c:v>
                </c:pt>
                <c:pt idx="4022">
                  <c:v>71992.49635</c:v>
                </c:pt>
                <c:pt idx="4023">
                  <c:v>71859.8443</c:v>
                </c:pt>
                <c:pt idx="4024">
                  <c:v>71726.7755</c:v>
                </c:pt>
                <c:pt idx="4025">
                  <c:v>71593.1738</c:v>
                </c:pt>
                <c:pt idx="4026">
                  <c:v>71451.1371</c:v>
                </c:pt>
                <c:pt idx="4027">
                  <c:v>71289.1986</c:v>
                </c:pt>
                <c:pt idx="4028">
                  <c:v>71122.1537</c:v>
                </c:pt>
                <c:pt idx="4029">
                  <c:v>70961.81895</c:v>
                </c:pt>
                <c:pt idx="4030">
                  <c:v>70804.5971</c:v>
                </c:pt>
                <c:pt idx="4031">
                  <c:v>70652.2965</c:v>
                </c:pt>
                <c:pt idx="4032">
                  <c:v>70510.632</c:v>
                </c:pt>
                <c:pt idx="4033">
                  <c:v>70372.15765</c:v>
                </c:pt>
                <c:pt idx="4034">
                  <c:v>70252.12815</c:v>
                </c:pt>
                <c:pt idx="4035">
                  <c:v>70126.7233</c:v>
                </c:pt>
                <c:pt idx="4036">
                  <c:v>69998.49295</c:v>
                </c:pt>
                <c:pt idx="4037">
                  <c:v>69869.3054</c:v>
                </c:pt>
                <c:pt idx="4038">
                  <c:v>69740.5422</c:v>
                </c:pt>
                <c:pt idx="4039">
                  <c:v>69622.5868</c:v>
                </c:pt>
                <c:pt idx="4040">
                  <c:v>69496.74655</c:v>
                </c:pt>
                <c:pt idx="4041">
                  <c:v>69365.2616</c:v>
                </c:pt>
                <c:pt idx="4042">
                  <c:v>69234.73915</c:v>
                </c:pt>
                <c:pt idx="4043">
                  <c:v>69137.13895</c:v>
                </c:pt>
                <c:pt idx="4044">
                  <c:v>69040.33585</c:v>
                </c:pt>
                <c:pt idx="4045">
                  <c:v>68994.13735</c:v>
                </c:pt>
                <c:pt idx="4046">
                  <c:v>68970.41555</c:v>
                </c:pt>
                <c:pt idx="4047">
                  <c:v>68966.3579</c:v>
                </c:pt>
                <c:pt idx="4048">
                  <c:v>68970.37665</c:v>
                </c:pt>
                <c:pt idx="4049">
                  <c:v>68994.29615</c:v>
                </c:pt>
                <c:pt idx="4050">
                  <c:v>69069.97315</c:v>
                </c:pt>
                <c:pt idx="4051">
                  <c:v>69112.8469</c:v>
                </c:pt>
                <c:pt idx="4052">
                  <c:v>69161.6566</c:v>
                </c:pt>
                <c:pt idx="4053">
                  <c:v>69210.31505</c:v>
                </c:pt>
                <c:pt idx="4054">
                  <c:v>69249.5743</c:v>
                </c:pt>
                <c:pt idx="4055">
                  <c:v>69294.5543</c:v>
                </c:pt>
                <c:pt idx="4056">
                  <c:v>69345.94855</c:v>
                </c:pt>
                <c:pt idx="4057">
                  <c:v>69408.9537</c:v>
                </c:pt>
                <c:pt idx="4058">
                  <c:v>69451.06605</c:v>
                </c:pt>
                <c:pt idx="4059">
                  <c:v>69488.71005</c:v>
                </c:pt>
                <c:pt idx="4060">
                  <c:v>69549.7874</c:v>
                </c:pt>
                <c:pt idx="4061">
                  <c:v>69604.02875</c:v>
                </c:pt>
                <c:pt idx="4062">
                  <c:v>69667.4681</c:v>
                </c:pt>
                <c:pt idx="4063">
                  <c:v>69736.3466</c:v>
                </c:pt>
                <c:pt idx="4064">
                  <c:v>69795.6113</c:v>
                </c:pt>
                <c:pt idx="4065">
                  <c:v>69848.92925</c:v>
                </c:pt>
                <c:pt idx="4066">
                  <c:v>69900.5998</c:v>
                </c:pt>
                <c:pt idx="4067">
                  <c:v>69952.72975</c:v>
                </c:pt>
                <c:pt idx="4068">
                  <c:v>70015.3923</c:v>
                </c:pt>
                <c:pt idx="4069">
                  <c:v>70080.2959</c:v>
                </c:pt>
                <c:pt idx="4070">
                  <c:v>70122.07915</c:v>
                </c:pt>
                <c:pt idx="4071">
                  <c:v>70177.73675</c:v>
                </c:pt>
                <c:pt idx="4072">
                  <c:v>70226.2672</c:v>
                </c:pt>
                <c:pt idx="4073">
                  <c:v>70273.9086</c:v>
                </c:pt>
                <c:pt idx="4074">
                  <c:v>70323.36915</c:v>
                </c:pt>
                <c:pt idx="4075">
                  <c:v>70382.50455</c:v>
                </c:pt>
                <c:pt idx="4076">
                  <c:v>70447.3205</c:v>
                </c:pt>
                <c:pt idx="4077">
                  <c:v>70489.70405</c:v>
                </c:pt>
                <c:pt idx="4078">
                  <c:v>70566.9103</c:v>
                </c:pt>
                <c:pt idx="4079">
                  <c:v>70656.4102</c:v>
                </c:pt>
                <c:pt idx="4080">
                  <c:v>70742.7057</c:v>
                </c:pt>
                <c:pt idx="4081">
                  <c:v>70834.7838</c:v>
                </c:pt>
                <c:pt idx="4082">
                  <c:v>70912.62145</c:v>
                </c:pt>
                <c:pt idx="4083">
                  <c:v>70985.0685</c:v>
                </c:pt>
                <c:pt idx="4084">
                  <c:v>71056.78445</c:v>
                </c:pt>
                <c:pt idx="4085">
                  <c:v>71121.7169</c:v>
                </c:pt>
                <c:pt idx="4086">
                  <c:v>71185.7065</c:v>
                </c:pt>
                <c:pt idx="4087">
                  <c:v>71247.5264</c:v>
                </c:pt>
                <c:pt idx="4088">
                  <c:v>71306.55825</c:v>
                </c:pt>
                <c:pt idx="4089">
                  <c:v>71355.15825</c:v>
                </c:pt>
                <c:pt idx="4090">
                  <c:v>71410.00005</c:v>
                </c:pt>
                <c:pt idx="4091">
                  <c:v>71486.0937</c:v>
                </c:pt>
                <c:pt idx="4092">
                  <c:v>71565.9022</c:v>
                </c:pt>
                <c:pt idx="4093">
                  <c:v>71640.5927</c:v>
                </c:pt>
                <c:pt idx="4094">
                  <c:v>71714.79675</c:v>
                </c:pt>
                <c:pt idx="4095">
                  <c:v>71783.19415</c:v>
                </c:pt>
                <c:pt idx="4096">
                  <c:v>71841.38065</c:v>
                </c:pt>
                <c:pt idx="4097">
                  <c:v>71903.2348</c:v>
                </c:pt>
                <c:pt idx="4098">
                  <c:v>71965.2648</c:v>
                </c:pt>
                <c:pt idx="4099">
                  <c:v>72030.3677</c:v>
                </c:pt>
                <c:pt idx="4100">
                  <c:v>72114.2171</c:v>
                </c:pt>
                <c:pt idx="4101">
                  <c:v>72190.72715</c:v>
                </c:pt>
                <c:pt idx="4102">
                  <c:v>72272.1144</c:v>
                </c:pt>
                <c:pt idx="4103">
                  <c:v>72346.0708</c:v>
                </c:pt>
                <c:pt idx="4104">
                  <c:v>72411.95345</c:v>
                </c:pt>
                <c:pt idx="4105">
                  <c:v>72481.33885</c:v>
                </c:pt>
                <c:pt idx="4106">
                  <c:v>72555.56065</c:v>
                </c:pt>
                <c:pt idx="4107">
                  <c:v>72635.25465</c:v>
                </c:pt>
                <c:pt idx="4108">
                  <c:v>72719.50165</c:v>
                </c:pt>
                <c:pt idx="4109">
                  <c:v>72779.2345</c:v>
                </c:pt>
                <c:pt idx="4110">
                  <c:v>72839.8227</c:v>
                </c:pt>
                <c:pt idx="4111">
                  <c:v>72883.8697</c:v>
                </c:pt>
                <c:pt idx="4112">
                  <c:v>72928.36175</c:v>
                </c:pt>
                <c:pt idx="4113">
                  <c:v>72969.65025</c:v>
                </c:pt>
              </c:numCache>
            </c:numRef>
          </c:yVal>
          <c:smooth val="0"/>
        </c:ser>
        <c:axId val="36117669"/>
        <c:axId val="4160088"/>
      </c:scatterChart>
      <c:valAx>
        <c:axId val="36117669"/>
        <c:scaling>
          <c:orientation val="minMax"/>
          <c:max val="46388"/>
          <c:min val="41822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160088"/>
        <c:crosses val="autoZero"/>
        <c:crossBetween val="midCat"/>
        <c:majorUnit val="365.25"/>
      </c:valAx>
      <c:valAx>
        <c:axId val="4160088"/>
        <c:scaling>
          <c:logBase val="10"/>
          <c:orientation val="minMax"/>
          <c:max val="1000000"/>
          <c:min val="10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Price (US$, logarithmic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611766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50" spc="-1" strike="noStrike">
                <a:solidFill>
                  <a:srgbClr val="000000"/>
                </a:solidFill>
                <a:latin typeface="Arial"/>
              </a:defRPr>
            </a:pPr>
            <a:r>
              <a:rPr b="1" sz="1050" spc="-1" strike="noStrike">
                <a:solidFill>
                  <a:srgbClr val="000000"/>
                </a:solidFill>
                <a:latin typeface="Arial"/>
              </a:rPr>
              <a:t>Figure 2: Average annual Bitcoin price, 2014-2026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Obj1_Value!E27</c:f>
              <c:strCache>
                <c:ptCount val="1"/>
                <c:pt idx="0">
                  <c:v>Average price (US$)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Obj1_Value!$A$28:$A$40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Obj1_Value!$E$28:$E$40</c:f>
              <c:numCache>
                <c:formatCode>\$#,##0.00</c:formatCode>
                <c:ptCount val="13"/>
                <c:pt idx="0">
                  <c:v>367.4</c:v>
                </c:pt>
                <c:pt idx="1">
                  <c:v>272.860509915014</c:v>
                </c:pt>
                <c:pt idx="2">
                  <c:v>568.527650273224</c:v>
                </c:pt>
                <c:pt idx="3">
                  <c:v>4004.89978082192</c:v>
                </c:pt>
                <c:pt idx="4">
                  <c:v>7520.46630136986</c:v>
                </c:pt>
                <c:pt idx="5">
                  <c:v>7365.94690410959</c:v>
                </c:pt>
                <c:pt idx="6">
                  <c:v>11121.4672328767</c:v>
                </c:pt>
                <c:pt idx="7">
                  <c:v>47440.6376164384</c:v>
                </c:pt>
                <c:pt idx="8">
                  <c:v>28183.6500273973</c:v>
                </c:pt>
                <c:pt idx="9">
                  <c:v>28858.0150958904</c:v>
                </c:pt>
                <c:pt idx="10">
                  <c:v>66075.0754371585</c:v>
                </c:pt>
                <c:pt idx="11">
                  <c:v>101648.724630137</c:v>
                </c:pt>
                <c:pt idx="12">
                  <c:v>73930.701638796</c:v>
                </c:pt>
              </c:numCache>
            </c:numRef>
          </c:val>
        </c:ser>
        <c:gapWidth val="60"/>
        <c:overlap val="0"/>
        <c:axId val="59202915"/>
        <c:axId val="57309411"/>
      </c:barChart>
      <c:catAx>
        <c:axId val="592029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7309411"/>
        <c:crosses val="autoZero"/>
        <c:auto val="1"/>
        <c:lblAlgn val="ctr"/>
        <c:lblOffset val="100"/>
        <c:noMultiLvlLbl val="0"/>
      </c:catAx>
      <c:valAx>
        <c:axId val="5730941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Average price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92029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50" spc="-1" strike="noStrike">
                <a:solidFill>
                  <a:srgbClr val="000000"/>
                </a:solidFill>
                <a:latin typeface="Arial"/>
              </a:defRPr>
            </a:pPr>
            <a:r>
              <a:rPr b="1" sz="1050" spc="-1" strike="noStrike">
                <a:solidFill>
                  <a:srgbClr val="000000"/>
                </a:solidFill>
                <a:latin typeface="Arial"/>
              </a:rPr>
              <a:t>Figure 3: Bitcoin calendar-year returns, 2015-2026 (2026 year-to-date)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Obj1_Value!$A$29:$A$40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Obj1_Value!$I$29:$I$40</c:f>
              <c:numCache>
                <c:formatCode>0.0%</c:formatCode>
                <c:ptCount val="12"/>
                <c:pt idx="0">
                  <c:v>0.265735294117647</c:v>
                </c:pt>
                <c:pt idx="1">
                  <c:v>1.26181015452539</c:v>
                </c:pt>
                <c:pt idx="2">
                  <c:v>13.242405251857</c:v>
                </c:pt>
                <c:pt idx="3">
                  <c:v>-0.733692174855173</c:v>
                </c:pt>
                <c:pt idx="4">
                  <c:v>0.938862795447281</c:v>
                </c:pt>
                <c:pt idx="5">
                  <c:v>3.05517315566757</c:v>
                </c:pt>
                <c:pt idx="6">
                  <c:v>0.593160774273029</c:v>
                </c:pt>
                <c:pt idx="7">
                  <c:v>-0.642531467978012</c:v>
                </c:pt>
                <c:pt idx="8">
                  <c:v>1.55887605105559</c:v>
                </c:pt>
                <c:pt idx="9">
                  <c:v>1.23124940012926</c:v>
                </c:pt>
                <c:pt idx="10">
                  <c:v>-0.0708554315427078</c:v>
                </c:pt>
                <c:pt idx="11">
                  <c:v>-0.0871142355409598</c:v>
                </c:pt>
              </c:numCache>
            </c:numRef>
          </c:val>
        </c:ser>
        <c:gapWidth val="60"/>
        <c:overlap val="0"/>
        <c:axId val="7830963"/>
        <c:axId val="74718280"/>
      </c:barChart>
      <c:catAx>
        <c:axId val="78309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4718280"/>
        <c:crosses val="autoZero"/>
        <c:auto val="1"/>
        <c:lblAlgn val="ctr"/>
        <c:lblOffset val="100"/>
        <c:noMultiLvlLbl val="0"/>
      </c:catAx>
      <c:valAx>
        <c:axId val="74718280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Annual return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8309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50" spc="-1" strike="noStrike">
                <a:solidFill>
                  <a:srgbClr val="000000"/>
                </a:solidFill>
                <a:latin typeface="Arial"/>
              </a:defRPr>
            </a:pPr>
            <a:r>
              <a:rPr b="1" sz="1050" spc="-1" strike="noStrike">
                <a:solidFill>
                  <a:srgbClr val="000000"/>
                </a:solidFill>
                <a:latin typeface="Arial"/>
              </a:rPr>
              <a:t>Figure 4: Annualised volatility of Bitcoin daily returns by year, 2015-2026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Obj2_Volatility!$A$36:$A$47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Obj2_Volatility!$E$36:$E$47</c:f>
              <c:numCache>
                <c:formatCode>0.0%</c:formatCode>
                <c:ptCount val="12"/>
                <c:pt idx="0">
                  <c:v>0.571771896878321</c:v>
                </c:pt>
                <c:pt idx="1">
                  <c:v>0.498781296202321</c:v>
                </c:pt>
                <c:pt idx="2">
                  <c:v>0.931440575977634</c:v>
                </c:pt>
                <c:pt idx="3">
                  <c:v>0.837178879166633</c:v>
                </c:pt>
                <c:pt idx="4">
                  <c:v>0.704365894347834</c:v>
                </c:pt>
                <c:pt idx="5">
                  <c:v>0.792671479328381</c:v>
                </c:pt>
                <c:pt idx="6">
                  <c:v>0.805498753726479</c:v>
                </c:pt>
                <c:pt idx="7">
                  <c:v>0.644658651506153</c:v>
                </c:pt>
                <c:pt idx="8">
                  <c:v>0.437918775374223</c:v>
                </c:pt>
                <c:pt idx="9">
                  <c:v>0.529544450498059</c:v>
                </c:pt>
                <c:pt idx="10">
                  <c:v>0.419018131586984</c:v>
                </c:pt>
                <c:pt idx="11">
                  <c:v>0.424134036721335</c:v>
                </c:pt>
              </c:numCache>
            </c:numRef>
          </c:val>
        </c:ser>
        <c:gapWidth val="60"/>
        <c:overlap val="0"/>
        <c:axId val="15106183"/>
        <c:axId val="22531655"/>
      </c:barChart>
      <c:catAx>
        <c:axId val="151061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2531655"/>
        <c:crosses val="autoZero"/>
        <c:auto val="1"/>
        <c:lblAlgn val="ctr"/>
        <c:lblOffset val="100"/>
        <c:noMultiLvlLbl val="0"/>
      </c:catAx>
      <c:valAx>
        <c:axId val="22531655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Annualised volatility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51061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50" spc="-1" strike="noStrike">
                <a:solidFill>
                  <a:srgbClr val="000000"/>
                </a:solidFill>
                <a:latin typeface="Arial"/>
              </a:defRPr>
            </a:pPr>
            <a:r>
              <a:rPr b="1" sz="1050" spc="-1" strike="noStrike">
                <a:solidFill>
                  <a:srgbClr val="000000"/>
                </a:solidFill>
                <a:latin typeface="Arial"/>
              </a:rPr>
              <a:t>Figure 5: 30-day rolling annualised volatility of Bitcoin, 2015-2026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"30-day rolling volatility"</c:f>
              <c:strCache>
                <c:ptCount val="1"/>
                <c:pt idx="0">
                  <c:v>30-day rolling volatility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Clean_Data!$A$36:$A$4314</c:f>
              <c:numCache>
                <c:formatCode>dd\-mmm\-yyyy</c:formatCode>
                <c:ptCount val="4279"/>
                <c:pt idx="0">
                  <c:v>42042</c:v>
                </c:pt>
                <c:pt idx="1">
                  <c:v>42043</c:v>
                </c:pt>
                <c:pt idx="2">
                  <c:v>42044</c:v>
                </c:pt>
                <c:pt idx="3">
                  <c:v>42045</c:v>
                </c:pt>
                <c:pt idx="4">
                  <c:v>42046</c:v>
                </c:pt>
                <c:pt idx="5">
                  <c:v>42047</c:v>
                </c:pt>
                <c:pt idx="6">
                  <c:v>42048</c:v>
                </c:pt>
                <c:pt idx="7">
                  <c:v>42049</c:v>
                </c:pt>
                <c:pt idx="8">
                  <c:v>42050</c:v>
                </c:pt>
                <c:pt idx="9">
                  <c:v>42051</c:v>
                </c:pt>
                <c:pt idx="10">
                  <c:v>42052</c:v>
                </c:pt>
                <c:pt idx="11">
                  <c:v>42053</c:v>
                </c:pt>
                <c:pt idx="12">
                  <c:v>42054</c:v>
                </c:pt>
                <c:pt idx="13">
                  <c:v>42055</c:v>
                </c:pt>
                <c:pt idx="14">
                  <c:v>42056</c:v>
                </c:pt>
                <c:pt idx="15">
                  <c:v>42057</c:v>
                </c:pt>
                <c:pt idx="16">
                  <c:v>42058</c:v>
                </c:pt>
                <c:pt idx="17">
                  <c:v>42059</c:v>
                </c:pt>
                <c:pt idx="18">
                  <c:v>42060</c:v>
                </c:pt>
                <c:pt idx="19">
                  <c:v>42061</c:v>
                </c:pt>
                <c:pt idx="20">
                  <c:v>42062</c:v>
                </c:pt>
                <c:pt idx="21">
                  <c:v>42063</c:v>
                </c:pt>
                <c:pt idx="22">
                  <c:v>42064</c:v>
                </c:pt>
                <c:pt idx="23">
                  <c:v>42065</c:v>
                </c:pt>
                <c:pt idx="24">
                  <c:v>42066</c:v>
                </c:pt>
                <c:pt idx="25">
                  <c:v>42067</c:v>
                </c:pt>
                <c:pt idx="26">
                  <c:v>42068</c:v>
                </c:pt>
                <c:pt idx="27">
                  <c:v>42069</c:v>
                </c:pt>
                <c:pt idx="28">
                  <c:v>42070</c:v>
                </c:pt>
                <c:pt idx="29">
                  <c:v>42071</c:v>
                </c:pt>
                <c:pt idx="30">
                  <c:v>42072</c:v>
                </c:pt>
                <c:pt idx="31">
                  <c:v>42073</c:v>
                </c:pt>
                <c:pt idx="32">
                  <c:v>42074</c:v>
                </c:pt>
                <c:pt idx="33">
                  <c:v>42075</c:v>
                </c:pt>
                <c:pt idx="34">
                  <c:v>42076</c:v>
                </c:pt>
                <c:pt idx="35">
                  <c:v>42077</c:v>
                </c:pt>
                <c:pt idx="36">
                  <c:v>42078</c:v>
                </c:pt>
                <c:pt idx="37">
                  <c:v>42079</c:v>
                </c:pt>
                <c:pt idx="38">
                  <c:v>42080</c:v>
                </c:pt>
                <c:pt idx="39">
                  <c:v>42081</c:v>
                </c:pt>
                <c:pt idx="40">
                  <c:v>42082</c:v>
                </c:pt>
                <c:pt idx="41">
                  <c:v>42083</c:v>
                </c:pt>
                <c:pt idx="42">
                  <c:v>42084</c:v>
                </c:pt>
                <c:pt idx="43">
                  <c:v>42085</c:v>
                </c:pt>
                <c:pt idx="44">
                  <c:v>42086</c:v>
                </c:pt>
                <c:pt idx="45">
                  <c:v>42087</c:v>
                </c:pt>
                <c:pt idx="46">
                  <c:v>42088</c:v>
                </c:pt>
                <c:pt idx="47">
                  <c:v>42089</c:v>
                </c:pt>
                <c:pt idx="48">
                  <c:v>42090</c:v>
                </c:pt>
                <c:pt idx="49">
                  <c:v>42091</c:v>
                </c:pt>
                <c:pt idx="50">
                  <c:v>42092</c:v>
                </c:pt>
                <c:pt idx="51">
                  <c:v>42093</c:v>
                </c:pt>
                <c:pt idx="52">
                  <c:v>42094</c:v>
                </c:pt>
                <c:pt idx="53">
                  <c:v>42095</c:v>
                </c:pt>
                <c:pt idx="54">
                  <c:v>42096</c:v>
                </c:pt>
                <c:pt idx="55">
                  <c:v>42097</c:v>
                </c:pt>
                <c:pt idx="56">
                  <c:v>42098</c:v>
                </c:pt>
                <c:pt idx="57">
                  <c:v>42099</c:v>
                </c:pt>
                <c:pt idx="58">
                  <c:v>42100</c:v>
                </c:pt>
                <c:pt idx="59">
                  <c:v>42101</c:v>
                </c:pt>
                <c:pt idx="60">
                  <c:v>42102</c:v>
                </c:pt>
                <c:pt idx="61">
                  <c:v>42103</c:v>
                </c:pt>
                <c:pt idx="62">
                  <c:v>42104</c:v>
                </c:pt>
                <c:pt idx="63">
                  <c:v>42105</c:v>
                </c:pt>
                <c:pt idx="64">
                  <c:v>42106</c:v>
                </c:pt>
                <c:pt idx="65">
                  <c:v>42107</c:v>
                </c:pt>
                <c:pt idx="66">
                  <c:v>42108</c:v>
                </c:pt>
                <c:pt idx="67">
                  <c:v>42109</c:v>
                </c:pt>
                <c:pt idx="68">
                  <c:v>42110</c:v>
                </c:pt>
                <c:pt idx="69">
                  <c:v>42111</c:v>
                </c:pt>
                <c:pt idx="70">
                  <c:v>42112</c:v>
                </c:pt>
                <c:pt idx="71">
                  <c:v>42113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42119</c:v>
                </c:pt>
                <c:pt idx="78">
                  <c:v>42120</c:v>
                </c:pt>
                <c:pt idx="79">
                  <c:v>42121</c:v>
                </c:pt>
                <c:pt idx="80">
                  <c:v>42122</c:v>
                </c:pt>
                <c:pt idx="81">
                  <c:v>42123</c:v>
                </c:pt>
                <c:pt idx="82">
                  <c:v>42124</c:v>
                </c:pt>
                <c:pt idx="83">
                  <c:v>42125</c:v>
                </c:pt>
                <c:pt idx="84">
                  <c:v>42126</c:v>
                </c:pt>
                <c:pt idx="85">
                  <c:v>42127</c:v>
                </c:pt>
                <c:pt idx="86">
                  <c:v>42128</c:v>
                </c:pt>
                <c:pt idx="87">
                  <c:v>42129</c:v>
                </c:pt>
                <c:pt idx="88">
                  <c:v>42130</c:v>
                </c:pt>
                <c:pt idx="89">
                  <c:v>42131</c:v>
                </c:pt>
                <c:pt idx="90">
                  <c:v>42132</c:v>
                </c:pt>
                <c:pt idx="91">
                  <c:v>42133</c:v>
                </c:pt>
                <c:pt idx="92">
                  <c:v>42134</c:v>
                </c:pt>
                <c:pt idx="93">
                  <c:v>42135</c:v>
                </c:pt>
                <c:pt idx="94">
                  <c:v>42136</c:v>
                </c:pt>
                <c:pt idx="95">
                  <c:v>42137</c:v>
                </c:pt>
                <c:pt idx="96">
                  <c:v>42138</c:v>
                </c:pt>
                <c:pt idx="97">
                  <c:v>42139</c:v>
                </c:pt>
                <c:pt idx="98">
                  <c:v>42140</c:v>
                </c:pt>
                <c:pt idx="99">
                  <c:v>42141</c:v>
                </c:pt>
                <c:pt idx="100">
                  <c:v>42142</c:v>
                </c:pt>
                <c:pt idx="101">
                  <c:v>42143</c:v>
                </c:pt>
                <c:pt idx="102">
                  <c:v>42144</c:v>
                </c:pt>
                <c:pt idx="103">
                  <c:v>42145</c:v>
                </c:pt>
                <c:pt idx="104">
                  <c:v>42146</c:v>
                </c:pt>
                <c:pt idx="105">
                  <c:v>42147</c:v>
                </c:pt>
                <c:pt idx="106">
                  <c:v>42148</c:v>
                </c:pt>
                <c:pt idx="107">
                  <c:v>42149</c:v>
                </c:pt>
                <c:pt idx="108">
                  <c:v>42150</c:v>
                </c:pt>
                <c:pt idx="109">
                  <c:v>42151</c:v>
                </c:pt>
                <c:pt idx="110">
                  <c:v>42152</c:v>
                </c:pt>
                <c:pt idx="111">
                  <c:v>42153</c:v>
                </c:pt>
                <c:pt idx="112">
                  <c:v>42154</c:v>
                </c:pt>
                <c:pt idx="113">
                  <c:v>42155</c:v>
                </c:pt>
                <c:pt idx="114">
                  <c:v>42156</c:v>
                </c:pt>
                <c:pt idx="115">
                  <c:v>42157</c:v>
                </c:pt>
                <c:pt idx="116">
                  <c:v>42158</c:v>
                </c:pt>
                <c:pt idx="117">
                  <c:v>42159</c:v>
                </c:pt>
                <c:pt idx="118">
                  <c:v>42160</c:v>
                </c:pt>
                <c:pt idx="119">
                  <c:v>42161</c:v>
                </c:pt>
                <c:pt idx="120">
                  <c:v>42162</c:v>
                </c:pt>
                <c:pt idx="121">
                  <c:v>42163</c:v>
                </c:pt>
                <c:pt idx="122">
                  <c:v>42164</c:v>
                </c:pt>
                <c:pt idx="123">
                  <c:v>42165</c:v>
                </c:pt>
                <c:pt idx="124">
                  <c:v>42166</c:v>
                </c:pt>
                <c:pt idx="125">
                  <c:v>42167</c:v>
                </c:pt>
                <c:pt idx="126">
                  <c:v>42168</c:v>
                </c:pt>
                <c:pt idx="127">
                  <c:v>42169</c:v>
                </c:pt>
                <c:pt idx="128">
                  <c:v>42170</c:v>
                </c:pt>
                <c:pt idx="129">
                  <c:v>42171</c:v>
                </c:pt>
                <c:pt idx="130">
                  <c:v>42172</c:v>
                </c:pt>
                <c:pt idx="131">
                  <c:v>42173</c:v>
                </c:pt>
                <c:pt idx="132">
                  <c:v>42174</c:v>
                </c:pt>
                <c:pt idx="133">
                  <c:v>42175</c:v>
                </c:pt>
                <c:pt idx="134">
                  <c:v>42176</c:v>
                </c:pt>
                <c:pt idx="135">
                  <c:v>42177</c:v>
                </c:pt>
                <c:pt idx="136">
                  <c:v>42178</c:v>
                </c:pt>
                <c:pt idx="137">
                  <c:v>42179</c:v>
                </c:pt>
                <c:pt idx="138">
                  <c:v>42180</c:v>
                </c:pt>
                <c:pt idx="139">
                  <c:v>42181</c:v>
                </c:pt>
                <c:pt idx="140">
                  <c:v>42182</c:v>
                </c:pt>
                <c:pt idx="141">
                  <c:v>42183</c:v>
                </c:pt>
                <c:pt idx="142">
                  <c:v>42184</c:v>
                </c:pt>
                <c:pt idx="143">
                  <c:v>42185</c:v>
                </c:pt>
                <c:pt idx="144">
                  <c:v>42186</c:v>
                </c:pt>
                <c:pt idx="145">
                  <c:v>42187</c:v>
                </c:pt>
                <c:pt idx="146">
                  <c:v>42188</c:v>
                </c:pt>
                <c:pt idx="147">
                  <c:v>42189</c:v>
                </c:pt>
                <c:pt idx="148">
                  <c:v>42190</c:v>
                </c:pt>
                <c:pt idx="149">
                  <c:v>42191</c:v>
                </c:pt>
                <c:pt idx="150">
                  <c:v>42192</c:v>
                </c:pt>
                <c:pt idx="151">
                  <c:v>42193</c:v>
                </c:pt>
                <c:pt idx="152">
                  <c:v>42194</c:v>
                </c:pt>
                <c:pt idx="153">
                  <c:v>42195</c:v>
                </c:pt>
                <c:pt idx="154">
                  <c:v>42196</c:v>
                </c:pt>
                <c:pt idx="155">
                  <c:v>42197</c:v>
                </c:pt>
                <c:pt idx="156">
                  <c:v>42198</c:v>
                </c:pt>
                <c:pt idx="157">
                  <c:v>42199</c:v>
                </c:pt>
                <c:pt idx="158">
                  <c:v>42200</c:v>
                </c:pt>
                <c:pt idx="159">
                  <c:v>42201</c:v>
                </c:pt>
                <c:pt idx="160">
                  <c:v>42202</c:v>
                </c:pt>
                <c:pt idx="161">
                  <c:v>42203</c:v>
                </c:pt>
                <c:pt idx="162">
                  <c:v>42204</c:v>
                </c:pt>
                <c:pt idx="163">
                  <c:v>42205</c:v>
                </c:pt>
                <c:pt idx="164">
                  <c:v>42206</c:v>
                </c:pt>
                <c:pt idx="165">
                  <c:v>42207</c:v>
                </c:pt>
                <c:pt idx="166">
                  <c:v>42208</c:v>
                </c:pt>
                <c:pt idx="167">
                  <c:v>42209</c:v>
                </c:pt>
                <c:pt idx="168">
                  <c:v>42210</c:v>
                </c:pt>
                <c:pt idx="169">
                  <c:v>42211</c:v>
                </c:pt>
                <c:pt idx="170">
                  <c:v>42212</c:v>
                </c:pt>
                <c:pt idx="171">
                  <c:v>42213</c:v>
                </c:pt>
                <c:pt idx="172">
                  <c:v>42214</c:v>
                </c:pt>
                <c:pt idx="173">
                  <c:v>42215</c:v>
                </c:pt>
                <c:pt idx="174">
                  <c:v>42216</c:v>
                </c:pt>
                <c:pt idx="175">
                  <c:v>42217</c:v>
                </c:pt>
                <c:pt idx="176">
                  <c:v>42218</c:v>
                </c:pt>
                <c:pt idx="177">
                  <c:v>42219</c:v>
                </c:pt>
                <c:pt idx="178">
                  <c:v>42220</c:v>
                </c:pt>
                <c:pt idx="179">
                  <c:v>42221</c:v>
                </c:pt>
                <c:pt idx="180">
                  <c:v>42222</c:v>
                </c:pt>
                <c:pt idx="181">
                  <c:v>42223</c:v>
                </c:pt>
                <c:pt idx="182">
                  <c:v>42224</c:v>
                </c:pt>
                <c:pt idx="183">
                  <c:v>42225</c:v>
                </c:pt>
                <c:pt idx="184">
                  <c:v>42226</c:v>
                </c:pt>
                <c:pt idx="185">
                  <c:v>42227</c:v>
                </c:pt>
                <c:pt idx="186">
                  <c:v>42228</c:v>
                </c:pt>
                <c:pt idx="187">
                  <c:v>42229</c:v>
                </c:pt>
                <c:pt idx="188">
                  <c:v>42230</c:v>
                </c:pt>
                <c:pt idx="189">
                  <c:v>42231</c:v>
                </c:pt>
                <c:pt idx="190">
                  <c:v>42232</c:v>
                </c:pt>
                <c:pt idx="191">
                  <c:v>42233</c:v>
                </c:pt>
                <c:pt idx="192">
                  <c:v>42234</c:v>
                </c:pt>
                <c:pt idx="193">
                  <c:v>42235</c:v>
                </c:pt>
                <c:pt idx="194">
                  <c:v>42236</c:v>
                </c:pt>
                <c:pt idx="195">
                  <c:v>42237</c:v>
                </c:pt>
                <c:pt idx="196">
                  <c:v>42238</c:v>
                </c:pt>
                <c:pt idx="197">
                  <c:v>42239</c:v>
                </c:pt>
                <c:pt idx="198">
                  <c:v>42240</c:v>
                </c:pt>
                <c:pt idx="199">
                  <c:v>42241</c:v>
                </c:pt>
                <c:pt idx="200">
                  <c:v>42242</c:v>
                </c:pt>
                <c:pt idx="201">
                  <c:v>42243</c:v>
                </c:pt>
                <c:pt idx="202">
                  <c:v>42244</c:v>
                </c:pt>
                <c:pt idx="203">
                  <c:v>42245</c:v>
                </c:pt>
                <c:pt idx="204">
                  <c:v>42246</c:v>
                </c:pt>
                <c:pt idx="205">
                  <c:v>42247</c:v>
                </c:pt>
                <c:pt idx="206">
                  <c:v>42248</c:v>
                </c:pt>
                <c:pt idx="207">
                  <c:v>42249</c:v>
                </c:pt>
                <c:pt idx="208">
                  <c:v>42250</c:v>
                </c:pt>
                <c:pt idx="209">
                  <c:v>42251</c:v>
                </c:pt>
                <c:pt idx="210">
                  <c:v>42252</c:v>
                </c:pt>
                <c:pt idx="211">
                  <c:v>42253</c:v>
                </c:pt>
                <c:pt idx="212">
                  <c:v>42254</c:v>
                </c:pt>
                <c:pt idx="213">
                  <c:v>42255</c:v>
                </c:pt>
                <c:pt idx="214">
                  <c:v>42256</c:v>
                </c:pt>
                <c:pt idx="215">
                  <c:v>42257</c:v>
                </c:pt>
                <c:pt idx="216">
                  <c:v>42258</c:v>
                </c:pt>
                <c:pt idx="217">
                  <c:v>42259</c:v>
                </c:pt>
                <c:pt idx="218">
                  <c:v>42260</c:v>
                </c:pt>
                <c:pt idx="219">
                  <c:v>42261</c:v>
                </c:pt>
                <c:pt idx="220">
                  <c:v>42262</c:v>
                </c:pt>
                <c:pt idx="221">
                  <c:v>42263</c:v>
                </c:pt>
                <c:pt idx="222">
                  <c:v>42264</c:v>
                </c:pt>
                <c:pt idx="223">
                  <c:v>42265</c:v>
                </c:pt>
                <c:pt idx="224">
                  <c:v>42266</c:v>
                </c:pt>
                <c:pt idx="225">
                  <c:v>42267</c:v>
                </c:pt>
                <c:pt idx="226">
                  <c:v>42268</c:v>
                </c:pt>
                <c:pt idx="227">
                  <c:v>42269</c:v>
                </c:pt>
                <c:pt idx="228">
                  <c:v>42270</c:v>
                </c:pt>
                <c:pt idx="229">
                  <c:v>42271</c:v>
                </c:pt>
                <c:pt idx="230">
                  <c:v>42272</c:v>
                </c:pt>
                <c:pt idx="231">
                  <c:v>42273</c:v>
                </c:pt>
                <c:pt idx="232">
                  <c:v>42274</c:v>
                </c:pt>
                <c:pt idx="233">
                  <c:v>42275</c:v>
                </c:pt>
                <c:pt idx="234">
                  <c:v>42276</c:v>
                </c:pt>
                <c:pt idx="235">
                  <c:v>42277</c:v>
                </c:pt>
                <c:pt idx="236">
                  <c:v>42278</c:v>
                </c:pt>
                <c:pt idx="237">
                  <c:v>42279</c:v>
                </c:pt>
                <c:pt idx="238">
                  <c:v>42280</c:v>
                </c:pt>
                <c:pt idx="239">
                  <c:v>42281</c:v>
                </c:pt>
                <c:pt idx="240">
                  <c:v>42282</c:v>
                </c:pt>
                <c:pt idx="241">
                  <c:v>42283</c:v>
                </c:pt>
                <c:pt idx="242">
                  <c:v>42284</c:v>
                </c:pt>
                <c:pt idx="243">
                  <c:v>42285</c:v>
                </c:pt>
                <c:pt idx="244">
                  <c:v>42286</c:v>
                </c:pt>
                <c:pt idx="245">
                  <c:v>42287</c:v>
                </c:pt>
                <c:pt idx="246">
                  <c:v>42288</c:v>
                </c:pt>
                <c:pt idx="247">
                  <c:v>42289</c:v>
                </c:pt>
                <c:pt idx="248">
                  <c:v>42290</c:v>
                </c:pt>
                <c:pt idx="249">
                  <c:v>42291</c:v>
                </c:pt>
                <c:pt idx="250">
                  <c:v>42292</c:v>
                </c:pt>
                <c:pt idx="251">
                  <c:v>42293</c:v>
                </c:pt>
                <c:pt idx="252">
                  <c:v>42294</c:v>
                </c:pt>
                <c:pt idx="253">
                  <c:v>42295</c:v>
                </c:pt>
                <c:pt idx="254">
                  <c:v>42296</c:v>
                </c:pt>
                <c:pt idx="255">
                  <c:v>42297</c:v>
                </c:pt>
                <c:pt idx="256">
                  <c:v>42298</c:v>
                </c:pt>
                <c:pt idx="257">
                  <c:v>42299</c:v>
                </c:pt>
                <c:pt idx="258">
                  <c:v>42300</c:v>
                </c:pt>
                <c:pt idx="259">
                  <c:v>42301</c:v>
                </c:pt>
                <c:pt idx="260">
                  <c:v>42302</c:v>
                </c:pt>
                <c:pt idx="261">
                  <c:v>42303</c:v>
                </c:pt>
                <c:pt idx="262">
                  <c:v>42304</c:v>
                </c:pt>
                <c:pt idx="263">
                  <c:v>42305</c:v>
                </c:pt>
                <c:pt idx="264">
                  <c:v>42306</c:v>
                </c:pt>
                <c:pt idx="265">
                  <c:v>42307</c:v>
                </c:pt>
                <c:pt idx="266">
                  <c:v>42308</c:v>
                </c:pt>
                <c:pt idx="267">
                  <c:v>42309</c:v>
                </c:pt>
                <c:pt idx="268">
                  <c:v>42310</c:v>
                </c:pt>
                <c:pt idx="269">
                  <c:v>42311</c:v>
                </c:pt>
                <c:pt idx="270">
                  <c:v>42312</c:v>
                </c:pt>
                <c:pt idx="271">
                  <c:v>42313</c:v>
                </c:pt>
                <c:pt idx="272">
                  <c:v>42314</c:v>
                </c:pt>
                <c:pt idx="273">
                  <c:v>42315</c:v>
                </c:pt>
                <c:pt idx="274">
                  <c:v>42316</c:v>
                </c:pt>
                <c:pt idx="275">
                  <c:v>42317</c:v>
                </c:pt>
                <c:pt idx="276">
                  <c:v>42318</c:v>
                </c:pt>
                <c:pt idx="277">
                  <c:v>42319</c:v>
                </c:pt>
                <c:pt idx="278">
                  <c:v>42320</c:v>
                </c:pt>
                <c:pt idx="279">
                  <c:v>42321</c:v>
                </c:pt>
                <c:pt idx="280">
                  <c:v>42322</c:v>
                </c:pt>
                <c:pt idx="281">
                  <c:v>42323</c:v>
                </c:pt>
                <c:pt idx="282">
                  <c:v>42324</c:v>
                </c:pt>
                <c:pt idx="283">
                  <c:v>42325</c:v>
                </c:pt>
                <c:pt idx="284">
                  <c:v>42326</c:v>
                </c:pt>
                <c:pt idx="285">
                  <c:v>42327</c:v>
                </c:pt>
                <c:pt idx="286">
                  <c:v>42328</c:v>
                </c:pt>
                <c:pt idx="287">
                  <c:v>42329</c:v>
                </c:pt>
                <c:pt idx="288">
                  <c:v>42330</c:v>
                </c:pt>
                <c:pt idx="289">
                  <c:v>42331</c:v>
                </c:pt>
                <c:pt idx="290">
                  <c:v>42332</c:v>
                </c:pt>
                <c:pt idx="291">
                  <c:v>42333</c:v>
                </c:pt>
                <c:pt idx="292">
                  <c:v>42334</c:v>
                </c:pt>
                <c:pt idx="293">
                  <c:v>42335</c:v>
                </c:pt>
                <c:pt idx="294">
                  <c:v>42336</c:v>
                </c:pt>
                <c:pt idx="295">
                  <c:v>42337</c:v>
                </c:pt>
                <c:pt idx="296">
                  <c:v>42338</c:v>
                </c:pt>
                <c:pt idx="297">
                  <c:v>42339</c:v>
                </c:pt>
                <c:pt idx="298">
                  <c:v>42340</c:v>
                </c:pt>
                <c:pt idx="299">
                  <c:v>42341</c:v>
                </c:pt>
                <c:pt idx="300">
                  <c:v>42342</c:v>
                </c:pt>
                <c:pt idx="301">
                  <c:v>42343</c:v>
                </c:pt>
                <c:pt idx="302">
                  <c:v>42344</c:v>
                </c:pt>
                <c:pt idx="303">
                  <c:v>42345</c:v>
                </c:pt>
                <c:pt idx="304">
                  <c:v>42346</c:v>
                </c:pt>
                <c:pt idx="305">
                  <c:v>42347</c:v>
                </c:pt>
                <c:pt idx="306">
                  <c:v>42348</c:v>
                </c:pt>
                <c:pt idx="307">
                  <c:v>42349</c:v>
                </c:pt>
                <c:pt idx="308">
                  <c:v>42350</c:v>
                </c:pt>
                <c:pt idx="309">
                  <c:v>42351</c:v>
                </c:pt>
                <c:pt idx="310">
                  <c:v>42352</c:v>
                </c:pt>
                <c:pt idx="311">
                  <c:v>42353</c:v>
                </c:pt>
                <c:pt idx="312">
                  <c:v>42354</c:v>
                </c:pt>
                <c:pt idx="313">
                  <c:v>42355</c:v>
                </c:pt>
                <c:pt idx="314">
                  <c:v>42356</c:v>
                </c:pt>
                <c:pt idx="315">
                  <c:v>42357</c:v>
                </c:pt>
                <c:pt idx="316">
                  <c:v>42358</c:v>
                </c:pt>
                <c:pt idx="317">
                  <c:v>42359</c:v>
                </c:pt>
                <c:pt idx="318">
                  <c:v>42360</c:v>
                </c:pt>
                <c:pt idx="319">
                  <c:v>42361</c:v>
                </c:pt>
                <c:pt idx="320">
                  <c:v>42362</c:v>
                </c:pt>
                <c:pt idx="321">
                  <c:v>42363</c:v>
                </c:pt>
                <c:pt idx="322">
                  <c:v>42364</c:v>
                </c:pt>
                <c:pt idx="323">
                  <c:v>42365</c:v>
                </c:pt>
                <c:pt idx="324">
                  <c:v>42366</c:v>
                </c:pt>
                <c:pt idx="325">
                  <c:v>42367</c:v>
                </c:pt>
                <c:pt idx="326">
                  <c:v>42368</c:v>
                </c:pt>
                <c:pt idx="327">
                  <c:v>42369</c:v>
                </c:pt>
                <c:pt idx="328">
                  <c:v>42370</c:v>
                </c:pt>
                <c:pt idx="329">
                  <c:v>42371</c:v>
                </c:pt>
                <c:pt idx="330">
                  <c:v>42372</c:v>
                </c:pt>
                <c:pt idx="331">
                  <c:v>42373</c:v>
                </c:pt>
                <c:pt idx="332">
                  <c:v>42374</c:v>
                </c:pt>
                <c:pt idx="333">
                  <c:v>42375</c:v>
                </c:pt>
                <c:pt idx="334">
                  <c:v>42376</c:v>
                </c:pt>
                <c:pt idx="335">
                  <c:v>42377</c:v>
                </c:pt>
                <c:pt idx="336">
                  <c:v>42378</c:v>
                </c:pt>
                <c:pt idx="337">
                  <c:v>42379</c:v>
                </c:pt>
                <c:pt idx="338">
                  <c:v>42380</c:v>
                </c:pt>
                <c:pt idx="339">
                  <c:v>42381</c:v>
                </c:pt>
                <c:pt idx="340">
                  <c:v>42382</c:v>
                </c:pt>
                <c:pt idx="341">
                  <c:v>42383</c:v>
                </c:pt>
                <c:pt idx="342">
                  <c:v>42384</c:v>
                </c:pt>
                <c:pt idx="343">
                  <c:v>42385</c:v>
                </c:pt>
                <c:pt idx="344">
                  <c:v>42386</c:v>
                </c:pt>
                <c:pt idx="345">
                  <c:v>42387</c:v>
                </c:pt>
                <c:pt idx="346">
                  <c:v>42388</c:v>
                </c:pt>
                <c:pt idx="347">
                  <c:v>42389</c:v>
                </c:pt>
                <c:pt idx="348">
                  <c:v>42390</c:v>
                </c:pt>
                <c:pt idx="349">
                  <c:v>42391</c:v>
                </c:pt>
                <c:pt idx="350">
                  <c:v>42392</c:v>
                </c:pt>
                <c:pt idx="351">
                  <c:v>42393</c:v>
                </c:pt>
                <c:pt idx="352">
                  <c:v>42394</c:v>
                </c:pt>
                <c:pt idx="353">
                  <c:v>42395</c:v>
                </c:pt>
                <c:pt idx="354">
                  <c:v>42396</c:v>
                </c:pt>
                <c:pt idx="355">
                  <c:v>42397</c:v>
                </c:pt>
                <c:pt idx="356">
                  <c:v>42398</c:v>
                </c:pt>
                <c:pt idx="357">
                  <c:v>42399</c:v>
                </c:pt>
                <c:pt idx="358">
                  <c:v>42400</c:v>
                </c:pt>
                <c:pt idx="359">
                  <c:v>42401</c:v>
                </c:pt>
                <c:pt idx="360">
                  <c:v>42402</c:v>
                </c:pt>
                <c:pt idx="361">
                  <c:v>42403</c:v>
                </c:pt>
                <c:pt idx="362">
                  <c:v>42404</c:v>
                </c:pt>
                <c:pt idx="363">
                  <c:v>42405</c:v>
                </c:pt>
                <c:pt idx="364">
                  <c:v>42406</c:v>
                </c:pt>
                <c:pt idx="365">
                  <c:v>42407</c:v>
                </c:pt>
                <c:pt idx="366">
                  <c:v>42408</c:v>
                </c:pt>
                <c:pt idx="367">
                  <c:v>42409</c:v>
                </c:pt>
                <c:pt idx="368">
                  <c:v>42410</c:v>
                </c:pt>
                <c:pt idx="369">
                  <c:v>42411</c:v>
                </c:pt>
                <c:pt idx="370">
                  <c:v>42412</c:v>
                </c:pt>
                <c:pt idx="371">
                  <c:v>42413</c:v>
                </c:pt>
                <c:pt idx="372">
                  <c:v>42414</c:v>
                </c:pt>
                <c:pt idx="373">
                  <c:v>42415</c:v>
                </c:pt>
                <c:pt idx="374">
                  <c:v>42416</c:v>
                </c:pt>
                <c:pt idx="375">
                  <c:v>42417</c:v>
                </c:pt>
                <c:pt idx="376">
                  <c:v>42418</c:v>
                </c:pt>
                <c:pt idx="377">
                  <c:v>42419</c:v>
                </c:pt>
                <c:pt idx="378">
                  <c:v>42420</c:v>
                </c:pt>
                <c:pt idx="379">
                  <c:v>42421</c:v>
                </c:pt>
                <c:pt idx="380">
                  <c:v>42422</c:v>
                </c:pt>
                <c:pt idx="381">
                  <c:v>42423</c:v>
                </c:pt>
                <c:pt idx="382">
                  <c:v>42424</c:v>
                </c:pt>
                <c:pt idx="383">
                  <c:v>42425</c:v>
                </c:pt>
                <c:pt idx="384">
                  <c:v>42426</c:v>
                </c:pt>
                <c:pt idx="385">
                  <c:v>42427</c:v>
                </c:pt>
                <c:pt idx="386">
                  <c:v>42428</c:v>
                </c:pt>
                <c:pt idx="387">
                  <c:v>42429</c:v>
                </c:pt>
                <c:pt idx="388">
                  <c:v>42430</c:v>
                </c:pt>
                <c:pt idx="389">
                  <c:v>42431</c:v>
                </c:pt>
                <c:pt idx="390">
                  <c:v>42432</c:v>
                </c:pt>
                <c:pt idx="391">
                  <c:v>42433</c:v>
                </c:pt>
                <c:pt idx="392">
                  <c:v>42434</c:v>
                </c:pt>
                <c:pt idx="393">
                  <c:v>42435</c:v>
                </c:pt>
                <c:pt idx="394">
                  <c:v>42436</c:v>
                </c:pt>
                <c:pt idx="395">
                  <c:v>42437</c:v>
                </c:pt>
                <c:pt idx="396">
                  <c:v>42438</c:v>
                </c:pt>
                <c:pt idx="397">
                  <c:v>42439</c:v>
                </c:pt>
                <c:pt idx="398">
                  <c:v>42440</c:v>
                </c:pt>
                <c:pt idx="399">
                  <c:v>42441</c:v>
                </c:pt>
                <c:pt idx="400">
                  <c:v>42442</c:v>
                </c:pt>
                <c:pt idx="401">
                  <c:v>42443</c:v>
                </c:pt>
                <c:pt idx="402">
                  <c:v>42444</c:v>
                </c:pt>
                <c:pt idx="403">
                  <c:v>42445</c:v>
                </c:pt>
                <c:pt idx="404">
                  <c:v>42446</c:v>
                </c:pt>
                <c:pt idx="405">
                  <c:v>42447</c:v>
                </c:pt>
                <c:pt idx="406">
                  <c:v>42448</c:v>
                </c:pt>
                <c:pt idx="407">
                  <c:v>42449</c:v>
                </c:pt>
                <c:pt idx="408">
                  <c:v>42450</c:v>
                </c:pt>
                <c:pt idx="409">
                  <c:v>42451</c:v>
                </c:pt>
                <c:pt idx="410">
                  <c:v>42452</c:v>
                </c:pt>
                <c:pt idx="411">
                  <c:v>42453</c:v>
                </c:pt>
                <c:pt idx="412">
                  <c:v>42454</c:v>
                </c:pt>
                <c:pt idx="413">
                  <c:v>42455</c:v>
                </c:pt>
                <c:pt idx="414">
                  <c:v>42456</c:v>
                </c:pt>
                <c:pt idx="415">
                  <c:v>42457</c:v>
                </c:pt>
                <c:pt idx="416">
                  <c:v>42458</c:v>
                </c:pt>
                <c:pt idx="417">
                  <c:v>42459</c:v>
                </c:pt>
                <c:pt idx="418">
                  <c:v>42460</c:v>
                </c:pt>
                <c:pt idx="419">
                  <c:v>42461</c:v>
                </c:pt>
                <c:pt idx="420">
                  <c:v>42462</c:v>
                </c:pt>
                <c:pt idx="421">
                  <c:v>42463</c:v>
                </c:pt>
                <c:pt idx="422">
                  <c:v>42464</c:v>
                </c:pt>
                <c:pt idx="423">
                  <c:v>42465</c:v>
                </c:pt>
                <c:pt idx="424">
                  <c:v>42466</c:v>
                </c:pt>
                <c:pt idx="425">
                  <c:v>42467</c:v>
                </c:pt>
                <c:pt idx="426">
                  <c:v>42468</c:v>
                </c:pt>
                <c:pt idx="427">
                  <c:v>42469</c:v>
                </c:pt>
                <c:pt idx="428">
                  <c:v>42470</c:v>
                </c:pt>
                <c:pt idx="429">
                  <c:v>42471</c:v>
                </c:pt>
                <c:pt idx="430">
                  <c:v>42472</c:v>
                </c:pt>
                <c:pt idx="431">
                  <c:v>42473</c:v>
                </c:pt>
                <c:pt idx="432">
                  <c:v>42474</c:v>
                </c:pt>
                <c:pt idx="433">
                  <c:v>42475</c:v>
                </c:pt>
                <c:pt idx="434">
                  <c:v>42476</c:v>
                </c:pt>
                <c:pt idx="435">
                  <c:v>42477</c:v>
                </c:pt>
                <c:pt idx="436">
                  <c:v>42478</c:v>
                </c:pt>
                <c:pt idx="437">
                  <c:v>42479</c:v>
                </c:pt>
                <c:pt idx="438">
                  <c:v>42480</c:v>
                </c:pt>
                <c:pt idx="439">
                  <c:v>42481</c:v>
                </c:pt>
                <c:pt idx="440">
                  <c:v>42482</c:v>
                </c:pt>
                <c:pt idx="441">
                  <c:v>42483</c:v>
                </c:pt>
                <c:pt idx="442">
                  <c:v>42484</c:v>
                </c:pt>
                <c:pt idx="443">
                  <c:v>42485</c:v>
                </c:pt>
                <c:pt idx="444">
                  <c:v>42486</c:v>
                </c:pt>
                <c:pt idx="445">
                  <c:v>42487</c:v>
                </c:pt>
                <c:pt idx="446">
                  <c:v>42488</c:v>
                </c:pt>
                <c:pt idx="447">
                  <c:v>42489</c:v>
                </c:pt>
                <c:pt idx="448">
                  <c:v>42490</c:v>
                </c:pt>
                <c:pt idx="449">
                  <c:v>42491</c:v>
                </c:pt>
                <c:pt idx="450">
                  <c:v>42492</c:v>
                </c:pt>
                <c:pt idx="451">
                  <c:v>42493</c:v>
                </c:pt>
                <c:pt idx="452">
                  <c:v>42494</c:v>
                </c:pt>
                <c:pt idx="453">
                  <c:v>42495</c:v>
                </c:pt>
                <c:pt idx="454">
                  <c:v>42496</c:v>
                </c:pt>
                <c:pt idx="455">
                  <c:v>42497</c:v>
                </c:pt>
                <c:pt idx="456">
                  <c:v>42498</c:v>
                </c:pt>
                <c:pt idx="457">
                  <c:v>42499</c:v>
                </c:pt>
                <c:pt idx="458">
                  <c:v>42500</c:v>
                </c:pt>
                <c:pt idx="459">
                  <c:v>42501</c:v>
                </c:pt>
                <c:pt idx="460">
                  <c:v>42502</c:v>
                </c:pt>
                <c:pt idx="461">
                  <c:v>42503</c:v>
                </c:pt>
                <c:pt idx="462">
                  <c:v>42504</c:v>
                </c:pt>
                <c:pt idx="463">
                  <c:v>42505</c:v>
                </c:pt>
                <c:pt idx="464">
                  <c:v>42506</c:v>
                </c:pt>
                <c:pt idx="465">
                  <c:v>42507</c:v>
                </c:pt>
                <c:pt idx="466">
                  <c:v>42508</c:v>
                </c:pt>
                <c:pt idx="467">
                  <c:v>42509</c:v>
                </c:pt>
                <c:pt idx="468">
                  <c:v>42510</c:v>
                </c:pt>
                <c:pt idx="469">
                  <c:v>42511</c:v>
                </c:pt>
                <c:pt idx="470">
                  <c:v>42512</c:v>
                </c:pt>
                <c:pt idx="471">
                  <c:v>42513</c:v>
                </c:pt>
                <c:pt idx="472">
                  <c:v>42514</c:v>
                </c:pt>
                <c:pt idx="473">
                  <c:v>42515</c:v>
                </c:pt>
                <c:pt idx="474">
                  <c:v>42516</c:v>
                </c:pt>
                <c:pt idx="475">
                  <c:v>42517</c:v>
                </c:pt>
                <c:pt idx="476">
                  <c:v>42518</c:v>
                </c:pt>
                <c:pt idx="477">
                  <c:v>42519</c:v>
                </c:pt>
                <c:pt idx="478">
                  <c:v>42520</c:v>
                </c:pt>
                <c:pt idx="479">
                  <c:v>42521</c:v>
                </c:pt>
                <c:pt idx="480">
                  <c:v>42522</c:v>
                </c:pt>
                <c:pt idx="481">
                  <c:v>42523</c:v>
                </c:pt>
                <c:pt idx="482">
                  <c:v>42524</c:v>
                </c:pt>
                <c:pt idx="483">
                  <c:v>42525</c:v>
                </c:pt>
                <c:pt idx="484">
                  <c:v>42526</c:v>
                </c:pt>
                <c:pt idx="485">
                  <c:v>42527</c:v>
                </c:pt>
                <c:pt idx="486">
                  <c:v>42528</c:v>
                </c:pt>
                <c:pt idx="487">
                  <c:v>42529</c:v>
                </c:pt>
                <c:pt idx="488">
                  <c:v>42530</c:v>
                </c:pt>
                <c:pt idx="489">
                  <c:v>42531</c:v>
                </c:pt>
                <c:pt idx="490">
                  <c:v>42532</c:v>
                </c:pt>
                <c:pt idx="491">
                  <c:v>42533</c:v>
                </c:pt>
                <c:pt idx="492">
                  <c:v>42534</c:v>
                </c:pt>
                <c:pt idx="493">
                  <c:v>42535</c:v>
                </c:pt>
                <c:pt idx="494">
                  <c:v>42536</c:v>
                </c:pt>
                <c:pt idx="495">
                  <c:v>42537</c:v>
                </c:pt>
                <c:pt idx="496">
                  <c:v>42538</c:v>
                </c:pt>
                <c:pt idx="497">
                  <c:v>42539</c:v>
                </c:pt>
                <c:pt idx="498">
                  <c:v>42540</c:v>
                </c:pt>
                <c:pt idx="499">
                  <c:v>42541</c:v>
                </c:pt>
                <c:pt idx="500">
                  <c:v>42542</c:v>
                </c:pt>
                <c:pt idx="501">
                  <c:v>42543</c:v>
                </c:pt>
                <c:pt idx="502">
                  <c:v>42544</c:v>
                </c:pt>
                <c:pt idx="503">
                  <c:v>42545</c:v>
                </c:pt>
                <c:pt idx="504">
                  <c:v>42546</c:v>
                </c:pt>
                <c:pt idx="505">
                  <c:v>42547</c:v>
                </c:pt>
                <c:pt idx="506">
                  <c:v>42548</c:v>
                </c:pt>
                <c:pt idx="507">
                  <c:v>42549</c:v>
                </c:pt>
                <c:pt idx="508">
                  <c:v>42550</c:v>
                </c:pt>
                <c:pt idx="509">
                  <c:v>42551</c:v>
                </c:pt>
                <c:pt idx="510">
                  <c:v>42552</c:v>
                </c:pt>
                <c:pt idx="511">
                  <c:v>42553</c:v>
                </c:pt>
                <c:pt idx="512">
                  <c:v>42554</c:v>
                </c:pt>
                <c:pt idx="513">
                  <c:v>42555</c:v>
                </c:pt>
                <c:pt idx="514">
                  <c:v>42556</c:v>
                </c:pt>
                <c:pt idx="515">
                  <c:v>42557</c:v>
                </c:pt>
                <c:pt idx="516">
                  <c:v>42558</c:v>
                </c:pt>
                <c:pt idx="517">
                  <c:v>42559</c:v>
                </c:pt>
                <c:pt idx="518">
                  <c:v>42560</c:v>
                </c:pt>
                <c:pt idx="519">
                  <c:v>42561</c:v>
                </c:pt>
                <c:pt idx="520">
                  <c:v>42562</c:v>
                </c:pt>
                <c:pt idx="521">
                  <c:v>42563</c:v>
                </c:pt>
                <c:pt idx="522">
                  <c:v>42564</c:v>
                </c:pt>
                <c:pt idx="523">
                  <c:v>42565</c:v>
                </c:pt>
                <c:pt idx="524">
                  <c:v>42566</c:v>
                </c:pt>
                <c:pt idx="525">
                  <c:v>42567</c:v>
                </c:pt>
                <c:pt idx="526">
                  <c:v>42568</c:v>
                </c:pt>
                <c:pt idx="527">
                  <c:v>42569</c:v>
                </c:pt>
                <c:pt idx="528">
                  <c:v>42570</c:v>
                </c:pt>
                <c:pt idx="529">
                  <c:v>42571</c:v>
                </c:pt>
                <c:pt idx="530">
                  <c:v>42572</c:v>
                </c:pt>
                <c:pt idx="531">
                  <c:v>42573</c:v>
                </c:pt>
                <c:pt idx="532">
                  <c:v>42574</c:v>
                </c:pt>
                <c:pt idx="533">
                  <c:v>42575</c:v>
                </c:pt>
                <c:pt idx="534">
                  <c:v>42576</c:v>
                </c:pt>
                <c:pt idx="535">
                  <c:v>42577</c:v>
                </c:pt>
                <c:pt idx="536">
                  <c:v>42578</c:v>
                </c:pt>
                <c:pt idx="537">
                  <c:v>42579</c:v>
                </c:pt>
                <c:pt idx="538">
                  <c:v>42580</c:v>
                </c:pt>
                <c:pt idx="539">
                  <c:v>42581</c:v>
                </c:pt>
                <c:pt idx="540">
                  <c:v>42582</c:v>
                </c:pt>
                <c:pt idx="541">
                  <c:v>42583</c:v>
                </c:pt>
                <c:pt idx="542">
                  <c:v>42584</c:v>
                </c:pt>
                <c:pt idx="543">
                  <c:v>42585</c:v>
                </c:pt>
                <c:pt idx="544">
                  <c:v>42586</c:v>
                </c:pt>
                <c:pt idx="545">
                  <c:v>42587</c:v>
                </c:pt>
                <c:pt idx="546">
                  <c:v>42588</c:v>
                </c:pt>
                <c:pt idx="547">
                  <c:v>42589</c:v>
                </c:pt>
                <c:pt idx="548">
                  <c:v>42590</c:v>
                </c:pt>
                <c:pt idx="549">
                  <c:v>42591</c:v>
                </c:pt>
                <c:pt idx="550">
                  <c:v>42592</c:v>
                </c:pt>
                <c:pt idx="551">
                  <c:v>42593</c:v>
                </c:pt>
                <c:pt idx="552">
                  <c:v>42594</c:v>
                </c:pt>
                <c:pt idx="553">
                  <c:v>42595</c:v>
                </c:pt>
                <c:pt idx="554">
                  <c:v>42596</c:v>
                </c:pt>
                <c:pt idx="555">
                  <c:v>42597</c:v>
                </c:pt>
                <c:pt idx="556">
                  <c:v>42598</c:v>
                </c:pt>
                <c:pt idx="557">
                  <c:v>42599</c:v>
                </c:pt>
                <c:pt idx="558">
                  <c:v>42600</c:v>
                </c:pt>
                <c:pt idx="559">
                  <c:v>42601</c:v>
                </c:pt>
                <c:pt idx="560">
                  <c:v>42602</c:v>
                </c:pt>
                <c:pt idx="561">
                  <c:v>42603</c:v>
                </c:pt>
                <c:pt idx="562">
                  <c:v>42604</c:v>
                </c:pt>
                <c:pt idx="563">
                  <c:v>42605</c:v>
                </c:pt>
                <c:pt idx="564">
                  <c:v>42606</c:v>
                </c:pt>
                <c:pt idx="565">
                  <c:v>42607</c:v>
                </c:pt>
                <c:pt idx="566">
                  <c:v>42608</c:v>
                </c:pt>
                <c:pt idx="567">
                  <c:v>42609</c:v>
                </c:pt>
                <c:pt idx="568">
                  <c:v>42610</c:v>
                </c:pt>
                <c:pt idx="569">
                  <c:v>42611</c:v>
                </c:pt>
                <c:pt idx="570">
                  <c:v>42612</c:v>
                </c:pt>
                <c:pt idx="571">
                  <c:v>42613</c:v>
                </c:pt>
                <c:pt idx="572">
                  <c:v>42614</c:v>
                </c:pt>
                <c:pt idx="573">
                  <c:v>42615</c:v>
                </c:pt>
                <c:pt idx="574">
                  <c:v>42616</c:v>
                </c:pt>
                <c:pt idx="575">
                  <c:v>42617</c:v>
                </c:pt>
                <c:pt idx="576">
                  <c:v>42618</c:v>
                </c:pt>
                <c:pt idx="577">
                  <c:v>42619</c:v>
                </c:pt>
                <c:pt idx="578">
                  <c:v>42620</c:v>
                </c:pt>
                <c:pt idx="579">
                  <c:v>42621</c:v>
                </c:pt>
                <c:pt idx="580">
                  <c:v>42622</c:v>
                </c:pt>
                <c:pt idx="581">
                  <c:v>42623</c:v>
                </c:pt>
                <c:pt idx="582">
                  <c:v>42624</c:v>
                </c:pt>
                <c:pt idx="583">
                  <c:v>42625</c:v>
                </c:pt>
                <c:pt idx="584">
                  <c:v>42626</c:v>
                </c:pt>
                <c:pt idx="585">
                  <c:v>42627</c:v>
                </c:pt>
                <c:pt idx="586">
                  <c:v>42628</c:v>
                </c:pt>
                <c:pt idx="587">
                  <c:v>42629</c:v>
                </c:pt>
                <c:pt idx="588">
                  <c:v>42630</c:v>
                </c:pt>
                <c:pt idx="589">
                  <c:v>42631</c:v>
                </c:pt>
                <c:pt idx="590">
                  <c:v>42632</c:v>
                </c:pt>
                <c:pt idx="591">
                  <c:v>42633</c:v>
                </c:pt>
                <c:pt idx="592">
                  <c:v>42634</c:v>
                </c:pt>
                <c:pt idx="593">
                  <c:v>42635</c:v>
                </c:pt>
                <c:pt idx="594">
                  <c:v>42636</c:v>
                </c:pt>
                <c:pt idx="595">
                  <c:v>42637</c:v>
                </c:pt>
                <c:pt idx="596">
                  <c:v>42638</c:v>
                </c:pt>
                <c:pt idx="597">
                  <c:v>42639</c:v>
                </c:pt>
                <c:pt idx="598">
                  <c:v>42640</c:v>
                </c:pt>
                <c:pt idx="599">
                  <c:v>42641</c:v>
                </c:pt>
                <c:pt idx="600">
                  <c:v>42642</c:v>
                </c:pt>
                <c:pt idx="601">
                  <c:v>42643</c:v>
                </c:pt>
                <c:pt idx="602">
                  <c:v>42644</c:v>
                </c:pt>
                <c:pt idx="603">
                  <c:v>42645</c:v>
                </c:pt>
                <c:pt idx="604">
                  <c:v>42646</c:v>
                </c:pt>
                <c:pt idx="605">
                  <c:v>42647</c:v>
                </c:pt>
                <c:pt idx="606">
                  <c:v>42648</c:v>
                </c:pt>
                <c:pt idx="607">
                  <c:v>42649</c:v>
                </c:pt>
                <c:pt idx="608">
                  <c:v>42650</c:v>
                </c:pt>
                <c:pt idx="609">
                  <c:v>42651</c:v>
                </c:pt>
                <c:pt idx="610">
                  <c:v>42652</c:v>
                </c:pt>
                <c:pt idx="611">
                  <c:v>42653</c:v>
                </c:pt>
                <c:pt idx="612">
                  <c:v>42654</c:v>
                </c:pt>
                <c:pt idx="613">
                  <c:v>42655</c:v>
                </c:pt>
                <c:pt idx="614">
                  <c:v>42656</c:v>
                </c:pt>
                <c:pt idx="615">
                  <c:v>42657</c:v>
                </c:pt>
                <c:pt idx="616">
                  <c:v>42658</c:v>
                </c:pt>
                <c:pt idx="617">
                  <c:v>42659</c:v>
                </c:pt>
                <c:pt idx="618">
                  <c:v>42660</c:v>
                </c:pt>
                <c:pt idx="619">
                  <c:v>42661</c:v>
                </c:pt>
                <c:pt idx="620">
                  <c:v>42662</c:v>
                </c:pt>
                <c:pt idx="621">
                  <c:v>42663</c:v>
                </c:pt>
                <c:pt idx="622">
                  <c:v>42664</c:v>
                </c:pt>
                <c:pt idx="623">
                  <c:v>42665</c:v>
                </c:pt>
                <c:pt idx="624">
                  <c:v>42666</c:v>
                </c:pt>
                <c:pt idx="625">
                  <c:v>42667</c:v>
                </c:pt>
                <c:pt idx="626">
                  <c:v>42668</c:v>
                </c:pt>
                <c:pt idx="627">
                  <c:v>42669</c:v>
                </c:pt>
                <c:pt idx="628">
                  <c:v>42670</c:v>
                </c:pt>
                <c:pt idx="629">
                  <c:v>42671</c:v>
                </c:pt>
                <c:pt idx="630">
                  <c:v>42672</c:v>
                </c:pt>
                <c:pt idx="631">
                  <c:v>42673</c:v>
                </c:pt>
                <c:pt idx="632">
                  <c:v>42674</c:v>
                </c:pt>
                <c:pt idx="633">
                  <c:v>42675</c:v>
                </c:pt>
                <c:pt idx="634">
                  <c:v>42676</c:v>
                </c:pt>
                <c:pt idx="635">
                  <c:v>42677</c:v>
                </c:pt>
                <c:pt idx="636">
                  <c:v>42678</c:v>
                </c:pt>
                <c:pt idx="637">
                  <c:v>42679</c:v>
                </c:pt>
                <c:pt idx="638">
                  <c:v>42680</c:v>
                </c:pt>
                <c:pt idx="639">
                  <c:v>42681</c:v>
                </c:pt>
                <c:pt idx="640">
                  <c:v>42682</c:v>
                </c:pt>
                <c:pt idx="641">
                  <c:v>42683</c:v>
                </c:pt>
                <c:pt idx="642">
                  <c:v>42684</c:v>
                </c:pt>
                <c:pt idx="643">
                  <c:v>42685</c:v>
                </c:pt>
                <c:pt idx="644">
                  <c:v>42686</c:v>
                </c:pt>
                <c:pt idx="645">
                  <c:v>42687</c:v>
                </c:pt>
                <c:pt idx="646">
                  <c:v>42688</c:v>
                </c:pt>
                <c:pt idx="647">
                  <c:v>42689</c:v>
                </c:pt>
                <c:pt idx="648">
                  <c:v>42690</c:v>
                </c:pt>
                <c:pt idx="649">
                  <c:v>42691</c:v>
                </c:pt>
                <c:pt idx="650">
                  <c:v>42692</c:v>
                </c:pt>
                <c:pt idx="651">
                  <c:v>42693</c:v>
                </c:pt>
                <c:pt idx="652">
                  <c:v>42694</c:v>
                </c:pt>
                <c:pt idx="653">
                  <c:v>42695</c:v>
                </c:pt>
                <c:pt idx="654">
                  <c:v>42696</c:v>
                </c:pt>
                <c:pt idx="655">
                  <c:v>42697</c:v>
                </c:pt>
                <c:pt idx="656">
                  <c:v>42698</c:v>
                </c:pt>
                <c:pt idx="657">
                  <c:v>42699</c:v>
                </c:pt>
                <c:pt idx="658">
                  <c:v>42700</c:v>
                </c:pt>
                <c:pt idx="659">
                  <c:v>42701</c:v>
                </c:pt>
                <c:pt idx="660">
                  <c:v>42702</c:v>
                </c:pt>
                <c:pt idx="661">
                  <c:v>42703</c:v>
                </c:pt>
                <c:pt idx="662">
                  <c:v>42704</c:v>
                </c:pt>
                <c:pt idx="663">
                  <c:v>42705</c:v>
                </c:pt>
                <c:pt idx="664">
                  <c:v>42706</c:v>
                </c:pt>
                <c:pt idx="665">
                  <c:v>42707</c:v>
                </c:pt>
                <c:pt idx="666">
                  <c:v>42708</c:v>
                </c:pt>
                <c:pt idx="667">
                  <c:v>42709</c:v>
                </c:pt>
                <c:pt idx="668">
                  <c:v>42710</c:v>
                </c:pt>
                <c:pt idx="669">
                  <c:v>42711</c:v>
                </c:pt>
                <c:pt idx="670">
                  <c:v>42712</c:v>
                </c:pt>
                <c:pt idx="671">
                  <c:v>42713</c:v>
                </c:pt>
                <c:pt idx="672">
                  <c:v>42714</c:v>
                </c:pt>
                <c:pt idx="673">
                  <c:v>42715</c:v>
                </c:pt>
                <c:pt idx="674">
                  <c:v>42716</c:v>
                </c:pt>
                <c:pt idx="675">
                  <c:v>42717</c:v>
                </c:pt>
                <c:pt idx="676">
                  <c:v>42718</c:v>
                </c:pt>
                <c:pt idx="677">
                  <c:v>42719</c:v>
                </c:pt>
                <c:pt idx="678">
                  <c:v>42720</c:v>
                </c:pt>
                <c:pt idx="679">
                  <c:v>42721</c:v>
                </c:pt>
                <c:pt idx="680">
                  <c:v>42722</c:v>
                </c:pt>
                <c:pt idx="681">
                  <c:v>42723</c:v>
                </c:pt>
                <c:pt idx="682">
                  <c:v>42724</c:v>
                </c:pt>
                <c:pt idx="683">
                  <c:v>42725</c:v>
                </c:pt>
                <c:pt idx="684">
                  <c:v>42726</c:v>
                </c:pt>
                <c:pt idx="685">
                  <c:v>42727</c:v>
                </c:pt>
                <c:pt idx="686">
                  <c:v>42728</c:v>
                </c:pt>
                <c:pt idx="687">
                  <c:v>42729</c:v>
                </c:pt>
                <c:pt idx="688">
                  <c:v>42730</c:v>
                </c:pt>
                <c:pt idx="689">
                  <c:v>42731</c:v>
                </c:pt>
                <c:pt idx="690">
                  <c:v>42732</c:v>
                </c:pt>
                <c:pt idx="691">
                  <c:v>42733</c:v>
                </c:pt>
                <c:pt idx="692">
                  <c:v>42734</c:v>
                </c:pt>
                <c:pt idx="693">
                  <c:v>42735</c:v>
                </c:pt>
                <c:pt idx="694">
                  <c:v>42736</c:v>
                </c:pt>
                <c:pt idx="695">
                  <c:v>42737</c:v>
                </c:pt>
                <c:pt idx="696">
                  <c:v>42738</c:v>
                </c:pt>
                <c:pt idx="697">
                  <c:v>42739</c:v>
                </c:pt>
                <c:pt idx="698">
                  <c:v>42740</c:v>
                </c:pt>
                <c:pt idx="699">
                  <c:v>42741</c:v>
                </c:pt>
                <c:pt idx="700">
                  <c:v>42742</c:v>
                </c:pt>
                <c:pt idx="701">
                  <c:v>42743</c:v>
                </c:pt>
                <c:pt idx="702">
                  <c:v>42744</c:v>
                </c:pt>
                <c:pt idx="703">
                  <c:v>42745</c:v>
                </c:pt>
                <c:pt idx="704">
                  <c:v>42746</c:v>
                </c:pt>
                <c:pt idx="705">
                  <c:v>42747</c:v>
                </c:pt>
                <c:pt idx="706">
                  <c:v>42748</c:v>
                </c:pt>
                <c:pt idx="707">
                  <c:v>42749</c:v>
                </c:pt>
                <c:pt idx="708">
                  <c:v>42750</c:v>
                </c:pt>
                <c:pt idx="709">
                  <c:v>42751</c:v>
                </c:pt>
                <c:pt idx="710">
                  <c:v>42752</c:v>
                </c:pt>
                <c:pt idx="711">
                  <c:v>42753</c:v>
                </c:pt>
                <c:pt idx="712">
                  <c:v>42754</c:v>
                </c:pt>
                <c:pt idx="713">
                  <c:v>42755</c:v>
                </c:pt>
                <c:pt idx="714">
                  <c:v>42756</c:v>
                </c:pt>
                <c:pt idx="715">
                  <c:v>42757</c:v>
                </c:pt>
                <c:pt idx="716">
                  <c:v>42758</c:v>
                </c:pt>
                <c:pt idx="717">
                  <c:v>42759</c:v>
                </c:pt>
                <c:pt idx="718">
                  <c:v>42760</c:v>
                </c:pt>
                <c:pt idx="719">
                  <c:v>42761</c:v>
                </c:pt>
                <c:pt idx="720">
                  <c:v>42762</c:v>
                </c:pt>
                <c:pt idx="721">
                  <c:v>42763</c:v>
                </c:pt>
                <c:pt idx="722">
                  <c:v>42764</c:v>
                </c:pt>
                <c:pt idx="723">
                  <c:v>42765</c:v>
                </c:pt>
                <c:pt idx="724">
                  <c:v>42766</c:v>
                </c:pt>
                <c:pt idx="725">
                  <c:v>42767</c:v>
                </c:pt>
                <c:pt idx="726">
                  <c:v>42768</c:v>
                </c:pt>
                <c:pt idx="727">
                  <c:v>42769</c:v>
                </c:pt>
                <c:pt idx="728">
                  <c:v>42770</c:v>
                </c:pt>
                <c:pt idx="729">
                  <c:v>42771</c:v>
                </c:pt>
                <c:pt idx="730">
                  <c:v>42772</c:v>
                </c:pt>
                <c:pt idx="731">
                  <c:v>42773</c:v>
                </c:pt>
                <c:pt idx="732">
                  <c:v>42774</c:v>
                </c:pt>
                <c:pt idx="733">
                  <c:v>42775</c:v>
                </c:pt>
                <c:pt idx="734">
                  <c:v>42776</c:v>
                </c:pt>
                <c:pt idx="735">
                  <c:v>42777</c:v>
                </c:pt>
                <c:pt idx="736">
                  <c:v>42778</c:v>
                </c:pt>
                <c:pt idx="737">
                  <c:v>42779</c:v>
                </c:pt>
                <c:pt idx="738">
                  <c:v>42780</c:v>
                </c:pt>
                <c:pt idx="739">
                  <c:v>42781</c:v>
                </c:pt>
                <c:pt idx="740">
                  <c:v>42782</c:v>
                </c:pt>
                <c:pt idx="741">
                  <c:v>42783</c:v>
                </c:pt>
                <c:pt idx="742">
                  <c:v>42784</c:v>
                </c:pt>
                <c:pt idx="743">
                  <c:v>42785</c:v>
                </c:pt>
                <c:pt idx="744">
                  <c:v>42786</c:v>
                </c:pt>
                <c:pt idx="745">
                  <c:v>42787</c:v>
                </c:pt>
                <c:pt idx="746">
                  <c:v>42788</c:v>
                </c:pt>
                <c:pt idx="747">
                  <c:v>42789</c:v>
                </c:pt>
                <c:pt idx="748">
                  <c:v>42790</c:v>
                </c:pt>
                <c:pt idx="749">
                  <c:v>42791</c:v>
                </c:pt>
                <c:pt idx="750">
                  <c:v>42792</c:v>
                </c:pt>
                <c:pt idx="751">
                  <c:v>42793</c:v>
                </c:pt>
                <c:pt idx="752">
                  <c:v>42794</c:v>
                </c:pt>
                <c:pt idx="753">
                  <c:v>42795</c:v>
                </c:pt>
                <c:pt idx="754">
                  <c:v>42796</c:v>
                </c:pt>
                <c:pt idx="755">
                  <c:v>42797</c:v>
                </c:pt>
                <c:pt idx="756">
                  <c:v>42798</c:v>
                </c:pt>
                <c:pt idx="757">
                  <c:v>42799</c:v>
                </c:pt>
                <c:pt idx="758">
                  <c:v>42800</c:v>
                </c:pt>
                <c:pt idx="759">
                  <c:v>42801</c:v>
                </c:pt>
                <c:pt idx="760">
                  <c:v>42802</c:v>
                </c:pt>
                <c:pt idx="761">
                  <c:v>42803</c:v>
                </c:pt>
                <c:pt idx="762">
                  <c:v>42804</c:v>
                </c:pt>
                <c:pt idx="763">
                  <c:v>42805</c:v>
                </c:pt>
                <c:pt idx="764">
                  <c:v>42806</c:v>
                </c:pt>
                <c:pt idx="765">
                  <c:v>42807</c:v>
                </c:pt>
                <c:pt idx="766">
                  <c:v>42808</c:v>
                </c:pt>
                <c:pt idx="767">
                  <c:v>42809</c:v>
                </c:pt>
                <c:pt idx="768">
                  <c:v>42810</c:v>
                </c:pt>
                <c:pt idx="769">
                  <c:v>42811</c:v>
                </c:pt>
                <c:pt idx="770">
                  <c:v>42812</c:v>
                </c:pt>
                <c:pt idx="771">
                  <c:v>42813</c:v>
                </c:pt>
                <c:pt idx="772">
                  <c:v>42814</c:v>
                </c:pt>
                <c:pt idx="773">
                  <c:v>42815</c:v>
                </c:pt>
                <c:pt idx="774">
                  <c:v>42816</c:v>
                </c:pt>
                <c:pt idx="775">
                  <c:v>42817</c:v>
                </c:pt>
                <c:pt idx="776">
                  <c:v>42818</c:v>
                </c:pt>
                <c:pt idx="777">
                  <c:v>42819</c:v>
                </c:pt>
                <c:pt idx="778">
                  <c:v>42820</c:v>
                </c:pt>
                <c:pt idx="779">
                  <c:v>42821</c:v>
                </c:pt>
                <c:pt idx="780">
                  <c:v>42822</c:v>
                </c:pt>
                <c:pt idx="781">
                  <c:v>42823</c:v>
                </c:pt>
                <c:pt idx="782">
                  <c:v>42824</c:v>
                </c:pt>
                <c:pt idx="783">
                  <c:v>42825</c:v>
                </c:pt>
                <c:pt idx="784">
                  <c:v>42826</c:v>
                </c:pt>
                <c:pt idx="785">
                  <c:v>42827</c:v>
                </c:pt>
                <c:pt idx="786">
                  <c:v>42828</c:v>
                </c:pt>
                <c:pt idx="787">
                  <c:v>42829</c:v>
                </c:pt>
                <c:pt idx="788">
                  <c:v>42830</c:v>
                </c:pt>
                <c:pt idx="789">
                  <c:v>42831</c:v>
                </c:pt>
                <c:pt idx="790">
                  <c:v>42832</c:v>
                </c:pt>
                <c:pt idx="791">
                  <c:v>42833</c:v>
                </c:pt>
                <c:pt idx="792">
                  <c:v>42834</c:v>
                </c:pt>
                <c:pt idx="793">
                  <c:v>42835</c:v>
                </c:pt>
                <c:pt idx="794">
                  <c:v>42836</c:v>
                </c:pt>
                <c:pt idx="795">
                  <c:v>42837</c:v>
                </c:pt>
                <c:pt idx="796">
                  <c:v>42838</c:v>
                </c:pt>
                <c:pt idx="797">
                  <c:v>42839</c:v>
                </c:pt>
                <c:pt idx="798">
                  <c:v>42840</c:v>
                </c:pt>
                <c:pt idx="799">
                  <c:v>42841</c:v>
                </c:pt>
                <c:pt idx="800">
                  <c:v>42842</c:v>
                </c:pt>
                <c:pt idx="801">
                  <c:v>42843</c:v>
                </c:pt>
                <c:pt idx="802">
                  <c:v>42844</c:v>
                </c:pt>
                <c:pt idx="803">
                  <c:v>42845</c:v>
                </c:pt>
                <c:pt idx="804">
                  <c:v>42846</c:v>
                </c:pt>
                <c:pt idx="805">
                  <c:v>42847</c:v>
                </c:pt>
                <c:pt idx="806">
                  <c:v>42848</c:v>
                </c:pt>
                <c:pt idx="807">
                  <c:v>42849</c:v>
                </c:pt>
                <c:pt idx="808">
                  <c:v>42850</c:v>
                </c:pt>
                <c:pt idx="809">
                  <c:v>42851</c:v>
                </c:pt>
                <c:pt idx="810">
                  <c:v>42852</c:v>
                </c:pt>
                <c:pt idx="811">
                  <c:v>42853</c:v>
                </c:pt>
                <c:pt idx="812">
                  <c:v>42854</c:v>
                </c:pt>
                <c:pt idx="813">
                  <c:v>42855</c:v>
                </c:pt>
                <c:pt idx="814">
                  <c:v>42856</c:v>
                </c:pt>
                <c:pt idx="815">
                  <c:v>42857</c:v>
                </c:pt>
                <c:pt idx="816">
                  <c:v>42858</c:v>
                </c:pt>
                <c:pt idx="817">
                  <c:v>42859</c:v>
                </c:pt>
                <c:pt idx="818">
                  <c:v>42860</c:v>
                </c:pt>
                <c:pt idx="819">
                  <c:v>42861</c:v>
                </c:pt>
                <c:pt idx="820">
                  <c:v>42862</c:v>
                </c:pt>
                <c:pt idx="821">
                  <c:v>42863</c:v>
                </c:pt>
                <c:pt idx="822">
                  <c:v>42864</c:v>
                </c:pt>
                <c:pt idx="823">
                  <c:v>42865</c:v>
                </c:pt>
                <c:pt idx="824">
                  <c:v>42866</c:v>
                </c:pt>
                <c:pt idx="825">
                  <c:v>42867</c:v>
                </c:pt>
                <c:pt idx="826">
                  <c:v>42868</c:v>
                </c:pt>
                <c:pt idx="827">
                  <c:v>42869</c:v>
                </c:pt>
                <c:pt idx="828">
                  <c:v>42870</c:v>
                </c:pt>
                <c:pt idx="829">
                  <c:v>42871</c:v>
                </c:pt>
                <c:pt idx="830">
                  <c:v>42872</c:v>
                </c:pt>
                <c:pt idx="831">
                  <c:v>42873</c:v>
                </c:pt>
                <c:pt idx="832">
                  <c:v>42874</c:v>
                </c:pt>
                <c:pt idx="833">
                  <c:v>42875</c:v>
                </c:pt>
                <c:pt idx="834">
                  <c:v>42876</c:v>
                </c:pt>
                <c:pt idx="835">
                  <c:v>42877</c:v>
                </c:pt>
                <c:pt idx="836">
                  <c:v>42878</c:v>
                </c:pt>
                <c:pt idx="837">
                  <c:v>42879</c:v>
                </c:pt>
                <c:pt idx="838">
                  <c:v>42880</c:v>
                </c:pt>
                <c:pt idx="839">
                  <c:v>42881</c:v>
                </c:pt>
                <c:pt idx="840">
                  <c:v>42882</c:v>
                </c:pt>
                <c:pt idx="841">
                  <c:v>42883</c:v>
                </c:pt>
                <c:pt idx="842">
                  <c:v>42884</c:v>
                </c:pt>
                <c:pt idx="843">
                  <c:v>42885</c:v>
                </c:pt>
                <c:pt idx="844">
                  <c:v>42886</c:v>
                </c:pt>
                <c:pt idx="845">
                  <c:v>42887</c:v>
                </c:pt>
                <c:pt idx="846">
                  <c:v>42888</c:v>
                </c:pt>
                <c:pt idx="847">
                  <c:v>42889</c:v>
                </c:pt>
                <c:pt idx="848">
                  <c:v>42890</c:v>
                </c:pt>
                <c:pt idx="849">
                  <c:v>42891</c:v>
                </c:pt>
                <c:pt idx="850">
                  <c:v>42892</c:v>
                </c:pt>
                <c:pt idx="851">
                  <c:v>42893</c:v>
                </c:pt>
                <c:pt idx="852">
                  <c:v>42894</c:v>
                </c:pt>
                <c:pt idx="853">
                  <c:v>42895</c:v>
                </c:pt>
                <c:pt idx="854">
                  <c:v>42896</c:v>
                </c:pt>
                <c:pt idx="855">
                  <c:v>42897</c:v>
                </c:pt>
                <c:pt idx="856">
                  <c:v>42898</c:v>
                </c:pt>
                <c:pt idx="857">
                  <c:v>42899</c:v>
                </c:pt>
                <c:pt idx="858">
                  <c:v>42900</c:v>
                </c:pt>
                <c:pt idx="859">
                  <c:v>42901</c:v>
                </c:pt>
                <c:pt idx="860">
                  <c:v>42902</c:v>
                </c:pt>
                <c:pt idx="861">
                  <c:v>42903</c:v>
                </c:pt>
                <c:pt idx="862">
                  <c:v>42904</c:v>
                </c:pt>
                <c:pt idx="863">
                  <c:v>42905</c:v>
                </c:pt>
                <c:pt idx="864">
                  <c:v>42906</c:v>
                </c:pt>
                <c:pt idx="865">
                  <c:v>42907</c:v>
                </c:pt>
                <c:pt idx="866">
                  <c:v>42908</c:v>
                </c:pt>
                <c:pt idx="867">
                  <c:v>42909</c:v>
                </c:pt>
                <c:pt idx="868">
                  <c:v>42910</c:v>
                </c:pt>
                <c:pt idx="869">
                  <c:v>42911</c:v>
                </c:pt>
                <c:pt idx="870">
                  <c:v>42912</c:v>
                </c:pt>
                <c:pt idx="871">
                  <c:v>42913</c:v>
                </c:pt>
                <c:pt idx="872">
                  <c:v>42914</c:v>
                </c:pt>
                <c:pt idx="873">
                  <c:v>42915</c:v>
                </c:pt>
                <c:pt idx="874">
                  <c:v>42916</c:v>
                </c:pt>
                <c:pt idx="875">
                  <c:v>42917</c:v>
                </c:pt>
                <c:pt idx="876">
                  <c:v>42918</c:v>
                </c:pt>
                <c:pt idx="877">
                  <c:v>42919</c:v>
                </c:pt>
                <c:pt idx="878">
                  <c:v>42920</c:v>
                </c:pt>
                <c:pt idx="879">
                  <c:v>42921</c:v>
                </c:pt>
                <c:pt idx="880">
                  <c:v>42922</c:v>
                </c:pt>
                <c:pt idx="881">
                  <c:v>42923</c:v>
                </c:pt>
                <c:pt idx="882">
                  <c:v>42924</c:v>
                </c:pt>
                <c:pt idx="883">
                  <c:v>42925</c:v>
                </c:pt>
                <c:pt idx="884">
                  <c:v>42926</c:v>
                </c:pt>
                <c:pt idx="885">
                  <c:v>42927</c:v>
                </c:pt>
                <c:pt idx="886">
                  <c:v>42928</c:v>
                </c:pt>
                <c:pt idx="887">
                  <c:v>42929</c:v>
                </c:pt>
                <c:pt idx="888">
                  <c:v>42930</c:v>
                </c:pt>
                <c:pt idx="889">
                  <c:v>42931</c:v>
                </c:pt>
                <c:pt idx="890">
                  <c:v>42932</c:v>
                </c:pt>
                <c:pt idx="891">
                  <c:v>42933</c:v>
                </c:pt>
                <c:pt idx="892">
                  <c:v>42934</c:v>
                </c:pt>
                <c:pt idx="893">
                  <c:v>42935</c:v>
                </c:pt>
                <c:pt idx="894">
                  <c:v>42936</c:v>
                </c:pt>
                <c:pt idx="895">
                  <c:v>42937</c:v>
                </c:pt>
                <c:pt idx="896">
                  <c:v>42938</c:v>
                </c:pt>
                <c:pt idx="897">
                  <c:v>42939</c:v>
                </c:pt>
                <c:pt idx="898">
                  <c:v>42940</c:v>
                </c:pt>
                <c:pt idx="899">
                  <c:v>42941</c:v>
                </c:pt>
                <c:pt idx="900">
                  <c:v>42942</c:v>
                </c:pt>
                <c:pt idx="901">
                  <c:v>42943</c:v>
                </c:pt>
                <c:pt idx="902">
                  <c:v>42944</c:v>
                </c:pt>
                <c:pt idx="903">
                  <c:v>42945</c:v>
                </c:pt>
                <c:pt idx="904">
                  <c:v>42946</c:v>
                </c:pt>
                <c:pt idx="905">
                  <c:v>42947</c:v>
                </c:pt>
                <c:pt idx="906">
                  <c:v>42948</c:v>
                </c:pt>
                <c:pt idx="907">
                  <c:v>42949</c:v>
                </c:pt>
                <c:pt idx="908">
                  <c:v>42950</c:v>
                </c:pt>
                <c:pt idx="909">
                  <c:v>42951</c:v>
                </c:pt>
                <c:pt idx="910">
                  <c:v>42952</c:v>
                </c:pt>
                <c:pt idx="911">
                  <c:v>42953</c:v>
                </c:pt>
                <c:pt idx="912">
                  <c:v>42954</c:v>
                </c:pt>
                <c:pt idx="913">
                  <c:v>42955</c:v>
                </c:pt>
                <c:pt idx="914">
                  <c:v>42956</c:v>
                </c:pt>
                <c:pt idx="915">
                  <c:v>42957</c:v>
                </c:pt>
                <c:pt idx="916">
                  <c:v>42958</c:v>
                </c:pt>
                <c:pt idx="917">
                  <c:v>42959</c:v>
                </c:pt>
                <c:pt idx="918">
                  <c:v>42960</c:v>
                </c:pt>
                <c:pt idx="919">
                  <c:v>42961</c:v>
                </c:pt>
                <c:pt idx="920">
                  <c:v>42962</c:v>
                </c:pt>
                <c:pt idx="921">
                  <c:v>42963</c:v>
                </c:pt>
                <c:pt idx="922">
                  <c:v>42964</c:v>
                </c:pt>
                <c:pt idx="923">
                  <c:v>42965</c:v>
                </c:pt>
                <c:pt idx="924">
                  <c:v>42966</c:v>
                </c:pt>
                <c:pt idx="925">
                  <c:v>42967</c:v>
                </c:pt>
                <c:pt idx="926">
                  <c:v>42968</c:v>
                </c:pt>
                <c:pt idx="927">
                  <c:v>42969</c:v>
                </c:pt>
                <c:pt idx="928">
                  <c:v>42970</c:v>
                </c:pt>
                <c:pt idx="929">
                  <c:v>42971</c:v>
                </c:pt>
                <c:pt idx="930">
                  <c:v>42972</c:v>
                </c:pt>
                <c:pt idx="931">
                  <c:v>42973</c:v>
                </c:pt>
                <c:pt idx="932">
                  <c:v>42974</c:v>
                </c:pt>
                <c:pt idx="933">
                  <c:v>42975</c:v>
                </c:pt>
                <c:pt idx="934">
                  <c:v>42976</c:v>
                </c:pt>
                <c:pt idx="935">
                  <c:v>42977</c:v>
                </c:pt>
                <c:pt idx="936">
                  <c:v>42978</c:v>
                </c:pt>
                <c:pt idx="937">
                  <c:v>42979</c:v>
                </c:pt>
                <c:pt idx="938">
                  <c:v>42980</c:v>
                </c:pt>
                <c:pt idx="939">
                  <c:v>42981</c:v>
                </c:pt>
                <c:pt idx="940">
                  <c:v>42982</c:v>
                </c:pt>
                <c:pt idx="941">
                  <c:v>42983</c:v>
                </c:pt>
                <c:pt idx="942">
                  <c:v>42984</c:v>
                </c:pt>
                <c:pt idx="943">
                  <c:v>42985</c:v>
                </c:pt>
                <c:pt idx="944">
                  <c:v>42986</c:v>
                </c:pt>
                <c:pt idx="945">
                  <c:v>42987</c:v>
                </c:pt>
                <c:pt idx="946">
                  <c:v>42988</c:v>
                </c:pt>
                <c:pt idx="947">
                  <c:v>42989</c:v>
                </c:pt>
                <c:pt idx="948">
                  <c:v>42990</c:v>
                </c:pt>
                <c:pt idx="949">
                  <c:v>42991</c:v>
                </c:pt>
                <c:pt idx="950">
                  <c:v>42992</c:v>
                </c:pt>
                <c:pt idx="951">
                  <c:v>42993</c:v>
                </c:pt>
                <c:pt idx="952">
                  <c:v>42994</c:v>
                </c:pt>
                <c:pt idx="953">
                  <c:v>42995</c:v>
                </c:pt>
                <c:pt idx="954">
                  <c:v>42996</c:v>
                </c:pt>
                <c:pt idx="955">
                  <c:v>42997</c:v>
                </c:pt>
                <c:pt idx="956">
                  <c:v>42998</c:v>
                </c:pt>
                <c:pt idx="957">
                  <c:v>42999</c:v>
                </c:pt>
                <c:pt idx="958">
                  <c:v>43000</c:v>
                </c:pt>
                <c:pt idx="959">
                  <c:v>43001</c:v>
                </c:pt>
                <c:pt idx="960">
                  <c:v>43002</c:v>
                </c:pt>
                <c:pt idx="961">
                  <c:v>43003</c:v>
                </c:pt>
                <c:pt idx="962">
                  <c:v>43004</c:v>
                </c:pt>
                <c:pt idx="963">
                  <c:v>43005</c:v>
                </c:pt>
                <c:pt idx="964">
                  <c:v>43006</c:v>
                </c:pt>
                <c:pt idx="965">
                  <c:v>43007</c:v>
                </c:pt>
                <c:pt idx="966">
                  <c:v>43008</c:v>
                </c:pt>
                <c:pt idx="967">
                  <c:v>43009</c:v>
                </c:pt>
                <c:pt idx="968">
                  <c:v>43010</c:v>
                </c:pt>
                <c:pt idx="969">
                  <c:v>43011</c:v>
                </c:pt>
                <c:pt idx="970">
                  <c:v>43012</c:v>
                </c:pt>
                <c:pt idx="971">
                  <c:v>43013</c:v>
                </c:pt>
                <c:pt idx="972">
                  <c:v>43014</c:v>
                </c:pt>
                <c:pt idx="973">
                  <c:v>43015</c:v>
                </c:pt>
                <c:pt idx="974">
                  <c:v>43016</c:v>
                </c:pt>
                <c:pt idx="975">
                  <c:v>43017</c:v>
                </c:pt>
                <c:pt idx="976">
                  <c:v>43018</c:v>
                </c:pt>
                <c:pt idx="977">
                  <c:v>43019</c:v>
                </c:pt>
                <c:pt idx="978">
                  <c:v>43020</c:v>
                </c:pt>
                <c:pt idx="979">
                  <c:v>43021</c:v>
                </c:pt>
                <c:pt idx="980">
                  <c:v>43022</c:v>
                </c:pt>
                <c:pt idx="981">
                  <c:v>43023</c:v>
                </c:pt>
                <c:pt idx="982">
                  <c:v>43024</c:v>
                </c:pt>
                <c:pt idx="983">
                  <c:v>43025</c:v>
                </c:pt>
                <c:pt idx="984">
                  <c:v>43026</c:v>
                </c:pt>
                <c:pt idx="985">
                  <c:v>43027</c:v>
                </c:pt>
                <c:pt idx="986">
                  <c:v>43028</c:v>
                </c:pt>
                <c:pt idx="987">
                  <c:v>43029</c:v>
                </c:pt>
                <c:pt idx="988">
                  <c:v>43030</c:v>
                </c:pt>
                <c:pt idx="989">
                  <c:v>43031</c:v>
                </c:pt>
                <c:pt idx="990">
                  <c:v>43032</c:v>
                </c:pt>
                <c:pt idx="991">
                  <c:v>43033</c:v>
                </c:pt>
                <c:pt idx="992">
                  <c:v>43034</c:v>
                </c:pt>
                <c:pt idx="993">
                  <c:v>43035</c:v>
                </c:pt>
                <c:pt idx="994">
                  <c:v>43036</c:v>
                </c:pt>
                <c:pt idx="995">
                  <c:v>43037</c:v>
                </c:pt>
                <c:pt idx="996">
                  <c:v>43038</c:v>
                </c:pt>
                <c:pt idx="997">
                  <c:v>43039</c:v>
                </c:pt>
                <c:pt idx="998">
                  <c:v>43040</c:v>
                </c:pt>
                <c:pt idx="999">
                  <c:v>43041</c:v>
                </c:pt>
                <c:pt idx="1000">
                  <c:v>43042</c:v>
                </c:pt>
                <c:pt idx="1001">
                  <c:v>43043</c:v>
                </c:pt>
                <c:pt idx="1002">
                  <c:v>43044</c:v>
                </c:pt>
                <c:pt idx="1003">
                  <c:v>43045</c:v>
                </c:pt>
                <c:pt idx="1004">
                  <c:v>43046</c:v>
                </c:pt>
                <c:pt idx="1005">
                  <c:v>43047</c:v>
                </c:pt>
                <c:pt idx="1006">
                  <c:v>43048</c:v>
                </c:pt>
                <c:pt idx="1007">
                  <c:v>43049</c:v>
                </c:pt>
                <c:pt idx="1008">
                  <c:v>43050</c:v>
                </c:pt>
                <c:pt idx="1009">
                  <c:v>43051</c:v>
                </c:pt>
                <c:pt idx="1010">
                  <c:v>43052</c:v>
                </c:pt>
                <c:pt idx="1011">
                  <c:v>43053</c:v>
                </c:pt>
                <c:pt idx="1012">
                  <c:v>43054</c:v>
                </c:pt>
                <c:pt idx="1013">
                  <c:v>43055</c:v>
                </c:pt>
                <c:pt idx="1014">
                  <c:v>43056</c:v>
                </c:pt>
                <c:pt idx="1015">
                  <c:v>43057</c:v>
                </c:pt>
                <c:pt idx="1016">
                  <c:v>43058</c:v>
                </c:pt>
                <c:pt idx="1017">
                  <c:v>43059</c:v>
                </c:pt>
                <c:pt idx="1018">
                  <c:v>43060</c:v>
                </c:pt>
                <c:pt idx="1019">
                  <c:v>43061</c:v>
                </c:pt>
                <c:pt idx="1020">
                  <c:v>43062</c:v>
                </c:pt>
                <c:pt idx="1021">
                  <c:v>43063</c:v>
                </c:pt>
                <c:pt idx="1022">
                  <c:v>43064</c:v>
                </c:pt>
                <c:pt idx="1023">
                  <c:v>43065</c:v>
                </c:pt>
                <c:pt idx="1024">
                  <c:v>43066</c:v>
                </c:pt>
                <c:pt idx="1025">
                  <c:v>43067</c:v>
                </c:pt>
                <c:pt idx="1026">
                  <c:v>43068</c:v>
                </c:pt>
                <c:pt idx="1027">
                  <c:v>43069</c:v>
                </c:pt>
                <c:pt idx="1028">
                  <c:v>43070</c:v>
                </c:pt>
                <c:pt idx="1029">
                  <c:v>43071</c:v>
                </c:pt>
                <c:pt idx="1030">
                  <c:v>43072</c:v>
                </c:pt>
                <c:pt idx="1031">
                  <c:v>43073</c:v>
                </c:pt>
                <c:pt idx="1032">
                  <c:v>43074</c:v>
                </c:pt>
                <c:pt idx="1033">
                  <c:v>43075</c:v>
                </c:pt>
                <c:pt idx="1034">
                  <c:v>43076</c:v>
                </c:pt>
                <c:pt idx="1035">
                  <c:v>43077</c:v>
                </c:pt>
                <c:pt idx="1036">
                  <c:v>43078</c:v>
                </c:pt>
                <c:pt idx="1037">
                  <c:v>43079</c:v>
                </c:pt>
                <c:pt idx="1038">
                  <c:v>43080</c:v>
                </c:pt>
                <c:pt idx="1039">
                  <c:v>43081</c:v>
                </c:pt>
                <c:pt idx="1040">
                  <c:v>43082</c:v>
                </c:pt>
                <c:pt idx="1041">
                  <c:v>43083</c:v>
                </c:pt>
                <c:pt idx="1042">
                  <c:v>43084</c:v>
                </c:pt>
                <c:pt idx="1043">
                  <c:v>43085</c:v>
                </c:pt>
                <c:pt idx="1044">
                  <c:v>43086</c:v>
                </c:pt>
                <c:pt idx="1045">
                  <c:v>43087</c:v>
                </c:pt>
                <c:pt idx="1046">
                  <c:v>43088</c:v>
                </c:pt>
                <c:pt idx="1047">
                  <c:v>43089</c:v>
                </c:pt>
                <c:pt idx="1048">
                  <c:v>43090</c:v>
                </c:pt>
                <c:pt idx="1049">
                  <c:v>43091</c:v>
                </c:pt>
                <c:pt idx="1050">
                  <c:v>43092</c:v>
                </c:pt>
                <c:pt idx="1051">
                  <c:v>43093</c:v>
                </c:pt>
                <c:pt idx="1052">
                  <c:v>43094</c:v>
                </c:pt>
                <c:pt idx="1053">
                  <c:v>43095</c:v>
                </c:pt>
                <c:pt idx="1054">
                  <c:v>43096</c:v>
                </c:pt>
                <c:pt idx="1055">
                  <c:v>43097</c:v>
                </c:pt>
                <c:pt idx="1056">
                  <c:v>43098</c:v>
                </c:pt>
                <c:pt idx="1057">
                  <c:v>43099</c:v>
                </c:pt>
                <c:pt idx="1058">
                  <c:v>43100</c:v>
                </c:pt>
                <c:pt idx="1059">
                  <c:v>43101</c:v>
                </c:pt>
                <c:pt idx="1060">
                  <c:v>43102</c:v>
                </c:pt>
                <c:pt idx="1061">
                  <c:v>43103</c:v>
                </c:pt>
                <c:pt idx="1062">
                  <c:v>43104</c:v>
                </c:pt>
                <c:pt idx="1063">
                  <c:v>43105</c:v>
                </c:pt>
                <c:pt idx="1064">
                  <c:v>43106</c:v>
                </c:pt>
                <c:pt idx="1065">
                  <c:v>43107</c:v>
                </c:pt>
                <c:pt idx="1066">
                  <c:v>43108</c:v>
                </c:pt>
                <c:pt idx="1067">
                  <c:v>43109</c:v>
                </c:pt>
                <c:pt idx="1068">
                  <c:v>43110</c:v>
                </c:pt>
                <c:pt idx="1069">
                  <c:v>43111</c:v>
                </c:pt>
                <c:pt idx="1070">
                  <c:v>43112</c:v>
                </c:pt>
                <c:pt idx="1071">
                  <c:v>43113</c:v>
                </c:pt>
                <c:pt idx="1072">
                  <c:v>43114</c:v>
                </c:pt>
                <c:pt idx="1073">
                  <c:v>43115</c:v>
                </c:pt>
                <c:pt idx="1074">
                  <c:v>43116</c:v>
                </c:pt>
                <c:pt idx="1075">
                  <c:v>43117</c:v>
                </c:pt>
                <c:pt idx="1076">
                  <c:v>43118</c:v>
                </c:pt>
                <c:pt idx="1077">
                  <c:v>43119</c:v>
                </c:pt>
                <c:pt idx="1078">
                  <c:v>43120</c:v>
                </c:pt>
                <c:pt idx="1079">
                  <c:v>43121</c:v>
                </c:pt>
                <c:pt idx="1080">
                  <c:v>43122</c:v>
                </c:pt>
                <c:pt idx="1081">
                  <c:v>43123</c:v>
                </c:pt>
                <c:pt idx="1082">
                  <c:v>43124</c:v>
                </c:pt>
                <c:pt idx="1083">
                  <c:v>43125</c:v>
                </c:pt>
                <c:pt idx="1084">
                  <c:v>43126</c:v>
                </c:pt>
                <c:pt idx="1085">
                  <c:v>43127</c:v>
                </c:pt>
                <c:pt idx="1086">
                  <c:v>43128</c:v>
                </c:pt>
                <c:pt idx="1087">
                  <c:v>43129</c:v>
                </c:pt>
                <c:pt idx="1088">
                  <c:v>43130</c:v>
                </c:pt>
                <c:pt idx="1089">
                  <c:v>43131</c:v>
                </c:pt>
                <c:pt idx="1090">
                  <c:v>43132</c:v>
                </c:pt>
                <c:pt idx="1091">
                  <c:v>43133</c:v>
                </c:pt>
                <c:pt idx="1092">
                  <c:v>43134</c:v>
                </c:pt>
                <c:pt idx="1093">
                  <c:v>43135</c:v>
                </c:pt>
                <c:pt idx="1094">
                  <c:v>43136</c:v>
                </c:pt>
                <c:pt idx="1095">
                  <c:v>43137</c:v>
                </c:pt>
                <c:pt idx="1096">
                  <c:v>43138</c:v>
                </c:pt>
                <c:pt idx="1097">
                  <c:v>43139</c:v>
                </c:pt>
                <c:pt idx="1098">
                  <c:v>43140</c:v>
                </c:pt>
                <c:pt idx="1099">
                  <c:v>43141</c:v>
                </c:pt>
                <c:pt idx="1100">
                  <c:v>43142</c:v>
                </c:pt>
                <c:pt idx="1101">
                  <c:v>43143</c:v>
                </c:pt>
                <c:pt idx="1102">
                  <c:v>43144</c:v>
                </c:pt>
                <c:pt idx="1103">
                  <c:v>43145</c:v>
                </c:pt>
                <c:pt idx="1104">
                  <c:v>43146</c:v>
                </c:pt>
                <c:pt idx="1105">
                  <c:v>43147</c:v>
                </c:pt>
                <c:pt idx="1106">
                  <c:v>43148</c:v>
                </c:pt>
                <c:pt idx="1107">
                  <c:v>43149</c:v>
                </c:pt>
                <c:pt idx="1108">
                  <c:v>43150</c:v>
                </c:pt>
                <c:pt idx="1109">
                  <c:v>43151</c:v>
                </c:pt>
                <c:pt idx="1110">
                  <c:v>43152</c:v>
                </c:pt>
                <c:pt idx="1111">
                  <c:v>43153</c:v>
                </c:pt>
                <c:pt idx="1112">
                  <c:v>43154</c:v>
                </c:pt>
                <c:pt idx="1113">
                  <c:v>43155</c:v>
                </c:pt>
                <c:pt idx="1114">
                  <c:v>43156</c:v>
                </c:pt>
                <c:pt idx="1115">
                  <c:v>43157</c:v>
                </c:pt>
                <c:pt idx="1116">
                  <c:v>43158</c:v>
                </c:pt>
                <c:pt idx="1117">
                  <c:v>43159</c:v>
                </c:pt>
                <c:pt idx="1118">
                  <c:v>43160</c:v>
                </c:pt>
                <c:pt idx="1119">
                  <c:v>43161</c:v>
                </c:pt>
                <c:pt idx="1120">
                  <c:v>43162</c:v>
                </c:pt>
                <c:pt idx="1121">
                  <c:v>43163</c:v>
                </c:pt>
                <c:pt idx="1122">
                  <c:v>43164</c:v>
                </c:pt>
                <c:pt idx="1123">
                  <c:v>43165</c:v>
                </c:pt>
                <c:pt idx="1124">
                  <c:v>43166</c:v>
                </c:pt>
                <c:pt idx="1125">
                  <c:v>43167</c:v>
                </c:pt>
                <c:pt idx="1126">
                  <c:v>43168</c:v>
                </c:pt>
                <c:pt idx="1127">
                  <c:v>43169</c:v>
                </c:pt>
                <c:pt idx="1128">
                  <c:v>43170</c:v>
                </c:pt>
                <c:pt idx="1129">
                  <c:v>43171</c:v>
                </c:pt>
                <c:pt idx="1130">
                  <c:v>43172</c:v>
                </c:pt>
                <c:pt idx="1131">
                  <c:v>43173</c:v>
                </c:pt>
                <c:pt idx="1132">
                  <c:v>43174</c:v>
                </c:pt>
                <c:pt idx="1133">
                  <c:v>43175</c:v>
                </c:pt>
                <c:pt idx="1134">
                  <c:v>43176</c:v>
                </c:pt>
                <c:pt idx="1135">
                  <c:v>43177</c:v>
                </c:pt>
                <c:pt idx="1136">
                  <c:v>43178</c:v>
                </c:pt>
                <c:pt idx="1137">
                  <c:v>43179</c:v>
                </c:pt>
                <c:pt idx="1138">
                  <c:v>43180</c:v>
                </c:pt>
                <c:pt idx="1139">
                  <c:v>43181</c:v>
                </c:pt>
                <c:pt idx="1140">
                  <c:v>43182</c:v>
                </c:pt>
                <c:pt idx="1141">
                  <c:v>43183</c:v>
                </c:pt>
                <c:pt idx="1142">
                  <c:v>43184</c:v>
                </c:pt>
                <c:pt idx="1143">
                  <c:v>43185</c:v>
                </c:pt>
                <c:pt idx="1144">
                  <c:v>43186</c:v>
                </c:pt>
                <c:pt idx="1145">
                  <c:v>43187</c:v>
                </c:pt>
                <c:pt idx="1146">
                  <c:v>43188</c:v>
                </c:pt>
                <c:pt idx="1147">
                  <c:v>43189</c:v>
                </c:pt>
                <c:pt idx="1148">
                  <c:v>43190</c:v>
                </c:pt>
                <c:pt idx="1149">
                  <c:v>43191</c:v>
                </c:pt>
                <c:pt idx="1150">
                  <c:v>43192</c:v>
                </c:pt>
                <c:pt idx="1151">
                  <c:v>43193</c:v>
                </c:pt>
                <c:pt idx="1152">
                  <c:v>43194</c:v>
                </c:pt>
                <c:pt idx="1153">
                  <c:v>43195</c:v>
                </c:pt>
                <c:pt idx="1154">
                  <c:v>43196</c:v>
                </c:pt>
                <c:pt idx="1155">
                  <c:v>43197</c:v>
                </c:pt>
                <c:pt idx="1156">
                  <c:v>43198</c:v>
                </c:pt>
                <c:pt idx="1157">
                  <c:v>43199</c:v>
                </c:pt>
                <c:pt idx="1158">
                  <c:v>43200</c:v>
                </c:pt>
                <c:pt idx="1159">
                  <c:v>43201</c:v>
                </c:pt>
                <c:pt idx="1160">
                  <c:v>43202</c:v>
                </c:pt>
                <c:pt idx="1161">
                  <c:v>43203</c:v>
                </c:pt>
                <c:pt idx="1162">
                  <c:v>43204</c:v>
                </c:pt>
                <c:pt idx="1163">
                  <c:v>43205</c:v>
                </c:pt>
                <c:pt idx="1164">
                  <c:v>43206</c:v>
                </c:pt>
                <c:pt idx="1165">
                  <c:v>43207</c:v>
                </c:pt>
                <c:pt idx="1166">
                  <c:v>43208</c:v>
                </c:pt>
                <c:pt idx="1167">
                  <c:v>43209</c:v>
                </c:pt>
                <c:pt idx="1168">
                  <c:v>43210</c:v>
                </c:pt>
                <c:pt idx="1169">
                  <c:v>43211</c:v>
                </c:pt>
                <c:pt idx="1170">
                  <c:v>43212</c:v>
                </c:pt>
                <c:pt idx="1171">
                  <c:v>43213</c:v>
                </c:pt>
                <c:pt idx="1172">
                  <c:v>43214</c:v>
                </c:pt>
                <c:pt idx="1173">
                  <c:v>43215</c:v>
                </c:pt>
                <c:pt idx="1174">
                  <c:v>43216</c:v>
                </c:pt>
                <c:pt idx="1175">
                  <c:v>43217</c:v>
                </c:pt>
                <c:pt idx="1176">
                  <c:v>43218</c:v>
                </c:pt>
                <c:pt idx="1177">
                  <c:v>43219</c:v>
                </c:pt>
                <c:pt idx="1178">
                  <c:v>43220</c:v>
                </c:pt>
                <c:pt idx="1179">
                  <c:v>43221</c:v>
                </c:pt>
                <c:pt idx="1180">
                  <c:v>43222</c:v>
                </c:pt>
                <c:pt idx="1181">
                  <c:v>43223</c:v>
                </c:pt>
                <c:pt idx="1182">
                  <c:v>43224</c:v>
                </c:pt>
                <c:pt idx="1183">
                  <c:v>43225</c:v>
                </c:pt>
                <c:pt idx="1184">
                  <c:v>43226</c:v>
                </c:pt>
                <c:pt idx="1185">
                  <c:v>43227</c:v>
                </c:pt>
                <c:pt idx="1186">
                  <c:v>43228</c:v>
                </c:pt>
                <c:pt idx="1187">
                  <c:v>43229</c:v>
                </c:pt>
                <c:pt idx="1188">
                  <c:v>43230</c:v>
                </c:pt>
                <c:pt idx="1189">
                  <c:v>43231</c:v>
                </c:pt>
                <c:pt idx="1190">
                  <c:v>43232</c:v>
                </c:pt>
                <c:pt idx="1191">
                  <c:v>43233</c:v>
                </c:pt>
                <c:pt idx="1192">
                  <c:v>43234</c:v>
                </c:pt>
                <c:pt idx="1193">
                  <c:v>43235</c:v>
                </c:pt>
                <c:pt idx="1194">
                  <c:v>43236</c:v>
                </c:pt>
                <c:pt idx="1195">
                  <c:v>43237</c:v>
                </c:pt>
                <c:pt idx="1196">
                  <c:v>43238</c:v>
                </c:pt>
                <c:pt idx="1197">
                  <c:v>43239</c:v>
                </c:pt>
                <c:pt idx="1198">
                  <c:v>43240</c:v>
                </c:pt>
                <c:pt idx="1199">
                  <c:v>43241</c:v>
                </c:pt>
                <c:pt idx="1200">
                  <c:v>43242</c:v>
                </c:pt>
                <c:pt idx="1201">
                  <c:v>43243</c:v>
                </c:pt>
                <c:pt idx="1202">
                  <c:v>43244</c:v>
                </c:pt>
                <c:pt idx="1203">
                  <c:v>43245</c:v>
                </c:pt>
                <c:pt idx="1204">
                  <c:v>43246</c:v>
                </c:pt>
                <c:pt idx="1205">
                  <c:v>43247</c:v>
                </c:pt>
                <c:pt idx="1206">
                  <c:v>43248</c:v>
                </c:pt>
                <c:pt idx="1207">
                  <c:v>43249</c:v>
                </c:pt>
                <c:pt idx="1208">
                  <c:v>43250</c:v>
                </c:pt>
                <c:pt idx="1209">
                  <c:v>43251</c:v>
                </c:pt>
                <c:pt idx="1210">
                  <c:v>43252</c:v>
                </c:pt>
                <c:pt idx="1211">
                  <c:v>43253</c:v>
                </c:pt>
                <c:pt idx="1212">
                  <c:v>43254</c:v>
                </c:pt>
                <c:pt idx="1213">
                  <c:v>43255</c:v>
                </c:pt>
                <c:pt idx="1214">
                  <c:v>43256</c:v>
                </c:pt>
                <c:pt idx="1215">
                  <c:v>43257</c:v>
                </c:pt>
                <c:pt idx="1216">
                  <c:v>43258</c:v>
                </c:pt>
                <c:pt idx="1217">
                  <c:v>43259</c:v>
                </c:pt>
                <c:pt idx="1218">
                  <c:v>43260</c:v>
                </c:pt>
                <c:pt idx="1219">
                  <c:v>43261</c:v>
                </c:pt>
                <c:pt idx="1220">
                  <c:v>43262</c:v>
                </c:pt>
                <c:pt idx="1221">
                  <c:v>43263</c:v>
                </c:pt>
                <c:pt idx="1222">
                  <c:v>43264</c:v>
                </c:pt>
                <c:pt idx="1223">
                  <c:v>43265</c:v>
                </c:pt>
                <c:pt idx="1224">
                  <c:v>43266</c:v>
                </c:pt>
                <c:pt idx="1225">
                  <c:v>43267</c:v>
                </c:pt>
                <c:pt idx="1226">
                  <c:v>43268</c:v>
                </c:pt>
                <c:pt idx="1227">
                  <c:v>43269</c:v>
                </c:pt>
                <c:pt idx="1228">
                  <c:v>43270</c:v>
                </c:pt>
                <c:pt idx="1229">
                  <c:v>43271</c:v>
                </c:pt>
                <c:pt idx="1230">
                  <c:v>43272</c:v>
                </c:pt>
                <c:pt idx="1231">
                  <c:v>43273</c:v>
                </c:pt>
                <c:pt idx="1232">
                  <c:v>43274</c:v>
                </c:pt>
                <c:pt idx="1233">
                  <c:v>43275</c:v>
                </c:pt>
                <c:pt idx="1234">
                  <c:v>43276</c:v>
                </c:pt>
                <c:pt idx="1235">
                  <c:v>43277</c:v>
                </c:pt>
                <c:pt idx="1236">
                  <c:v>43278</c:v>
                </c:pt>
                <c:pt idx="1237">
                  <c:v>43279</c:v>
                </c:pt>
                <c:pt idx="1238">
                  <c:v>43280</c:v>
                </c:pt>
                <c:pt idx="1239">
                  <c:v>43281</c:v>
                </c:pt>
                <c:pt idx="1240">
                  <c:v>43282</c:v>
                </c:pt>
                <c:pt idx="1241">
                  <c:v>43283</c:v>
                </c:pt>
                <c:pt idx="1242">
                  <c:v>43284</c:v>
                </c:pt>
                <c:pt idx="1243">
                  <c:v>43285</c:v>
                </c:pt>
                <c:pt idx="1244">
                  <c:v>43286</c:v>
                </c:pt>
                <c:pt idx="1245">
                  <c:v>43287</c:v>
                </c:pt>
                <c:pt idx="1246">
                  <c:v>43288</c:v>
                </c:pt>
                <c:pt idx="1247">
                  <c:v>43289</c:v>
                </c:pt>
                <c:pt idx="1248">
                  <c:v>43290</c:v>
                </c:pt>
                <c:pt idx="1249">
                  <c:v>43291</c:v>
                </c:pt>
                <c:pt idx="1250">
                  <c:v>43292</c:v>
                </c:pt>
                <c:pt idx="1251">
                  <c:v>43293</c:v>
                </c:pt>
                <c:pt idx="1252">
                  <c:v>43294</c:v>
                </c:pt>
                <c:pt idx="1253">
                  <c:v>43295</c:v>
                </c:pt>
                <c:pt idx="1254">
                  <c:v>43296</c:v>
                </c:pt>
                <c:pt idx="1255">
                  <c:v>43297</c:v>
                </c:pt>
                <c:pt idx="1256">
                  <c:v>43298</c:v>
                </c:pt>
                <c:pt idx="1257">
                  <c:v>43299</c:v>
                </c:pt>
                <c:pt idx="1258">
                  <c:v>43300</c:v>
                </c:pt>
                <c:pt idx="1259">
                  <c:v>43301</c:v>
                </c:pt>
                <c:pt idx="1260">
                  <c:v>43302</c:v>
                </c:pt>
                <c:pt idx="1261">
                  <c:v>43303</c:v>
                </c:pt>
                <c:pt idx="1262">
                  <c:v>43304</c:v>
                </c:pt>
                <c:pt idx="1263">
                  <c:v>43305</c:v>
                </c:pt>
                <c:pt idx="1264">
                  <c:v>43306</c:v>
                </c:pt>
                <c:pt idx="1265">
                  <c:v>43307</c:v>
                </c:pt>
                <c:pt idx="1266">
                  <c:v>43308</c:v>
                </c:pt>
                <c:pt idx="1267">
                  <c:v>43309</c:v>
                </c:pt>
                <c:pt idx="1268">
                  <c:v>43310</c:v>
                </c:pt>
                <c:pt idx="1269">
                  <c:v>43311</c:v>
                </c:pt>
                <c:pt idx="1270">
                  <c:v>43312</c:v>
                </c:pt>
                <c:pt idx="1271">
                  <c:v>43313</c:v>
                </c:pt>
                <c:pt idx="1272">
                  <c:v>43314</c:v>
                </c:pt>
                <c:pt idx="1273">
                  <c:v>43315</c:v>
                </c:pt>
                <c:pt idx="1274">
                  <c:v>43316</c:v>
                </c:pt>
                <c:pt idx="1275">
                  <c:v>43317</c:v>
                </c:pt>
                <c:pt idx="1276">
                  <c:v>43318</c:v>
                </c:pt>
                <c:pt idx="1277">
                  <c:v>43319</c:v>
                </c:pt>
                <c:pt idx="1278">
                  <c:v>43320</c:v>
                </c:pt>
                <c:pt idx="1279">
                  <c:v>43321</c:v>
                </c:pt>
                <c:pt idx="1280">
                  <c:v>43322</c:v>
                </c:pt>
                <c:pt idx="1281">
                  <c:v>43323</c:v>
                </c:pt>
                <c:pt idx="1282">
                  <c:v>43324</c:v>
                </c:pt>
                <c:pt idx="1283">
                  <c:v>43325</c:v>
                </c:pt>
                <c:pt idx="1284">
                  <c:v>43326</c:v>
                </c:pt>
                <c:pt idx="1285">
                  <c:v>43327</c:v>
                </c:pt>
                <c:pt idx="1286">
                  <c:v>43328</c:v>
                </c:pt>
                <c:pt idx="1287">
                  <c:v>43329</c:v>
                </c:pt>
                <c:pt idx="1288">
                  <c:v>43330</c:v>
                </c:pt>
                <c:pt idx="1289">
                  <c:v>43331</c:v>
                </c:pt>
                <c:pt idx="1290">
                  <c:v>43332</c:v>
                </c:pt>
                <c:pt idx="1291">
                  <c:v>43333</c:v>
                </c:pt>
                <c:pt idx="1292">
                  <c:v>43334</c:v>
                </c:pt>
                <c:pt idx="1293">
                  <c:v>43335</c:v>
                </c:pt>
                <c:pt idx="1294">
                  <c:v>43336</c:v>
                </c:pt>
                <c:pt idx="1295">
                  <c:v>43337</c:v>
                </c:pt>
                <c:pt idx="1296">
                  <c:v>43338</c:v>
                </c:pt>
                <c:pt idx="1297">
                  <c:v>43339</c:v>
                </c:pt>
                <c:pt idx="1298">
                  <c:v>43340</c:v>
                </c:pt>
                <c:pt idx="1299">
                  <c:v>43341</c:v>
                </c:pt>
                <c:pt idx="1300">
                  <c:v>43342</c:v>
                </c:pt>
                <c:pt idx="1301">
                  <c:v>43343</c:v>
                </c:pt>
                <c:pt idx="1302">
                  <c:v>43344</c:v>
                </c:pt>
                <c:pt idx="1303">
                  <c:v>43345</c:v>
                </c:pt>
                <c:pt idx="1304">
                  <c:v>43346</c:v>
                </c:pt>
                <c:pt idx="1305">
                  <c:v>43347</c:v>
                </c:pt>
                <c:pt idx="1306">
                  <c:v>43348</c:v>
                </c:pt>
                <c:pt idx="1307">
                  <c:v>43349</c:v>
                </c:pt>
                <c:pt idx="1308">
                  <c:v>43350</c:v>
                </c:pt>
                <c:pt idx="1309">
                  <c:v>43351</c:v>
                </c:pt>
                <c:pt idx="1310">
                  <c:v>43352</c:v>
                </c:pt>
                <c:pt idx="1311">
                  <c:v>43353</c:v>
                </c:pt>
                <c:pt idx="1312">
                  <c:v>43354</c:v>
                </c:pt>
                <c:pt idx="1313">
                  <c:v>43355</c:v>
                </c:pt>
                <c:pt idx="1314">
                  <c:v>43356</c:v>
                </c:pt>
                <c:pt idx="1315">
                  <c:v>43357</c:v>
                </c:pt>
                <c:pt idx="1316">
                  <c:v>43358</c:v>
                </c:pt>
                <c:pt idx="1317">
                  <c:v>43359</c:v>
                </c:pt>
                <c:pt idx="1318">
                  <c:v>43360</c:v>
                </c:pt>
                <c:pt idx="1319">
                  <c:v>43361</c:v>
                </c:pt>
                <c:pt idx="1320">
                  <c:v>43362</c:v>
                </c:pt>
                <c:pt idx="1321">
                  <c:v>43363</c:v>
                </c:pt>
                <c:pt idx="1322">
                  <c:v>43364</c:v>
                </c:pt>
                <c:pt idx="1323">
                  <c:v>43365</c:v>
                </c:pt>
                <c:pt idx="1324">
                  <c:v>43366</c:v>
                </c:pt>
                <c:pt idx="1325">
                  <c:v>43367</c:v>
                </c:pt>
                <c:pt idx="1326">
                  <c:v>43368</c:v>
                </c:pt>
                <c:pt idx="1327">
                  <c:v>43369</c:v>
                </c:pt>
                <c:pt idx="1328">
                  <c:v>43370</c:v>
                </c:pt>
                <c:pt idx="1329">
                  <c:v>43371</c:v>
                </c:pt>
                <c:pt idx="1330">
                  <c:v>43372</c:v>
                </c:pt>
                <c:pt idx="1331">
                  <c:v>43373</c:v>
                </c:pt>
                <c:pt idx="1332">
                  <c:v>43374</c:v>
                </c:pt>
                <c:pt idx="1333">
                  <c:v>43375</c:v>
                </c:pt>
                <c:pt idx="1334">
                  <c:v>43376</c:v>
                </c:pt>
                <c:pt idx="1335">
                  <c:v>43377</c:v>
                </c:pt>
                <c:pt idx="1336">
                  <c:v>43378</c:v>
                </c:pt>
                <c:pt idx="1337">
                  <c:v>43379</c:v>
                </c:pt>
                <c:pt idx="1338">
                  <c:v>43380</c:v>
                </c:pt>
                <c:pt idx="1339">
                  <c:v>43381</c:v>
                </c:pt>
                <c:pt idx="1340">
                  <c:v>43382</c:v>
                </c:pt>
                <c:pt idx="1341">
                  <c:v>43383</c:v>
                </c:pt>
                <c:pt idx="1342">
                  <c:v>43384</c:v>
                </c:pt>
                <c:pt idx="1343">
                  <c:v>43385</c:v>
                </c:pt>
                <c:pt idx="1344">
                  <c:v>43386</c:v>
                </c:pt>
                <c:pt idx="1345">
                  <c:v>43387</c:v>
                </c:pt>
                <c:pt idx="1346">
                  <c:v>43388</c:v>
                </c:pt>
                <c:pt idx="1347">
                  <c:v>43389</c:v>
                </c:pt>
                <c:pt idx="1348">
                  <c:v>43390</c:v>
                </c:pt>
                <c:pt idx="1349">
                  <c:v>43391</c:v>
                </c:pt>
                <c:pt idx="1350">
                  <c:v>43392</c:v>
                </c:pt>
                <c:pt idx="1351">
                  <c:v>43393</c:v>
                </c:pt>
                <c:pt idx="1352">
                  <c:v>43394</c:v>
                </c:pt>
                <c:pt idx="1353">
                  <c:v>43395</c:v>
                </c:pt>
                <c:pt idx="1354">
                  <c:v>43396</c:v>
                </c:pt>
                <c:pt idx="1355">
                  <c:v>43397</c:v>
                </c:pt>
                <c:pt idx="1356">
                  <c:v>43398</c:v>
                </c:pt>
                <c:pt idx="1357">
                  <c:v>43399</c:v>
                </c:pt>
                <c:pt idx="1358">
                  <c:v>43400</c:v>
                </c:pt>
                <c:pt idx="1359">
                  <c:v>43401</c:v>
                </c:pt>
                <c:pt idx="1360">
                  <c:v>43402</c:v>
                </c:pt>
                <c:pt idx="1361">
                  <c:v>43403</c:v>
                </c:pt>
                <c:pt idx="1362">
                  <c:v>43404</c:v>
                </c:pt>
                <c:pt idx="1363">
                  <c:v>43405</c:v>
                </c:pt>
                <c:pt idx="1364">
                  <c:v>43406</c:v>
                </c:pt>
                <c:pt idx="1365">
                  <c:v>43407</c:v>
                </c:pt>
                <c:pt idx="1366">
                  <c:v>43408</c:v>
                </c:pt>
                <c:pt idx="1367">
                  <c:v>43409</c:v>
                </c:pt>
                <c:pt idx="1368">
                  <c:v>43410</c:v>
                </c:pt>
                <c:pt idx="1369">
                  <c:v>43411</c:v>
                </c:pt>
                <c:pt idx="1370">
                  <c:v>43412</c:v>
                </c:pt>
                <c:pt idx="1371">
                  <c:v>43413</c:v>
                </c:pt>
                <c:pt idx="1372">
                  <c:v>43414</c:v>
                </c:pt>
                <c:pt idx="1373">
                  <c:v>43415</c:v>
                </c:pt>
                <c:pt idx="1374">
                  <c:v>43416</c:v>
                </c:pt>
                <c:pt idx="1375">
                  <c:v>43417</c:v>
                </c:pt>
                <c:pt idx="1376">
                  <c:v>43418</c:v>
                </c:pt>
                <c:pt idx="1377">
                  <c:v>43419</c:v>
                </c:pt>
                <c:pt idx="1378">
                  <c:v>43420</c:v>
                </c:pt>
                <c:pt idx="1379">
                  <c:v>43421</c:v>
                </c:pt>
                <c:pt idx="1380">
                  <c:v>43422</c:v>
                </c:pt>
                <c:pt idx="1381">
                  <c:v>43423</c:v>
                </c:pt>
                <c:pt idx="1382">
                  <c:v>43424</c:v>
                </c:pt>
                <c:pt idx="1383">
                  <c:v>43425</c:v>
                </c:pt>
                <c:pt idx="1384">
                  <c:v>43426</c:v>
                </c:pt>
                <c:pt idx="1385">
                  <c:v>43427</c:v>
                </c:pt>
                <c:pt idx="1386">
                  <c:v>43428</c:v>
                </c:pt>
                <c:pt idx="1387">
                  <c:v>43429</c:v>
                </c:pt>
                <c:pt idx="1388">
                  <c:v>43430</c:v>
                </c:pt>
                <c:pt idx="1389">
                  <c:v>43431</c:v>
                </c:pt>
                <c:pt idx="1390">
                  <c:v>43432</c:v>
                </c:pt>
                <c:pt idx="1391">
                  <c:v>43433</c:v>
                </c:pt>
                <c:pt idx="1392">
                  <c:v>43434</c:v>
                </c:pt>
                <c:pt idx="1393">
                  <c:v>43435</c:v>
                </c:pt>
                <c:pt idx="1394">
                  <c:v>43436</c:v>
                </c:pt>
                <c:pt idx="1395">
                  <c:v>43437</c:v>
                </c:pt>
                <c:pt idx="1396">
                  <c:v>43438</c:v>
                </c:pt>
                <c:pt idx="1397">
                  <c:v>43439</c:v>
                </c:pt>
                <c:pt idx="1398">
                  <c:v>43440</c:v>
                </c:pt>
                <c:pt idx="1399">
                  <c:v>43441</c:v>
                </c:pt>
                <c:pt idx="1400">
                  <c:v>43442</c:v>
                </c:pt>
                <c:pt idx="1401">
                  <c:v>43443</c:v>
                </c:pt>
                <c:pt idx="1402">
                  <c:v>43444</c:v>
                </c:pt>
                <c:pt idx="1403">
                  <c:v>43445</c:v>
                </c:pt>
                <c:pt idx="1404">
                  <c:v>43446</c:v>
                </c:pt>
                <c:pt idx="1405">
                  <c:v>43447</c:v>
                </c:pt>
                <c:pt idx="1406">
                  <c:v>43448</c:v>
                </c:pt>
                <c:pt idx="1407">
                  <c:v>43449</c:v>
                </c:pt>
                <c:pt idx="1408">
                  <c:v>43450</c:v>
                </c:pt>
                <c:pt idx="1409">
                  <c:v>43451</c:v>
                </c:pt>
                <c:pt idx="1410">
                  <c:v>43452</c:v>
                </c:pt>
                <c:pt idx="1411">
                  <c:v>43453</c:v>
                </c:pt>
                <c:pt idx="1412">
                  <c:v>43454</c:v>
                </c:pt>
                <c:pt idx="1413">
                  <c:v>43455</c:v>
                </c:pt>
                <c:pt idx="1414">
                  <c:v>43456</c:v>
                </c:pt>
                <c:pt idx="1415">
                  <c:v>43457</c:v>
                </c:pt>
                <c:pt idx="1416">
                  <c:v>43458</c:v>
                </c:pt>
                <c:pt idx="1417">
                  <c:v>43459</c:v>
                </c:pt>
                <c:pt idx="1418">
                  <c:v>43460</c:v>
                </c:pt>
                <c:pt idx="1419">
                  <c:v>43461</c:v>
                </c:pt>
                <c:pt idx="1420">
                  <c:v>43462</c:v>
                </c:pt>
                <c:pt idx="1421">
                  <c:v>43463</c:v>
                </c:pt>
                <c:pt idx="1422">
                  <c:v>43464</c:v>
                </c:pt>
                <c:pt idx="1423">
                  <c:v>43465</c:v>
                </c:pt>
                <c:pt idx="1424">
                  <c:v>43466</c:v>
                </c:pt>
                <c:pt idx="1425">
                  <c:v>43467</c:v>
                </c:pt>
                <c:pt idx="1426">
                  <c:v>43468</c:v>
                </c:pt>
                <c:pt idx="1427">
                  <c:v>43469</c:v>
                </c:pt>
                <c:pt idx="1428">
                  <c:v>43470</c:v>
                </c:pt>
                <c:pt idx="1429">
                  <c:v>43471</c:v>
                </c:pt>
                <c:pt idx="1430">
                  <c:v>43472</c:v>
                </c:pt>
                <c:pt idx="1431">
                  <c:v>43473</c:v>
                </c:pt>
                <c:pt idx="1432">
                  <c:v>43474</c:v>
                </c:pt>
                <c:pt idx="1433">
                  <c:v>43475</c:v>
                </c:pt>
                <c:pt idx="1434">
                  <c:v>43476</c:v>
                </c:pt>
                <c:pt idx="1435">
                  <c:v>43477</c:v>
                </c:pt>
                <c:pt idx="1436">
                  <c:v>43478</c:v>
                </c:pt>
                <c:pt idx="1437">
                  <c:v>43479</c:v>
                </c:pt>
                <c:pt idx="1438">
                  <c:v>43480</c:v>
                </c:pt>
                <c:pt idx="1439">
                  <c:v>43481</c:v>
                </c:pt>
                <c:pt idx="1440">
                  <c:v>43482</c:v>
                </c:pt>
                <c:pt idx="1441">
                  <c:v>43483</c:v>
                </c:pt>
                <c:pt idx="1442">
                  <c:v>43484</c:v>
                </c:pt>
                <c:pt idx="1443">
                  <c:v>43485</c:v>
                </c:pt>
                <c:pt idx="1444">
                  <c:v>43486</c:v>
                </c:pt>
                <c:pt idx="1445">
                  <c:v>43487</c:v>
                </c:pt>
                <c:pt idx="1446">
                  <c:v>43488</c:v>
                </c:pt>
                <c:pt idx="1447">
                  <c:v>43489</c:v>
                </c:pt>
                <c:pt idx="1448">
                  <c:v>43490</c:v>
                </c:pt>
                <c:pt idx="1449">
                  <c:v>43491</c:v>
                </c:pt>
                <c:pt idx="1450">
                  <c:v>43492</c:v>
                </c:pt>
                <c:pt idx="1451">
                  <c:v>43493</c:v>
                </c:pt>
                <c:pt idx="1452">
                  <c:v>43494</c:v>
                </c:pt>
                <c:pt idx="1453">
                  <c:v>43495</c:v>
                </c:pt>
                <c:pt idx="1454">
                  <c:v>43496</c:v>
                </c:pt>
                <c:pt idx="1455">
                  <c:v>43497</c:v>
                </c:pt>
                <c:pt idx="1456">
                  <c:v>43498</c:v>
                </c:pt>
                <c:pt idx="1457">
                  <c:v>43499</c:v>
                </c:pt>
                <c:pt idx="1458">
                  <c:v>43500</c:v>
                </c:pt>
                <c:pt idx="1459">
                  <c:v>43501</c:v>
                </c:pt>
                <c:pt idx="1460">
                  <c:v>43502</c:v>
                </c:pt>
                <c:pt idx="1461">
                  <c:v>43503</c:v>
                </c:pt>
                <c:pt idx="1462">
                  <c:v>43504</c:v>
                </c:pt>
                <c:pt idx="1463">
                  <c:v>43505</c:v>
                </c:pt>
                <c:pt idx="1464">
                  <c:v>43506</c:v>
                </c:pt>
                <c:pt idx="1465">
                  <c:v>43507</c:v>
                </c:pt>
                <c:pt idx="1466">
                  <c:v>43508</c:v>
                </c:pt>
                <c:pt idx="1467">
                  <c:v>43509</c:v>
                </c:pt>
                <c:pt idx="1468">
                  <c:v>43510</c:v>
                </c:pt>
                <c:pt idx="1469">
                  <c:v>43511</c:v>
                </c:pt>
                <c:pt idx="1470">
                  <c:v>43512</c:v>
                </c:pt>
                <c:pt idx="1471">
                  <c:v>43513</c:v>
                </c:pt>
                <c:pt idx="1472">
                  <c:v>43514</c:v>
                </c:pt>
                <c:pt idx="1473">
                  <c:v>43515</c:v>
                </c:pt>
                <c:pt idx="1474">
                  <c:v>43516</c:v>
                </c:pt>
                <c:pt idx="1475">
                  <c:v>43517</c:v>
                </c:pt>
                <c:pt idx="1476">
                  <c:v>43518</c:v>
                </c:pt>
                <c:pt idx="1477">
                  <c:v>43519</c:v>
                </c:pt>
                <c:pt idx="1478">
                  <c:v>43520</c:v>
                </c:pt>
                <c:pt idx="1479">
                  <c:v>43521</c:v>
                </c:pt>
                <c:pt idx="1480">
                  <c:v>43522</c:v>
                </c:pt>
                <c:pt idx="1481">
                  <c:v>43523</c:v>
                </c:pt>
                <c:pt idx="1482">
                  <c:v>43524</c:v>
                </c:pt>
                <c:pt idx="1483">
                  <c:v>43525</c:v>
                </c:pt>
                <c:pt idx="1484">
                  <c:v>43526</c:v>
                </c:pt>
                <c:pt idx="1485">
                  <c:v>43527</c:v>
                </c:pt>
                <c:pt idx="1486">
                  <c:v>43528</c:v>
                </c:pt>
                <c:pt idx="1487">
                  <c:v>43529</c:v>
                </c:pt>
                <c:pt idx="1488">
                  <c:v>43530</c:v>
                </c:pt>
                <c:pt idx="1489">
                  <c:v>43531</c:v>
                </c:pt>
                <c:pt idx="1490">
                  <c:v>43532</c:v>
                </c:pt>
                <c:pt idx="1491">
                  <c:v>43533</c:v>
                </c:pt>
                <c:pt idx="1492">
                  <c:v>43534</c:v>
                </c:pt>
                <c:pt idx="1493">
                  <c:v>43535</c:v>
                </c:pt>
                <c:pt idx="1494">
                  <c:v>43536</c:v>
                </c:pt>
                <c:pt idx="1495">
                  <c:v>43537</c:v>
                </c:pt>
                <c:pt idx="1496">
                  <c:v>43538</c:v>
                </c:pt>
                <c:pt idx="1497">
                  <c:v>43539</c:v>
                </c:pt>
                <c:pt idx="1498">
                  <c:v>43540</c:v>
                </c:pt>
                <c:pt idx="1499">
                  <c:v>43541</c:v>
                </c:pt>
                <c:pt idx="1500">
                  <c:v>43542</c:v>
                </c:pt>
                <c:pt idx="1501">
                  <c:v>43543</c:v>
                </c:pt>
                <c:pt idx="1502">
                  <c:v>43544</c:v>
                </c:pt>
                <c:pt idx="1503">
                  <c:v>43545</c:v>
                </c:pt>
                <c:pt idx="1504">
                  <c:v>43546</c:v>
                </c:pt>
                <c:pt idx="1505">
                  <c:v>43547</c:v>
                </c:pt>
                <c:pt idx="1506">
                  <c:v>43548</c:v>
                </c:pt>
                <c:pt idx="1507">
                  <c:v>43549</c:v>
                </c:pt>
                <c:pt idx="1508">
                  <c:v>43550</c:v>
                </c:pt>
                <c:pt idx="1509">
                  <c:v>43551</c:v>
                </c:pt>
                <c:pt idx="1510">
                  <c:v>43552</c:v>
                </c:pt>
                <c:pt idx="1511">
                  <c:v>43553</c:v>
                </c:pt>
                <c:pt idx="1512">
                  <c:v>43554</c:v>
                </c:pt>
                <c:pt idx="1513">
                  <c:v>43555</c:v>
                </c:pt>
                <c:pt idx="1514">
                  <c:v>43556</c:v>
                </c:pt>
                <c:pt idx="1515">
                  <c:v>43557</c:v>
                </c:pt>
                <c:pt idx="1516">
                  <c:v>43558</c:v>
                </c:pt>
                <c:pt idx="1517">
                  <c:v>43559</c:v>
                </c:pt>
                <c:pt idx="1518">
                  <c:v>43560</c:v>
                </c:pt>
                <c:pt idx="1519">
                  <c:v>43561</c:v>
                </c:pt>
                <c:pt idx="1520">
                  <c:v>43562</c:v>
                </c:pt>
                <c:pt idx="1521">
                  <c:v>43563</c:v>
                </c:pt>
                <c:pt idx="1522">
                  <c:v>43564</c:v>
                </c:pt>
                <c:pt idx="1523">
                  <c:v>43565</c:v>
                </c:pt>
                <c:pt idx="1524">
                  <c:v>43566</c:v>
                </c:pt>
                <c:pt idx="1525">
                  <c:v>43567</c:v>
                </c:pt>
                <c:pt idx="1526">
                  <c:v>43568</c:v>
                </c:pt>
                <c:pt idx="1527">
                  <c:v>43569</c:v>
                </c:pt>
                <c:pt idx="1528">
                  <c:v>43570</c:v>
                </c:pt>
                <c:pt idx="1529">
                  <c:v>43571</c:v>
                </c:pt>
                <c:pt idx="1530">
                  <c:v>43572</c:v>
                </c:pt>
                <c:pt idx="1531">
                  <c:v>43573</c:v>
                </c:pt>
                <c:pt idx="1532">
                  <c:v>43574</c:v>
                </c:pt>
                <c:pt idx="1533">
                  <c:v>43575</c:v>
                </c:pt>
                <c:pt idx="1534">
                  <c:v>43576</c:v>
                </c:pt>
                <c:pt idx="1535">
                  <c:v>43577</c:v>
                </c:pt>
                <c:pt idx="1536">
                  <c:v>43578</c:v>
                </c:pt>
                <c:pt idx="1537">
                  <c:v>43579</c:v>
                </c:pt>
                <c:pt idx="1538">
                  <c:v>43580</c:v>
                </c:pt>
                <c:pt idx="1539">
                  <c:v>43581</c:v>
                </c:pt>
                <c:pt idx="1540">
                  <c:v>43582</c:v>
                </c:pt>
                <c:pt idx="1541">
                  <c:v>43583</c:v>
                </c:pt>
                <c:pt idx="1542">
                  <c:v>43584</c:v>
                </c:pt>
                <c:pt idx="1543">
                  <c:v>43585</c:v>
                </c:pt>
                <c:pt idx="1544">
                  <c:v>43586</c:v>
                </c:pt>
                <c:pt idx="1545">
                  <c:v>43587</c:v>
                </c:pt>
                <c:pt idx="1546">
                  <c:v>43588</c:v>
                </c:pt>
                <c:pt idx="1547">
                  <c:v>43589</c:v>
                </c:pt>
                <c:pt idx="1548">
                  <c:v>43590</c:v>
                </c:pt>
                <c:pt idx="1549">
                  <c:v>43591</c:v>
                </c:pt>
                <c:pt idx="1550">
                  <c:v>43592</c:v>
                </c:pt>
                <c:pt idx="1551">
                  <c:v>43593</c:v>
                </c:pt>
                <c:pt idx="1552">
                  <c:v>43594</c:v>
                </c:pt>
                <c:pt idx="1553">
                  <c:v>43595</c:v>
                </c:pt>
                <c:pt idx="1554">
                  <c:v>43596</c:v>
                </c:pt>
                <c:pt idx="1555">
                  <c:v>43597</c:v>
                </c:pt>
                <c:pt idx="1556">
                  <c:v>43598</c:v>
                </c:pt>
                <c:pt idx="1557">
                  <c:v>43599</c:v>
                </c:pt>
                <c:pt idx="1558">
                  <c:v>43600</c:v>
                </c:pt>
                <c:pt idx="1559">
                  <c:v>43601</c:v>
                </c:pt>
                <c:pt idx="1560">
                  <c:v>43602</c:v>
                </c:pt>
                <c:pt idx="1561">
                  <c:v>43603</c:v>
                </c:pt>
                <c:pt idx="1562">
                  <c:v>43604</c:v>
                </c:pt>
                <c:pt idx="1563">
                  <c:v>43605</c:v>
                </c:pt>
                <c:pt idx="1564">
                  <c:v>43606</c:v>
                </c:pt>
                <c:pt idx="1565">
                  <c:v>43607</c:v>
                </c:pt>
                <c:pt idx="1566">
                  <c:v>43608</c:v>
                </c:pt>
                <c:pt idx="1567">
                  <c:v>43609</c:v>
                </c:pt>
                <c:pt idx="1568">
                  <c:v>43610</c:v>
                </c:pt>
                <c:pt idx="1569">
                  <c:v>43611</c:v>
                </c:pt>
                <c:pt idx="1570">
                  <c:v>43612</c:v>
                </c:pt>
                <c:pt idx="1571">
                  <c:v>43613</c:v>
                </c:pt>
                <c:pt idx="1572">
                  <c:v>43614</c:v>
                </c:pt>
                <c:pt idx="1573">
                  <c:v>43615</c:v>
                </c:pt>
                <c:pt idx="1574">
                  <c:v>43616</c:v>
                </c:pt>
                <c:pt idx="1575">
                  <c:v>43617</c:v>
                </c:pt>
                <c:pt idx="1576">
                  <c:v>43618</c:v>
                </c:pt>
                <c:pt idx="1577">
                  <c:v>43619</c:v>
                </c:pt>
                <c:pt idx="1578">
                  <c:v>43620</c:v>
                </c:pt>
                <c:pt idx="1579">
                  <c:v>43621</c:v>
                </c:pt>
                <c:pt idx="1580">
                  <c:v>43622</c:v>
                </c:pt>
                <c:pt idx="1581">
                  <c:v>43623</c:v>
                </c:pt>
                <c:pt idx="1582">
                  <c:v>43624</c:v>
                </c:pt>
                <c:pt idx="1583">
                  <c:v>43625</c:v>
                </c:pt>
                <c:pt idx="1584">
                  <c:v>43626</c:v>
                </c:pt>
                <c:pt idx="1585">
                  <c:v>43627</c:v>
                </c:pt>
                <c:pt idx="1586">
                  <c:v>43628</c:v>
                </c:pt>
                <c:pt idx="1587">
                  <c:v>43629</c:v>
                </c:pt>
                <c:pt idx="1588">
                  <c:v>43630</c:v>
                </c:pt>
                <c:pt idx="1589">
                  <c:v>43631</c:v>
                </c:pt>
                <c:pt idx="1590">
                  <c:v>43632</c:v>
                </c:pt>
                <c:pt idx="1591">
                  <c:v>43633</c:v>
                </c:pt>
                <c:pt idx="1592">
                  <c:v>43634</c:v>
                </c:pt>
                <c:pt idx="1593">
                  <c:v>43635</c:v>
                </c:pt>
                <c:pt idx="1594">
                  <c:v>43636</c:v>
                </c:pt>
                <c:pt idx="1595">
                  <c:v>43637</c:v>
                </c:pt>
                <c:pt idx="1596">
                  <c:v>43638</c:v>
                </c:pt>
                <c:pt idx="1597">
                  <c:v>43639</c:v>
                </c:pt>
                <c:pt idx="1598">
                  <c:v>43640</c:v>
                </c:pt>
                <c:pt idx="1599">
                  <c:v>43641</c:v>
                </c:pt>
                <c:pt idx="1600">
                  <c:v>43642</c:v>
                </c:pt>
                <c:pt idx="1601">
                  <c:v>43643</c:v>
                </c:pt>
                <c:pt idx="1602">
                  <c:v>43644</c:v>
                </c:pt>
                <c:pt idx="1603">
                  <c:v>43645</c:v>
                </c:pt>
                <c:pt idx="1604">
                  <c:v>43646</c:v>
                </c:pt>
                <c:pt idx="1605">
                  <c:v>43647</c:v>
                </c:pt>
                <c:pt idx="1606">
                  <c:v>43648</c:v>
                </c:pt>
                <c:pt idx="1607">
                  <c:v>43649</c:v>
                </c:pt>
                <c:pt idx="1608">
                  <c:v>43650</c:v>
                </c:pt>
                <c:pt idx="1609">
                  <c:v>43651</c:v>
                </c:pt>
                <c:pt idx="1610">
                  <c:v>43652</c:v>
                </c:pt>
                <c:pt idx="1611">
                  <c:v>43653</c:v>
                </c:pt>
                <c:pt idx="1612">
                  <c:v>43654</c:v>
                </c:pt>
                <c:pt idx="1613">
                  <c:v>43655</c:v>
                </c:pt>
                <c:pt idx="1614">
                  <c:v>43656</c:v>
                </c:pt>
                <c:pt idx="1615">
                  <c:v>43657</c:v>
                </c:pt>
                <c:pt idx="1616">
                  <c:v>43658</c:v>
                </c:pt>
                <c:pt idx="1617">
                  <c:v>43659</c:v>
                </c:pt>
                <c:pt idx="1618">
                  <c:v>43660</c:v>
                </c:pt>
                <c:pt idx="1619">
                  <c:v>43661</c:v>
                </c:pt>
                <c:pt idx="1620">
                  <c:v>43662</c:v>
                </c:pt>
                <c:pt idx="1621">
                  <c:v>43663</c:v>
                </c:pt>
                <c:pt idx="1622">
                  <c:v>43664</c:v>
                </c:pt>
                <c:pt idx="1623">
                  <c:v>43665</c:v>
                </c:pt>
                <c:pt idx="1624">
                  <c:v>43666</c:v>
                </c:pt>
                <c:pt idx="1625">
                  <c:v>43667</c:v>
                </c:pt>
                <c:pt idx="1626">
                  <c:v>43668</c:v>
                </c:pt>
                <c:pt idx="1627">
                  <c:v>43669</c:v>
                </c:pt>
                <c:pt idx="1628">
                  <c:v>43670</c:v>
                </c:pt>
                <c:pt idx="1629">
                  <c:v>43671</c:v>
                </c:pt>
                <c:pt idx="1630">
                  <c:v>43672</c:v>
                </c:pt>
                <c:pt idx="1631">
                  <c:v>43673</c:v>
                </c:pt>
                <c:pt idx="1632">
                  <c:v>43674</c:v>
                </c:pt>
                <c:pt idx="1633">
                  <c:v>43675</c:v>
                </c:pt>
                <c:pt idx="1634">
                  <c:v>43676</c:v>
                </c:pt>
                <c:pt idx="1635">
                  <c:v>43677</c:v>
                </c:pt>
                <c:pt idx="1636">
                  <c:v>43678</c:v>
                </c:pt>
                <c:pt idx="1637">
                  <c:v>43679</c:v>
                </c:pt>
                <c:pt idx="1638">
                  <c:v>43680</c:v>
                </c:pt>
                <c:pt idx="1639">
                  <c:v>43681</c:v>
                </c:pt>
                <c:pt idx="1640">
                  <c:v>43682</c:v>
                </c:pt>
                <c:pt idx="1641">
                  <c:v>43683</c:v>
                </c:pt>
                <c:pt idx="1642">
                  <c:v>43684</c:v>
                </c:pt>
                <c:pt idx="1643">
                  <c:v>43685</c:v>
                </c:pt>
                <c:pt idx="1644">
                  <c:v>43686</c:v>
                </c:pt>
                <c:pt idx="1645">
                  <c:v>43687</c:v>
                </c:pt>
                <c:pt idx="1646">
                  <c:v>43688</c:v>
                </c:pt>
                <c:pt idx="1647">
                  <c:v>43689</c:v>
                </c:pt>
                <c:pt idx="1648">
                  <c:v>43690</c:v>
                </c:pt>
                <c:pt idx="1649">
                  <c:v>43691</c:v>
                </c:pt>
                <c:pt idx="1650">
                  <c:v>43692</c:v>
                </c:pt>
                <c:pt idx="1651">
                  <c:v>43693</c:v>
                </c:pt>
                <c:pt idx="1652">
                  <c:v>43694</c:v>
                </c:pt>
                <c:pt idx="1653">
                  <c:v>43695</c:v>
                </c:pt>
                <c:pt idx="1654">
                  <c:v>43696</c:v>
                </c:pt>
                <c:pt idx="1655">
                  <c:v>43697</c:v>
                </c:pt>
                <c:pt idx="1656">
                  <c:v>43698</c:v>
                </c:pt>
                <c:pt idx="1657">
                  <c:v>43699</c:v>
                </c:pt>
                <c:pt idx="1658">
                  <c:v>43700</c:v>
                </c:pt>
                <c:pt idx="1659">
                  <c:v>43701</c:v>
                </c:pt>
                <c:pt idx="1660">
                  <c:v>43702</c:v>
                </c:pt>
                <c:pt idx="1661">
                  <c:v>43703</c:v>
                </c:pt>
                <c:pt idx="1662">
                  <c:v>43704</c:v>
                </c:pt>
                <c:pt idx="1663">
                  <c:v>43705</c:v>
                </c:pt>
                <c:pt idx="1664">
                  <c:v>43706</c:v>
                </c:pt>
                <c:pt idx="1665">
                  <c:v>43707</c:v>
                </c:pt>
                <c:pt idx="1666">
                  <c:v>43708</c:v>
                </c:pt>
                <c:pt idx="1667">
                  <c:v>43709</c:v>
                </c:pt>
                <c:pt idx="1668">
                  <c:v>43710</c:v>
                </c:pt>
                <c:pt idx="1669">
                  <c:v>43711</c:v>
                </c:pt>
                <c:pt idx="1670">
                  <c:v>43712</c:v>
                </c:pt>
                <c:pt idx="1671">
                  <c:v>43713</c:v>
                </c:pt>
                <c:pt idx="1672">
                  <c:v>43714</c:v>
                </c:pt>
                <c:pt idx="1673">
                  <c:v>43715</c:v>
                </c:pt>
                <c:pt idx="1674">
                  <c:v>43716</c:v>
                </c:pt>
                <c:pt idx="1675">
                  <c:v>43717</c:v>
                </c:pt>
                <c:pt idx="1676">
                  <c:v>43718</c:v>
                </c:pt>
                <c:pt idx="1677">
                  <c:v>43719</c:v>
                </c:pt>
                <c:pt idx="1678">
                  <c:v>43720</c:v>
                </c:pt>
                <c:pt idx="1679">
                  <c:v>43721</c:v>
                </c:pt>
                <c:pt idx="1680">
                  <c:v>43722</c:v>
                </c:pt>
                <c:pt idx="1681">
                  <c:v>43723</c:v>
                </c:pt>
                <c:pt idx="1682">
                  <c:v>43724</c:v>
                </c:pt>
                <c:pt idx="1683">
                  <c:v>43725</c:v>
                </c:pt>
                <c:pt idx="1684">
                  <c:v>43726</c:v>
                </c:pt>
                <c:pt idx="1685">
                  <c:v>43727</c:v>
                </c:pt>
                <c:pt idx="1686">
                  <c:v>43728</c:v>
                </c:pt>
                <c:pt idx="1687">
                  <c:v>43729</c:v>
                </c:pt>
                <c:pt idx="1688">
                  <c:v>43730</c:v>
                </c:pt>
                <c:pt idx="1689">
                  <c:v>43731</c:v>
                </c:pt>
                <c:pt idx="1690">
                  <c:v>43732</c:v>
                </c:pt>
                <c:pt idx="1691">
                  <c:v>43733</c:v>
                </c:pt>
                <c:pt idx="1692">
                  <c:v>43734</c:v>
                </c:pt>
                <c:pt idx="1693">
                  <c:v>43735</c:v>
                </c:pt>
                <c:pt idx="1694">
                  <c:v>43736</c:v>
                </c:pt>
                <c:pt idx="1695">
                  <c:v>43737</c:v>
                </c:pt>
                <c:pt idx="1696">
                  <c:v>43738</c:v>
                </c:pt>
                <c:pt idx="1697">
                  <c:v>43739</c:v>
                </c:pt>
                <c:pt idx="1698">
                  <c:v>43740</c:v>
                </c:pt>
                <c:pt idx="1699">
                  <c:v>43741</c:v>
                </c:pt>
                <c:pt idx="1700">
                  <c:v>43742</c:v>
                </c:pt>
                <c:pt idx="1701">
                  <c:v>43743</c:v>
                </c:pt>
                <c:pt idx="1702">
                  <c:v>43744</c:v>
                </c:pt>
                <c:pt idx="1703">
                  <c:v>43745</c:v>
                </c:pt>
                <c:pt idx="1704">
                  <c:v>43746</c:v>
                </c:pt>
                <c:pt idx="1705">
                  <c:v>43747</c:v>
                </c:pt>
                <c:pt idx="1706">
                  <c:v>43748</c:v>
                </c:pt>
                <c:pt idx="1707">
                  <c:v>43749</c:v>
                </c:pt>
                <c:pt idx="1708">
                  <c:v>43750</c:v>
                </c:pt>
                <c:pt idx="1709">
                  <c:v>43751</c:v>
                </c:pt>
                <c:pt idx="1710">
                  <c:v>43752</c:v>
                </c:pt>
                <c:pt idx="1711">
                  <c:v>43753</c:v>
                </c:pt>
                <c:pt idx="1712">
                  <c:v>43754</c:v>
                </c:pt>
                <c:pt idx="1713">
                  <c:v>43755</c:v>
                </c:pt>
                <c:pt idx="1714">
                  <c:v>43756</c:v>
                </c:pt>
                <c:pt idx="1715">
                  <c:v>43757</c:v>
                </c:pt>
                <c:pt idx="1716">
                  <c:v>43758</c:v>
                </c:pt>
                <c:pt idx="1717">
                  <c:v>43759</c:v>
                </c:pt>
                <c:pt idx="1718">
                  <c:v>43760</c:v>
                </c:pt>
                <c:pt idx="1719">
                  <c:v>43761</c:v>
                </c:pt>
                <c:pt idx="1720">
                  <c:v>43762</c:v>
                </c:pt>
                <c:pt idx="1721">
                  <c:v>43763</c:v>
                </c:pt>
                <c:pt idx="1722">
                  <c:v>43764</c:v>
                </c:pt>
                <c:pt idx="1723">
                  <c:v>43765</c:v>
                </c:pt>
                <c:pt idx="1724">
                  <c:v>43766</c:v>
                </c:pt>
                <c:pt idx="1725">
                  <c:v>43767</c:v>
                </c:pt>
                <c:pt idx="1726">
                  <c:v>43768</c:v>
                </c:pt>
                <c:pt idx="1727">
                  <c:v>43769</c:v>
                </c:pt>
                <c:pt idx="1728">
                  <c:v>43770</c:v>
                </c:pt>
                <c:pt idx="1729">
                  <c:v>43771</c:v>
                </c:pt>
                <c:pt idx="1730">
                  <c:v>43772</c:v>
                </c:pt>
                <c:pt idx="1731">
                  <c:v>43773</c:v>
                </c:pt>
                <c:pt idx="1732">
                  <c:v>43774</c:v>
                </c:pt>
                <c:pt idx="1733">
                  <c:v>43775</c:v>
                </c:pt>
                <c:pt idx="1734">
                  <c:v>43776</c:v>
                </c:pt>
                <c:pt idx="1735">
                  <c:v>43777</c:v>
                </c:pt>
                <c:pt idx="1736">
                  <c:v>43778</c:v>
                </c:pt>
                <c:pt idx="1737">
                  <c:v>43779</c:v>
                </c:pt>
                <c:pt idx="1738">
                  <c:v>43780</c:v>
                </c:pt>
                <c:pt idx="1739">
                  <c:v>43781</c:v>
                </c:pt>
                <c:pt idx="1740">
                  <c:v>43782</c:v>
                </c:pt>
                <c:pt idx="1741">
                  <c:v>43783</c:v>
                </c:pt>
                <c:pt idx="1742">
                  <c:v>43784</c:v>
                </c:pt>
                <c:pt idx="1743">
                  <c:v>43785</c:v>
                </c:pt>
                <c:pt idx="1744">
                  <c:v>43786</c:v>
                </c:pt>
                <c:pt idx="1745">
                  <c:v>43787</c:v>
                </c:pt>
                <c:pt idx="1746">
                  <c:v>43788</c:v>
                </c:pt>
                <c:pt idx="1747">
                  <c:v>43789</c:v>
                </c:pt>
                <c:pt idx="1748">
                  <c:v>43790</c:v>
                </c:pt>
                <c:pt idx="1749">
                  <c:v>43791</c:v>
                </c:pt>
                <c:pt idx="1750">
                  <c:v>43792</c:v>
                </c:pt>
                <c:pt idx="1751">
                  <c:v>43793</c:v>
                </c:pt>
                <c:pt idx="1752">
                  <c:v>43794</c:v>
                </c:pt>
                <c:pt idx="1753">
                  <c:v>43795</c:v>
                </c:pt>
                <c:pt idx="1754">
                  <c:v>43796</c:v>
                </c:pt>
                <c:pt idx="1755">
                  <c:v>43797</c:v>
                </c:pt>
                <c:pt idx="1756">
                  <c:v>43798</c:v>
                </c:pt>
                <c:pt idx="1757">
                  <c:v>43799</c:v>
                </c:pt>
                <c:pt idx="1758">
                  <c:v>43800</c:v>
                </c:pt>
                <c:pt idx="1759">
                  <c:v>43801</c:v>
                </c:pt>
                <c:pt idx="1760">
                  <c:v>43802</c:v>
                </c:pt>
                <c:pt idx="1761">
                  <c:v>43803</c:v>
                </c:pt>
                <c:pt idx="1762">
                  <c:v>43804</c:v>
                </c:pt>
                <c:pt idx="1763">
                  <c:v>43805</c:v>
                </c:pt>
                <c:pt idx="1764">
                  <c:v>43806</c:v>
                </c:pt>
                <c:pt idx="1765">
                  <c:v>43807</c:v>
                </c:pt>
                <c:pt idx="1766">
                  <c:v>43808</c:v>
                </c:pt>
                <c:pt idx="1767">
                  <c:v>43809</c:v>
                </c:pt>
                <c:pt idx="1768">
                  <c:v>43810</c:v>
                </c:pt>
                <c:pt idx="1769">
                  <c:v>43811</c:v>
                </c:pt>
                <c:pt idx="1770">
                  <c:v>43812</c:v>
                </c:pt>
                <c:pt idx="1771">
                  <c:v>43813</c:v>
                </c:pt>
                <c:pt idx="1772">
                  <c:v>43814</c:v>
                </c:pt>
                <c:pt idx="1773">
                  <c:v>43815</c:v>
                </c:pt>
                <c:pt idx="1774">
                  <c:v>43816</c:v>
                </c:pt>
                <c:pt idx="1775">
                  <c:v>43817</c:v>
                </c:pt>
                <c:pt idx="1776">
                  <c:v>43818</c:v>
                </c:pt>
                <c:pt idx="1777">
                  <c:v>43819</c:v>
                </c:pt>
                <c:pt idx="1778">
                  <c:v>43820</c:v>
                </c:pt>
                <c:pt idx="1779">
                  <c:v>43821</c:v>
                </c:pt>
                <c:pt idx="1780">
                  <c:v>43822</c:v>
                </c:pt>
                <c:pt idx="1781">
                  <c:v>43823</c:v>
                </c:pt>
                <c:pt idx="1782">
                  <c:v>43824</c:v>
                </c:pt>
                <c:pt idx="1783">
                  <c:v>43825</c:v>
                </c:pt>
                <c:pt idx="1784">
                  <c:v>43826</c:v>
                </c:pt>
                <c:pt idx="1785">
                  <c:v>43827</c:v>
                </c:pt>
                <c:pt idx="1786">
                  <c:v>43828</c:v>
                </c:pt>
                <c:pt idx="1787">
                  <c:v>43829</c:v>
                </c:pt>
                <c:pt idx="1788">
                  <c:v>43830</c:v>
                </c:pt>
                <c:pt idx="1789">
                  <c:v>43831</c:v>
                </c:pt>
                <c:pt idx="1790">
                  <c:v>43832</c:v>
                </c:pt>
                <c:pt idx="1791">
                  <c:v>43833</c:v>
                </c:pt>
                <c:pt idx="1792">
                  <c:v>43834</c:v>
                </c:pt>
                <c:pt idx="1793">
                  <c:v>43835</c:v>
                </c:pt>
                <c:pt idx="1794">
                  <c:v>43836</c:v>
                </c:pt>
                <c:pt idx="1795">
                  <c:v>43837</c:v>
                </c:pt>
                <c:pt idx="1796">
                  <c:v>43838</c:v>
                </c:pt>
                <c:pt idx="1797">
                  <c:v>43839</c:v>
                </c:pt>
                <c:pt idx="1798">
                  <c:v>43840</c:v>
                </c:pt>
                <c:pt idx="1799">
                  <c:v>43841</c:v>
                </c:pt>
                <c:pt idx="1800">
                  <c:v>43842</c:v>
                </c:pt>
                <c:pt idx="1801">
                  <c:v>43843</c:v>
                </c:pt>
                <c:pt idx="1802">
                  <c:v>43844</c:v>
                </c:pt>
                <c:pt idx="1803">
                  <c:v>43845</c:v>
                </c:pt>
                <c:pt idx="1804">
                  <c:v>43846</c:v>
                </c:pt>
                <c:pt idx="1805">
                  <c:v>43847</c:v>
                </c:pt>
                <c:pt idx="1806">
                  <c:v>43848</c:v>
                </c:pt>
                <c:pt idx="1807">
                  <c:v>43849</c:v>
                </c:pt>
                <c:pt idx="1808">
                  <c:v>43850</c:v>
                </c:pt>
                <c:pt idx="1809">
                  <c:v>43851</c:v>
                </c:pt>
                <c:pt idx="1810">
                  <c:v>43852</c:v>
                </c:pt>
                <c:pt idx="1811">
                  <c:v>43853</c:v>
                </c:pt>
                <c:pt idx="1812">
                  <c:v>43854</c:v>
                </c:pt>
                <c:pt idx="1813">
                  <c:v>43855</c:v>
                </c:pt>
                <c:pt idx="1814">
                  <c:v>43856</c:v>
                </c:pt>
                <c:pt idx="1815">
                  <c:v>43857</c:v>
                </c:pt>
                <c:pt idx="1816">
                  <c:v>43858</c:v>
                </c:pt>
                <c:pt idx="1817">
                  <c:v>43859</c:v>
                </c:pt>
                <c:pt idx="1818">
                  <c:v>43860</c:v>
                </c:pt>
                <c:pt idx="1819">
                  <c:v>43861</c:v>
                </c:pt>
                <c:pt idx="1820">
                  <c:v>43862</c:v>
                </c:pt>
                <c:pt idx="1821">
                  <c:v>43863</c:v>
                </c:pt>
                <c:pt idx="1822">
                  <c:v>43864</c:v>
                </c:pt>
                <c:pt idx="1823">
                  <c:v>43865</c:v>
                </c:pt>
                <c:pt idx="1824">
                  <c:v>43866</c:v>
                </c:pt>
                <c:pt idx="1825">
                  <c:v>43867</c:v>
                </c:pt>
                <c:pt idx="1826">
                  <c:v>43868</c:v>
                </c:pt>
                <c:pt idx="1827">
                  <c:v>43869</c:v>
                </c:pt>
                <c:pt idx="1828">
                  <c:v>43870</c:v>
                </c:pt>
                <c:pt idx="1829">
                  <c:v>43871</c:v>
                </c:pt>
                <c:pt idx="1830">
                  <c:v>43872</c:v>
                </c:pt>
                <c:pt idx="1831">
                  <c:v>43873</c:v>
                </c:pt>
                <c:pt idx="1832">
                  <c:v>43874</c:v>
                </c:pt>
                <c:pt idx="1833">
                  <c:v>43875</c:v>
                </c:pt>
                <c:pt idx="1834">
                  <c:v>43876</c:v>
                </c:pt>
                <c:pt idx="1835">
                  <c:v>43877</c:v>
                </c:pt>
                <c:pt idx="1836">
                  <c:v>43878</c:v>
                </c:pt>
                <c:pt idx="1837">
                  <c:v>43879</c:v>
                </c:pt>
                <c:pt idx="1838">
                  <c:v>43880</c:v>
                </c:pt>
                <c:pt idx="1839">
                  <c:v>43881</c:v>
                </c:pt>
                <c:pt idx="1840">
                  <c:v>43882</c:v>
                </c:pt>
                <c:pt idx="1841">
                  <c:v>43883</c:v>
                </c:pt>
                <c:pt idx="1842">
                  <c:v>43884</c:v>
                </c:pt>
                <c:pt idx="1843">
                  <c:v>43885</c:v>
                </c:pt>
                <c:pt idx="1844">
                  <c:v>43886</c:v>
                </c:pt>
                <c:pt idx="1845">
                  <c:v>43887</c:v>
                </c:pt>
                <c:pt idx="1846">
                  <c:v>43888</c:v>
                </c:pt>
                <c:pt idx="1847">
                  <c:v>43889</c:v>
                </c:pt>
                <c:pt idx="1848">
                  <c:v>43890</c:v>
                </c:pt>
                <c:pt idx="1849">
                  <c:v>43891</c:v>
                </c:pt>
                <c:pt idx="1850">
                  <c:v>43892</c:v>
                </c:pt>
                <c:pt idx="1851">
                  <c:v>43893</c:v>
                </c:pt>
                <c:pt idx="1852">
                  <c:v>43894</c:v>
                </c:pt>
                <c:pt idx="1853">
                  <c:v>43895</c:v>
                </c:pt>
                <c:pt idx="1854">
                  <c:v>43896</c:v>
                </c:pt>
                <c:pt idx="1855">
                  <c:v>43897</c:v>
                </c:pt>
                <c:pt idx="1856">
                  <c:v>43898</c:v>
                </c:pt>
                <c:pt idx="1857">
                  <c:v>43899</c:v>
                </c:pt>
                <c:pt idx="1858">
                  <c:v>43900</c:v>
                </c:pt>
                <c:pt idx="1859">
                  <c:v>43901</c:v>
                </c:pt>
                <c:pt idx="1860">
                  <c:v>43902</c:v>
                </c:pt>
                <c:pt idx="1861">
                  <c:v>43903</c:v>
                </c:pt>
                <c:pt idx="1862">
                  <c:v>43904</c:v>
                </c:pt>
                <c:pt idx="1863">
                  <c:v>43905</c:v>
                </c:pt>
                <c:pt idx="1864">
                  <c:v>43906</c:v>
                </c:pt>
                <c:pt idx="1865">
                  <c:v>43907</c:v>
                </c:pt>
                <c:pt idx="1866">
                  <c:v>43908</c:v>
                </c:pt>
                <c:pt idx="1867">
                  <c:v>43909</c:v>
                </c:pt>
                <c:pt idx="1868">
                  <c:v>43910</c:v>
                </c:pt>
                <c:pt idx="1869">
                  <c:v>43911</c:v>
                </c:pt>
                <c:pt idx="1870">
                  <c:v>43912</c:v>
                </c:pt>
                <c:pt idx="1871">
                  <c:v>43913</c:v>
                </c:pt>
                <c:pt idx="1872">
                  <c:v>43914</c:v>
                </c:pt>
                <c:pt idx="1873">
                  <c:v>43915</c:v>
                </c:pt>
                <c:pt idx="1874">
                  <c:v>43916</c:v>
                </c:pt>
                <c:pt idx="1875">
                  <c:v>43917</c:v>
                </c:pt>
                <c:pt idx="1876">
                  <c:v>43918</c:v>
                </c:pt>
                <c:pt idx="1877">
                  <c:v>43919</c:v>
                </c:pt>
                <c:pt idx="1878">
                  <c:v>43920</c:v>
                </c:pt>
                <c:pt idx="1879">
                  <c:v>43921</c:v>
                </c:pt>
                <c:pt idx="1880">
                  <c:v>43922</c:v>
                </c:pt>
                <c:pt idx="1881">
                  <c:v>43923</c:v>
                </c:pt>
                <c:pt idx="1882">
                  <c:v>43924</c:v>
                </c:pt>
                <c:pt idx="1883">
                  <c:v>43925</c:v>
                </c:pt>
                <c:pt idx="1884">
                  <c:v>43926</c:v>
                </c:pt>
                <c:pt idx="1885">
                  <c:v>43927</c:v>
                </c:pt>
                <c:pt idx="1886">
                  <c:v>43928</c:v>
                </c:pt>
                <c:pt idx="1887">
                  <c:v>43929</c:v>
                </c:pt>
                <c:pt idx="1888">
                  <c:v>43930</c:v>
                </c:pt>
                <c:pt idx="1889">
                  <c:v>43931</c:v>
                </c:pt>
                <c:pt idx="1890">
                  <c:v>43932</c:v>
                </c:pt>
                <c:pt idx="1891">
                  <c:v>43933</c:v>
                </c:pt>
                <c:pt idx="1892">
                  <c:v>43934</c:v>
                </c:pt>
                <c:pt idx="1893">
                  <c:v>43935</c:v>
                </c:pt>
                <c:pt idx="1894">
                  <c:v>43936</c:v>
                </c:pt>
                <c:pt idx="1895">
                  <c:v>43937</c:v>
                </c:pt>
                <c:pt idx="1896">
                  <c:v>43938</c:v>
                </c:pt>
                <c:pt idx="1897">
                  <c:v>43939</c:v>
                </c:pt>
                <c:pt idx="1898">
                  <c:v>43940</c:v>
                </c:pt>
                <c:pt idx="1899">
                  <c:v>43941</c:v>
                </c:pt>
                <c:pt idx="1900">
                  <c:v>43942</c:v>
                </c:pt>
                <c:pt idx="1901">
                  <c:v>43943</c:v>
                </c:pt>
                <c:pt idx="1902">
                  <c:v>43944</c:v>
                </c:pt>
                <c:pt idx="1903">
                  <c:v>43945</c:v>
                </c:pt>
                <c:pt idx="1904">
                  <c:v>43946</c:v>
                </c:pt>
                <c:pt idx="1905">
                  <c:v>43947</c:v>
                </c:pt>
                <c:pt idx="1906">
                  <c:v>43948</c:v>
                </c:pt>
                <c:pt idx="1907">
                  <c:v>43949</c:v>
                </c:pt>
                <c:pt idx="1908">
                  <c:v>43950</c:v>
                </c:pt>
                <c:pt idx="1909">
                  <c:v>43951</c:v>
                </c:pt>
                <c:pt idx="1910">
                  <c:v>43952</c:v>
                </c:pt>
                <c:pt idx="1911">
                  <c:v>43953</c:v>
                </c:pt>
                <c:pt idx="1912">
                  <c:v>43954</c:v>
                </c:pt>
                <c:pt idx="1913">
                  <c:v>43955</c:v>
                </c:pt>
                <c:pt idx="1914">
                  <c:v>43956</c:v>
                </c:pt>
                <c:pt idx="1915">
                  <c:v>43957</c:v>
                </c:pt>
                <c:pt idx="1916">
                  <c:v>43958</c:v>
                </c:pt>
                <c:pt idx="1917">
                  <c:v>43959</c:v>
                </c:pt>
                <c:pt idx="1918">
                  <c:v>43960</c:v>
                </c:pt>
                <c:pt idx="1919">
                  <c:v>43961</c:v>
                </c:pt>
                <c:pt idx="1920">
                  <c:v>43962</c:v>
                </c:pt>
                <c:pt idx="1921">
                  <c:v>43963</c:v>
                </c:pt>
                <c:pt idx="1922">
                  <c:v>43964</c:v>
                </c:pt>
                <c:pt idx="1923">
                  <c:v>43965</c:v>
                </c:pt>
                <c:pt idx="1924">
                  <c:v>43966</c:v>
                </c:pt>
                <c:pt idx="1925">
                  <c:v>43967</c:v>
                </c:pt>
                <c:pt idx="1926">
                  <c:v>43968</c:v>
                </c:pt>
                <c:pt idx="1927">
                  <c:v>43969</c:v>
                </c:pt>
                <c:pt idx="1928">
                  <c:v>43970</c:v>
                </c:pt>
                <c:pt idx="1929">
                  <c:v>43971</c:v>
                </c:pt>
                <c:pt idx="1930">
                  <c:v>43972</c:v>
                </c:pt>
                <c:pt idx="1931">
                  <c:v>43973</c:v>
                </c:pt>
                <c:pt idx="1932">
                  <c:v>43974</c:v>
                </c:pt>
                <c:pt idx="1933">
                  <c:v>43975</c:v>
                </c:pt>
                <c:pt idx="1934">
                  <c:v>43976</c:v>
                </c:pt>
                <c:pt idx="1935">
                  <c:v>43977</c:v>
                </c:pt>
                <c:pt idx="1936">
                  <c:v>43978</c:v>
                </c:pt>
                <c:pt idx="1937">
                  <c:v>43979</c:v>
                </c:pt>
                <c:pt idx="1938">
                  <c:v>43980</c:v>
                </c:pt>
                <c:pt idx="1939">
                  <c:v>43981</c:v>
                </c:pt>
                <c:pt idx="1940">
                  <c:v>43982</c:v>
                </c:pt>
                <c:pt idx="1941">
                  <c:v>43983</c:v>
                </c:pt>
                <c:pt idx="1942">
                  <c:v>43984</c:v>
                </c:pt>
                <c:pt idx="1943">
                  <c:v>43985</c:v>
                </c:pt>
                <c:pt idx="1944">
                  <c:v>43986</c:v>
                </c:pt>
                <c:pt idx="1945">
                  <c:v>43987</c:v>
                </c:pt>
                <c:pt idx="1946">
                  <c:v>43988</c:v>
                </c:pt>
                <c:pt idx="1947">
                  <c:v>43989</c:v>
                </c:pt>
                <c:pt idx="1948">
                  <c:v>43990</c:v>
                </c:pt>
                <c:pt idx="1949">
                  <c:v>43991</c:v>
                </c:pt>
                <c:pt idx="1950">
                  <c:v>43992</c:v>
                </c:pt>
                <c:pt idx="1951">
                  <c:v>43993</c:v>
                </c:pt>
                <c:pt idx="1952">
                  <c:v>43994</c:v>
                </c:pt>
                <c:pt idx="1953">
                  <c:v>43995</c:v>
                </c:pt>
                <c:pt idx="1954">
                  <c:v>43996</c:v>
                </c:pt>
                <c:pt idx="1955">
                  <c:v>43997</c:v>
                </c:pt>
                <c:pt idx="1956">
                  <c:v>43998</c:v>
                </c:pt>
                <c:pt idx="1957">
                  <c:v>43999</c:v>
                </c:pt>
                <c:pt idx="1958">
                  <c:v>44000</c:v>
                </c:pt>
                <c:pt idx="1959">
                  <c:v>44001</c:v>
                </c:pt>
                <c:pt idx="1960">
                  <c:v>44002</c:v>
                </c:pt>
                <c:pt idx="1961">
                  <c:v>44003</c:v>
                </c:pt>
                <c:pt idx="1962">
                  <c:v>44004</c:v>
                </c:pt>
                <c:pt idx="1963">
                  <c:v>44005</c:v>
                </c:pt>
                <c:pt idx="1964">
                  <c:v>44006</c:v>
                </c:pt>
                <c:pt idx="1965">
                  <c:v>44007</c:v>
                </c:pt>
                <c:pt idx="1966">
                  <c:v>44008</c:v>
                </c:pt>
                <c:pt idx="1967">
                  <c:v>44009</c:v>
                </c:pt>
                <c:pt idx="1968">
                  <c:v>44010</c:v>
                </c:pt>
                <c:pt idx="1969">
                  <c:v>44011</c:v>
                </c:pt>
                <c:pt idx="1970">
                  <c:v>44012</c:v>
                </c:pt>
                <c:pt idx="1971">
                  <c:v>44013</c:v>
                </c:pt>
                <c:pt idx="1972">
                  <c:v>44014</c:v>
                </c:pt>
                <c:pt idx="1973">
                  <c:v>44015</c:v>
                </c:pt>
                <c:pt idx="1974">
                  <c:v>44016</c:v>
                </c:pt>
                <c:pt idx="1975">
                  <c:v>44017</c:v>
                </c:pt>
                <c:pt idx="1976">
                  <c:v>44018</c:v>
                </c:pt>
                <c:pt idx="1977">
                  <c:v>44019</c:v>
                </c:pt>
                <c:pt idx="1978">
                  <c:v>44020</c:v>
                </c:pt>
                <c:pt idx="1979">
                  <c:v>44021</c:v>
                </c:pt>
                <c:pt idx="1980">
                  <c:v>44022</c:v>
                </c:pt>
                <c:pt idx="1981">
                  <c:v>44023</c:v>
                </c:pt>
                <c:pt idx="1982">
                  <c:v>44024</c:v>
                </c:pt>
                <c:pt idx="1983">
                  <c:v>44025</c:v>
                </c:pt>
                <c:pt idx="1984">
                  <c:v>44026</c:v>
                </c:pt>
                <c:pt idx="1985">
                  <c:v>44027</c:v>
                </c:pt>
                <c:pt idx="1986">
                  <c:v>44028</c:v>
                </c:pt>
                <c:pt idx="1987">
                  <c:v>44029</c:v>
                </c:pt>
                <c:pt idx="1988">
                  <c:v>44030</c:v>
                </c:pt>
                <c:pt idx="1989">
                  <c:v>44031</c:v>
                </c:pt>
                <c:pt idx="1990">
                  <c:v>44032</c:v>
                </c:pt>
                <c:pt idx="1991">
                  <c:v>44033</c:v>
                </c:pt>
                <c:pt idx="1992">
                  <c:v>44034</c:v>
                </c:pt>
                <c:pt idx="1993">
                  <c:v>44035</c:v>
                </c:pt>
                <c:pt idx="1994">
                  <c:v>44036</c:v>
                </c:pt>
                <c:pt idx="1995">
                  <c:v>44037</c:v>
                </c:pt>
                <c:pt idx="1996">
                  <c:v>44038</c:v>
                </c:pt>
                <c:pt idx="1997">
                  <c:v>44039</c:v>
                </c:pt>
                <c:pt idx="1998">
                  <c:v>44040</c:v>
                </c:pt>
                <c:pt idx="1999">
                  <c:v>44041</c:v>
                </c:pt>
                <c:pt idx="2000">
                  <c:v>44042</c:v>
                </c:pt>
                <c:pt idx="2001">
                  <c:v>44043</c:v>
                </c:pt>
                <c:pt idx="2002">
                  <c:v>44044</c:v>
                </c:pt>
                <c:pt idx="2003">
                  <c:v>44045</c:v>
                </c:pt>
                <c:pt idx="2004">
                  <c:v>44046</c:v>
                </c:pt>
                <c:pt idx="2005">
                  <c:v>44047</c:v>
                </c:pt>
                <c:pt idx="2006">
                  <c:v>44048</c:v>
                </c:pt>
                <c:pt idx="2007">
                  <c:v>44049</c:v>
                </c:pt>
                <c:pt idx="2008">
                  <c:v>44050</c:v>
                </c:pt>
                <c:pt idx="2009">
                  <c:v>44051</c:v>
                </c:pt>
                <c:pt idx="2010">
                  <c:v>44052</c:v>
                </c:pt>
                <c:pt idx="2011">
                  <c:v>44053</c:v>
                </c:pt>
                <c:pt idx="2012">
                  <c:v>44054</c:v>
                </c:pt>
                <c:pt idx="2013">
                  <c:v>44055</c:v>
                </c:pt>
                <c:pt idx="2014">
                  <c:v>44056</c:v>
                </c:pt>
                <c:pt idx="2015">
                  <c:v>44057</c:v>
                </c:pt>
                <c:pt idx="2016">
                  <c:v>44058</c:v>
                </c:pt>
                <c:pt idx="2017">
                  <c:v>44059</c:v>
                </c:pt>
                <c:pt idx="2018">
                  <c:v>44060</c:v>
                </c:pt>
                <c:pt idx="2019">
                  <c:v>44061</c:v>
                </c:pt>
                <c:pt idx="2020">
                  <c:v>44062</c:v>
                </c:pt>
                <c:pt idx="2021">
                  <c:v>44063</c:v>
                </c:pt>
                <c:pt idx="2022">
                  <c:v>44064</c:v>
                </c:pt>
                <c:pt idx="2023">
                  <c:v>44065</c:v>
                </c:pt>
                <c:pt idx="2024">
                  <c:v>44066</c:v>
                </c:pt>
                <c:pt idx="2025">
                  <c:v>44067</c:v>
                </c:pt>
                <c:pt idx="2026">
                  <c:v>44068</c:v>
                </c:pt>
                <c:pt idx="2027">
                  <c:v>44069</c:v>
                </c:pt>
                <c:pt idx="2028">
                  <c:v>44070</c:v>
                </c:pt>
                <c:pt idx="2029">
                  <c:v>44071</c:v>
                </c:pt>
                <c:pt idx="2030">
                  <c:v>44072</c:v>
                </c:pt>
                <c:pt idx="2031">
                  <c:v>44073</c:v>
                </c:pt>
                <c:pt idx="2032">
                  <c:v>44074</c:v>
                </c:pt>
                <c:pt idx="2033">
                  <c:v>44075</c:v>
                </c:pt>
                <c:pt idx="2034">
                  <c:v>44076</c:v>
                </c:pt>
                <c:pt idx="2035">
                  <c:v>44077</c:v>
                </c:pt>
                <c:pt idx="2036">
                  <c:v>44079</c:v>
                </c:pt>
                <c:pt idx="2037">
                  <c:v>44080</c:v>
                </c:pt>
                <c:pt idx="2038">
                  <c:v>44081</c:v>
                </c:pt>
                <c:pt idx="2039">
                  <c:v>44082</c:v>
                </c:pt>
                <c:pt idx="2040">
                  <c:v>44083</c:v>
                </c:pt>
                <c:pt idx="2041">
                  <c:v>44084</c:v>
                </c:pt>
                <c:pt idx="2042">
                  <c:v>44085</c:v>
                </c:pt>
                <c:pt idx="2043">
                  <c:v>44086</c:v>
                </c:pt>
                <c:pt idx="2044">
                  <c:v>44087</c:v>
                </c:pt>
                <c:pt idx="2045">
                  <c:v>44088</c:v>
                </c:pt>
                <c:pt idx="2046">
                  <c:v>44089</c:v>
                </c:pt>
                <c:pt idx="2047">
                  <c:v>44090</c:v>
                </c:pt>
                <c:pt idx="2048">
                  <c:v>44091</c:v>
                </c:pt>
                <c:pt idx="2049">
                  <c:v>44092</c:v>
                </c:pt>
                <c:pt idx="2050">
                  <c:v>44093</c:v>
                </c:pt>
                <c:pt idx="2051">
                  <c:v>44094</c:v>
                </c:pt>
                <c:pt idx="2052">
                  <c:v>44095</c:v>
                </c:pt>
                <c:pt idx="2053">
                  <c:v>44096</c:v>
                </c:pt>
                <c:pt idx="2054">
                  <c:v>44097</c:v>
                </c:pt>
                <c:pt idx="2055">
                  <c:v>44098</c:v>
                </c:pt>
                <c:pt idx="2056">
                  <c:v>44099</c:v>
                </c:pt>
                <c:pt idx="2057">
                  <c:v>44100</c:v>
                </c:pt>
                <c:pt idx="2058">
                  <c:v>44101</c:v>
                </c:pt>
                <c:pt idx="2059">
                  <c:v>44102</c:v>
                </c:pt>
                <c:pt idx="2060">
                  <c:v>44103</c:v>
                </c:pt>
                <c:pt idx="2061">
                  <c:v>44104</c:v>
                </c:pt>
                <c:pt idx="2062">
                  <c:v>44105</c:v>
                </c:pt>
                <c:pt idx="2063">
                  <c:v>44106</c:v>
                </c:pt>
                <c:pt idx="2064">
                  <c:v>44107</c:v>
                </c:pt>
                <c:pt idx="2065">
                  <c:v>44108</c:v>
                </c:pt>
                <c:pt idx="2066">
                  <c:v>44109</c:v>
                </c:pt>
                <c:pt idx="2067">
                  <c:v>44110</c:v>
                </c:pt>
                <c:pt idx="2068">
                  <c:v>44111</c:v>
                </c:pt>
                <c:pt idx="2069">
                  <c:v>44112</c:v>
                </c:pt>
                <c:pt idx="2070">
                  <c:v>44113</c:v>
                </c:pt>
                <c:pt idx="2071">
                  <c:v>44114</c:v>
                </c:pt>
                <c:pt idx="2072">
                  <c:v>44115</c:v>
                </c:pt>
                <c:pt idx="2073">
                  <c:v>44116</c:v>
                </c:pt>
                <c:pt idx="2074">
                  <c:v>44117</c:v>
                </c:pt>
                <c:pt idx="2075">
                  <c:v>44118</c:v>
                </c:pt>
                <c:pt idx="2076">
                  <c:v>44119</c:v>
                </c:pt>
                <c:pt idx="2077">
                  <c:v>44120</c:v>
                </c:pt>
                <c:pt idx="2078">
                  <c:v>44121</c:v>
                </c:pt>
                <c:pt idx="2079">
                  <c:v>44122</c:v>
                </c:pt>
                <c:pt idx="2080">
                  <c:v>44123</c:v>
                </c:pt>
                <c:pt idx="2081">
                  <c:v>44124</c:v>
                </c:pt>
                <c:pt idx="2082">
                  <c:v>44125</c:v>
                </c:pt>
                <c:pt idx="2083">
                  <c:v>44126</c:v>
                </c:pt>
                <c:pt idx="2084">
                  <c:v>44127</c:v>
                </c:pt>
                <c:pt idx="2085">
                  <c:v>44128</c:v>
                </c:pt>
                <c:pt idx="2086">
                  <c:v>44129</c:v>
                </c:pt>
                <c:pt idx="2087">
                  <c:v>44130</c:v>
                </c:pt>
                <c:pt idx="2088">
                  <c:v>44131</c:v>
                </c:pt>
                <c:pt idx="2089">
                  <c:v>44132</c:v>
                </c:pt>
                <c:pt idx="2090">
                  <c:v>44133</c:v>
                </c:pt>
                <c:pt idx="2091">
                  <c:v>44134</c:v>
                </c:pt>
                <c:pt idx="2092">
                  <c:v>44135</c:v>
                </c:pt>
                <c:pt idx="2093">
                  <c:v>44136</c:v>
                </c:pt>
                <c:pt idx="2094">
                  <c:v>44137</c:v>
                </c:pt>
                <c:pt idx="2095">
                  <c:v>44138</c:v>
                </c:pt>
                <c:pt idx="2096">
                  <c:v>44139</c:v>
                </c:pt>
                <c:pt idx="2097">
                  <c:v>44140</c:v>
                </c:pt>
                <c:pt idx="2098">
                  <c:v>44141</c:v>
                </c:pt>
                <c:pt idx="2099">
                  <c:v>44142</c:v>
                </c:pt>
                <c:pt idx="2100">
                  <c:v>44143</c:v>
                </c:pt>
                <c:pt idx="2101">
                  <c:v>44144</c:v>
                </c:pt>
                <c:pt idx="2102">
                  <c:v>44145</c:v>
                </c:pt>
                <c:pt idx="2103">
                  <c:v>44146</c:v>
                </c:pt>
                <c:pt idx="2104">
                  <c:v>44147</c:v>
                </c:pt>
                <c:pt idx="2105">
                  <c:v>44148</c:v>
                </c:pt>
                <c:pt idx="2106">
                  <c:v>44149</c:v>
                </c:pt>
                <c:pt idx="2107">
                  <c:v>44150</c:v>
                </c:pt>
                <c:pt idx="2108">
                  <c:v>44151</c:v>
                </c:pt>
                <c:pt idx="2109">
                  <c:v>44152</c:v>
                </c:pt>
                <c:pt idx="2110">
                  <c:v>44153</c:v>
                </c:pt>
                <c:pt idx="2111">
                  <c:v>44154</c:v>
                </c:pt>
                <c:pt idx="2112">
                  <c:v>44155</c:v>
                </c:pt>
                <c:pt idx="2113">
                  <c:v>44156</c:v>
                </c:pt>
                <c:pt idx="2114">
                  <c:v>44157</c:v>
                </c:pt>
                <c:pt idx="2115">
                  <c:v>44158</c:v>
                </c:pt>
                <c:pt idx="2116">
                  <c:v>44159</c:v>
                </c:pt>
                <c:pt idx="2117">
                  <c:v>44160</c:v>
                </c:pt>
                <c:pt idx="2118">
                  <c:v>44161</c:v>
                </c:pt>
                <c:pt idx="2119">
                  <c:v>44162</c:v>
                </c:pt>
                <c:pt idx="2120">
                  <c:v>44163</c:v>
                </c:pt>
                <c:pt idx="2121">
                  <c:v>44164</c:v>
                </c:pt>
                <c:pt idx="2122">
                  <c:v>44165</c:v>
                </c:pt>
                <c:pt idx="2123">
                  <c:v>44166</c:v>
                </c:pt>
                <c:pt idx="2124">
                  <c:v>44167</c:v>
                </c:pt>
                <c:pt idx="2125">
                  <c:v>44168</c:v>
                </c:pt>
                <c:pt idx="2126">
                  <c:v>44169</c:v>
                </c:pt>
                <c:pt idx="2127">
                  <c:v>44170</c:v>
                </c:pt>
                <c:pt idx="2128">
                  <c:v>44171</c:v>
                </c:pt>
                <c:pt idx="2129">
                  <c:v>44172</c:v>
                </c:pt>
                <c:pt idx="2130">
                  <c:v>44173</c:v>
                </c:pt>
                <c:pt idx="2131">
                  <c:v>44174</c:v>
                </c:pt>
                <c:pt idx="2132">
                  <c:v>44175</c:v>
                </c:pt>
                <c:pt idx="2133">
                  <c:v>44176</c:v>
                </c:pt>
                <c:pt idx="2134">
                  <c:v>44177</c:v>
                </c:pt>
                <c:pt idx="2135">
                  <c:v>44178</c:v>
                </c:pt>
                <c:pt idx="2136">
                  <c:v>44179</c:v>
                </c:pt>
                <c:pt idx="2137">
                  <c:v>44180</c:v>
                </c:pt>
                <c:pt idx="2138">
                  <c:v>44181</c:v>
                </c:pt>
                <c:pt idx="2139">
                  <c:v>44182</c:v>
                </c:pt>
                <c:pt idx="2140">
                  <c:v>44183</c:v>
                </c:pt>
                <c:pt idx="2141">
                  <c:v>44184</c:v>
                </c:pt>
                <c:pt idx="2142">
                  <c:v>44185</c:v>
                </c:pt>
                <c:pt idx="2143">
                  <c:v>44186</c:v>
                </c:pt>
                <c:pt idx="2144">
                  <c:v>44187</c:v>
                </c:pt>
                <c:pt idx="2145">
                  <c:v>44188</c:v>
                </c:pt>
                <c:pt idx="2146">
                  <c:v>44189</c:v>
                </c:pt>
                <c:pt idx="2147">
                  <c:v>44190</c:v>
                </c:pt>
                <c:pt idx="2148">
                  <c:v>44191</c:v>
                </c:pt>
                <c:pt idx="2149">
                  <c:v>44192</c:v>
                </c:pt>
                <c:pt idx="2150">
                  <c:v>44193</c:v>
                </c:pt>
                <c:pt idx="2151">
                  <c:v>44194</c:v>
                </c:pt>
                <c:pt idx="2152">
                  <c:v>44195</c:v>
                </c:pt>
                <c:pt idx="2153">
                  <c:v>44196</c:v>
                </c:pt>
                <c:pt idx="2154">
                  <c:v>44197</c:v>
                </c:pt>
                <c:pt idx="2155">
                  <c:v>44198</c:v>
                </c:pt>
                <c:pt idx="2156">
                  <c:v>44199</c:v>
                </c:pt>
                <c:pt idx="2157">
                  <c:v>44200</c:v>
                </c:pt>
                <c:pt idx="2158">
                  <c:v>44201</c:v>
                </c:pt>
                <c:pt idx="2159">
                  <c:v>44202</c:v>
                </c:pt>
                <c:pt idx="2160">
                  <c:v>44203</c:v>
                </c:pt>
                <c:pt idx="2161">
                  <c:v>44204</c:v>
                </c:pt>
                <c:pt idx="2162">
                  <c:v>44205</c:v>
                </c:pt>
                <c:pt idx="2163">
                  <c:v>44206</c:v>
                </c:pt>
                <c:pt idx="2164">
                  <c:v>44207</c:v>
                </c:pt>
                <c:pt idx="2165">
                  <c:v>44208</c:v>
                </c:pt>
                <c:pt idx="2166">
                  <c:v>44209</c:v>
                </c:pt>
                <c:pt idx="2167">
                  <c:v>44210</c:v>
                </c:pt>
                <c:pt idx="2168">
                  <c:v>44211</c:v>
                </c:pt>
                <c:pt idx="2169">
                  <c:v>44212</c:v>
                </c:pt>
                <c:pt idx="2170">
                  <c:v>44213</c:v>
                </c:pt>
                <c:pt idx="2171">
                  <c:v>44214</c:v>
                </c:pt>
                <c:pt idx="2172">
                  <c:v>44215</c:v>
                </c:pt>
                <c:pt idx="2173">
                  <c:v>44216</c:v>
                </c:pt>
                <c:pt idx="2174">
                  <c:v>44217</c:v>
                </c:pt>
                <c:pt idx="2175">
                  <c:v>44218</c:v>
                </c:pt>
                <c:pt idx="2176">
                  <c:v>44219</c:v>
                </c:pt>
                <c:pt idx="2177">
                  <c:v>44220</c:v>
                </c:pt>
                <c:pt idx="2178">
                  <c:v>44221</c:v>
                </c:pt>
                <c:pt idx="2179">
                  <c:v>44222</c:v>
                </c:pt>
                <c:pt idx="2180">
                  <c:v>44223</c:v>
                </c:pt>
                <c:pt idx="2181">
                  <c:v>44224</c:v>
                </c:pt>
                <c:pt idx="2182">
                  <c:v>44225</c:v>
                </c:pt>
                <c:pt idx="2183">
                  <c:v>44226</c:v>
                </c:pt>
                <c:pt idx="2184">
                  <c:v>44227</c:v>
                </c:pt>
                <c:pt idx="2185">
                  <c:v>44228</c:v>
                </c:pt>
                <c:pt idx="2186">
                  <c:v>44229</c:v>
                </c:pt>
                <c:pt idx="2187">
                  <c:v>44230</c:v>
                </c:pt>
                <c:pt idx="2188">
                  <c:v>44231</c:v>
                </c:pt>
                <c:pt idx="2189">
                  <c:v>44232</c:v>
                </c:pt>
                <c:pt idx="2190">
                  <c:v>44233</c:v>
                </c:pt>
                <c:pt idx="2191">
                  <c:v>44234</c:v>
                </c:pt>
                <c:pt idx="2192">
                  <c:v>44235</c:v>
                </c:pt>
                <c:pt idx="2193">
                  <c:v>44236</c:v>
                </c:pt>
                <c:pt idx="2194">
                  <c:v>44237</c:v>
                </c:pt>
                <c:pt idx="2195">
                  <c:v>44238</c:v>
                </c:pt>
                <c:pt idx="2196">
                  <c:v>44239</c:v>
                </c:pt>
                <c:pt idx="2197">
                  <c:v>44240</c:v>
                </c:pt>
                <c:pt idx="2198">
                  <c:v>44241</c:v>
                </c:pt>
                <c:pt idx="2199">
                  <c:v>44242</c:v>
                </c:pt>
                <c:pt idx="2200">
                  <c:v>44243</c:v>
                </c:pt>
                <c:pt idx="2201">
                  <c:v>44244</c:v>
                </c:pt>
                <c:pt idx="2202">
                  <c:v>44245</c:v>
                </c:pt>
                <c:pt idx="2203">
                  <c:v>44246</c:v>
                </c:pt>
                <c:pt idx="2204">
                  <c:v>44247</c:v>
                </c:pt>
                <c:pt idx="2205">
                  <c:v>44248</c:v>
                </c:pt>
                <c:pt idx="2206">
                  <c:v>44249</c:v>
                </c:pt>
                <c:pt idx="2207">
                  <c:v>44250</c:v>
                </c:pt>
                <c:pt idx="2208">
                  <c:v>44251</c:v>
                </c:pt>
                <c:pt idx="2209">
                  <c:v>44252</c:v>
                </c:pt>
                <c:pt idx="2210">
                  <c:v>44253</c:v>
                </c:pt>
                <c:pt idx="2211">
                  <c:v>44254</c:v>
                </c:pt>
                <c:pt idx="2212">
                  <c:v>44255</c:v>
                </c:pt>
                <c:pt idx="2213">
                  <c:v>44256</c:v>
                </c:pt>
                <c:pt idx="2214">
                  <c:v>44257</c:v>
                </c:pt>
                <c:pt idx="2215">
                  <c:v>44258</c:v>
                </c:pt>
                <c:pt idx="2216">
                  <c:v>44259</c:v>
                </c:pt>
                <c:pt idx="2217">
                  <c:v>44260</c:v>
                </c:pt>
                <c:pt idx="2218">
                  <c:v>44261</c:v>
                </c:pt>
                <c:pt idx="2219">
                  <c:v>44262</c:v>
                </c:pt>
                <c:pt idx="2220">
                  <c:v>44263</c:v>
                </c:pt>
                <c:pt idx="2221">
                  <c:v>44264</c:v>
                </c:pt>
                <c:pt idx="2222">
                  <c:v>44265</c:v>
                </c:pt>
                <c:pt idx="2223">
                  <c:v>44266</c:v>
                </c:pt>
                <c:pt idx="2224">
                  <c:v>44267</c:v>
                </c:pt>
                <c:pt idx="2225">
                  <c:v>44268</c:v>
                </c:pt>
                <c:pt idx="2226">
                  <c:v>44269</c:v>
                </c:pt>
                <c:pt idx="2227">
                  <c:v>44270</c:v>
                </c:pt>
                <c:pt idx="2228">
                  <c:v>44271</c:v>
                </c:pt>
                <c:pt idx="2229">
                  <c:v>44272</c:v>
                </c:pt>
                <c:pt idx="2230">
                  <c:v>44273</c:v>
                </c:pt>
                <c:pt idx="2231">
                  <c:v>44274</c:v>
                </c:pt>
                <c:pt idx="2232">
                  <c:v>44275</c:v>
                </c:pt>
                <c:pt idx="2233">
                  <c:v>44276</c:v>
                </c:pt>
                <c:pt idx="2234">
                  <c:v>44277</c:v>
                </c:pt>
                <c:pt idx="2235">
                  <c:v>44278</c:v>
                </c:pt>
                <c:pt idx="2236">
                  <c:v>44279</c:v>
                </c:pt>
                <c:pt idx="2237">
                  <c:v>44280</c:v>
                </c:pt>
                <c:pt idx="2238">
                  <c:v>44281</c:v>
                </c:pt>
                <c:pt idx="2239">
                  <c:v>44282</c:v>
                </c:pt>
                <c:pt idx="2240">
                  <c:v>44283</c:v>
                </c:pt>
                <c:pt idx="2241">
                  <c:v>44284</c:v>
                </c:pt>
                <c:pt idx="2242">
                  <c:v>44285</c:v>
                </c:pt>
                <c:pt idx="2243">
                  <c:v>44286</c:v>
                </c:pt>
                <c:pt idx="2244">
                  <c:v>44287</c:v>
                </c:pt>
                <c:pt idx="2245">
                  <c:v>44288</c:v>
                </c:pt>
                <c:pt idx="2246">
                  <c:v>44289</c:v>
                </c:pt>
                <c:pt idx="2247">
                  <c:v>44290</c:v>
                </c:pt>
                <c:pt idx="2248">
                  <c:v>44291</c:v>
                </c:pt>
                <c:pt idx="2249">
                  <c:v>44292</c:v>
                </c:pt>
                <c:pt idx="2250">
                  <c:v>44293</c:v>
                </c:pt>
                <c:pt idx="2251">
                  <c:v>44294</c:v>
                </c:pt>
                <c:pt idx="2252">
                  <c:v>44295</c:v>
                </c:pt>
                <c:pt idx="2253">
                  <c:v>44296</c:v>
                </c:pt>
                <c:pt idx="2254">
                  <c:v>44297</c:v>
                </c:pt>
                <c:pt idx="2255">
                  <c:v>44298</c:v>
                </c:pt>
                <c:pt idx="2256">
                  <c:v>44299</c:v>
                </c:pt>
                <c:pt idx="2257">
                  <c:v>44300</c:v>
                </c:pt>
                <c:pt idx="2258">
                  <c:v>44301</c:v>
                </c:pt>
                <c:pt idx="2259">
                  <c:v>44302</c:v>
                </c:pt>
                <c:pt idx="2260">
                  <c:v>44303</c:v>
                </c:pt>
                <c:pt idx="2261">
                  <c:v>44304</c:v>
                </c:pt>
                <c:pt idx="2262">
                  <c:v>44305</c:v>
                </c:pt>
                <c:pt idx="2263">
                  <c:v>44306</c:v>
                </c:pt>
                <c:pt idx="2264">
                  <c:v>44307</c:v>
                </c:pt>
                <c:pt idx="2265">
                  <c:v>44308</c:v>
                </c:pt>
                <c:pt idx="2266">
                  <c:v>44309</c:v>
                </c:pt>
                <c:pt idx="2267">
                  <c:v>44310</c:v>
                </c:pt>
                <c:pt idx="2268">
                  <c:v>44311</c:v>
                </c:pt>
                <c:pt idx="2269">
                  <c:v>44312</c:v>
                </c:pt>
                <c:pt idx="2270">
                  <c:v>44313</c:v>
                </c:pt>
                <c:pt idx="2271">
                  <c:v>44314</c:v>
                </c:pt>
                <c:pt idx="2272">
                  <c:v>44315</c:v>
                </c:pt>
                <c:pt idx="2273">
                  <c:v>44316</c:v>
                </c:pt>
                <c:pt idx="2274">
                  <c:v>44317</c:v>
                </c:pt>
                <c:pt idx="2275">
                  <c:v>44318</c:v>
                </c:pt>
                <c:pt idx="2276">
                  <c:v>44319</c:v>
                </c:pt>
                <c:pt idx="2277">
                  <c:v>44320</c:v>
                </c:pt>
                <c:pt idx="2278">
                  <c:v>44321</c:v>
                </c:pt>
                <c:pt idx="2279">
                  <c:v>44322</c:v>
                </c:pt>
                <c:pt idx="2280">
                  <c:v>44323</c:v>
                </c:pt>
                <c:pt idx="2281">
                  <c:v>44324</c:v>
                </c:pt>
                <c:pt idx="2282">
                  <c:v>44325</c:v>
                </c:pt>
                <c:pt idx="2283">
                  <c:v>44326</c:v>
                </c:pt>
                <c:pt idx="2284">
                  <c:v>44327</c:v>
                </c:pt>
                <c:pt idx="2285">
                  <c:v>44328</c:v>
                </c:pt>
                <c:pt idx="2286">
                  <c:v>44329</c:v>
                </c:pt>
                <c:pt idx="2287">
                  <c:v>44330</c:v>
                </c:pt>
                <c:pt idx="2288">
                  <c:v>44331</c:v>
                </c:pt>
                <c:pt idx="2289">
                  <c:v>44332</c:v>
                </c:pt>
                <c:pt idx="2290">
                  <c:v>44333</c:v>
                </c:pt>
                <c:pt idx="2291">
                  <c:v>44334</c:v>
                </c:pt>
                <c:pt idx="2292">
                  <c:v>44335</c:v>
                </c:pt>
                <c:pt idx="2293">
                  <c:v>44336</c:v>
                </c:pt>
                <c:pt idx="2294">
                  <c:v>44337</c:v>
                </c:pt>
                <c:pt idx="2295">
                  <c:v>44338</c:v>
                </c:pt>
                <c:pt idx="2296">
                  <c:v>44339</c:v>
                </c:pt>
                <c:pt idx="2297">
                  <c:v>44340</c:v>
                </c:pt>
                <c:pt idx="2298">
                  <c:v>44341</c:v>
                </c:pt>
                <c:pt idx="2299">
                  <c:v>44342</c:v>
                </c:pt>
                <c:pt idx="2300">
                  <c:v>44343</c:v>
                </c:pt>
                <c:pt idx="2301">
                  <c:v>44344</c:v>
                </c:pt>
                <c:pt idx="2302">
                  <c:v>44345</c:v>
                </c:pt>
                <c:pt idx="2303">
                  <c:v>44346</c:v>
                </c:pt>
                <c:pt idx="2304">
                  <c:v>44347</c:v>
                </c:pt>
                <c:pt idx="2305">
                  <c:v>44348</c:v>
                </c:pt>
                <c:pt idx="2306">
                  <c:v>44349</c:v>
                </c:pt>
                <c:pt idx="2307">
                  <c:v>44350</c:v>
                </c:pt>
                <c:pt idx="2308">
                  <c:v>44351</c:v>
                </c:pt>
                <c:pt idx="2309">
                  <c:v>44352</c:v>
                </c:pt>
                <c:pt idx="2310">
                  <c:v>44353</c:v>
                </c:pt>
                <c:pt idx="2311">
                  <c:v>44354</c:v>
                </c:pt>
                <c:pt idx="2312">
                  <c:v>44355</c:v>
                </c:pt>
                <c:pt idx="2313">
                  <c:v>44356</c:v>
                </c:pt>
                <c:pt idx="2314">
                  <c:v>44357</c:v>
                </c:pt>
                <c:pt idx="2315">
                  <c:v>44358</c:v>
                </c:pt>
                <c:pt idx="2316">
                  <c:v>44359</c:v>
                </c:pt>
                <c:pt idx="2317">
                  <c:v>44360</c:v>
                </c:pt>
                <c:pt idx="2318">
                  <c:v>44361</c:v>
                </c:pt>
                <c:pt idx="2319">
                  <c:v>44362</c:v>
                </c:pt>
                <c:pt idx="2320">
                  <c:v>44363</c:v>
                </c:pt>
                <c:pt idx="2321">
                  <c:v>44364</c:v>
                </c:pt>
                <c:pt idx="2322">
                  <c:v>44365</c:v>
                </c:pt>
                <c:pt idx="2323">
                  <c:v>44366</c:v>
                </c:pt>
                <c:pt idx="2324">
                  <c:v>44367</c:v>
                </c:pt>
                <c:pt idx="2325">
                  <c:v>44368</c:v>
                </c:pt>
                <c:pt idx="2326">
                  <c:v>44369</c:v>
                </c:pt>
                <c:pt idx="2327">
                  <c:v>44370</c:v>
                </c:pt>
                <c:pt idx="2328">
                  <c:v>44371</c:v>
                </c:pt>
                <c:pt idx="2329">
                  <c:v>44372</c:v>
                </c:pt>
                <c:pt idx="2330">
                  <c:v>44373</c:v>
                </c:pt>
                <c:pt idx="2331">
                  <c:v>44374</c:v>
                </c:pt>
                <c:pt idx="2332">
                  <c:v>44375</c:v>
                </c:pt>
                <c:pt idx="2333">
                  <c:v>44376</c:v>
                </c:pt>
                <c:pt idx="2334">
                  <c:v>44377</c:v>
                </c:pt>
                <c:pt idx="2335">
                  <c:v>44378</c:v>
                </c:pt>
                <c:pt idx="2336">
                  <c:v>44379</c:v>
                </c:pt>
                <c:pt idx="2337">
                  <c:v>44380</c:v>
                </c:pt>
                <c:pt idx="2338">
                  <c:v>44381</c:v>
                </c:pt>
                <c:pt idx="2339">
                  <c:v>44382</c:v>
                </c:pt>
                <c:pt idx="2340">
                  <c:v>44383</c:v>
                </c:pt>
                <c:pt idx="2341">
                  <c:v>44384</c:v>
                </c:pt>
                <c:pt idx="2342">
                  <c:v>44385</c:v>
                </c:pt>
                <c:pt idx="2343">
                  <c:v>44386</c:v>
                </c:pt>
                <c:pt idx="2344">
                  <c:v>44387</c:v>
                </c:pt>
                <c:pt idx="2345">
                  <c:v>44388</c:v>
                </c:pt>
                <c:pt idx="2346">
                  <c:v>44389</c:v>
                </c:pt>
                <c:pt idx="2347">
                  <c:v>44390</c:v>
                </c:pt>
                <c:pt idx="2348">
                  <c:v>44391</c:v>
                </c:pt>
                <c:pt idx="2349">
                  <c:v>44392</c:v>
                </c:pt>
                <c:pt idx="2350">
                  <c:v>44393</c:v>
                </c:pt>
                <c:pt idx="2351">
                  <c:v>44394</c:v>
                </c:pt>
                <c:pt idx="2352">
                  <c:v>44395</c:v>
                </c:pt>
                <c:pt idx="2353">
                  <c:v>44396</c:v>
                </c:pt>
                <c:pt idx="2354">
                  <c:v>44397</c:v>
                </c:pt>
                <c:pt idx="2355">
                  <c:v>44398</c:v>
                </c:pt>
                <c:pt idx="2356">
                  <c:v>44399</c:v>
                </c:pt>
                <c:pt idx="2357">
                  <c:v>44400</c:v>
                </c:pt>
                <c:pt idx="2358">
                  <c:v>44401</c:v>
                </c:pt>
                <c:pt idx="2359">
                  <c:v>44402</c:v>
                </c:pt>
                <c:pt idx="2360">
                  <c:v>44403</c:v>
                </c:pt>
                <c:pt idx="2361">
                  <c:v>44404</c:v>
                </c:pt>
                <c:pt idx="2362">
                  <c:v>44405</c:v>
                </c:pt>
                <c:pt idx="2363">
                  <c:v>44406</c:v>
                </c:pt>
                <c:pt idx="2364">
                  <c:v>44407</c:v>
                </c:pt>
                <c:pt idx="2365">
                  <c:v>44408</c:v>
                </c:pt>
                <c:pt idx="2366">
                  <c:v>44409</c:v>
                </c:pt>
                <c:pt idx="2367">
                  <c:v>44410</c:v>
                </c:pt>
                <c:pt idx="2368">
                  <c:v>44411</c:v>
                </c:pt>
                <c:pt idx="2369">
                  <c:v>44412</c:v>
                </c:pt>
                <c:pt idx="2370">
                  <c:v>44413</c:v>
                </c:pt>
                <c:pt idx="2371">
                  <c:v>44414</c:v>
                </c:pt>
                <c:pt idx="2372">
                  <c:v>44415</c:v>
                </c:pt>
                <c:pt idx="2373">
                  <c:v>44416</c:v>
                </c:pt>
                <c:pt idx="2374">
                  <c:v>44417</c:v>
                </c:pt>
                <c:pt idx="2375">
                  <c:v>44418</c:v>
                </c:pt>
                <c:pt idx="2376">
                  <c:v>44419</c:v>
                </c:pt>
                <c:pt idx="2377">
                  <c:v>44420</c:v>
                </c:pt>
                <c:pt idx="2378">
                  <c:v>44421</c:v>
                </c:pt>
                <c:pt idx="2379">
                  <c:v>44422</c:v>
                </c:pt>
                <c:pt idx="2380">
                  <c:v>44423</c:v>
                </c:pt>
                <c:pt idx="2381">
                  <c:v>44424</c:v>
                </c:pt>
                <c:pt idx="2382">
                  <c:v>44425</c:v>
                </c:pt>
                <c:pt idx="2383">
                  <c:v>44426</c:v>
                </c:pt>
                <c:pt idx="2384">
                  <c:v>44427</c:v>
                </c:pt>
                <c:pt idx="2385">
                  <c:v>44428</c:v>
                </c:pt>
                <c:pt idx="2386">
                  <c:v>44429</c:v>
                </c:pt>
                <c:pt idx="2387">
                  <c:v>44430</c:v>
                </c:pt>
                <c:pt idx="2388">
                  <c:v>44431</c:v>
                </c:pt>
                <c:pt idx="2389">
                  <c:v>44432</c:v>
                </c:pt>
                <c:pt idx="2390">
                  <c:v>44433</c:v>
                </c:pt>
                <c:pt idx="2391">
                  <c:v>44434</c:v>
                </c:pt>
                <c:pt idx="2392">
                  <c:v>44435</c:v>
                </c:pt>
                <c:pt idx="2393">
                  <c:v>44436</c:v>
                </c:pt>
                <c:pt idx="2394">
                  <c:v>44437</c:v>
                </c:pt>
                <c:pt idx="2395">
                  <c:v>44438</c:v>
                </c:pt>
                <c:pt idx="2396">
                  <c:v>44439</c:v>
                </c:pt>
                <c:pt idx="2397">
                  <c:v>44440</c:v>
                </c:pt>
                <c:pt idx="2398">
                  <c:v>44441</c:v>
                </c:pt>
                <c:pt idx="2399">
                  <c:v>44442</c:v>
                </c:pt>
                <c:pt idx="2400">
                  <c:v>44443</c:v>
                </c:pt>
                <c:pt idx="2401">
                  <c:v>44444</c:v>
                </c:pt>
                <c:pt idx="2402">
                  <c:v>44445</c:v>
                </c:pt>
                <c:pt idx="2403">
                  <c:v>44446</c:v>
                </c:pt>
                <c:pt idx="2404">
                  <c:v>44447</c:v>
                </c:pt>
                <c:pt idx="2405">
                  <c:v>44448</c:v>
                </c:pt>
                <c:pt idx="2406">
                  <c:v>44449</c:v>
                </c:pt>
                <c:pt idx="2407">
                  <c:v>44450</c:v>
                </c:pt>
                <c:pt idx="2408">
                  <c:v>44451</c:v>
                </c:pt>
                <c:pt idx="2409">
                  <c:v>44452</c:v>
                </c:pt>
                <c:pt idx="2410">
                  <c:v>44453</c:v>
                </c:pt>
                <c:pt idx="2411">
                  <c:v>44454</c:v>
                </c:pt>
                <c:pt idx="2412">
                  <c:v>44455</c:v>
                </c:pt>
                <c:pt idx="2413">
                  <c:v>44456</c:v>
                </c:pt>
                <c:pt idx="2414">
                  <c:v>44457</c:v>
                </c:pt>
                <c:pt idx="2415">
                  <c:v>44458</c:v>
                </c:pt>
                <c:pt idx="2416">
                  <c:v>44459</c:v>
                </c:pt>
                <c:pt idx="2417">
                  <c:v>44460</c:v>
                </c:pt>
                <c:pt idx="2418">
                  <c:v>44461</c:v>
                </c:pt>
                <c:pt idx="2419">
                  <c:v>44462</c:v>
                </c:pt>
                <c:pt idx="2420">
                  <c:v>44463</c:v>
                </c:pt>
                <c:pt idx="2421">
                  <c:v>44464</c:v>
                </c:pt>
                <c:pt idx="2422">
                  <c:v>44465</c:v>
                </c:pt>
                <c:pt idx="2423">
                  <c:v>44466</c:v>
                </c:pt>
                <c:pt idx="2424">
                  <c:v>44467</c:v>
                </c:pt>
                <c:pt idx="2425">
                  <c:v>44468</c:v>
                </c:pt>
                <c:pt idx="2426">
                  <c:v>44469</c:v>
                </c:pt>
                <c:pt idx="2427">
                  <c:v>44470</c:v>
                </c:pt>
                <c:pt idx="2428">
                  <c:v>44471</c:v>
                </c:pt>
                <c:pt idx="2429">
                  <c:v>44472</c:v>
                </c:pt>
                <c:pt idx="2430">
                  <c:v>44473</c:v>
                </c:pt>
                <c:pt idx="2431">
                  <c:v>44474</c:v>
                </c:pt>
                <c:pt idx="2432">
                  <c:v>44475</c:v>
                </c:pt>
                <c:pt idx="2433">
                  <c:v>44476</c:v>
                </c:pt>
                <c:pt idx="2434">
                  <c:v>44477</c:v>
                </c:pt>
                <c:pt idx="2435">
                  <c:v>44478</c:v>
                </c:pt>
                <c:pt idx="2436">
                  <c:v>44479</c:v>
                </c:pt>
                <c:pt idx="2437">
                  <c:v>44480</c:v>
                </c:pt>
                <c:pt idx="2438">
                  <c:v>44481</c:v>
                </c:pt>
                <c:pt idx="2439">
                  <c:v>44482</c:v>
                </c:pt>
                <c:pt idx="2440">
                  <c:v>44483</c:v>
                </c:pt>
                <c:pt idx="2441">
                  <c:v>44484</c:v>
                </c:pt>
                <c:pt idx="2442">
                  <c:v>44485</c:v>
                </c:pt>
                <c:pt idx="2443">
                  <c:v>44486</c:v>
                </c:pt>
                <c:pt idx="2444">
                  <c:v>44487</c:v>
                </c:pt>
                <c:pt idx="2445">
                  <c:v>44488</c:v>
                </c:pt>
                <c:pt idx="2446">
                  <c:v>44489</c:v>
                </c:pt>
                <c:pt idx="2447">
                  <c:v>44490</c:v>
                </c:pt>
                <c:pt idx="2448">
                  <c:v>44491</c:v>
                </c:pt>
                <c:pt idx="2449">
                  <c:v>44492</c:v>
                </c:pt>
                <c:pt idx="2450">
                  <c:v>44493</c:v>
                </c:pt>
                <c:pt idx="2451">
                  <c:v>44494</c:v>
                </c:pt>
                <c:pt idx="2452">
                  <c:v>44495</c:v>
                </c:pt>
                <c:pt idx="2453">
                  <c:v>44496</c:v>
                </c:pt>
                <c:pt idx="2454">
                  <c:v>44497</c:v>
                </c:pt>
                <c:pt idx="2455">
                  <c:v>44498</c:v>
                </c:pt>
                <c:pt idx="2456">
                  <c:v>44499</c:v>
                </c:pt>
                <c:pt idx="2457">
                  <c:v>44500</c:v>
                </c:pt>
                <c:pt idx="2458">
                  <c:v>44501</c:v>
                </c:pt>
                <c:pt idx="2459">
                  <c:v>44502</c:v>
                </c:pt>
                <c:pt idx="2460">
                  <c:v>44503</c:v>
                </c:pt>
                <c:pt idx="2461">
                  <c:v>44504</c:v>
                </c:pt>
                <c:pt idx="2462">
                  <c:v>44505</c:v>
                </c:pt>
                <c:pt idx="2463">
                  <c:v>44506</c:v>
                </c:pt>
                <c:pt idx="2464">
                  <c:v>44507</c:v>
                </c:pt>
                <c:pt idx="2465">
                  <c:v>44508</c:v>
                </c:pt>
                <c:pt idx="2466">
                  <c:v>44509</c:v>
                </c:pt>
                <c:pt idx="2467">
                  <c:v>44510</c:v>
                </c:pt>
                <c:pt idx="2468">
                  <c:v>44511</c:v>
                </c:pt>
                <c:pt idx="2469">
                  <c:v>44512</c:v>
                </c:pt>
                <c:pt idx="2470">
                  <c:v>44513</c:v>
                </c:pt>
                <c:pt idx="2471">
                  <c:v>44514</c:v>
                </c:pt>
                <c:pt idx="2472">
                  <c:v>44515</c:v>
                </c:pt>
                <c:pt idx="2473">
                  <c:v>44516</c:v>
                </c:pt>
                <c:pt idx="2474">
                  <c:v>44517</c:v>
                </c:pt>
                <c:pt idx="2475">
                  <c:v>44518</c:v>
                </c:pt>
                <c:pt idx="2476">
                  <c:v>44519</c:v>
                </c:pt>
                <c:pt idx="2477">
                  <c:v>44520</c:v>
                </c:pt>
                <c:pt idx="2478">
                  <c:v>44521</c:v>
                </c:pt>
                <c:pt idx="2479">
                  <c:v>44522</c:v>
                </c:pt>
                <c:pt idx="2480">
                  <c:v>44523</c:v>
                </c:pt>
                <c:pt idx="2481">
                  <c:v>44524</c:v>
                </c:pt>
                <c:pt idx="2482">
                  <c:v>44525</c:v>
                </c:pt>
                <c:pt idx="2483">
                  <c:v>44526</c:v>
                </c:pt>
                <c:pt idx="2484">
                  <c:v>44527</c:v>
                </c:pt>
                <c:pt idx="2485">
                  <c:v>44528</c:v>
                </c:pt>
                <c:pt idx="2486">
                  <c:v>44529</c:v>
                </c:pt>
                <c:pt idx="2487">
                  <c:v>44530</c:v>
                </c:pt>
                <c:pt idx="2488">
                  <c:v>44531</c:v>
                </c:pt>
                <c:pt idx="2489">
                  <c:v>44532</c:v>
                </c:pt>
                <c:pt idx="2490">
                  <c:v>44533</c:v>
                </c:pt>
                <c:pt idx="2491">
                  <c:v>44534</c:v>
                </c:pt>
                <c:pt idx="2492">
                  <c:v>44535</c:v>
                </c:pt>
                <c:pt idx="2493">
                  <c:v>44536</c:v>
                </c:pt>
                <c:pt idx="2494">
                  <c:v>44537</c:v>
                </c:pt>
                <c:pt idx="2495">
                  <c:v>44538</c:v>
                </c:pt>
                <c:pt idx="2496">
                  <c:v>44539</c:v>
                </c:pt>
                <c:pt idx="2497">
                  <c:v>44540</c:v>
                </c:pt>
                <c:pt idx="2498">
                  <c:v>44541</c:v>
                </c:pt>
                <c:pt idx="2499">
                  <c:v>44542</c:v>
                </c:pt>
                <c:pt idx="2500">
                  <c:v>44543</c:v>
                </c:pt>
                <c:pt idx="2501">
                  <c:v>44544</c:v>
                </c:pt>
                <c:pt idx="2502">
                  <c:v>44545</c:v>
                </c:pt>
                <c:pt idx="2503">
                  <c:v>44546</c:v>
                </c:pt>
                <c:pt idx="2504">
                  <c:v>44547</c:v>
                </c:pt>
                <c:pt idx="2505">
                  <c:v>44548</c:v>
                </c:pt>
                <c:pt idx="2506">
                  <c:v>44549</c:v>
                </c:pt>
                <c:pt idx="2507">
                  <c:v>44550</c:v>
                </c:pt>
                <c:pt idx="2508">
                  <c:v>44551</c:v>
                </c:pt>
                <c:pt idx="2509">
                  <c:v>44552</c:v>
                </c:pt>
                <c:pt idx="2510">
                  <c:v>44553</c:v>
                </c:pt>
                <c:pt idx="2511">
                  <c:v>44554</c:v>
                </c:pt>
                <c:pt idx="2512">
                  <c:v>44555</c:v>
                </c:pt>
                <c:pt idx="2513">
                  <c:v>44556</c:v>
                </c:pt>
                <c:pt idx="2514">
                  <c:v>44557</c:v>
                </c:pt>
                <c:pt idx="2515">
                  <c:v>44558</c:v>
                </c:pt>
                <c:pt idx="2516">
                  <c:v>44559</c:v>
                </c:pt>
                <c:pt idx="2517">
                  <c:v>44560</c:v>
                </c:pt>
                <c:pt idx="2518">
                  <c:v>44561</c:v>
                </c:pt>
                <c:pt idx="2519">
                  <c:v>44562</c:v>
                </c:pt>
                <c:pt idx="2520">
                  <c:v>44563</c:v>
                </c:pt>
                <c:pt idx="2521">
                  <c:v>44564</c:v>
                </c:pt>
                <c:pt idx="2522">
                  <c:v>44565</c:v>
                </c:pt>
                <c:pt idx="2523">
                  <c:v>44566</c:v>
                </c:pt>
                <c:pt idx="2524">
                  <c:v>44567</c:v>
                </c:pt>
                <c:pt idx="2525">
                  <c:v>44568</c:v>
                </c:pt>
                <c:pt idx="2526">
                  <c:v>44569</c:v>
                </c:pt>
                <c:pt idx="2527">
                  <c:v>44570</c:v>
                </c:pt>
                <c:pt idx="2528">
                  <c:v>44571</c:v>
                </c:pt>
                <c:pt idx="2529">
                  <c:v>44572</c:v>
                </c:pt>
                <c:pt idx="2530">
                  <c:v>44573</c:v>
                </c:pt>
                <c:pt idx="2531">
                  <c:v>44574</c:v>
                </c:pt>
                <c:pt idx="2532">
                  <c:v>44575</c:v>
                </c:pt>
                <c:pt idx="2533">
                  <c:v>44576</c:v>
                </c:pt>
                <c:pt idx="2534">
                  <c:v>44577</c:v>
                </c:pt>
                <c:pt idx="2535">
                  <c:v>44578</c:v>
                </c:pt>
                <c:pt idx="2536">
                  <c:v>44579</c:v>
                </c:pt>
                <c:pt idx="2537">
                  <c:v>44580</c:v>
                </c:pt>
                <c:pt idx="2538">
                  <c:v>44581</c:v>
                </c:pt>
                <c:pt idx="2539">
                  <c:v>44582</c:v>
                </c:pt>
                <c:pt idx="2540">
                  <c:v>44583</c:v>
                </c:pt>
                <c:pt idx="2541">
                  <c:v>44584</c:v>
                </c:pt>
                <c:pt idx="2542">
                  <c:v>44585</c:v>
                </c:pt>
                <c:pt idx="2543">
                  <c:v>44586</c:v>
                </c:pt>
                <c:pt idx="2544">
                  <c:v>44587</c:v>
                </c:pt>
                <c:pt idx="2545">
                  <c:v>44588</c:v>
                </c:pt>
                <c:pt idx="2546">
                  <c:v>44589</c:v>
                </c:pt>
                <c:pt idx="2547">
                  <c:v>44590</c:v>
                </c:pt>
                <c:pt idx="2548">
                  <c:v>44591</c:v>
                </c:pt>
                <c:pt idx="2549">
                  <c:v>44592</c:v>
                </c:pt>
                <c:pt idx="2550">
                  <c:v>44593</c:v>
                </c:pt>
                <c:pt idx="2551">
                  <c:v>44594</c:v>
                </c:pt>
                <c:pt idx="2552">
                  <c:v>44595</c:v>
                </c:pt>
                <c:pt idx="2553">
                  <c:v>44596</c:v>
                </c:pt>
                <c:pt idx="2554">
                  <c:v>44597</c:v>
                </c:pt>
                <c:pt idx="2555">
                  <c:v>44598</c:v>
                </c:pt>
                <c:pt idx="2556">
                  <c:v>44599</c:v>
                </c:pt>
                <c:pt idx="2557">
                  <c:v>44600</c:v>
                </c:pt>
                <c:pt idx="2558">
                  <c:v>44601</c:v>
                </c:pt>
                <c:pt idx="2559">
                  <c:v>44602</c:v>
                </c:pt>
                <c:pt idx="2560">
                  <c:v>44603</c:v>
                </c:pt>
                <c:pt idx="2561">
                  <c:v>44604</c:v>
                </c:pt>
                <c:pt idx="2562">
                  <c:v>44605</c:v>
                </c:pt>
                <c:pt idx="2563">
                  <c:v>44606</c:v>
                </c:pt>
                <c:pt idx="2564">
                  <c:v>44607</c:v>
                </c:pt>
                <c:pt idx="2565">
                  <c:v>44608</c:v>
                </c:pt>
                <c:pt idx="2566">
                  <c:v>44609</c:v>
                </c:pt>
                <c:pt idx="2567">
                  <c:v>44610</c:v>
                </c:pt>
                <c:pt idx="2568">
                  <c:v>44611</c:v>
                </c:pt>
                <c:pt idx="2569">
                  <c:v>44612</c:v>
                </c:pt>
                <c:pt idx="2570">
                  <c:v>44613</c:v>
                </c:pt>
                <c:pt idx="2571">
                  <c:v>44614</c:v>
                </c:pt>
                <c:pt idx="2572">
                  <c:v>44615</c:v>
                </c:pt>
                <c:pt idx="2573">
                  <c:v>44616</c:v>
                </c:pt>
                <c:pt idx="2574">
                  <c:v>44617</c:v>
                </c:pt>
                <c:pt idx="2575">
                  <c:v>44618</c:v>
                </c:pt>
                <c:pt idx="2576">
                  <c:v>44619</c:v>
                </c:pt>
                <c:pt idx="2577">
                  <c:v>44620</c:v>
                </c:pt>
                <c:pt idx="2578">
                  <c:v>44621</c:v>
                </c:pt>
                <c:pt idx="2579">
                  <c:v>44622</c:v>
                </c:pt>
                <c:pt idx="2580">
                  <c:v>44623</c:v>
                </c:pt>
                <c:pt idx="2581">
                  <c:v>44624</c:v>
                </c:pt>
                <c:pt idx="2582">
                  <c:v>44625</c:v>
                </c:pt>
                <c:pt idx="2583">
                  <c:v>44626</c:v>
                </c:pt>
                <c:pt idx="2584">
                  <c:v>44627</c:v>
                </c:pt>
                <c:pt idx="2585">
                  <c:v>44628</c:v>
                </c:pt>
                <c:pt idx="2586">
                  <c:v>44629</c:v>
                </c:pt>
                <c:pt idx="2587">
                  <c:v>44630</c:v>
                </c:pt>
                <c:pt idx="2588">
                  <c:v>44631</c:v>
                </c:pt>
                <c:pt idx="2589">
                  <c:v>44632</c:v>
                </c:pt>
                <c:pt idx="2590">
                  <c:v>44633</c:v>
                </c:pt>
                <c:pt idx="2591">
                  <c:v>44634</c:v>
                </c:pt>
                <c:pt idx="2592">
                  <c:v>44635</c:v>
                </c:pt>
                <c:pt idx="2593">
                  <c:v>44636</c:v>
                </c:pt>
                <c:pt idx="2594">
                  <c:v>44637</c:v>
                </c:pt>
                <c:pt idx="2595">
                  <c:v>44638</c:v>
                </c:pt>
                <c:pt idx="2596">
                  <c:v>44639</c:v>
                </c:pt>
                <c:pt idx="2597">
                  <c:v>44640</c:v>
                </c:pt>
                <c:pt idx="2598">
                  <c:v>44641</c:v>
                </c:pt>
                <c:pt idx="2599">
                  <c:v>44642</c:v>
                </c:pt>
                <c:pt idx="2600">
                  <c:v>44643</c:v>
                </c:pt>
                <c:pt idx="2601">
                  <c:v>44644</c:v>
                </c:pt>
                <c:pt idx="2602">
                  <c:v>44645</c:v>
                </c:pt>
                <c:pt idx="2603">
                  <c:v>44646</c:v>
                </c:pt>
                <c:pt idx="2604">
                  <c:v>44647</c:v>
                </c:pt>
                <c:pt idx="2605">
                  <c:v>44648</c:v>
                </c:pt>
                <c:pt idx="2606">
                  <c:v>44649</c:v>
                </c:pt>
                <c:pt idx="2607">
                  <c:v>44650</c:v>
                </c:pt>
                <c:pt idx="2608">
                  <c:v>44651</c:v>
                </c:pt>
                <c:pt idx="2609">
                  <c:v>44652</c:v>
                </c:pt>
                <c:pt idx="2610">
                  <c:v>44653</c:v>
                </c:pt>
                <c:pt idx="2611">
                  <c:v>44654</c:v>
                </c:pt>
                <c:pt idx="2612">
                  <c:v>44655</c:v>
                </c:pt>
                <c:pt idx="2613">
                  <c:v>44656</c:v>
                </c:pt>
                <c:pt idx="2614">
                  <c:v>44657</c:v>
                </c:pt>
                <c:pt idx="2615">
                  <c:v>44658</c:v>
                </c:pt>
                <c:pt idx="2616">
                  <c:v>44659</c:v>
                </c:pt>
                <c:pt idx="2617">
                  <c:v>44660</c:v>
                </c:pt>
                <c:pt idx="2618">
                  <c:v>44661</c:v>
                </c:pt>
                <c:pt idx="2619">
                  <c:v>44662</c:v>
                </c:pt>
                <c:pt idx="2620">
                  <c:v>44663</c:v>
                </c:pt>
                <c:pt idx="2621">
                  <c:v>44664</c:v>
                </c:pt>
                <c:pt idx="2622">
                  <c:v>44665</c:v>
                </c:pt>
                <c:pt idx="2623">
                  <c:v>44666</c:v>
                </c:pt>
                <c:pt idx="2624">
                  <c:v>44667</c:v>
                </c:pt>
                <c:pt idx="2625">
                  <c:v>44668</c:v>
                </c:pt>
                <c:pt idx="2626">
                  <c:v>44669</c:v>
                </c:pt>
                <c:pt idx="2627">
                  <c:v>44670</c:v>
                </c:pt>
                <c:pt idx="2628">
                  <c:v>44671</c:v>
                </c:pt>
                <c:pt idx="2629">
                  <c:v>44672</c:v>
                </c:pt>
                <c:pt idx="2630">
                  <c:v>44673</c:v>
                </c:pt>
                <c:pt idx="2631">
                  <c:v>44674</c:v>
                </c:pt>
                <c:pt idx="2632">
                  <c:v>44675</c:v>
                </c:pt>
                <c:pt idx="2633">
                  <c:v>44676</c:v>
                </c:pt>
                <c:pt idx="2634">
                  <c:v>44677</c:v>
                </c:pt>
                <c:pt idx="2635">
                  <c:v>44678</c:v>
                </c:pt>
                <c:pt idx="2636">
                  <c:v>44679</c:v>
                </c:pt>
                <c:pt idx="2637">
                  <c:v>44680</c:v>
                </c:pt>
                <c:pt idx="2638">
                  <c:v>44681</c:v>
                </c:pt>
                <c:pt idx="2639">
                  <c:v>44682</c:v>
                </c:pt>
                <c:pt idx="2640">
                  <c:v>44683</c:v>
                </c:pt>
                <c:pt idx="2641">
                  <c:v>44684</c:v>
                </c:pt>
                <c:pt idx="2642">
                  <c:v>44685</c:v>
                </c:pt>
                <c:pt idx="2643">
                  <c:v>44686</c:v>
                </c:pt>
                <c:pt idx="2644">
                  <c:v>44687</c:v>
                </c:pt>
                <c:pt idx="2645">
                  <c:v>44688</c:v>
                </c:pt>
                <c:pt idx="2646">
                  <c:v>44689</c:v>
                </c:pt>
                <c:pt idx="2647">
                  <c:v>44690</c:v>
                </c:pt>
                <c:pt idx="2648">
                  <c:v>44691</c:v>
                </c:pt>
                <c:pt idx="2649">
                  <c:v>44692</c:v>
                </c:pt>
                <c:pt idx="2650">
                  <c:v>44693</c:v>
                </c:pt>
                <c:pt idx="2651">
                  <c:v>44694</c:v>
                </c:pt>
                <c:pt idx="2652">
                  <c:v>44695</c:v>
                </c:pt>
                <c:pt idx="2653">
                  <c:v>44696</c:v>
                </c:pt>
                <c:pt idx="2654">
                  <c:v>44697</c:v>
                </c:pt>
                <c:pt idx="2655">
                  <c:v>44698</c:v>
                </c:pt>
                <c:pt idx="2656">
                  <c:v>44699</c:v>
                </c:pt>
                <c:pt idx="2657">
                  <c:v>44700</c:v>
                </c:pt>
                <c:pt idx="2658">
                  <c:v>44701</c:v>
                </c:pt>
                <c:pt idx="2659">
                  <c:v>44702</c:v>
                </c:pt>
                <c:pt idx="2660">
                  <c:v>44703</c:v>
                </c:pt>
                <c:pt idx="2661">
                  <c:v>44704</c:v>
                </c:pt>
                <c:pt idx="2662">
                  <c:v>44705</c:v>
                </c:pt>
                <c:pt idx="2663">
                  <c:v>44706</c:v>
                </c:pt>
                <c:pt idx="2664">
                  <c:v>44707</c:v>
                </c:pt>
                <c:pt idx="2665">
                  <c:v>44708</c:v>
                </c:pt>
                <c:pt idx="2666">
                  <c:v>44709</c:v>
                </c:pt>
                <c:pt idx="2667">
                  <c:v>44710</c:v>
                </c:pt>
                <c:pt idx="2668">
                  <c:v>44711</c:v>
                </c:pt>
                <c:pt idx="2669">
                  <c:v>44712</c:v>
                </c:pt>
                <c:pt idx="2670">
                  <c:v>44713</c:v>
                </c:pt>
                <c:pt idx="2671">
                  <c:v>44714</c:v>
                </c:pt>
                <c:pt idx="2672">
                  <c:v>44715</c:v>
                </c:pt>
                <c:pt idx="2673">
                  <c:v>44716</c:v>
                </c:pt>
                <c:pt idx="2674">
                  <c:v>44717</c:v>
                </c:pt>
                <c:pt idx="2675">
                  <c:v>44718</c:v>
                </c:pt>
                <c:pt idx="2676">
                  <c:v>44719</c:v>
                </c:pt>
                <c:pt idx="2677">
                  <c:v>44720</c:v>
                </c:pt>
                <c:pt idx="2678">
                  <c:v>44721</c:v>
                </c:pt>
                <c:pt idx="2679">
                  <c:v>44722</c:v>
                </c:pt>
                <c:pt idx="2680">
                  <c:v>44723</c:v>
                </c:pt>
                <c:pt idx="2681">
                  <c:v>44724</c:v>
                </c:pt>
                <c:pt idx="2682">
                  <c:v>44725</c:v>
                </c:pt>
                <c:pt idx="2683">
                  <c:v>44726</c:v>
                </c:pt>
                <c:pt idx="2684">
                  <c:v>44727</c:v>
                </c:pt>
                <c:pt idx="2685">
                  <c:v>44728</c:v>
                </c:pt>
                <c:pt idx="2686">
                  <c:v>44729</c:v>
                </c:pt>
                <c:pt idx="2687">
                  <c:v>44730</c:v>
                </c:pt>
                <c:pt idx="2688">
                  <c:v>44731</c:v>
                </c:pt>
                <c:pt idx="2689">
                  <c:v>44732</c:v>
                </c:pt>
                <c:pt idx="2690">
                  <c:v>44733</c:v>
                </c:pt>
                <c:pt idx="2691">
                  <c:v>44734</c:v>
                </c:pt>
                <c:pt idx="2692">
                  <c:v>44735</c:v>
                </c:pt>
                <c:pt idx="2693">
                  <c:v>44736</c:v>
                </c:pt>
                <c:pt idx="2694">
                  <c:v>44737</c:v>
                </c:pt>
                <c:pt idx="2695">
                  <c:v>44738</c:v>
                </c:pt>
                <c:pt idx="2696">
                  <c:v>44739</c:v>
                </c:pt>
                <c:pt idx="2697">
                  <c:v>44740</c:v>
                </c:pt>
                <c:pt idx="2698">
                  <c:v>44741</c:v>
                </c:pt>
                <c:pt idx="2699">
                  <c:v>44742</c:v>
                </c:pt>
                <c:pt idx="2700">
                  <c:v>44743</c:v>
                </c:pt>
                <c:pt idx="2701">
                  <c:v>44744</c:v>
                </c:pt>
                <c:pt idx="2702">
                  <c:v>44745</c:v>
                </c:pt>
                <c:pt idx="2703">
                  <c:v>44746</c:v>
                </c:pt>
                <c:pt idx="2704">
                  <c:v>44747</c:v>
                </c:pt>
                <c:pt idx="2705">
                  <c:v>44748</c:v>
                </c:pt>
                <c:pt idx="2706">
                  <c:v>44749</c:v>
                </c:pt>
                <c:pt idx="2707">
                  <c:v>44750</c:v>
                </c:pt>
                <c:pt idx="2708">
                  <c:v>44751</c:v>
                </c:pt>
                <c:pt idx="2709">
                  <c:v>44752</c:v>
                </c:pt>
                <c:pt idx="2710">
                  <c:v>44753</c:v>
                </c:pt>
                <c:pt idx="2711">
                  <c:v>44754</c:v>
                </c:pt>
                <c:pt idx="2712">
                  <c:v>44755</c:v>
                </c:pt>
                <c:pt idx="2713">
                  <c:v>44756</c:v>
                </c:pt>
                <c:pt idx="2714">
                  <c:v>44757</c:v>
                </c:pt>
                <c:pt idx="2715">
                  <c:v>44758</c:v>
                </c:pt>
                <c:pt idx="2716">
                  <c:v>44759</c:v>
                </c:pt>
                <c:pt idx="2717">
                  <c:v>44760</c:v>
                </c:pt>
                <c:pt idx="2718">
                  <c:v>44761</c:v>
                </c:pt>
                <c:pt idx="2719">
                  <c:v>44762</c:v>
                </c:pt>
                <c:pt idx="2720">
                  <c:v>44763</c:v>
                </c:pt>
                <c:pt idx="2721">
                  <c:v>44764</c:v>
                </c:pt>
                <c:pt idx="2722">
                  <c:v>44765</c:v>
                </c:pt>
                <c:pt idx="2723">
                  <c:v>44766</c:v>
                </c:pt>
                <c:pt idx="2724">
                  <c:v>44767</c:v>
                </c:pt>
                <c:pt idx="2725">
                  <c:v>44768</c:v>
                </c:pt>
                <c:pt idx="2726">
                  <c:v>44769</c:v>
                </c:pt>
                <c:pt idx="2727">
                  <c:v>44770</c:v>
                </c:pt>
                <c:pt idx="2728">
                  <c:v>44771</c:v>
                </c:pt>
                <c:pt idx="2729">
                  <c:v>44772</c:v>
                </c:pt>
                <c:pt idx="2730">
                  <c:v>44773</c:v>
                </c:pt>
                <c:pt idx="2731">
                  <c:v>44774</c:v>
                </c:pt>
                <c:pt idx="2732">
                  <c:v>44775</c:v>
                </c:pt>
                <c:pt idx="2733">
                  <c:v>44776</c:v>
                </c:pt>
                <c:pt idx="2734">
                  <c:v>44777</c:v>
                </c:pt>
                <c:pt idx="2735">
                  <c:v>44778</c:v>
                </c:pt>
                <c:pt idx="2736">
                  <c:v>44779</c:v>
                </c:pt>
                <c:pt idx="2737">
                  <c:v>44780</c:v>
                </c:pt>
                <c:pt idx="2738">
                  <c:v>44781</c:v>
                </c:pt>
                <c:pt idx="2739">
                  <c:v>44782</c:v>
                </c:pt>
                <c:pt idx="2740">
                  <c:v>44783</c:v>
                </c:pt>
                <c:pt idx="2741">
                  <c:v>44784</c:v>
                </c:pt>
                <c:pt idx="2742">
                  <c:v>44785</c:v>
                </c:pt>
                <c:pt idx="2743">
                  <c:v>44786</c:v>
                </c:pt>
                <c:pt idx="2744">
                  <c:v>44787</c:v>
                </c:pt>
                <c:pt idx="2745">
                  <c:v>44788</c:v>
                </c:pt>
                <c:pt idx="2746">
                  <c:v>44789</c:v>
                </c:pt>
                <c:pt idx="2747">
                  <c:v>44790</c:v>
                </c:pt>
                <c:pt idx="2748">
                  <c:v>44791</c:v>
                </c:pt>
                <c:pt idx="2749">
                  <c:v>44792</c:v>
                </c:pt>
                <c:pt idx="2750">
                  <c:v>44793</c:v>
                </c:pt>
                <c:pt idx="2751">
                  <c:v>44794</c:v>
                </c:pt>
                <c:pt idx="2752">
                  <c:v>44795</c:v>
                </c:pt>
                <c:pt idx="2753">
                  <c:v>44796</c:v>
                </c:pt>
                <c:pt idx="2754">
                  <c:v>44797</c:v>
                </c:pt>
                <c:pt idx="2755">
                  <c:v>44798</c:v>
                </c:pt>
                <c:pt idx="2756">
                  <c:v>44799</c:v>
                </c:pt>
                <c:pt idx="2757">
                  <c:v>44800</c:v>
                </c:pt>
                <c:pt idx="2758">
                  <c:v>44801</c:v>
                </c:pt>
                <c:pt idx="2759">
                  <c:v>44802</c:v>
                </c:pt>
                <c:pt idx="2760">
                  <c:v>44803</c:v>
                </c:pt>
                <c:pt idx="2761">
                  <c:v>44804</c:v>
                </c:pt>
                <c:pt idx="2762">
                  <c:v>44805</c:v>
                </c:pt>
                <c:pt idx="2763">
                  <c:v>44806</c:v>
                </c:pt>
                <c:pt idx="2764">
                  <c:v>44807</c:v>
                </c:pt>
                <c:pt idx="2765">
                  <c:v>44808</c:v>
                </c:pt>
                <c:pt idx="2766">
                  <c:v>44809</c:v>
                </c:pt>
                <c:pt idx="2767">
                  <c:v>44810</c:v>
                </c:pt>
                <c:pt idx="2768">
                  <c:v>44811</c:v>
                </c:pt>
                <c:pt idx="2769">
                  <c:v>44812</c:v>
                </c:pt>
                <c:pt idx="2770">
                  <c:v>44813</c:v>
                </c:pt>
                <c:pt idx="2771">
                  <c:v>44814</c:v>
                </c:pt>
                <c:pt idx="2772">
                  <c:v>44815</c:v>
                </c:pt>
                <c:pt idx="2773">
                  <c:v>44816</c:v>
                </c:pt>
                <c:pt idx="2774">
                  <c:v>44817</c:v>
                </c:pt>
                <c:pt idx="2775">
                  <c:v>44818</c:v>
                </c:pt>
                <c:pt idx="2776">
                  <c:v>44819</c:v>
                </c:pt>
                <c:pt idx="2777">
                  <c:v>44820</c:v>
                </c:pt>
                <c:pt idx="2778">
                  <c:v>44821</c:v>
                </c:pt>
                <c:pt idx="2779">
                  <c:v>44822</c:v>
                </c:pt>
                <c:pt idx="2780">
                  <c:v>44823</c:v>
                </c:pt>
                <c:pt idx="2781">
                  <c:v>44824</c:v>
                </c:pt>
                <c:pt idx="2782">
                  <c:v>44825</c:v>
                </c:pt>
                <c:pt idx="2783">
                  <c:v>44826</c:v>
                </c:pt>
                <c:pt idx="2784">
                  <c:v>44827</c:v>
                </c:pt>
                <c:pt idx="2785">
                  <c:v>44828</c:v>
                </c:pt>
                <c:pt idx="2786">
                  <c:v>44829</c:v>
                </c:pt>
                <c:pt idx="2787">
                  <c:v>44830</c:v>
                </c:pt>
                <c:pt idx="2788">
                  <c:v>44831</c:v>
                </c:pt>
                <c:pt idx="2789">
                  <c:v>44832</c:v>
                </c:pt>
                <c:pt idx="2790">
                  <c:v>44833</c:v>
                </c:pt>
                <c:pt idx="2791">
                  <c:v>44834</c:v>
                </c:pt>
                <c:pt idx="2792">
                  <c:v>44835</c:v>
                </c:pt>
                <c:pt idx="2793">
                  <c:v>44836</c:v>
                </c:pt>
                <c:pt idx="2794">
                  <c:v>44837</c:v>
                </c:pt>
                <c:pt idx="2795">
                  <c:v>44838</c:v>
                </c:pt>
                <c:pt idx="2796">
                  <c:v>44839</c:v>
                </c:pt>
                <c:pt idx="2797">
                  <c:v>44840</c:v>
                </c:pt>
                <c:pt idx="2798">
                  <c:v>44841</c:v>
                </c:pt>
                <c:pt idx="2799">
                  <c:v>44842</c:v>
                </c:pt>
                <c:pt idx="2800">
                  <c:v>44843</c:v>
                </c:pt>
                <c:pt idx="2801">
                  <c:v>44844</c:v>
                </c:pt>
                <c:pt idx="2802">
                  <c:v>44845</c:v>
                </c:pt>
                <c:pt idx="2803">
                  <c:v>44846</c:v>
                </c:pt>
                <c:pt idx="2804">
                  <c:v>44847</c:v>
                </c:pt>
                <c:pt idx="2805">
                  <c:v>44848</c:v>
                </c:pt>
                <c:pt idx="2806">
                  <c:v>44849</c:v>
                </c:pt>
                <c:pt idx="2807">
                  <c:v>44850</c:v>
                </c:pt>
                <c:pt idx="2808">
                  <c:v>44851</c:v>
                </c:pt>
                <c:pt idx="2809">
                  <c:v>44852</c:v>
                </c:pt>
                <c:pt idx="2810">
                  <c:v>44853</c:v>
                </c:pt>
                <c:pt idx="2811">
                  <c:v>44854</c:v>
                </c:pt>
                <c:pt idx="2812">
                  <c:v>44855</c:v>
                </c:pt>
                <c:pt idx="2813">
                  <c:v>44856</c:v>
                </c:pt>
                <c:pt idx="2814">
                  <c:v>44857</c:v>
                </c:pt>
                <c:pt idx="2815">
                  <c:v>44858</c:v>
                </c:pt>
                <c:pt idx="2816">
                  <c:v>44859</c:v>
                </c:pt>
                <c:pt idx="2817">
                  <c:v>44860</c:v>
                </c:pt>
                <c:pt idx="2818">
                  <c:v>44861</c:v>
                </c:pt>
                <c:pt idx="2819">
                  <c:v>44862</c:v>
                </c:pt>
                <c:pt idx="2820">
                  <c:v>44863</c:v>
                </c:pt>
                <c:pt idx="2821">
                  <c:v>44864</c:v>
                </c:pt>
                <c:pt idx="2822">
                  <c:v>44865</c:v>
                </c:pt>
                <c:pt idx="2823">
                  <c:v>44866</c:v>
                </c:pt>
                <c:pt idx="2824">
                  <c:v>44867</c:v>
                </c:pt>
                <c:pt idx="2825">
                  <c:v>44868</c:v>
                </c:pt>
                <c:pt idx="2826">
                  <c:v>44869</c:v>
                </c:pt>
                <c:pt idx="2827">
                  <c:v>44870</c:v>
                </c:pt>
                <c:pt idx="2828">
                  <c:v>44871</c:v>
                </c:pt>
                <c:pt idx="2829">
                  <c:v>44872</c:v>
                </c:pt>
                <c:pt idx="2830">
                  <c:v>44873</c:v>
                </c:pt>
                <c:pt idx="2831">
                  <c:v>44874</c:v>
                </c:pt>
                <c:pt idx="2832">
                  <c:v>44875</c:v>
                </c:pt>
                <c:pt idx="2833">
                  <c:v>44876</c:v>
                </c:pt>
                <c:pt idx="2834">
                  <c:v>44877</c:v>
                </c:pt>
                <c:pt idx="2835">
                  <c:v>44878</c:v>
                </c:pt>
                <c:pt idx="2836">
                  <c:v>44879</c:v>
                </c:pt>
                <c:pt idx="2837">
                  <c:v>44880</c:v>
                </c:pt>
                <c:pt idx="2838">
                  <c:v>44881</c:v>
                </c:pt>
                <c:pt idx="2839">
                  <c:v>44882</c:v>
                </c:pt>
                <c:pt idx="2840">
                  <c:v>44883</c:v>
                </c:pt>
                <c:pt idx="2841">
                  <c:v>44884</c:v>
                </c:pt>
                <c:pt idx="2842">
                  <c:v>44885</c:v>
                </c:pt>
                <c:pt idx="2843">
                  <c:v>44886</c:v>
                </c:pt>
                <c:pt idx="2844">
                  <c:v>44887</c:v>
                </c:pt>
                <c:pt idx="2845">
                  <c:v>44888</c:v>
                </c:pt>
                <c:pt idx="2846">
                  <c:v>44889</c:v>
                </c:pt>
                <c:pt idx="2847">
                  <c:v>44890</c:v>
                </c:pt>
                <c:pt idx="2848">
                  <c:v>44891</c:v>
                </c:pt>
                <c:pt idx="2849">
                  <c:v>44892</c:v>
                </c:pt>
                <c:pt idx="2850">
                  <c:v>44893</c:v>
                </c:pt>
                <c:pt idx="2851">
                  <c:v>44894</c:v>
                </c:pt>
                <c:pt idx="2852">
                  <c:v>44895</c:v>
                </c:pt>
                <c:pt idx="2853">
                  <c:v>44896</c:v>
                </c:pt>
                <c:pt idx="2854">
                  <c:v>44897</c:v>
                </c:pt>
                <c:pt idx="2855">
                  <c:v>44898</c:v>
                </c:pt>
                <c:pt idx="2856">
                  <c:v>44899</c:v>
                </c:pt>
                <c:pt idx="2857">
                  <c:v>44900</c:v>
                </c:pt>
                <c:pt idx="2858">
                  <c:v>44901</c:v>
                </c:pt>
                <c:pt idx="2859">
                  <c:v>44902</c:v>
                </c:pt>
                <c:pt idx="2860">
                  <c:v>44903</c:v>
                </c:pt>
                <c:pt idx="2861">
                  <c:v>44904</c:v>
                </c:pt>
                <c:pt idx="2862">
                  <c:v>44905</c:v>
                </c:pt>
                <c:pt idx="2863">
                  <c:v>44906</c:v>
                </c:pt>
                <c:pt idx="2864">
                  <c:v>44907</c:v>
                </c:pt>
                <c:pt idx="2865">
                  <c:v>44908</c:v>
                </c:pt>
                <c:pt idx="2866">
                  <c:v>44909</c:v>
                </c:pt>
                <c:pt idx="2867">
                  <c:v>44910</c:v>
                </c:pt>
                <c:pt idx="2868">
                  <c:v>44911</c:v>
                </c:pt>
                <c:pt idx="2869">
                  <c:v>44912</c:v>
                </c:pt>
                <c:pt idx="2870">
                  <c:v>44913</c:v>
                </c:pt>
                <c:pt idx="2871">
                  <c:v>44914</c:v>
                </c:pt>
                <c:pt idx="2872">
                  <c:v>44915</c:v>
                </c:pt>
                <c:pt idx="2873">
                  <c:v>44916</c:v>
                </c:pt>
                <c:pt idx="2874">
                  <c:v>44917</c:v>
                </c:pt>
                <c:pt idx="2875">
                  <c:v>44918</c:v>
                </c:pt>
                <c:pt idx="2876">
                  <c:v>44919</c:v>
                </c:pt>
                <c:pt idx="2877">
                  <c:v>44920</c:v>
                </c:pt>
                <c:pt idx="2878">
                  <c:v>44921</c:v>
                </c:pt>
                <c:pt idx="2879">
                  <c:v>44922</c:v>
                </c:pt>
                <c:pt idx="2880">
                  <c:v>44923</c:v>
                </c:pt>
                <c:pt idx="2881">
                  <c:v>44924</c:v>
                </c:pt>
                <c:pt idx="2882">
                  <c:v>44925</c:v>
                </c:pt>
                <c:pt idx="2883">
                  <c:v>44926</c:v>
                </c:pt>
                <c:pt idx="2884">
                  <c:v>44927</c:v>
                </c:pt>
                <c:pt idx="2885">
                  <c:v>44928</c:v>
                </c:pt>
                <c:pt idx="2886">
                  <c:v>44929</c:v>
                </c:pt>
                <c:pt idx="2887">
                  <c:v>44930</c:v>
                </c:pt>
                <c:pt idx="2888">
                  <c:v>44931</c:v>
                </c:pt>
                <c:pt idx="2889">
                  <c:v>44932</c:v>
                </c:pt>
                <c:pt idx="2890">
                  <c:v>44933</c:v>
                </c:pt>
                <c:pt idx="2891">
                  <c:v>44934</c:v>
                </c:pt>
                <c:pt idx="2892">
                  <c:v>44935</c:v>
                </c:pt>
                <c:pt idx="2893">
                  <c:v>44936</c:v>
                </c:pt>
                <c:pt idx="2894">
                  <c:v>44937</c:v>
                </c:pt>
                <c:pt idx="2895">
                  <c:v>44938</c:v>
                </c:pt>
                <c:pt idx="2896">
                  <c:v>44939</c:v>
                </c:pt>
                <c:pt idx="2897">
                  <c:v>44940</c:v>
                </c:pt>
                <c:pt idx="2898">
                  <c:v>44941</c:v>
                </c:pt>
                <c:pt idx="2899">
                  <c:v>44942</c:v>
                </c:pt>
                <c:pt idx="2900">
                  <c:v>44943</c:v>
                </c:pt>
                <c:pt idx="2901">
                  <c:v>44944</c:v>
                </c:pt>
                <c:pt idx="2902">
                  <c:v>44945</c:v>
                </c:pt>
                <c:pt idx="2903">
                  <c:v>44946</c:v>
                </c:pt>
                <c:pt idx="2904">
                  <c:v>44947</c:v>
                </c:pt>
                <c:pt idx="2905">
                  <c:v>44948</c:v>
                </c:pt>
                <c:pt idx="2906">
                  <c:v>44949</c:v>
                </c:pt>
                <c:pt idx="2907">
                  <c:v>44950</c:v>
                </c:pt>
                <c:pt idx="2908">
                  <c:v>44951</c:v>
                </c:pt>
                <c:pt idx="2909">
                  <c:v>44952</c:v>
                </c:pt>
                <c:pt idx="2910">
                  <c:v>44953</c:v>
                </c:pt>
                <c:pt idx="2911">
                  <c:v>44954</c:v>
                </c:pt>
                <c:pt idx="2912">
                  <c:v>44955</c:v>
                </c:pt>
                <c:pt idx="2913">
                  <c:v>44956</c:v>
                </c:pt>
                <c:pt idx="2914">
                  <c:v>44957</c:v>
                </c:pt>
                <c:pt idx="2915">
                  <c:v>44958</c:v>
                </c:pt>
                <c:pt idx="2916">
                  <c:v>44959</c:v>
                </c:pt>
                <c:pt idx="2917">
                  <c:v>44960</c:v>
                </c:pt>
                <c:pt idx="2918">
                  <c:v>44961</c:v>
                </c:pt>
                <c:pt idx="2919">
                  <c:v>44962</c:v>
                </c:pt>
                <c:pt idx="2920">
                  <c:v>44963</c:v>
                </c:pt>
                <c:pt idx="2921">
                  <c:v>44964</c:v>
                </c:pt>
                <c:pt idx="2922">
                  <c:v>44965</c:v>
                </c:pt>
                <c:pt idx="2923">
                  <c:v>44966</c:v>
                </c:pt>
                <c:pt idx="2924">
                  <c:v>44967</c:v>
                </c:pt>
                <c:pt idx="2925">
                  <c:v>44968</c:v>
                </c:pt>
                <c:pt idx="2926">
                  <c:v>44969</c:v>
                </c:pt>
                <c:pt idx="2927">
                  <c:v>44970</c:v>
                </c:pt>
                <c:pt idx="2928">
                  <c:v>44971</c:v>
                </c:pt>
                <c:pt idx="2929">
                  <c:v>44972</c:v>
                </c:pt>
                <c:pt idx="2930">
                  <c:v>44973</c:v>
                </c:pt>
                <c:pt idx="2931">
                  <c:v>44974</c:v>
                </c:pt>
                <c:pt idx="2932">
                  <c:v>44975</c:v>
                </c:pt>
                <c:pt idx="2933">
                  <c:v>44976</c:v>
                </c:pt>
                <c:pt idx="2934">
                  <c:v>44977</c:v>
                </c:pt>
                <c:pt idx="2935">
                  <c:v>44978</c:v>
                </c:pt>
                <c:pt idx="2936">
                  <c:v>44979</c:v>
                </c:pt>
                <c:pt idx="2937">
                  <c:v>44980</c:v>
                </c:pt>
                <c:pt idx="2938">
                  <c:v>44981</c:v>
                </c:pt>
                <c:pt idx="2939">
                  <c:v>44982</c:v>
                </c:pt>
                <c:pt idx="2940">
                  <c:v>44983</c:v>
                </c:pt>
                <c:pt idx="2941">
                  <c:v>44984</c:v>
                </c:pt>
                <c:pt idx="2942">
                  <c:v>44985</c:v>
                </c:pt>
                <c:pt idx="2943">
                  <c:v>44986</c:v>
                </c:pt>
                <c:pt idx="2944">
                  <c:v>44987</c:v>
                </c:pt>
                <c:pt idx="2945">
                  <c:v>44988</c:v>
                </c:pt>
                <c:pt idx="2946">
                  <c:v>44989</c:v>
                </c:pt>
                <c:pt idx="2947">
                  <c:v>44990</c:v>
                </c:pt>
                <c:pt idx="2948">
                  <c:v>44991</c:v>
                </c:pt>
                <c:pt idx="2949">
                  <c:v>44992</c:v>
                </c:pt>
                <c:pt idx="2950">
                  <c:v>44993</c:v>
                </c:pt>
                <c:pt idx="2951">
                  <c:v>44994</c:v>
                </c:pt>
                <c:pt idx="2952">
                  <c:v>44995</c:v>
                </c:pt>
                <c:pt idx="2953">
                  <c:v>44996</c:v>
                </c:pt>
                <c:pt idx="2954">
                  <c:v>44997</c:v>
                </c:pt>
                <c:pt idx="2955">
                  <c:v>44998</c:v>
                </c:pt>
                <c:pt idx="2956">
                  <c:v>44999</c:v>
                </c:pt>
                <c:pt idx="2957">
                  <c:v>45000</c:v>
                </c:pt>
                <c:pt idx="2958">
                  <c:v>45001</c:v>
                </c:pt>
                <c:pt idx="2959">
                  <c:v>45002</c:v>
                </c:pt>
                <c:pt idx="2960">
                  <c:v>45003</c:v>
                </c:pt>
                <c:pt idx="2961">
                  <c:v>45004</c:v>
                </c:pt>
                <c:pt idx="2962">
                  <c:v>45005</c:v>
                </c:pt>
                <c:pt idx="2963">
                  <c:v>45006</c:v>
                </c:pt>
                <c:pt idx="2964">
                  <c:v>45007</c:v>
                </c:pt>
                <c:pt idx="2965">
                  <c:v>45008</c:v>
                </c:pt>
                <c:pt idx="2966">
                  <c:v>45009</c:v>
                </c:pt>
                <c:pt idx="2967">
                  <c:v>45010</c:v>
                </c:pt>
                <c:pt idx="2968">
                  <c:v>45011</c:v>
                </c:pt>
                <c:pt idx="2969">
                  <c:v>45012</c:v>
                </c:pt>
                <c:pt idx="2970">
                  <c:v>45013</c:v>
                </c:pt>
                <c:pt idx="2971">
                  <c:v>45014</c:v>
                </c:pt>
                <c:pt idx="2972">
                  <c:v>45015</c:v>
                </c:pt>
                <c:pt idx="2973">
                  <c:v>45016</c:v>
                </c:pt>
                <c:pt idx="2974">
                  <c:v>45017</c:v>
                </c:pt>
                <c:pt idx="2975">
                  <c:v>45018</c:v>
                </c:pt>
                <c:pt idx="2976">
                  <c:v>45019</c:v>
                </c:pt>
                <c:pt idx="2977">
                  <c:v>45020</c:v>
                </c:pt>
                <c:pt idx="2978">
                  <c:v>45021</c:v>
                </c:pt>
                <c:pt idx="2979">
                  <c:v>45022</c:v>
                </c:pt>
                <c:pt idx="2980">
                  <c:v>45023</c:v>
                </c:pt>
                <c:pt idx="2981">
                  <c:v>45024</c:v>
                </c:pt>
                <c:pt idx="2982">
                  <c:v>45025</c:v>
                </c:pt>
                <c:pt idx="2983">
                  <c:v>45026</c:v>
                </c:pt>
                <c:pt idx="2984">
                  <c:v>45027</c:v>
                </c:pt>
                <c:pt idx="2985">
                  <c:v>45028</c:v>
                </c:pt>
                <c:pt idx="2986">
                  <c:v>45029</c:v>
                </c:pt>
                <c:pt idx="2987">
                  <c:v>45030</c:v>
                </c:pt>
                <c:pt idx="2988">
                  <c:v>45031</c:v>
                </c:pt>
                <c:pt idx="2989">
                  <c:v>45032</c:v>
                </c:pt>
                <c:pt idx="2990">
                  <c:v>45033</c:v>
                </c:pt>
                <c:pt idx="2991">
                  <c:v>45034</c:v>
                </c:pt>
                <c:pt idx="2992">
                  <c:v>45035</c:v>
                </c:pt>
                <c:pt idx="2993">
                  <c:v>45036</c:v>
                </c:pt>
                <c:pt idx="2994">
                  <c:v>45037</c:v>
                </c:pt>
                <c:pt idx="2995">
                  <c:v>45038</c:v>
                </c:pt>
                <c:pt idx="2996">
                  <c:v>45039</c:v>
                </c:pt>
                <c:pt idx="2997">
                  <c:v>45040</c:v>
                </c:pt>
                <c:pt idx="2998">
                  <c:v>45041</c:v>
                </c:pt>
                <c:pt idx="2999">
                  <c:v>45042</c:v>
                </c:pt>
                <c:pt idx="3000">
                  <c:v>45043</c:v>
                </c:pt>
                <c:pt idx="3001">
                  <c:v>45044</c:v>
                </c:pt>
                <c:pt idx="3002">
                  <c:v>45045</c:v>
                </c:pt>
                <c:pt idx="3003">
                  <c:v>45046</c:v>
                </c:pt>
                <c:pt idx="3004">
                  <c:v>45047</c:v>
                </c:pt>
                <c:pt idx="3005">
                  <c:v>45048</c:v>
                </c:pt>
                <c:pt idx="3006">
                  <c:v>45049</c:v>
                </c:pt>
                <c:pt idx="3007">
                  <c:v>45050</c:v>
                </c:pt>
                <c:pt idx="3008">
                  <c:v>45051</c:v>
                </c:pt>
                <c:pt idx="3009">
                  <c:v>45052</c:v>
                </c:pt>
                <c:pt idx="3010">
                  <c:v>45053</c:v>
                </c:pt>
                <c:pt idx="3011">
                  <c:v>45054</c:v>
                </c:pt>
                <c:pt idx="3012">
                  <c:v>45055</c:v>
                </c:pt>
                <c:pt idx="3013">
                  <c:v>45056</c:v>
                </c:pt>
                <c:pt idx="3014">
                  <c:v>45057</c:v>
                </c:pt>
                <c:pt idx="3015">
                  <c:v>45058</c:v>
                </c:pt>
                <c:pt idx="3016">
                  <c:v>45059</c:v>
                </c:pt>
                <c:pt idx="3017">
                  <c:v>45060</c:v>
                </c:pt>
                <c:pt idx="3018">
                  <c:v>45061</c:v>
                </c:pt>
                <c:pt idx="3019">
                  <c:v>45062</c:v>
                </c:pt>
                <c:pt idx="3020">
                  <c:v>45063</c:v>
                </c:pt>
                <c:pt idx="3021">
                  <c:v>45064</c:v>
                </c:pt>
                <c:pt idx="3022">
                  <c:v>45065</c:v>
                </c:pt>
                <c:pt idx="3023">
                  <c:v>45066</c:v>
                </c:pt>
                <c:pt idx="3024">
                  <c:v>45067</c:v>
                </c:pt>
                <c:pt idx="3025">
                  <c:v>45068</c:v>
                </c:pt>
                <c:pt idx="3026">
                  <c:v>45069</c:v>
                </c:pt>
                <c:pt idx="3027">
                  <c:v>45070</c:v>
                </c:pt>
                <c:pt idx="3028">
                  <c:v>45071</c:v>
                </c:pt>
                <c:pt idx="3029">
                  <c:v>45072</c:v>
                </c:pt>
                <c:pt idx="3030">
                  <c:v>45073</c:v>
                </c:pt>
                <c:pt idx="3031">
                  <c:v>45074</c:v>
                </c:pt>
                <c:pt idx="3032">
                  <c:v>45075</c:v>
                </c:pt>
                <c:pt idx="3033">
                  <c:v>45076</c:v>
                </c:pt>
                <c:pt idx="3034">
                  <c:v>45077</c:v>
                </c:pt>
                <c:pt idx="3035">
                  <c:v>45078</c:v>
                </c:pt>
                <c:pt idx="3036">
                  <c:v>45079</c:v>
                </c:pt>
                <c:pt idx="3037">
                  <c:v>45080</c:v>
                </c:pt>
                <c:pt idx="3038">
                  <c:v>45081</c:v>
                </c:pt>
                <c:pt idx="3039">
                  <c:v>45082</c:v>
                </c:pt>
                <c:pt idx="3040">
                  <c:v>45083</c:v>
                </c:pt>
                <c:pt idx="3041">
                  <c:v>45084</c:v>
                </c:pt>
                <c:pt idx="3042">
                  <c:v>45085</c:v>
                </c:pt>
                <c:pt idx="3043">
                  <c:v>45086</c:v>
                </c:pt>
                <c:pt idx="3044">
                  <c:v>45087</c:v>
                </c:pt>
                <c:pt idx="3045">
                  <c:v>45088</c:v>
                </c:pt>
                <c:pt idx="3046">
                  <c:v>45089</c:v>
                </c:pt>
                <c:pt idx="3047">
                  <c:v>45090</c:v>
                </c:pt>
                <c:pt idx="3048">
                  <c:v>45091</c:v>
                </c:pt>
                <c:pt idx="3049">
                  <c:v>45092</c:v>
                </c:pt>
                <c:pt idx="3050">
                  <c:v>45093</c:v>
                </c:pt>
                <c:pt idx="3051">
                  <c:v>45094</c:v>
                </c:pt>
                <c:pt idx="3052">
                  <c:v>45095</c:v>
                </c:pt>
                <c:pt idx="3053">
                  <c:v>45096</c:v>
                </c:pt>
                <c:pt idx="3054">
                  <c:v>45097</c:v>
                </c:pt>
                <c:pt idx="3055">
                  <c:v>45098</c:v>
                </c:pt>
                <c:pt idx="3056">
                  <c:v>45099</c:v>
                </c:pt>
                <c:pt idx="3057">
                  <c:v>45100</c:v>
                </c:pt>
                <c:pt idx="3058">
                  <c:v>45101</c:v>
                </c:pt>
                <c:pt idx="3059">
                  <c:v>45102</c:v>
                </c:pt>
                <c:pt idx="3060">
                  <c:v>45103</c:v>
                </c:pt>
                <c:pt idx="3061">
                  <c:v>45104</c:v>
                </c:pt>
                <c:pt idx="3062">
                  <c:v>45105</c:v>
                </c:pt>
                <c:pt idx="3063">
                  <c:v>45106</c:v>
                </c:pt>
                <c:pt idx="3064">
                  <c:v>45107</c:v>
                </c:pt>
                <c:pt idx="3065">
                  <c:v>45108</c:v>
                </c:pt>
                <c:pt idx="3066">
                  <c:v>45109</c:v>
                </c:pt>
                <c:pt idx="3067">
                  <c:v>45110</c:v>
                </c:pt>
                <c:pt idx="3068">
                  <c:v>45111</c:v>
                </c:pt>
                <c:pt idx="3069">
                  <c:v>45112</c:v>
                </c:pt>
                <c:pt idx="3070">
                  <c:v>45113</c:v>
                </c:pt>
                <c:pt idx="3071">
                  <c:v>45114</c:v>
                </c:pt>
                <c:pt idx="3072">
                  <c:v>45115</c:v>
                </c:pt>
                <c:pt idx="3073">
                  <c:v>45116</c:v>
                </c:pt>
                <c:pt idx="3074">
                  <c:v>45117</c:v>
                </c:pt>
                <c:pt idx="3075">
                  <c:v>45118</c:v>
                </c:pt>
                <c:pt idx="3076">
                  <c:v>45119</c:v>
                </c:pt>
                <c:pt idx="3077">
                  <c:v>45120</c:v>
                </c:pt>
                <c:pt idx="3078">
                  <c:v>45121</c:v>
                </c:pt>
                <c:pt idx="3079">
                  <c:v>45122</c:v>
                </c:pt>
                <c:pt idx="3080">
                  <c:v>45123</c:v>
                </c:pt>
                <c:pt idx="3081">
                  <c:v>45124</c:v>
                </c:pt>
                <c:pt idx="3082">
                  <c:v>45125</c:v>
                </c:pt>
                <c:pt idx="3083">
                  <c:v>45126</c:v>
                </c:pt>
                <c:pt idx="3084">
                  <c:v>45127</c:v>
                </c:pt>
                <c:pt idx="3085">
                  <c:v>45128</c:v>
                </c:pt>
                <c:pt idx="3086">
                  <c:v>45129</c:v>
                </c:pt>
                <c:pt idx="3087">
                  <c:v>45130</c:v>
                </c:pt>
                <c:pt idx="3088">
                  <c:v>45131</c:v>
                </c:pt>
                <c:pt idx="3089">
                  <c:v>45132</c:v>
                </c:pt>
                <c:pt idx="3090">
                  <c:v>45133</c:v>
                </c:pt>
                <c:pt idx="3091">
                  <c:v>45134</c:v>
                </c:pt>
                <c:pt idx="3092">
                  <c:v>45135</c:v>
                </c:pt>
                <c:pt idx="3093">
                  <c:v>45136</c:v>
                </c:pt>
                <c:pt idx="3094">
                  <c:v>45137</c:v>
                </c:pt>
                <c:pt idx="3095">
                  <c:v>45138</c:v>
                </c:pt>
                <c:pt idx="3096">
                  <c:v>45139</c:v>
                </c:pt>
                <c:pt idx="3097">
                  <c:v>45140</c:v>
                </c:pt>
                <c:pt idx="3098">
                  <c:v>45141</c:v>
                </c:pt>
                <c:pt idx="3099">
                  <c:v>45142</c:v>
                </c:pt>
                <c:pt idx="3100">
                  <c:v>45143</c:v>
                </c:pt>
                <c:pt idx="3101">
                  <c:v>45144</c:v>
                </c:pt>
                <c:pt idx="3102">
                  <c:v>45145</c:v>
                </c:pt>
                <c:pt idx="3103">
                  <c:v>45146</c:v>
                </c:pt>
                <c:pt idx="3104">
                  <c:v>45147</c:v>
                </c:pt>
                <c:pt idx="3105">
                  <c:v>45148</c:v>
                </c:pt>
                <c:pt idx="3106">
                  <c:v>45149</c:v>
                </c:pt>
                <c:pt idx="3107">
                  <c:v>45150</c:v>
                </c:pt>
                <c:pt idx="3108">
                  <c:v>45151</c:v>
                </c:pt>
                <c:pt idx="3109">
                  <c:v>45152</c:v>
                </c:pt>
                <c:pt idx="3110">
                  <c:v>45153</c:v>
                </c:pt>
                <c:pt idx="3111">
                  <c:v>45154</c:v>
                </c:pt>
                <c:pt idx="3112">
                  <c:v>45155</c:v>
                </c:pt>
                <c:pt idx="3113">
                  <c:v>45156</c:v>
                </c:pt>
                <c:pt idx="3114">
                  <c:v>45157</c:v>
                </c:pt>
                <c:pt idx="3115">
                  <c:v>45158</c:v>
                </c:pt>
                <c:pt idx="3116">
                  <c:v>45159</c:v>
                </c:pt>
                <c:pt idx="3117">
                  <c:v>45160</c:v>
                </c:pt>
                <c:pt idx="3118">
                  <c:v>45161</c:v>
                </c:pt>
                <c:pt idx="3119">
                  <c:v>45162</c:v>
                </c:pt>
                <c:pt idx="3120">
                  <c:v>45163</c:v>
                </c:pt>
                <c:pt idx="3121">
                  <c:v>45164</c:v>
                </c:pt>
                <c:pt idx="3122">
                  <c:v>45165</c:v>
                </c:pt>
                <c:pt idx="3123">
                  <c:v>45166</c:v>
                </c:pt>
                <c:pt idx="3124">
                  <c:v>45167</c:v>
                </c:pt>
                <c:pt idx="3125">
                  <c:v>45168</c:v>
                </c:pt>
                <c:pt idx="3126">
                  <c:v>45169</c:v>
                </c:pt>
                <c:pt idx="3127">
                  <c:v>45170</c:v>
                </c:pt>
                <c:pt idx="3128">
                  <c:v>45171</c:v>
                </c:pt>
                <c:pt idx="3129">
                  <c:v>45172</c:v>
                </c:pt>
                <c:pt idx="3130">
                  <c:v>45173</c:v>
                </c:pt>
                <c:pt idx="3131">
                  <c:v>45174</c:v>
                </c:pt>
                <c:pt idx="3132">
                  <c:v>45175</c:v>
                </c:pt>
                <c:pt idx="3133">
                  <c:v>45176</c:v>
                </c:pt>
                <c:pt idx="3134">
                  <c:v>45177</c:v>
                </c:pt>
                <c:pt idx="3135">
                  <c:v>45178</c:v>
                </c:pt>
                <c:pt idx="3136">
                  <c:v>45179</c:v>
                </c:pt>
                <c:pt idx="3137">
                  <c:v>45180</c:v>
                </c:pt>
                <c:pt idx="3138">
                  <c:v>45181</c:v>
                </c:pt>
                <c:pt idx="3139">
                  <c:v>45182</c:v>
                </c:pt>
                <c:pt idx="3140">
                  <c:v>45183</c:v>
                </c:pt>
                <c:pt idx="3141">
                  <c:v>45184</c:v>
                </c:pt>
                <c:pt idx="3142">
                  <c:v>45185</c:v>
                </c:pt>
                <c:pt idx="3143">
                  <c:v>45186</c:v>
                </c:pt>
                <c:pt idx="3144">
                  <c:v>45187</c:v>
                </c:pt>
                <c:pt idx="3145">
                  <c:v>45188</c:v>
                </c:pt>
                <c:pt idx="3146">
                  <c:v>45189</c:v>
                </c:pt>
                <c:pt idx="3147">
                  <c:v>45190</c:v>
                </c:pt>
                <c:pt idx="3148">
                  <c:v>45191</c:v>
                </c:pt>
                <c:pt idx="3149">
                  <c:v>45192</c:v>
                </c:pt>
                <c:pt idx="3150">
                  <c:v>45193</c:v>
                </c:pt>
                <c:pt idx="3151">
                  <c:v>45194</c:v>
                </c:pt>
                <c:pt idx="3152">
                  <c:v>45195</c:v>
                </c:pt>
                <c:pt idx="3153">
                  <c:v>45196</c:v>
                </c:pt>
                <c:pt idx="3154">
                  <c:v>45197</c:v>
                </c:pt>
                <c:pt idx="3155">
                  <c:v>45198</c:v>
                </c:pt>
                <c:pt idx="3156">
                  <c:v>45199</c:v>
                </c:pt>
                <c:pt idx="3157">
                  <c:v>45200</c:v>
                </c:pt>
                <c:pt idx="3158">
                  <c:v>45201</c:v>
                </c:pt>
                <c:pt idx="3159">
                  <c:v>45202</c:v>
                </c:pt>
                <c:pt idx="3160">
                  <c:v>45203</c:v>
                </c:pt>
                <c:pt idx="3161">
                  <c:v>45204</c:v>
                </c:pt>
                <c:pt idx="3162">
                  <c:v>45205</c:v>
                </c:pt>
                <c:pt idx="3163">
                  <c:v>45206</c:v>
                </c:pt>
                <c:pt idx="3164">
                  <c:v>45207</c:v>
                </c:pt>
                <c:pt idx="3165">
                  <c:v>45208</c:v>
                </c:pt>
                <c:pt idx="3166">
                  <c:v>45209</c:v>
                </c:pt>
                <c:pt idx="3167">
                  <c:v>45210</c:v>
                </c:pt>
                <c:pt idx="3168">
                  <c:v>45211</c:v>
                </c:pt>
                <c:pt idx="3169">
                  <c:v>45212</c:v>
                </c:pt>
                <c:pt idx="3170">
                  <c:v>45213</c:v>
                </c:pt>
                <c:pt idx="3171">
                  <c:v>45214</c:v>
                </c:pt>
                <c:pt idx="3172">
                  <c:v>45215</c:v>
                </c:pt>
                <c:pt idx="3173">
                  <c:v>45216</c:v>
                </c:pt>
                <c:pt idx="3174">
                  <c:v>45217</c:v>
                </c:pt>
                <c:pt idx="3175">
                  <c:v>45218</c:v>
                </c:pt>
                <c:pt idx="3176">
                  <c:v>45219</c:v>
                </c:pt>
                <c:pt idx="3177">
                  <c:v>45220</c:v>
                </c:pt>
                <c:pt idx="3178">
                  <c:v>45221</c:v>
                </c:pt>
                <c:pt idx="3179">
                  <c:v>45222</c:v>
                </c:pt>
                <c:pt idx="3180">
                  <c:v>45223</c:v>
                </c:pt>
                <c:pt idx="3181">
                  <c:v>45224</c:v>
                </c:pt>
                <c:pt idx="3182">
                  <c:v>45225</c:v>
                </c:pt>
                <c:pt idx="3183">
                  <c:v>45226</c:v>
                </c:pt>
                <c:pt idx="3184">
                  <c:v>45227</c:v>
                </c:pt>
                <c:pt idx="3185">
                  <c:v>45228</c:v>
                </c:pt>
                <c:pt idx="3186">
                  <c:v>45229</c:v>
                </c:pt>
                <c:pt idx="3187">
                  <c:v>45230</c:v>
                </c:pt>
                <c:pt idx="3188">
                  <c:v>45231</c:v>
                </c:pt>
                <c:pt idx="3189">
                  <c:v>45232</c:v>
                </c:pt>
                <c:pt idx="3190">
                  <c:v>45233</c:v>
                </c:pt>
                <c:pt idx="3191">
                  <c:v>45234</c:v>
                </c:pt>
                <c:pt idx="3192">
                  <c:v>45235</c:v>
                </c:pt>
                <c:pt idx="3193">
                  <c:v>45236</c:v>
                </c:pt>
                <c:pt idx="3194">
                  <c:v>45237</c:v>
                </c:pt>
                <c:pt idx="3195">
                  <c:v>45238</c:v>
                </c:pt>
                <c:pt idx="3196">
                  <c:v>45239</c:v>
                </c:pt>
                <c:pt idx="3197">
                  <c:v>45240</c:v>
                </c:pt>
                <c:pt idx="3198">
                  <c:v>45241</c:v>
                </c:pt>
                <c:pt idx="3199">
                  <c:v>45242</c:v>
                </c:pt>
                <c:pt idx="3200">
                  <c:v>45243</c:v>
                </c:pt>
                <c:pt idx="3201">
                  <c:v>45244</c:v>
                </c:pt>
                <c:pt idx="3202">
                  <c:v>45245</c:v>
                </c:pt>
                <c:pt idx="3203">
                  <c:v>45246</c:v>
                </c:pt>
                <c:pt idx="3204">
                  <c:v>45247</c:v>
                </c:pt>
                <c:pt idx="3205">
                  <c:v>45248</c:v>
                </c:pt>
                <c:pt idx="3206">
                  <c:v>45249</c:v>
                </c:pt>
                <c:pt idx="3207">
                  <c:v>45250</c:v>
                </c:pt>
                <c:pt idx="3208">
                  <c:v>45251</c:v>
                </c:pt>
                <c:pt idx="3209">
                  <c:v>45252</c:v>
                </c:pt>
                <c:pt idx="3210">
                  <c:v>45253</c:v>
                </c:pt>
                <c:pt idx="3211">
                  <c:v>45254</c:v>
                </c:pt>
                <c:pt idx="3212">
                  <c:v>45255</c:v>
                </c:pt>
                <c:pt idx="3213">
                  <c:v>45256</c:v>
                </c:pt>
                <c:pt idx="3214">
                  <c:v>45257</c:v>
                </c:pt>
                <c:pt idx="3215">
                  <c:v>45258</c:v>
                </c:pt>
                <c:pt idx="3216">
                  <c:v>45259</c:v>
                </c:pt>
                <c:pt idx="3217">
                  <c:v>45260</c:v>
                </c:pt>
                <c:pt idx="3218">
                  <c:v>45261</c:v>
                </c:pt>
                <c:pt idx="3219">
                  <c:v>45262</c:v>
                </c:pt>
                <c:pt idx="3220">
                  <c:v>45263</c:v>
                </c:pt>
                <c:pt idx="3221">
                  <c:v>45264</c:v>
                </c:pt>
                <c:pt idx="3222">
                  <c:v>45265</c:v>
                </c:pt>
                <c:pt idx="3223">
                  <c:v>45266</c:v>
                </c:pt>
                <c:pt idx="3224">
                  <c:v>45267</c:v>
                </c:pt>
                <c:pt idx="3225">
                  <c:v>45268</c:v>
                </c:pt>
                <c:pt idx="3226">
                  <c:v>45269</c:v>
                </c:pt>
                <c:pt idx="3227">
                  <c:v>45270</c:v>
                </c:pt>
                <c:pt idx="3228">
                  <c:v>45271</c:v>
                </c:pt>
                <c:pt idx="3229">
                  <c:v>45272</c:v>
                </c:pt>
                <c:pt idx="3230">
                  <c:v>45273</c:v>
                </c:pt>
                <c:pt idx="3231">
                  <c:v>45274</c:v>
                </c:pt>
                <c:pt idx="3232">
                  <c:v>45275</c:v>
                </c:pt>
                <c:pt idx="3233">
                  <c:v>45276</c:v>
                </c:pt>
                <c:pt idx="3234">
                  <c:v>45277</c:v>
                </c:pt>
                <c:pt idx="3235">
                  <c:v>45278</c:v>
                </c:pt>
                <c:pt idx="3236">
                  <c:v>45279</c:v>
                </c:pt>
                <c:pt idx="3237">
                  <c:v>45280</c:v>
                </c:pt>
                <c:pt idx="3238">
                  <c:v>45281</c:v>
                </c:pt>
                <c:pt idx="3239">
                  <c:v>45282</c:v>
                </c:pt>
                <c:pt idx="3240">
                  <c:v>45283</c:v>
                </c:pt>
                <c:pt idx="3241">
                  <c:v>45284</c:v>
                </c:pt>
                <c:pt idx="3242">
                  <c:v>45285</c:v>
                </c:pt>
                <c:pt idx="3243">
                  <c:v>45286</c:v>
                </c:pt>
                <c:pt idx="3244">
                  <c:v>45287</c:v>
                </c:pt>
                <c:pt idx="3245">
                  <c:v>45288</c:v>
                </c:pt>
                <c:pt idx="3246">
                  <c:v>45289</c:v>
                </c:pt>
                <c:pt idx="3247">
                  <c:v>45290</c:v>
                </c:pt>
                <c:pt idx="3248">
                  <c:v>45291</c:v>
                </c:pt>
                <c:pt idx="3249">
                  <c:v>45292</c:v>
                </c:pt>
                <c:pt idx="3250">
                  <c:v>45293</c:v>
                </c:pt>
                <c:pt idx="3251">
                  <c:v>45294</c:v>
                </c:pt>
                <c:pt idx="3252">
                  <c:v>45295</c:v>
                </c:pt>
                <c:pt idx="3253">
                  <c:v>45296</c:v>
                </c:pt>
                <c:pt idx="3254">
                  <c:v>45297</c:v>
                </c:pt>
                <c:pt idx="3255">
                  <c:v>45298</c:v>
                </c:pt>
                <c:pt idx="3256">
                  <c:v>45299</c:v>
                </c:pt>
                <c:pt idx="3257">
                  <c:v>45300</c:v>
                </c:pt>
                <c:pt idx="3258">
                  <c:v>45301</c:v>
                </c:pt>
                <c:pt idx="3259">
                  <c:v>45302</c:v>
                </c:pt>
                <c:pt idx="3260">
                  <c:v>45303</c:v>
                </c:pt>
                <c:pt idx="3261">
                  <c:v>45304</c:v>
                </c:pt>
                <c:pt idx="3262">
                  <c:v>45305</c:v>
                </c:pt>
                <c:pt idx="3263">
                  <c:v>45306</c:v>
                </c:pt>
                <c:pt idx="3264">
                  <c:v>45307</c:v>
                </c:pt>
                <c:pt idx="3265">
                  <c:v>45308</c:v>
                </c:pt>
                <c:pt idx="3266">
                  <c:v>45309</c:v>
                </c:pt>
                <c:pt idx="3267">
                  <c:v>45310</c:v>
                </c:pt>
                <c:pt idx="3268">
                  <c:v>45311</c:v>
                </c:pt>
                <c:pt idx="3269">
                  <c:v>45312</c:v>
                </c:pt>
                <c:pt idx="3270">
                  <c:v>45313</c:v>
                </c:pt>
                <c:pt idx="3271">
                  <c:v>45314</c:v>
                </c:pt>
                <c:pt idx="3272">
                  <c:v>45315</c:v>
                </c:pt>
                <c:pt idx="3273">
                  <c:v>45316</c:v>
                </c:pt>
                <c:pt idx="3274">
                  <c:v>45317</c:v>
                </c:pt>
                <c:pt idx="3275">
                  <c:v>45318</c:v>
                </c:pt>
                <c:pt idx="3276">
                  <c:v>45319</c:v>
                </c:pt>
                <c:pt idx="3277">
                  <c:v>45320</c:v>
                </c:pt>
                <c:pt idx="3278">
                  <c:v>45321</c:v>
                </c:pt>
                <c:pt idx="3279">
                  <c:v>45322</c:v>
                </c:pt>
                <c:pt idx="3280">
                  <c:v>45323</c:v>
                </c:pt>
                <c:pt idx="3281">
                  <c:v>45324</c:v>
                </c:pt>
                <c:pt idx="3282">
                  <c:v>45325</c:v>
                </c:pt>
                <c:pt idx="3283">
                  <c:v>45326</c:v>
                </c:pt>
                <c:pt idx="3284">
                  <c:v>45327</c:v>
                </c:pt>
                <c:pt idx="3285">
                  <c:v>45328</c:v>
                </c:pt>
                <c:pt idx="3286">
                  <c:v>45329</c:v>
                </c:pt>
                <c:pt idx="3287">
                  <c:v>45330</c:v>
                </c:pt>
                <c:pt idx="3288">
                  <c:v>45331</c:v>
                </c:pt>
                <c:pt idx="3289">
                  <c:v>45332</c:v>
                </c:pt>
                <c:pt idx="3290">
                  <c:v>45333</c:v>
                </c:pt>
                <c:pt idx="3291">
                  <c:v>45334</c:v>
                </c:pt>
                <c:pt idx="3292">
                  <c:v>45335</c:v>
                </c:pt>
                <c:pt idx="3293">
                  <c:v>45336</c:v>
                </c:pt>
                <c:pt idx="3294">
                  <c:v>45337</c:v>
                </c:pt>
                <c:pt idx="3295">
                  <c:v>45338</c:v>
                </c:pt>
                <c:pt idx="3296">
                  <c:v>45339</c:v>
                </c:pt>
                <c:pt idx="3297">
                  <c:v>45340</c:v>
                </c:pt>
                <c:pt idx="3298">
                  <c:v>45341</c:v>
                </c:pt>
                <c:pt idx="3299">
                  <c:v>45342</c:v>
                </c:pt>
                <c:pt idx="3300">
                  <c:v>45343</c:v>
                </c:pt>
                <c:pt idx="3301">
                  <c:v>45344</c:v>
                </c:pt>
                <c:pt idx="3302">
                  <c:v>45345</c:v>
                </c:pt>
                <c:pt idx="3303">
                  <c:v>45346</c:v>
                </c:pt>
                <c:pt idx="3304">
                  <c:v>45347</c:v>
                </c:pt>
                <c:pt idx="3305">
                  <c:v>45348</c:v>
                </c:pt>
                <c:pt idx="3306">
                  <c:v>45349</c:v>
                </c:pt>
                <c:pt idx="3307">
                  <c:v>45350</c:v>
                </c:pt>
                <c:pt idx="3308">
                  <c:v>45351</c:v>
                </c:pt>
                <c:pt idx="3309">
                  <c:v>45352</c:v>
                </c:pt>
                <c:pt idx="3310">
                  <c:v>45353</c:v>
                </c:pt>
                <c:pt idx="3311">
                  <c:v>45354</c:v>
                </c:pt>
                <c:pt idx="3312">
                  <c:v>45355</c:v>
                </c:pt>
                <c:pt idx="3313">
                  <c:v>45356</c:v>
                </c:pt>
                <c:pt idx="3314">
                  <c:v>45357</c:v>
                </c:pt>
                <c:pt idx="3315">
                  <c:v>45358</c:v>
                </c:pt>
                <c:pt idx="3316">
                  <c:v>45359</c:v>
                </c:pt>
                <c:pt idx="3317">
                  <c:v>45360</c:v>
                </c:pt>
                <c:pt idx="3318">
                  <c:v>45361</c:v>
                </c:pt>
                <c:pt idx="3319">
                  <c:v>45362</c:v>
                </c:pt>
                <c:pt idx="3320">
                  <c:v>45363</c:v>
                </c:pt>
                <c:pt idx="3321">
                  <c:v>45364</c:v>
                </c:pt>
                <c:pt idx="3322">
                  <c:v>45365</c:v>
                </c:pt>
                <c:pt idx="3323">
                  <c:v>45366</c:v>
                </c:pt>
                <c:pt idx="3324">
                  <c:v>45367</c:v>
                </c:pt>
                <c:pt idx="3325">
                  <c:v>45368</c:v>
                </c:pt>
                <c:pt idx="3326">
                  <c:v>45369</c:v>
                </c:pt>
                <c:pt idx="3327">
                  <c:v>45370</c:v>
                </c:pt>
                <c:pt idx="3328">
                  <c:v>45371</c:v>
                </c:pt>
                <c:pt idx="3329">
                  <c:v>45372</c:v>
                </c:pt>
                <c:pt idx="3330">
                  <c:v>45373</c:v>
                </c:pt>
                <c:pt idx="3331">
                  <c:v>45374</c:v>
                </c:pt>
                <c:pt idx="3332">
                  <c:v>45375</c:v>
                </c:pt>
                <c:pt idx="3333">
                  <c:v>45376</c:v>
                </c:pt>
                <c:pt idx="3334">
                  <c:v>45377</c:v>
                </c:pt>
                <c:pt idx="3335">
                  <c:v>45378</c:v>
                </c:pt>
                <c:pt idx="3336">
                  <c:v>45379</c:v>
                </c:pt>
                <c:pt idx="3337">
                  <c:v>45380</c:v>
                </c:pt>
                <c:pt idx="3338">
                  <c:v>45381</c:v>
                </c:pt>
                <c:pt idx="3339">
                  <c:v>45382</c:v>
                </c:pt>
                <c:pt idx="3340">
                  <c:v>45383</c:v>
                </c:pt>
                <c:pt idx="3341">
                  <c:v>45384</c:v>
                </c:pt>
                <c:pt idx="3342">
                  <c:v>45385</c:v>
                </c:pt>
                <c:pt idx="3343">
                  <c:v>45386</c:v>
                </c:pt>
                <c:pt idx="3344">
                  <c:v>45387</c:v>
                </c:pt>
                <c:pt idx="3345">
                  <c:v>45388</c:v>
                </c:pt>
                <c:pt idx="3346">
                  <c:v>45389</c:v>
                </c:pt>
                <c:pt idx="3347">
                  <c:v>45390</c:v>
                </c:pt>
                <c:pt idx="3348">
                  <c:v>45391</c:v>
                </c:pt>
                <c:pt idx="3349">
                  <c:v>45392</c:v>
                </c:pt>
                <c:pt idx="3350">
                  <c:v>45393</c:v>
                </c:pt>
                <c:pt idx="3351">
                  <c:v>45394</c:v>
                </c:pt>
                <c:pt idx="3352">
                  <c:v>45395</c:v>
                </c:pt>
                <c:pt idx="3353">
                  <c:v>45396</c:v>
                </c:pt>
                <c:pt idx="3354">
                  <c:v>45397</c:v>
                </c:pt>
                <c:pt idx="3355">
                  <c:v>45398</c:v>
                </c:pt>
                <c:pt idx="3356">
                  <c:v>45399</c:v>
                </c:pt>
                <c:pt idx="3357">
                  <c:v>45400</c:v>
                </c:pt>
                <c:pt idx="3358">
                  <c:v>45401</c:v>
                </c:pt>
                <c:pt idx="3359">
                  <c:v>45402</c:v>
                </c:pt>
                <c:pt idx="3360">
                  <c:v>45403</c:v>
                </c:pt>
                <c:pt idx="3361">
                  <c:v>45404</c:v>
                </c:pt>
                <c:pt idx="3362">
                  <c:v>45405</c:v>
                </c:pt>
                <c:pt idx="3363">
                  <c:v>45406</c:v>
                </c:pt>
                <c:pt idx="3364">
                  <c:v>45407</c:v>
                </c:pt>
                <c:pt idx="3365">
                  <c:v>45408</c:v>
                </c:pt>
                <c:pt idx="3366">
                  <c:v>45409</c:v>
                </c:pt>
                <c:pt idx="3367">
                  <c:v>45410</c:v>
                </c:pt>
                <c:pt idx="3368">
                  <c:v>45411</c:v>
                </c:pt>
                <c:pt idx="3369">
                  <c:v>45412</c:v>
                </c:pt>
                <c:pt idx="3370">
                  <c:v>45413</c:v>
                </c:pt>
                <c:pt idx="3371">
                  <c:v>45414</c:v>
                </c:pt>
                <c:pt idx="3372">
                  <c:v>45415</c:v>
                </c:pt>
                <c:pt idx="3373">
                  <c:v>45416</c:v>
                </c:pt>
                <c:pt idx="3374">
                  <c:v>45417</c:v>
                </c:pt>
                <c:pt idx="3375">
                  <c:v>45418</c:v>
                </c:pt>
                <c:pt idx="3376">
                  <c:v>45419</c:v>
                </c:pt>
                <c:pt idx="3377">
                  <c:v>45420</c:v>
                </c:pt>
                <c:pt idx="3378">
                  <c:v>45421</c:v>
                </c:pt>
                <c:pt idx="3379">
                  <c:v>45422</c:v>
                </c:pt>
                <c:pt idx="3380">
                  <c:v>45423</c:v>
                </c:pt>
                <c:pt idx="3381">
                  <c:v>45424</c:v>
                </c:pt>
                <c:pt idx="3382">
                  <c:v>45425</c:v>
                </c:pt>
                <c:pt idx="3383">
                  <c:v>45426</c:v>
                </c:pt>
                <c:pt idx="3384">
                  <c:v>45427</c:v>
                </c:pt>
                <c:pt idx="3385">
                  <c:v>45428</c:v>
                </c:pt>
                <c:pt idx="3386">
                  <c:v>45429</c:v>
                </c:pt>
                <c:pt idx="3387">
                  <c:v>45430</c:v>
                </c:pt>
                <c:pt idx="3388">
                  <c:v>45431</c:v>
                </c:pt>
                <c:pt idx="3389">
                  <c:v>45432</c:v>
                </c:pt>
                <c:pt idx="3390">
                  <c:v>45433</c:v>
                </c:pt>
                <c:pt idx="3391">
                  <c:v>45434</c:v>
                </c:pt>
                <c:pt idx="3392">
                  <c:v>45435</c:v>
                </c:pt>
                <c:pt idx="3393">
                  <c:v>45436</c:v>
                </c:pt>
                <c:pt idx="3394">
                  <c:v>45437</c:v>
                </c:pt>
                <c:pt idx="3395">
                  <c:v>45438</c:v>
                </c:pt>
                <c:pt idx="3396">
                  <c:v>45439</c:v>
                </c:pt>
                <c:pt idx="3397">
                  <c:v>45440</c:v>
                </c:pt>
                <c:pt idx="3398">
                  <c:v>45441</c:v>
                </c:pt>
                <c:pt idx="3399">
                  <c:v>45442</c:v>
                </c:pt>
                <c:pt idx="3400">
                  <c:v>45443</c:v>
                </c:pt>
                <c:pt idx="3401">
                  <c:v>45444</c:v>
                </c:pt>
                <c:pt idx="3402">
                  <c:v>45445</c:v>
                </c:pt>
                <c:pt idx="3403">
                  <c:v>45446</c:v>
                </c:pt>
                <c:pt idx="3404">
                  <c:v>45447</c:v>
                </c:pt>
                <c:pt idx="3405">
                  <c:v>45448</c:v>
                </c:pt>
                <c:pt idx="3406">
                  <c:v>45449</c:v>
                </c:pt>
                <c:pt idx="3407">
                  <c:v>45450</c:v>
                </c:pt>
                <c:pt idx="3408">
                  <c:v>45451</c:v>
                </c:pt>
                <c:pt idx="3409">
                  <c:v>45452</c:v>
                </c:pt>
                <c:pt idx="3410">
                  <c:v>45453</c:v>
                </c:pt>
                <c:pt idx="3411">
                  <c:v>45454</c:v>
                </c:pt>
                <c:pt idx="3412">
                  <c:v>45455</c:v>
                </c:pt>
                <c:pt idx="3413">
                  <c:v>45456</c:v>
                </c:pt>
                <c:pt idx="3414">
                  <c:v>45457</c:v>
                </c:pt>
                <c:pt idx="3415">
                  <c:v>45458</c:v>
                </c:pt>
                <c:pt idx="3416">
                  <c:v>45459</c:v>
                </c:pt>
                <c:pt idx="3417">
                  <c:v>45460</c:v>
                </c:pt>
                <c:pt idx="3418">
                  <c:v>45461</c:v>
                </c:pt>
                <c:pt idx="3419">
                  <c:v>45462</c:v>
                </c:pt>
                <c:pt idx="3420">
                  <c:v>45463</c:v>
                </c:pt>
                <c:pt idx="3421">
                  <c:v>45464</c:v>
                </c:pt>
                <c:pt idx="3422">
                  <c:v>45465</c:v>
                </c:pt>
                <c:pt idx="3423">
                  <c:v>45466</c:v>
                </c:pt>
                <c:pt idx="3424">
                  <c:v>45467</c:v>
                </c:pt>
                <c:pt idx="3425">
                  <c:v>45468</c:v>
                </c:pt>
                <c:pt idx="3426">
                  <c:v>45469</c:v>
                </c:pt>
                <c:pt idx="3427">
                  <c:v>45470</c:v>
                </c:pt>
                <c:pt idx="3428">
                  <c:v>45471</c:v>
                </c:pt>
                <c:pt idx="3429">
                  <c:v>45472</c:v>
                </c:pt>
                <c:pt idx="3430">
                  <c:v>45473</c:v>
                </c:pt>
                <c:pt idx="3431">
                  <c:v>45474</c:v>
                </c:pt>
                <c:pt idx="3432">
                  <c:v>45475</c:v>
                </c:pt>
                <c:pt idx="3433">
                  <c:v>45476</c:v>
                </c:pt>
                <c:pt idx="3434">
                  <c:v>45477</c:v>
                </c:pt>
                <c:pt idx="3435">
                  <c:v>45478</c:v>
                </c:pt>
                <c:pt idx="3436">
                  <c:v>45479</c:v>
                </c:pt>
                <c:pt idx="3437">
                  <c:v>45480</c:v>
                </c:pt>
                <c:pt idx="3438">
                  <c:v>45481</c:v>
                </c:pt>
                <c:pt idx="3439">
                  <c:v>45482</c:v>
                </c:pt>
                <c:pt idx="3440">
                  <c:v>45483</c:v>
                </c:pt>
                <c:pt idx="3441">
                  <c:v>45484</c:v>
                </c:pt>
                <c:pt idx="3442">
                  <c:v>45485</c:v>
                </c:pt>
                <c:pt idx="3443">
                  <c:v>45486</c:v>
                </c:pt>
                <c:pt idx="3444">
                  <c:v>45487</c:v>
                </c:pt>
                <c:pt idx="3445">
                  <c:v>45488</c:v>
                </c:pt>
                <c:pt idx="3446">
                  <c:v>45489</c:v>
                </c:pt>
                <c:pt idx="3447">
                  <c:v>45490</c:v>
                </c:pt>
                <c:pt idx="3448">
                  <c:v>45491</c:v>
                </c:pt>
                <c:pt idx="3449">
                  <c:v>45492</c:v>
                </c:pt>
                <c:pt idx="3450">
                  <c:v>45493</c:v>
                </c:pt>
                <c:pt idx="3451">
                  <c:v>45494</c:v>
                </c:pt>
                <c:pt idx="3452">
                  <c:v>45495</c:v>
                </c:pt>
                <c:pt idx="3453">
                  <c:v>45496</c:v>
                </c:pt>
                <c:pt idx="3454">
                  <c:v>45497</c:v>
                </c:pt>
                <c:pt idx="3455">
                  <c:v>45498</c:v>
                </c:pt>
                <c:pt idx="3456">
                  <c:v>45499</c:v>
                </c:pt>
                <c:pt idx="3457">
                  <c:v>45500</c:v>
                </c:pt>
                <c:pt idx="3458">
                  <c:v>45501</c:v>
                </c:pt>
                <c:pt idx="3459">
                  <c:v>45502</c:v>
                </c:pt>
                <c:pt idx="3460">
                  <c:v>45503</c:v>
                </c:pt>
                <c:pt idx="3461">
                  <c:v>45504</c:v>
                </c:pt>
                <c:pt idx="3462">
                  <c:v>45505</c:v>
                </c:pt>
                <c:pt idx="3463">
                  <c:v>45506</c:v>
                </c:pt>
                <c:pt idx="3464">
                  <c:v>45507</c:v>
                </c:pt>
                <c:pt idx="3465">
                  <c:v>45508</c:v>
                </c:pt>
                <c:pt idx="3466">
                  <c:v>45509</c:v>
                </c:pt>
                <c:pt idx="3467">
                  <c:v>45510</c:v>
                </c:pt>
                <c:pt idx="3468">
                  <c:v>45511</c:v>
                </c:pt>
                <c:pt idx="3469">
                  <c:v>45512</c:v>
                </c:pt>
                <c:pt idx="3470">
                  <c:v>45513</c:v>
                </c:pt>
                <c:pt idx="3471">
                  <c:v>45514</c:v>
                </c:pt>
                <c:pt idx="3472">
                  <c:v>45515</c:v>
                </c:pt>
                <c:pt idx="3473">
                  <c:v>45516</c:v>
                </c:pt>
                <c:pt idx="3474">
                  <c:v>45517</c:v>
                </c:pt>
                <c:pt idx="3475">
                  <c:v>45518</c:v>
                </c:pt>
                <c:pt idx="3476">
                  <c:v>45519</c:v>
                </c:pt>
                <c:pt idx="3477">
                  <c:v>45520</c:v>
                </c:pt>
                <c:pt idx="3478">
                  <c:v>45521</c:v>
                </c:pt>
                <c:pt idx="3479">
                  <c:v>45522</c:v>
                </c:pt>
                <c:pt idx="3480">
                  <c:v>45523</c:v>
                </c:pt>
                <c:pt idx="3481">
                  <c:v>45524</c:v>
                </c:pt>
                <c:pt idx="3482">
                  <c:v>45525</c:v>
                </c:pt>
                <c:pt idx="3483">
                  <c:v>45526</c:v>
                </c:pt>
                <c:pt idx="3484">
                  <c:v>45527</c:v>
                </c:pt>
                <c:pt idx="3485">
                  <c:v>45528</c:v>
                </c:pt>
                <c:pt idx="3486">
                  <c:v>45529</c:v>
                </c:pt>
                <c:pt idx="3487">
                  <c:v>45530</c:v>
                </c:pt>
                <c:pt idx="3488">
                  <c:v>45531</c:v>
                </c:pt>
                <c:pt idx="3489">
                  <c:v>45532</c:v>
                </c:pt>
                <c:pt idx="3490">
                  <c:v>45533</c:v>
                </c:pt>
                <c:pt idx="3491">
                  <c:v>45534</c:v>
                </c:pt>
                <c:pt idx="3492">
                  <c:v>45535</c:v>
                </c:pt>
                <c:pt idx="3493">
                  <c:v>45536</c:v>
                </c:pt>
                <c:pt idx="3494">
                  <c:v>45537</c:v>
                </c:pt>
                <c:pt idx="3495">
                  <c:v>45538</c:v>
                </c:pt>
                <c:pt idx="3496">
                  <c:v>45539</c:v>
                </c:pt>
                <c:pt idx="3497">
                  <c:v>45540</c:v>
                </c:pt>
                <c:pt idx="3498">
                  <c:v>45541</c:v>
                </c:pt>
                <c:pt idx="3499">
                  <c:v>45542</c:v>
                </c:pt>
                <c:pt idx="3500">
                  <c:v>45543</c:v>
                </c:pt>
                <c:pt idx="3501">
                  <c:v>45544</c:v>
                </c:pt>
                <c:pt idx="3502">
                  <c:v>45545</c:v>
                </c:pt>
                <c:pt idx="3503">
                  <c:v>45546</c:v>
                </c:pt>
                <c:pt idx="3504">
                  <c:v>45547</c:v>
                </c:pt>
                <c:pt idx="3505">
                  <c:v>45548</c:v>
                </c:pt>
                <c:pt idx="3506">
                  <c:v>45549</c:v>
                </c:pt>
                <c:pt idx="3507">
                  <c:v>45550</c:v>
                </c:pt>
                <c:pt idx="3508">
                  <c:v>45551</c:v>
                </c:pt>
                <c:pt idx="3509">
                  <c:v>45552</c:v>
                </c:pt>
                <c:pt idx="3510">
                  <c:v>45553</c:v>
                </c:pt>
                <c:pt idx="3511">
                  <c:v>45554</c:v>
                </c:pt>
                <c:pt idx="3512">
                  <c:v>45555</c:v>
                </c:pt>
                <c:pt idx="3513">
                  <c:v>45556</c:v>
                </c:pt>
                <c:pt idx="3514">
                  <c:v>45557</c:v>
                </c:pt>
                <c:pt idx="3515">
                  <c:v>45558</c:v>
                </c:pt>
                <c:pt idx="3516">
                  <c:v>45559</c:v>
                </c:pt>
                <c:pt idx="3517">
                  <c:v>45560</c:v>
                </c:pt>
                <c:pt idx="3518">
                  <c:v>45561</c:v>
                </c:pt>
                <c:pt idx="3519">
                  <c:v>45562</c:v>
                </c:pt>
                <c:pt idx="3520">
                  <c:v>45563</c:v>
                </c:pt>
                <c:pt idx="3521">
                  <c:v>45564</c:v>
                </c:pt>
                <c:pt idx="3522">
                  <c:v>45565</c:v>
                </c:pt>
                <c:pt idx="3523">
                  <c:v>45566</c:v>
                </c:pt>
                <c:pt idx="3524">
                  <c:v>45567</c:v>
                </c:pt>
                <c:pt idx="3525">
                  <c:v>45568</c:v>
                </c:pt>
                <c:pt idx="3526">
                  <c:v>45569</c:v>
                </c:pt>
                <c:pt idx="3527">
                  <c:v>45570</c:v>
                </c:pt>
                <c:pt idx="3528">
                  <c:v>45571</c:v>
                </c:pt>
                <c:pt idx="3529">
                  <c:v>45572</c:v>
                </c:pt>
                <c:pt idx="3530">
                  <c:v>45573</c:v>
                </c:pt>
                <c:pt idx="3531">
                  <c:v>45574</c:v>
                </c:pt>
                <c:pt idx="3532">
                  <c:v>45575</c:v>
                </c:pt>
                <c:pt idx="3533">
                  <c:v>45576</c:v>
                </c:pt>
                <c:pt idx="3534">
                  <c:v>45577</c:v>
                </c:pt>
                <c:pt idx="3535">
                  <c:v>45578</c:v>
                </c:pt>
                <c:pt idx="3536">
                  <c:v>45579</c:v>
                </c:pt>
                <c:pt idx="3537">
                  <c:v>45580</c:v>
                </c:pt>
                <c:pt idx="3538">
                  <c:v>45581</c:v>
                </c:pt>
                <c:pt idx="3539">
                  <c:v>45582</c:v>
                </c:pt>
                <c:pt idx="3540">
                  <c:v>45583</c:v>
                </c:pt>
                <c:pt idx="3541">
                  <c:v>45584</c:v>
                </c:pt>
                <c:pt idx="3542">
                  <c:v>45585</c:v>
                </c:pt>
                <c:pt idx="3543">
                  <c:v>45586</c:v>
                </c:pt>
                <c:pt idx="3544">
                  <c:v>45587</c:v>
                </c:pt>
                <c:pt idx="3545">
                  <c:v>45588</c:v>
                </c:pt>
                <c:pt idx="3546">
                  <c:v>45589</c:v>
                </c:pt>
                <c:pt idx="3547">
                  <c:v>45590</c:v>
                </c:pt>
                <c:pt idx="3548">
                  <c:v>45591</c:v>
                </c:pt>
                <c:pt idx="3549">
                  <c:v>45592</c:v>
                </c:pt>
                <c:pt idx="3550">
                  <c:v>45593</c:v>
                </c:pt>
                <c:pt idx="3551">
                  <c:v>45594</c:v>
                </c:pt>
                <c:pt idx="3552">
                  <c:v>45595</c:v>
                </c:pt>
                <c:pt idx="3553">
                  <c:v>45596</c:v>
                </c:pt>
                <c:pt idx="3554">
                  <c:v>45597</c:v>
                </c:pt>
                <c:pt idx="3555">
                  <c:v>45598</c:v>
                </c:pt>
                <c:pt idx="3556">
                  <c:v>45599</c:v>
                </c:pt>
                <c:pt idx="3557">
                  <c:v>45600</c:v>
                </c:pt>
                <c:pt idx="3558">
                  <c:v>45601</c:v>
                </c:pt>
                <c:pt idx="3559">
                  <c:v>45602</c:v>
                </c:pt>
                <c:pt idx="3560">
                  <c:v>45603</c:v>
                </c:pt>
                <c:pt idx="3561">
                  <c:v>45604</c:v>
                </c:pt>
                <c:pt idx="3562">
                  <c:v>45605</c:v>
                </c:pt>
                <c:pt idx="3563">
                  <c:v>45606</c:v>
                </c:pt>
                <c:pt idx="3564">
                  <c:v>45607</c:v>
                </c:pt>
                <c:pt idx="3565">
                  <c:v>45608</c:v>
                </c:pt>
                <c:pt idx="3566">
                  <c:v>45609</c:v>
                </c:pt>
                <c:pt idx="3567">
                  <c:v>45610</c:v>
                </c:pt>
                <c:pt idx="3568">
                  <c:v>45611</c:v>
                </c:pt>
                <c:pt idx="3569">
                  <c:v>45612</c:v>
                </c:pt>
                <c:pt idx="3570">
                  <c:v>45613</c:v>
                </c:pt>
                <c:pt idx="3571">
                  <c:v>45614</c:v>
                </c:pt>
                <c:pt idx="3572">
                  <c:v>45615</c:v>
                </c:pt>
                <c:pt idx="3573">
                  <c:v>45616</c:v>
                </c:pt>
                <c:pt idx="3574">
                  <c:v>45617</c:v>
                </c:pt>
                <c:pt idx="3575">
                  <c:v>45618</c:v>
                </c:pt>
                <c:pt idx="3576">
                  <c:v>45619</c:v>
                </c:pt>
                <c:pt idx="3577">
                  <c:v>45620</c:v>
                </c:pt>
                <c:pt idx="3578">
                  <c:v>45621</c:v>
                </c:pt>
                <c:pt idx="3579">
                  <c:v>45622</c:v>
                </c:pt>
                <c:pt idx="3580">
                  <c:v>45623</c:v>
                </c:pt>
                <c:pt idx="3581">
                  <c:v>45624</c:v>
                </c:pt>
                <c:pt idx="3582">
                  <c:v>45625</c:v>
                </c:pt>
                <c:pt idx="3583">
                  <c:v>45626</c:v>
                </c:pt>
                <c:pt idx="3584">
                  <c:v>45627</c:v>
                </c:pt>
                <c:pt idx="3585">
                  <c:v>45628</c:v>
                </c:pt>
                <c:pt idx="3586">
                  <c:v>45629</c:v>
                </c:pt>
                <c:pt idx="3587">
                  <c:v>45630</c:v>
                </c:pt>
                <c:pt idx="3588">
                  <c:v>45631</c:v>
                </c:pt>
                <c:pt idx="3589">
                  <c:v>45632</c:v>
                </c:pt>
                <c:pt idx="3590">
                  <c:v>45633</c:v>
                </c:pt>
                <c:pt idx="3591">
                  <c:v>45634</c:v>
                </c:pt>
                <c:pt idx="3592">
                  <c:v>45635</c:v>
                </c:pt>
                <c:pt idx="3593">
                  <c:v>45636</c:v>
                </c:pt>
                <c:pt idx="3594">
                  <c:v>45637</c:v>
                </c:pt>
                <c:pt idx="3595">
                  <c:v>45638</c:v>
                </c:pt>
                <c:pt idx="3596">
                  <c:v>45639</c:v>
                </c:pt>
                <c:pt idx="3597">
                  <c:v>45640</c:v>
                </c:pt>
                <c:pt idx="3598">
                  <c:v>45641</c:v>
                </c:pt>
                <c:pt idx="3599">
                  <c:v>45642</c:v>
                </c:pt>
                <c:pt idx="3600">
                  <c:v>45643</c:v>
                </c:pt>
                <c:pt idx="3601">
                  <c:v>45644</c:v>
                </c:pt>
                <c:pt idx="3602">
                  <c:v>45645</c:v>
                </c:pt>
                <c:pt idx="3603">
                  <c:v>45646</c:v>
                </c:pt>
                <c:pt idx="3604">
                  <c:v>45647</c:v>
                </c:pt>
                <c:pt idx="3605">
                  <c:v>45648</c:v>
                </c:pt>
                <c:pt idx="3606">
                  <c:v>45649</c:v>
                </c:pt>
                <c:pt idx="3607">
                  <c:v>45650</c:v>
                </c:pt>
                <c:pt idx="3608">
                  <c:v>45651</c:v>
                </c:pt>
                <c:pt idx="3609">
                  <c:v>45652</c:v>
                </c:pt>
                <c:pt idx="3610">
                  <c:v>45653</c:v>
                </c:pt>
                <c:pt idx="3611">
                  <c:v>45654</c:v>
                </c:pt>
                <c:pt idx="3612">
                  <c:v>45655</c:v>
                </c:pt>
                <c:pt idx="3613">
                  <c:v>45656</c:v>
                </c:pt>
                <c:pt idx="3614">
                  <c:v>45657</c:v>
                </c:pt>
                <c:pt idx="3615">
                  <c:v>45658</c:v>
                </c:pt>
                <c:pt idx="3616">
                  <c:v>45659</c:v>
                </c:pt>
                <c:pt idx="3617">
                  <c:v>45660</c:v>
                </c:pt>
                <c:pt idx="3618">
                  <c:v>45661</c:v>
                </c:pt>
                <c:pt idx="3619">
                  <c:v>45662</c:v>
                </c:pt>
                <c:pt idx="3620">
                  <c:v>45663</c:v>
                </c:pt>
                <c:pt idx="3621">
                  <c:v>45664</c:v>
                </c:pt>
                <c:pt idx="3622">
                  <c:v>45665</c:v>
                </c:pt>
                <c:pt idx="3623">
                  <c:v>45666</c:v>
                </c:pt>
                <c:pt idx="3624">
                  <c:v>45667</c:v>
                </c:pt>
                <c:pt idx="3625">
                  <c:v>45668</c:v>
                </c:pt>
                <c:pt idx="3626">
                  <c:v>45669</c:v>
                </c:pt>
                <c:pt idx="3627">
                  <c:v>45670</c:v>
                </c:pt>
                <c:pt idx="3628">
                  <c:v>45671</c:v>
                </c:pt>
                <c:pt idx="3629">
                  <c:v>45672</c:v>
                </c:pt>
                <c:pt idx="3630">
                  <c:v>45673</c:v>
                </c:pt>
                <c:pt idx="3631">
                  <c:v>45674</c:v>
                </c:pt>
                <c:pt idx="3632">
                  <c:v>45675</c:v>
                </c:pt>
                <c:pt idx="3633">
                  <c:v>45676</c:v>
                </c:pt>
                <c:pt idx="3634">
                  <c:v>45677</c:v>
                </c:pt>
                <c:pt idx="3635">
                  <c:v>45678</c:v>
                </c:pt>
                <c:pt idx="3636">
                  <c:v>45679</c:v>
                </c:pt>
                <c:pt idx="3637">
                  <c:v>45680</c:v>
                </c:pt>
                <c:pt idx="3638">
                  <c:v>45681</c:v>
                </c:pt>
                <c:pt idx="3639">
                  <c:v>45682</c:v>
                </c:pt>
                <c:pt idx="3640">
                  <c:v>45683</c:v>
                </c:pt>
                <c:pt idx="3641">
                  <c:v>45684</c:v>
                </c:pt>
                <c:pt idx="3642">
                  <c:v>45685</c:v>
                </c:pt>
                <c:pt idx="3643">
                  <c:v>45686</c:v>
                </c:pt>
                <c:pt idx="3644">
                  <c:v>45687</c:v>
                </c:pt>
                <c:pt idx="3645">
                  <c:v>45688</c:v>
                </c:pt>
                <c:pt idx="3646">
                  <c:v>45689</c:v>
                </c:pt>
                <c:pt idx="3647">
                  <c:v>45690</c:v>
                </c:pt>
                <c:pt idx="3648">
                  <c:v>45691</c:v>
                </c:pt>
                <c:pt idx="3649">
                  <c:v>45692</c:v>
                </c:pt>
                <c:pt idx="3650">
                  <c:v>45693</c:v>
                </c:pt>
                <c:pt idx="3651">
                  <c:v>45694</c:v>
                </c:pt>
                <c:pt idx="3652">
                  <c:v>45695</c:v>
                </c:pt>
                <c:pt idx="3653">
                  <c:v>45696</c:v>
                </c:pt>
                <c:pt idx="3654">
                  <c:v>45697</c:v>
                </c:pt>
                <c:pt idx="3655">
                  <c:v>45698</c:v>
                </c:pt>
                <c:pt idx="3656">
                  <c:v>45699</c:v>
                </c:pt>
                <c:pt idx="3657">
                  <c:v>45700</c:v>
                </c:pt>
                <c:pt idx="3658">
                  <c:v>45701</c:v>
                </c:pt>
                <c:pt idx="3659">
                  <c:v>45702</c:v>
                </c:pt>
                <c:pt idx="3660">
                  <c:v>45703</c:v>
                </c:pt>
                <c:pt idx="3661">
                  <c:v>45704</c:v>
                </c:pt>
                <c:pt idx="3662">
                  <c:v>45705</c:v>
                </c:pt>
                <c:pt idx="3663">
                  <c:v>45706</c:v>
                </c:pt>
                <c:pt idx="3664">
                  <c:v>45707</c:v>
                </c:pt>
                <c:pt idx="3665">
                  <c:v>45708</c:v>
                </c:pt>
                <c:pt idx="3666">
                  <c:v>45709</c:v>
                </c:pt>
                <c:pt idx="3667">
                  <c:v>45710</c:v>
                </c:pt>
                <c:pt idx="3668">
                  <c:v>45711</c:v>
                </c:pt>
                <c:pt idx="3669">
                  <c:v>45712</c:v>
                </c:pt>
                <c:pt idx="3670">
                  <c:v>45713</c:v>
                </c:pt>
                <c:pt idx="3671">
                  <c:v>45714</c:v>
                </c:pt>
                <c:pt idx="3672">
                  <c:v>45715</c:v>
                </c:pt>
                <c:pt idx="3673">
                  <c:v>45716</c:v>
                </c:pt>
                <c:pt idx="3674">
                  <c:v>45717</c:v>
                </c:pt>
                <c:pt idx="3675">
                  <c:v>45718</c:v>
                </c:pt>
                <c:pt idx="3676">
                  <c:v>45719</c:v>
                </c:pt>
                <c:pt idx="3677">
                  <c:v>45720</c:v>
                </c:pt>
                <c:pt idx="3678">
                  <c:v>45721</c:v>
                </c:pt>
                <c:pt idx="3679">
                  <c:v>45722</c:v>
                </c:pt>
                <c:pt idx="3680">
                  <c:v>45723</c:v>
                </c:pt>
                <c:pt idx="3681">
                  <c:v>45724</c:v>
                </c:pt>
                <c:pt idx="3682">
                  <c:v>45725</c:v>
                </c:pt>
                <c:pt idx="3683">
                  <c:v>45726</c:v>
                </c:pt>
                <c:pt idx="3684">
                  <c:v>45727</c:v>
                </c:pt>
                <c:pt idx="3685">
                  <c:v>45728</c:v>
                </c:pt>
                <c:pt idx="3686">
                  <c:v>45729</c:v>
                </c:pt>
                <c:pt idx="3687">
                  <c:v>45730</c:v>
                </c:pt>
                <c:pt idx="3688">
                  <c:v>45731</c:v>
                </c:pt>
                <c:pt idx="3689">
                  <c:v>45732</c:v>
                </c:pt>
                <c:pt idx="3690">
                  <c:v>45733</c:v>
                </c:pt>
                <c:pt idx="3691">
                  <c:v>45734</c:v>
                </c:pt>
                <c:pt idx="3692">
                  <c:v>45735</c:v>
                </c:pt>
                <c:pt idx="3693">
                  <c:v>45736</c:v>
                </c:pt>
                <c:pt idx="3694">
                  <c:v>45737</c:v>
                </c:pt>
                <c:pt idx="3695">
                  <c:v>45738</c:v>
                </c:pt>
                <c:pt idx="3696">
                  <c:v>45739</c:v>
                </c:pt>
                <c:pt idx="3697">
                  <c:v>45740</c:v>
                </c:pt>
                <c:pt idx="3698">
                  <c:v>45741</c:v>
                </c:pt>
                <c:pt idx="3699">
                  <c:v>45742</c:v>
                </c:pt>
                <c:pt idx="3700">
                  <c:v>45743</c:v>
                </c:pt>
                <c:pt idx="3701">
                  <c:v>45744</c:v>
                </c:pt>
                <c:pt idx="3702">
                  <c:v>45745</c:v>
                </c:pt>
                <c:pt idx="3703">
                  <c:v>45746</c:v>
                </c:pt>
                <c:pt idx="3704">
                  <c:v>45747</c:v>
                </c:pt>
                <c:pt idx="3705">
                  <c:v>45748</c:v>
                </c:pt>
                <c:pt idx="3706">
                  <c:v>45749</c:v>
                </c:pt>
                <c:pt idx="3707">
                  <c:v>45750</c:v>
                </c:pt>
                <c:pt idx="3708">
                  <c:v>45751</c:v>
                </c:pt>
                <c:pt idx="3709">
                  <c:v>45752</c:v>
                </c:pt>
                <c:pt idx="3710">
                  <c:v>45753</c:v>
                </c:pt>
                <c:pt idx="3711">
                  <c:v>45754</c:v>
                </c:pt>
                <c:pt idx="3712">
                  <c:v>45755</c:v>
                </c:pt>
                <c:pt idx="3713">
                  <c:v>45756</c:v>
                </c:pt>
                <c:pt idx="3714">
                  <c:v>45757</c:v>
                </c:pt>
                <c:pt idx="3715">
                  <c:v>45758</c:v>
                </c:pt>
                <c:pt idx="3716">
                  <c:v>45759</c:v>
                </c:pt>
                <c:pt idx="3717">
                  <c:v>45760</c:v>
                </c:pt>
                <c:pt idx="3718">
                  <c:v>45761</c:v>
                </c:pt>
                <c:pt idx="3719">
                  <c:v>45762</c:v>
                </c:pt>
                <c:pt idx="3720">
                  <c:v>45763</c:v>
                </c:pt>
                <c:pt idx="3721">
                  <c:v>45764</c:v>
                </c:pt>
                <c:pt idx="3722">
                  <c:v>45765</c:v>
                </c:pt>
                <c:pt idx="3723">
                  <c:v>45766</c:v>
                </c:pt>
                <c:pt idx="3724">
                  <c:v>45767</c:v>
                </c:pt>
                <c:pt idx="3725">
                  <c:v>45768</c:v>
                </c:pt>
                <c:pt idx="3726">
                  <c:v>45769</c:v>
                </c:pt>
                <c:pt idx="3727">
                  <c:v>45770</c:v>
                </c:pt>
                <c:pt idx="3728">
                  <c:v>45771</c:v>
                </c:pt>
                <c:pt idx="3729">
                  <c:v>45772</c:v>
                </c:pt>
                <c:pt idx="3730">
                  <c:v>45773</c:v>
                </c:pt>
                <c:pt idx="3731">
                  <c:v>45774</c:v>
                </c:pt>
                <c:pt idx="3732">
                  <c:v>45775</c:v>
                </c:pt>
                <c:pt idx="3733">
                  <c:v>45776</c:v>
                </c:pt>
                <c:pt idx="3734">
                  <c:v>45777</c:v>
                </c:pt>
                <c:pt idx="3735">
                  <c:v>45778</c:v>
                </c:pt>
                <c:pt idx="3736">
                  <c:v>45779</c:v>
                </c:pt>
                <c:pt idx="3737">
                  <c:v>45780</c:v>
                </c:pt>
                <c:pt idx="3738">
                  <c:v>45781</c:v>
                </c:pt>
                <c:pt idx="3739">
                  <c:v>45782</c:v>
                </c:pt>
                <c:pt idx="3740">
                  <c:v>45783</c:v>
                </c:pt>
                <c:pt idx="3741">
                  <c:v>45784</c:v>
                </c:pt>
                <c:pt idx="3742">
                  <c:v>45785</c:v>
                </c:pt>
                <c:pt idx="3743">
                  <c:v>45786</c:v>
                </c:pt>
                <c:pt idx="3744">
                  <c:v>45787</c:v>
                </c:pt>
                <c:pt idx="3745">
                  <c:v>45788</c:v>
                </c:pt>
                <c:pt idx="3746">
                  <c:v>45789</c:v>
                </c:pt>
                <c:pt idx="3747">
                  <c:v>45790</c:v>
                </c:pt>
                <c:pt idx="3748">
                  <c:v>45791</c:v>
                </c:pt>
                <c:pt idx="3749">
                  <c:v>45792</c:v>
                </c:pt>
                <c:pt idx="3750">
                  <c:v>45793</c:v>
                </c:pt>
                <c:pt idx="3751">
                  <c:v>45794</c:v>
                </c:pt>
                <c:pt idx="3752">
                  <c:v>45795</c:v>
                </c:pt>
                <c:pt idx="3753">
                  <c:v>45796</c:v>
                </c:pt>
                <c:pt idx="3754">
                  <c:v>45797</c:v>
                </c:pt>
                <c:pt idx="3755">
                  <c:v>45798</c:v>
                </c:pt>
                <c:pt idx="3756">
                  <c:v>45799</c:v>
                </c:pt>
                <c:pt idx="3757">
                  <c:v>45800</c:v>
                </c:pt>
                <c:pt idx="3758">
                  <c:v>45801</c:v>
                </c:pt>
                <c:pt idx="3759">
                  <c:v>45802</c:v>
                </c:pt>
                <c:pt idx="3760">
                  <c:v>45803</c:v>
                </c:pt>
                <c:pt idx="3761">
                  <c:v>45804</c:v>
                </c:pt>
                <c:pt idx="3762">
                  <c:v>45805</c:v>
                </c:pt>
                <c:pt idx="3763">
                  <c:v>45806</c:v>
                </c:pt>
                <c:pt idx="3764">
                  <c:v>45807</c:v>
                </c:pt>
                <c:pt idx="3765">
                  <c:v>45808</c:v>
                </c:pt>
                <c:pt idx="3766">
                  <c:v>45809</c:v>
                </c:pt>
                <c:pt idx="3767">
                  <c:v>45810</c:v>
                </c:pt>
                <c:pt idx="3768">
                  <c:v>45811</c:v>
                </c:pt>
                <c:pt idx="3769">
                  <c:v>45812</c:v>
                </c:pt>
                <c:pt idx="3770">
                  <c:v>45813</c:v>
                </c:pt>
                <c:pt idx="3771">
                  <c:v>45814</c:v>
                </c:pt>
                <c:pt idx="3772">
                  <c:v>45815</c:v>
                </c:pt>
                <c:pt idx="3773">
                  <c:v>45816</c:v>
                </c:pt>
                <c:pt idx="3774">
                  <c:v>45817</c:v>
                </c:pt>
                <c:pt idx="3775">
                  <c:v>45818</c:v>
                </c:pt>
                <c:pt idx="3776">
                  <c:v>45819</c:v>
                </c:pt>
                <c:pt idx="3777">
                  <c:v>45820</c:v>
                </c:pt>
                <c:pt idx="3778">
                  <c:v>45821</c:v>
                </c:pt>
                <c:pt idx="3779">
                  <c:v>45822</c:v>
                </c:pt>
                <c:pt idx="3780">
                  <c:v>45823</c:v>
                </c:pt>
                <c:pt idx="3781">
                  <c:v>45824</c:v>
                </c:pt>
                <c:pt idx="3782">
                  <c:v>45825</c:v>
                </c:pt>
                <c:pt idx="3783">
                  <c:v>45826</c:v>
                </c:pt>
                <c:pt idx="3784">
                  <c:v>45827</c:v>
                </c:pt>
                <c:pt idx="3785">
                  <c:v>45828</c:v>
                </c:pt>
                <c:pt idx="3786">
                  <c:v>45829</c:v>
                </c:pt>
                <c:pt idx="3787">
                  <c:v>45830</c:v>
                </c:pt>
                <c:pt idx="3788">
                  <c:v>45831</c:v>
                </c:pt>
                <c:pt idx="3789">
                  <c:v>45832</c:v>
                </c:pt>
                <c:pt idx="3790">
                  <c:v>45833</c:v>
                </c:pt>
                <c:pt idx="3791">
                  <c:v>45834</c:v>
                </c:pt>
                <c:pt idx="3792">
                  <c:v>45835</c:v>
                </c:pt>
                <c:pt idx="3793">
                  <c:v>45836</c:v>
                </c:pt>
                <c:pt idx="3794">
                  <c:v>45837</c:v>
                </c:pt>
                <c:pt idx="3795">
                  <c:v>45838</c:v>
                </c:pt>
                <c:pt idx="3796">
                  <c:v>45839</c:v>
                </c:pt>
                <c:pt idx="3797">
                  <c:v>45840</c:v>
                </c:pt>
                <c:pt idx="3798">
                  <c:v>45841</c:v>
                </c:pt>
                <c:pt idx="3799">
                  <c:v>45842</c:v>
                </c:pt>
                <c:pt idx="3800">
                  <c:v>45843</c:v>
                </c:pt>
                <c:pt idx="3801">
                  <c:v>45844</c:v>
                </c:pt>
                <c:pt idx="3802">
                  <c:v>45845</c:v>
                </c:pt>
                <c:pt idx="3803">
                  <c:v>45846</c:v>
                </c:pt>
                <c:pt idx="3804">
                  <c:v>45847</c:v>
                </c:pt>
                <c:pt idx="3805">
                  <c:v>45848</c:v>
                </c:pt>
                <c:pt idx="3806">
                  <c:v>45849</c:v>
                </c:pt>
                <c:pt idx="3807">
                  <c:v>45850</c:v>
                </c:pt>
                <c:pt idx="3808">
                  <c:v>45851</c:v>
                </c:pt>
                <c:pt idx="3809">
                  <c:v>45852</c:v>
                </c:pt>
                <c:pt idx="3810">
                  <c:v>45853</c:v>
                </c:pt>
                <c:pt idx="3811">
                  <c:v>45854</c:v>
                </c:pt>
                <c:pt idx="3812">
                  <c:v>45855</c:v>
                </c:pt>
                <c:pt idx="3813">
                  <c:v>45856</c:v>
                </c:pt>
                <c:pt idx="3814">
                  <c:v>45857</c:v>
                </c:pt>
                <c:pt idx="3815">
                  <c:v>45858</c:v>
                </c:pt>
                <c:pt idx="3816">
                  <c:v>45859</c:v>
                </c:pt>
                <c:pt idx="3817">
                  <c:v>45860</c:v>
                </c:pt>
                <c:pt idx="3818">
                  <c:v>45861</c:v>
                </c:pt>
                <c:pt idx="3819">
                  <c:v>45862</c:v>
                </c:pt>
                <c:pt idx="3820">
                  <c:v>45863</c:v>
                </c:pt>
                <c:pt idx="3821">
                  <c:v>45864</c:v>
                </c:pt>
                <c:pt idx="3822">
                  <c:v>45865</c:v>
                </c:pt>
                <c:pt idx="3823">
                  <c:v>45866</c:v>
                </c:pt>
                <c:pt idx="3824">
                  <c:v>45867</c:v>
                </c:pt>
                <c:pt idx="3825">
                  <c:v>45868</c:v>
                </c:pt>
                <c:pt idx="3826">
                  <c:v>45869</c:v>
                </c:pt>
                <c:pt idx="3827">
                  <c:v>45870</c:v>
                </c:pt>
                <c:pt idx="3828">
                  <c:v>45871</c:v>
                </c:pt>
                <c:pt idx="3829">
                  <c:v>45872</c:v>
                </c:pt>
                <c:pt idx="3830">
                  <c:v>45873</c:v>
                </c:pt>
                <c:pt idx="3831">
                  <c:v>45874</c:v>
                </c:pt>
                <c:pt idx="3832">
                  <c:v>45875</c:v>
                </c:pt>
                <c:pt idx="3833">
                  <c:v>45876</c:v>
                </c:pt>
                <c:pt idx="3834">
                  <c:v>45877</c:v>
                </c:pt>
                <c:pt idx="3835">
                  <c:v>45878</c:v>
                </c:pt>
                <c:pt idx="3836">
                  <c:v>45879</c:v>
                </c:pt>
                <c:pt idx="3837">
                  <c:v>45880</c:v>
                </c:pt>
                <c:pt idx="3838">
                  <c:v>45881</c:v>
                </c:pt>
                <c:pt idx="3839">
                  <c:v>45882</c:v>
                </c:pt>
                <c:pt idx="3840">
                  <c:v>45883</c:v>
                </c:pt>
                <c:pt idx="3841">
                  <c:v>45884</c:v>
                </c:pt>
                <c:pt idx="3842">
                  <c:v>45885</c:v>
                </c:pt>
                <c:pt idx="3843">
                  <c:v>45886</c:v>
                </c:pt>
                <c:pt idx="3844">
                  <c:v>45887</c:v>
                </c:pt>
                <c:pt idx="3845">
                  <c:v>45888</c:v>
                </c:pt>
                <c:pt idx="3846">
                  <c:v>45889</c:v>
                </c:pt>
                <c:pt idx="3847">
                  <c:v>45890</c:v>
                </c:pt>
                <c:pt idx="3848">
                  <c:v>45891</c:v>
                </c:pt>
                <c:pt idx="3849">
                  <c:v>45892</c:v>
                </c:pt>
                <c:pt idx="3850">
                  <c:v>45893</c:v>
                </c:pt>
                <c:pt idx="3851">
                  <c:v>45894</c:v>
                </c:pt>
                <c:pt idx="3852">
                  <c:v>45895</c:v>
                </c:pt>
                <c:pt idx="3853">
                  <c:v>45896</c:v>
                </c:pt>
                <c:pt idx="3854">
                  <c:v>45897</c:v>
                </c:pt>
                <c:pt idx="3855">
                  <c:v>45898</c:v>
                </c:pt>
                <c:pt idx="3856">
                  <c:v>45899</c:v>
                </c:pt>
                <c:pt idx="3857">
                  <c:v>45900</c:v>
                </c:pt>
                <c:pt idx="3858">
                  <c:v>45901</c:v>
                </c:pt>
                <c:pt idx="3859">
                  <c:v>45902</c:v>
                </c:pt>
                <c:pt idx="3860">
                  <c:v>45903</c:v>
                </c:pt>
                <c:pt idx="3861">
                  <c:v>45904</c:v>
                </c:pt>
                <c:pt idx="3862">
                  <c:v>45905</c:v>
                </c:pt>
                <c:pt idx="3863">
                  <c:v>45906</c:v>
                </c:pt>
                <c:pt idx="3864">
                  <c:v>45907</c:v>
                </c:pt>
                <c:pt idx="3865">
                  <c:v>45908</c:v>
                </c:pt>
                <c:pt idx="3866">
                  <c:v>45909</c:v>
                </c:pt>
                <c:pt idx="3867">
                  <c:v>45910</c:v>
                </c:pt>
                <c:pt idx="3868">
                  <c:v>45911</c:v>
                </c:pt>
                <c:pt idx="3869">
                  <c:v>45912</c:v>
                </c:pt>
                <c:pt idx="3870">
                  <c:v>45913</c:v>
                </c:pt>
                <c:pt idx="3871">
                  <c:v>45914</c:v>
                </c:pt>
                <c:pt idx="3872">
                  <c:v>45915</c:v>
                </c:pt>
                <c:pt idx="3873">
                  <c:v>45916</c:v>
                </c:pt>
                <c:pt idx="3874">
                  <c:v>45917</c:v>
                </c:pt>
                <c:pt idx="3875">
                  <c:v>45918</c:v>
                </c:pt>
                <c:pt idx="3876">
                  <c:v>45919</c:v>
                </c:pt>
                <c:pt idx="3877">
                  <c:v>45920</c:v>
                </c:pt>
                <c:pt idx="3878">
                  <c:v>45921</c:v>
                </c:pt>
                <c:pt idx="3879">
                  <c:v>45922</c:v>
                </c:pt>
                <c:pt idx="3880">
                  <c:v>45923</c:v>
                </c:pt>
                <c:pt idx="3881">
                  <c:v>45924</c:v>
                </c:pt>
                <c:pt idx="3882">
                  <c:v>45925</c:v>
                </c:pt>
                <c:pt idx="3883">
                  <c:v>45926</c:v>
                </c:pt>
                <c:pt idx="3884">
                  <c:v>45927</c:v>
                </c:pt>
                <c:pt idx="3885">
                  <c:v>45928</c:v>
                </c:pt>
                <c:pt idx="3886">
                  <c:v>45929</c:v>
                </c:pt>
                <c:pt idx="3887">
                  <c:v>45930</c:v>
                </c:pt>
                <c:pt idx="3888">
                  <c:v>45931</c:v>
                </c:pt>
                <c:pt idx="3889">
                  <c:v>45932</c:v>
                </c:pt>
                <c:pt idx="3890">
                  <c:v>45933</c:v>
                </c:pt>
                <c:pt idx="3891">
                  <c:v>45934</c:v>
                </c:pt>
                <c:pt idx="3892">
                  <c:v>45935</c:v>
                </c:pt>
                <c:pt idx="3893">
                  <c:v>45936</c:v>
                </c:pt>
                <c:pt idx="3894">
                  <c:v>45937</c:v>
                </c:pt>
                <c:pt idx="3895">
                  <c:v>45938</c:v>
                </c:pt>
                <c:pt idx="3896">
                  <c:v>45939</c:v>
                </c:pt>
                <c:pt idx="3897">
                  <c:v>45940</c:v>
                </c:pt>
                <c:pt idx="3898">
                  <c:v>45941</c:v>
                </c:pt>
                <c:pt idx="3899">
                  <c:v>45942</c:v>
                </c:pt>
                <c:pt idx="3900">
                  <c:v>45943</c:v>
                </c:pt>
                <c:pt idx="3901">
                  <c:v>45944</c:v>
                </c:pt>
                <c:pt idx="3902">
                  <c:v>45945</c:v>
                </c:pt>
                <c:pt idx="3903">
                  <c:v>45946</c:v>
                </c:pt>
                <c:pt idx="3904">
                  <c:v>45947</c:v>
                </c:pt>
                <c:pt idx="3905">
                  <c:v>45948</c:v>
                </c:pt>
                <c:pt idx="3906">
                  <c:v>45949</c:v>
                </c:pt>
                <c:pt idx="3907">
                  <c:v>45950</c:v>
                </c:pt>
                <c:pt idx="3908">
                  <c:v>45951</c:v>
                </c:pt>
                <c:pt idx="3909">
                  <c:v>45952</c:v>
                </c:pt>
                <c:pt idx="3910">
                  <c:v>45953</c:v>
                </c:pt>
                <c:pt idx="3911">
                  <c:v>45954</c:v>
                </c:pt>
                <c:pt idx="3912">
                  <c:v>45955</c:v>
                </c:pt>
                <c:pt idx="3913">
                  <c:v>45956</c:v>
                </c:pt>
                <c:pt idx="3914">
                  <c:v>45957</c:v>
                </c:pt>
                <c:pt idx="3915">
                  <c:v>45958</c:v>
                </c:pt>
                <c:pt idx="3916">
                  <c:v>45959</c:v>
                </c:pt>
                <c:pt idx="3917">
                  <c:v>45960</c:v>
                </c:pt>
                <c:pt idx="3918">
                  <c:v>45961</c:v>
                </c:pt>
                <c:pt idx="3919">
                  <c:v>45962</c:v>
                </c:pt>
                <c:pt idx="3920">
                  <c:v>45963</c:v>
                </c:pt>
                <c:pt idx="3921">
                  <c:v>45964</c:v>
                </c:pt>
                <c:pt idx="3922">
                  <c:v>45965</c:v>
                </c:pt>
                <c:pt idx="3923">
                  <c:v>45966</c:v>
                </c:pt>
                <c:pt idx="3924">
                  <c:v>45967</c:v>
                </c:pt>
                <c:pt idx="3925">
                  <c:v>45968</c:v>
                </c:pt>
                <c:pt idx="3926">
                  <c:v>45969</c:v>
                </c:pt>
                <c:pt idx="3927">
                  <c:v>45970</c:v>
                </c:pt>
                <c:pt idx="3928">
                  <c:v>45971</c:v>
                </c:pt>
                <c:pt idx="3929">
                  <c:v>45972</c:v>
                </c:pt>
                <c:pt idx="3930">
                  <c:v>45973</c:v>
                </c:pt>
                <c:pt idx="3931">
                  <c:v>45974</c:v>
                </c:pt>
                <c:pt idx="3932">
                  <c:v>45975</c:v>
                </c:pt>
                <c:pt idx="3933">
                  <c:v>45976</c:v>
                </c:pt>
                <c:pt idx="3934">
                  <c:v>45977</c:v>
                </c:pt>
                <c:pt idx="3935">
                  <c:v>45978</c:v>
                </c:pt>
                <c:pt idx="3936">
                  <c:v>45979</c:v>
                </c:pt>
                <c:pt idx="3937">
                  <c:v>45980</c:v>
                </c:pt>
                <c:pt idx="3938">
                  <c:v>45981</c:v>
                </c:pt>
                <c:pt idx="3939">
                  <c:v>45982</c:v>
                </c:pt>
                <c:pt idx="3940">
                  <c:v>45983</c:v>
                </c:pt>
                <c:pt idx="3941">
                  <c:v>45984</c:v>
                </c:pt>
                <c:pt idx="3942">
                  <c:v>45985</c:v>
                </c:pt>
                <c:pt idx="3943">
                  <c:v>45986</c:v>
                </c:pt>
                <c:pt idx="3944">
                  <c:v>45987</c:v>
                </c:pt>
                <c:pt idx="3945">
                  <c:v>45988</c:v>
                </c:pt>
                <c:pt idx="3946">
                  <c:v>45989</c:v>
                </c:pt>
                <c:pt idx="3947">
                  <c:v>45990</c:v>
                </c:pt>
                <c:pt idx="3948">
                  <c:v>45991</c:v>
                </c:pt>
                <c:pt idx="3949">
                  <c:v>45992</c:v>
                </c:pt>
                <c:pt idx="3950">
                  <c:v>45993</c:v>
                </c:pt>
                <c:pt idx="3951">
                  <c:v>45994</c:v>
                </c:pt>
                <c:pt idx="3952">
                  <c:v>45995</c:v>
                </c:pt>
                <c:pt idx="3953">
                  <c:v>45996</c:v>
                </c:pt>
                <c:pt idx="3954">
                  <c:v>45997</c:v>
                </c:pt>
                <c:pt idx="3955">
                  <c:v>45998</c:v>
                </c:pt>
                <c:pt idx="3956">
                  <c:v>45999</c:v>
                </c:pt>
                <c:pt idx="3957">
                  <c:v>46000</c:v>
                </c:pt>
                <c:pt idx="3958">
                  <c:v>46001</c:v>
                </c:pt>
                <c:pt idx="3959">
                  <c:v>46002</c:v>
                </c:pt>
                <c:pt idx="3960">
                  <c:v>46003</c:v>
                </c:pt>
                <c:pt idx="3961">
                  <c:v>46004</c:v>
                </c:pt>
                <c:pt idx="3962">
                  <c:v>46005</c:v>
                </c:pt>
                <c:pt idx="3963">
                  <c:v>46006</c:v>
                </c:pt>
                <c:pt idx="3964">
                  <c:v>46007</c:v>
                </c:pt>
                <c:pt idx="3965">
                  <c:v>46008</c:v>
                </c:pt>
                <c:pt idx="3966">
                  <c:v>46009</c:v>
                </c:pt>
                <c:pt idx="3967">
                  <c:v>46010</c:v>
                </c:pt>
                <c:pt idx="3968">
                  <c:v>46011</c:v>
                </c:pt>
                <c:pt idx="3969">
                  <c:v>46012</c:v>
                </c:pt>
                <c:pt idx="3970">
                  <c:v>46013</c:v>
                </c:pt>
                <c:pt idx="3971">
                  <c:v>46014</c:v>
                </c:pt>
                <c:pt idx="3972">
                  <c:v>46015</c:v>
                </c:pt>
                <c:pt idx="3973">
                  <c:v>46016</c:v>
                </c:pt>
                <c:pt idx="3974">
                  <c:v>46017</c:v>
                </c:pt>
                <c:pt idx="3975">
                  <c:v>46018</c:v>
                </c:pt>
                <c:pt idx="3976">
                  <c:v>46019</c:v>
                </c:pt>
                <c:pt idx="3977">
                  <c:v>46020</c:v>
                </c:pt>
                <c:pt idx="3978">
                  <c:v>46021</c:v>
                </c:pt>
                <c:pt idx="3979">
                  <c:v>46022</c:v>
                </c:pt>
                <c:pt idx="3980">
                  <c:v>46023</c:v>
                </c:pt>
                <c:pt idx="3981">
                  <c:v>46024</c:v>
                </c:pt>
                <c:pt idx="3982">
                  <c:v>46025</c:v>
                </c:pt>
                <c:pt idx="3983">
                  <c:v>46026</c:v>
                </c:pt>
                <c:pt idx="3984">
                  <c:v>46027</c:v>
                </c:pt>
                <c:pt idx="3985">
                  <c:v>46028</c:v>
                </c:pt>
                <c:pt idx="3986">
                  <c:v>46029</c:v>
                </c:pt>
                <c:pt idx="3987">
                  <c:v>46030</c:v>
                </c:pt>
                <c:pt idx="3988">
                  <c:v>46031</c:v>
                </c:pt>
                <c:pt idx="3989">
                  <c:v>46032</c:v>
                </c:pt>
                <c:pt idx="3990">
                  <c:v>46033</c:v>
                </c:pt>
                <c:pt idx="3991">
                  <c:v>46034</c:v>
                </c:pt>
                <c:pt idx="3992">
                  <c:v>46035</c:v>
                </c:pt>
                <c:pt idx="3993">
                  <c:v>46036</c:v>
                </c:pt>
                <c:pt idx="3994">
                  <c:v>46037</c:v>
                </c:pt>
                <c:pt idx="3995">
                  <c:v>46038</c:v>
                </c:pt>
                <c:pt idx="3996">
                  <c:v>46039</c:v>
                </c:pt>
                <c:pt idx="3997">
                  <c:v>46040</c:v>
                </c:pt>
                <c:pt idx="3998">
                  <c:v>46041</c:v>
                </c:pt>
                <c:pt idx="3999">
                  <c:v>46042</c:v>
                </c:pt>
                <c:pt idx="4000">
                  <c:v>46043</c:v>
                </c:pt>
                <c:pt idx="4001">
                  <c:v>46044</c:v>
                </c:pt>
                <c:pt idx="4002">
                  <c:v>46045</c:v>
                </c:pt>
                <c:pt idx="4003">
                  <c:v>46046</c:v>
                </c:pt>
                <c:pt idx="4004">
                  <c:v>46047</c:v>
                </c:pt>
                <c:pt idx="4005">
                  <c:v>46048</c:v>
                </c:pt>
                <c:pt idx="4006">
                  <c:v>46049</c:v>
                </c:pt>
                <c:pt idx="4007">
                  <c:v>46050</c:v>
                </c:pt>
                <c:pt idx="4008">
                  <c:v>46051</c:v>
                </c:pt>
                <c:pt idx="4009">
                  <c:v>46052</c:v>
                </c:pt>
                <c:pt idx="4010">
                  <c:v>46053</c:v>
                </c:pt>
                <c:pt idx="4011">
                  <c:v>46054</c:v>
                </c:pt>
                <c:pt idx="4012">
                  <c:v>46055</c:v>
                </c:pt>
                <c:pt idx="4013">
                  <c:v>46056</c:v>
                </c:pt>
                <c:pt idx="4014">
                  <c:v>46057</c:v>
                </c:pt>
                <c:pt idx="4015">
                  <c:v>46058</c:v>
                </c:pt>
                <c:pt idx="4016">
                  <c:v>46059</c:v>
                </c:pt>
                <c:pt idx="4017">
                  <c:v>46060</c:v>
                </c:pt>
                <c:pt idx="4018">
                  <c:v>46061</c:v>
                </c:pt>
                <c:pt idx="4019">
                  <c:v>46062</c:v>
                </c:pt>
                <c:pt idx="4020">
                  <c:v>46063</c:v>
                </c:pt>
                <c:pt idx="4021">
                  <c:v>46064</c:v>
                </c:pt>
                <c:pt idx="4022">
                  <c:v>46065</c:v>
                </c:pt>
                <c:pt idx="4023">
                  <c:v>46066</c:v>
                </c:pt>
                <c:pt idx="4024">
                  <c:v>46067</c:v>
                </c:pt>
                <c:pt idx="4025">
                  <c:v>46068</c:v>
                </c:pt>
                <c:pt idx="4026">
                  <c:v>46069</c:v>
                </c:pt>
                <c:pt idx="4027">
                  <c:v>46070</c:v>
                </c:pt>
                <c:pt idx="4028">
                  <c:v>46071</c:v>
                </c:pt>
                <c:pt idx="4029">
                  <c:v>46072</c:v>
                </c:pt>
                <c:pt idx="4030">
                  <c:v>46073</c:v>
                </c:pt>
                <c:pt idx="4031">
                  <c:v>46074</c:v>
                </c:pt>
                <c:pt idx="4032">
                  <c:v>46075</c:v>
                </c:pt>
                <c:pt idx="4033">
                  <c:v>46076</c:v>
                </c:pt>
                <c:pt idx="4034">
                  <c:v>46077</c:v>
                </c:pt>
                <c:pt idx="4035">
                  <c:v>46078</c:v>
                </c:pt>
                <c:pt idx="4036">
                  <c:v>46079</c:v>
                </c:pt>
                <c:pt idx="4037">
                  <c:v>46080</c:v>
                </c:pt>
                <c:pt idx="4038">
                  <c:v>46081</c:v>
                </c:pt>
                <c:pt idx="4039">
                  <c:v>46082</c:v>
                </c:pt>
                <c:pt idx="4040">
                  <c:v>46083</c:v>
                </c:pt>
                <c:pt idx="4041">
                  <c:v>46084</c:v>
                </c:pt>
                <c:pt idx="4042">
                  <c:v>46085</c:v>
                </c:pt>
                <c:pt idx="4043">
                  <c:v>46086</c:v>
                </c:pt>
                <c:pt idx="4044">
                  <c:v>46087</c:v>
                </c:pt>
                <c:pt idx="4045">
                  <c:v>46088</c:v>
                </c:pt>
                <c:pt idx="4046">
                  <c:v>46089</c:v>
                </c:pt>
                <c:pt idx="4047">
                  <c:v>46090</c:v>
                </c:pt>
                <c:pt idx="4048">
                  <c:v>46091</c:v>
                </c:pt>
                <c:pt idx="4049">
                  <c:v>46092</c:v>
                </c:pt>
                <c:pt idx="4050">
                  <c:v>46093</c:v>
                </c:pt>
                <c:pt idx="4051">
                  <c:v>46094</c:v>
                </c:pt>
                <c:pt idx="4052">
                  <c:v>46095</c:v>
                </c:pt>
                <c:pt idx="4053">
                  <c:v>46096</c:v>
                </c:pt>
                <c:pt idx="4054">
                  <c:v>46097</c:v>
                </c:pt>
                <c:pt idx="4055">
                  <c:v>46098</c:v>
                </c:pt>
                <c:pt idx="4056">
                  <c:v>46099</c:v>
                </c:pt>
                <c:pt idx="4057">
                  <c:v>46100</c:v>
                </c:pt>
                <c:pt idx="4058">
                  <c:v>46101</c:v>
                </c:pt>
                <c:pt idx="4059">
                  <c:v>46102</c:v>
                </c:pt>
                <c:pt idx="4060">
                  <c:v>46103</c:v>
                </c:pt>
                <c:pt idx="4061">
                  <c:v>46104</c:v>
                </c:pt>
                <c:pt idx="4062">
                  <c:v>46105</c:v>
                </c:pt>
                <c:pt idx="4063">
                  <c:v>46106</c:v>
                </c:pt>
                <c:pt idx="4064">
                  <c:v>46107</c:v>
                </c:pt>
                <c:pt idx="4065">
                  <c:v>46108</c:v>
                </c:pt>
                <c:pt idx="4066">
                  <c:v>46109</c:v>
                </c:pt>
                <c:pt idx="4067">
                  <c:v>46110</c:v>
                </c:pt>
                <c:pt idx="4068">
                  <c:v>46111</c:v>
                </c:pt>
                <c:pt idx="4069">
                  <c:v>46112</c:v>
                </c:pt>
                <c:pt idx="4070">
                  <c:v>46113</c:v>
                </c:pt>
                <c:pt idx="4071">
                  <c:v>46114</c:v>
                </c:pt>
                <c:pt idx="4072">
                  <c:v>46115</c:v>
                </c:pt>
                <c:pt idx="4073">
                  <c:v>46116</c:v>
                </c:pt>
                <c:pt idx="4074">
                  <c:v>46117</c:v>
                </c:pt>
                <c:pt idx="4075">
                  <c:v>46118</c:v>
                </c:pt>
                <c:pt idx="4076">
                  <c:v>46119</c:v>
                </c:pt>
                <c:pt idx="4077">
                  <c:v>46120</c:v>
                </c:pt>
                <c:pt idx="4078">
                  <c:v>46121</c:v>
                </c:pt>
                <c:pt idx="4079">
                  <c:v>46122</c:v>
                </c:pt>
                <c:pt idx="4080">
                  <c:v>46123</c:v>
                </c:pt>
                <c:pt idx="4081">
                  <c:v>46124</c:v>
                </c:pt>
                <c:pt idx="4082">
                  <c:v>46125</c:v>
                </c:pt>
                <c:pt idx="4083">
                  <c:v>46126</c:v>
                </c:pt>
                <c:pt idx="4084">
                  <c:v>46127</c:v>
                </c:pt>
                <c:pt idx="4085">
                  <c:v>46128</c:v>
                </c:pt>
                <c:pt idx="4086">
                  <c:v>46129</c:v>
                </c:pt>
                <c:pt idx="4087">
                  <c:v>46130</c:v>
                </c:pt>
                <c:pt idx="4088">
                  <c:v>46131</c:v>
                </c:pt>
                <c:pt idx="4089">
                  <c:v>46132</c:v>
                </c:pt>
                <c:pt idx="4090">
                  <c:v>46133</c:v>
                </c:pt>
                <c:pt idx="4091">
                  <c:v>46134</c:v>
                </c:pt>
                <c:pt idx="4092">
                  <c:v>46135</c:v>
                </c:pt>
                <c:pt idx="4093">
                  <c:v>46136</c:v>
                </c:pt>
                <c:pt idx="4094">
                  <c:v>46137</c:v>
                </c:pt>
                <c:pt idx="4095">
                  <c:v>46138</c:v>
                </c:pt>
                <c:pt idx="4096">
                  <c:v>46139</c:v>
                </c:pt>
                <c:pt idx="4097">
                  <c:v>46140</c:v>
                </c:pt>
                <c:pt idx="4098">
                  <c:v>46141</c:v>
                </c:pt>
                <c:pt idx="4099">
                  <c:v>46142</c:v>
                </c:pt>
                <c:pt idx="4100">
                  <c:v>46143</c:v>
                </c:pt>
                <c:pt idx="4101">
                  <c:v>46144</c:v>
                </c:pt>
                <c:pt idx="4102">
                  <c:v>46145</c:v>
                </c:pt>
                <c:pt idx="4103">
                  <c:v>46146</c:v>
                </c:pt>
                <c:pt idx="4104">
                  <c:v>46147</c:v>
                </c:pt>
                <c:pt idx="4105">
                  <c:v>46148</c:v>
                </c:pt>
                <c:pt idx="4106">
                  <c:v>46149</c:v>
                </c:pt>
                <c:pt idx="4107">
                  <c:v>46150</c:v>
                </c:pt>
                <c:pt idx="4108">
                  <c:v>46151</c:v>
                </c:pt>
                <c:pt idx="4109">
                  <c:v>46152</c:v>
                </c:pt>
                <c:pt idx="4110">
                  <c:v>46153</c:v>
                </c:pt>
                <c:pt idx="4111">
                  <c:v>46154</c:v>
                </c:pt>
                <c:pt idx="4112">
                  <c:v>46155</c:v>
                </c:pt>
                <c:pt idx="4113">
                  <c:v>46156</c:v>
                </c:pt>
                <c:pt idx="4114">
                  <c:v>46157</c:v>
                </c:pt>
                <c:pt idx="4115">
                  <c:v>46158</c:v>
                </c:pt>
                <c:pt idx="4116">
                  <c:v>46159</c:v>
                </c:pt>
                <c:pt idx="4117">
                  <c:v>46160</c:v>
                </c:pt>
                <c:pt idx="4118">
                  <c:v>46161</c:v>
                </c:pt>
                <c:pt idx="4119">
                  <c:v>46162</c:v>
                </c:pt>
                <c:pt idx="4120">
                  <c:v>46163</c:v>
                </c:pt>
                <c:pt idx="4121">
                  <c:v>46164</c:v>
                </c:pt>
                <c:pt idx="4122">
                  <c:v>46165</c:v>
                </c:pt>
                <c:pt idx="4123">
                  <c:v>46166</c:v>
                </c:pt>
                <c:pt idx="4124">
                  <c:v>46167</c:v>
                </c:pt>
                <c:pt idx="4125">
                  <c:v>46168</c:v>
                </c:pt>
                <c:pt idx="4126">
                  <c:v>46169</c:v>
                </c:pt>
                <c:pt idx="4127">
                  <c:v>46170</c:v>
                </c:pt>
                <c:pt idx="4128">
                  <c:v>46171</c:v>
                </c:pt>
                <c:pt idx="4129">
                  <c:v>46172</c:v>
                </c:pt>
                <c:pt idx="4130">
                  <c:v>46173</c:v>
                </c:pt>
                <c:pt idx="4131">
                  <c:v>46174</c:v>
                </c:pt>
                <c:pt idx="4132">
                  <c:v>46175</c:v>
                </c:pt>
                <c:pt idx="4133">
                  <c:v>46176</c:v>
                </c:pt>
                <c:pt idx="4134">
                  <c:v>46177</c:v>
                </c:pt>
                <c:pt idx="4135">
                  <c:v>46178</c:v>
                </c:pt>
                <c:pt idx="4136">
                  <c:v>46179</c:v>
                </c:pt>
                <c:pt idx="4137">
                  <c:v>46180</c:v>
                </c:pt>
                <c:pt idx="4138">
                  <c:v>46181</c:v>
                </c:pt>
                <c:pt idx="4139">
                  <c:v>46182</c:v>
                </c:pt>
                <c:pt idx="4140">
                  <c:v>46183</c:v>
                </c:pt>
                <c:pt idx="4141">
                  <c:v>46184</c:v>
                </c:pt>
                <c:pt idx="4142">
                  <c:v>46185</c:v>
                </c:pt>
                <c:pt idx="4143">
                  <c:v>46186</c:v>
                </c:pt>
                <c:pt idx="4144">
                  <c:v>46187</c:v>
                </c:pt>
                <c:pt idx="4145">
                  <c:v>46188</c:v>
                </c:pt>
                <c:pt idx="4146">
                  <c:v>46189</c:v>
                </c:pt>
                <c:pt idx="4147">
                  <c:v>46190</c:v>
                </c:pt>
                <c:pt idx="4148">
                  <c:v>46191</c:v>
                </c:pt>
                <c:pt idx="4149">
                  <c:v>46192</c:v>
                </c:pt>
                <c:pt idx="4150">
                  <c:v>46193</c:v>
                </c:pt>
                <c:pt idx="4151">
                  <c:v>46194</c:v>
                </c:pt>
                <c:pt idx="4152">
                  <c:v>46195</c:v>
                </c:pt>
                <c:pt idx="4153">
                  <c:v>46196</c:v>
                </c:pt>
                <c:pt idx="4154">
                  <c:v>46197</c:v>
                </c:pt>
                <c:pt idx="4155">
                  <c:v>46198</c:v>
                </c:pt>
                <c:pt idx="4156">
                  <c:v>46199</c:v>
                </c:pt>
                <c:pt idx="4157">
                  <c:v>46200</c:v>
                </c:pt>
                <c:pt idx="4158">
                  <c:v>46201</c:v>
                </c:pt>
                <c:pt idx="4159">
                  <c:v>46202</c:v>
                </c:pt>
                <c:pt idx="4160">
                  <c:v>46203</c:v>
                </c:pt>
                <c:pt idx="4161">
                  <c:v>46204</c:v>
                </c:pt>
                <c:pt idx="4162">
                  <c:v>46205</c:v>
                </c:pt>
                <c:pt idx="4163">
                  <c:v>46206</c:v>
                </c:pt>
                <c:pt idx="4164">
                  <c:v>46207</c:v>
                </c:pt>
                <c:pt idx="4165">
                  <c:v>46208</c:v>
                </c:pt>
                <c:pt idx="4166">
                  <c:v>46209</c:v>
                </c:pt>
                <c:pt idx="4167">
                  <c:v>46210</c:v>
                </c:pt>
                <c:pt idx="4168">
                  <c:v>46211</c:v>
                </c:pt>
                <c:pt idx="4169">
                  <c:v>46212</c:v>
                </c:pt>
                <c:pt idx="4170">
                  <c:v>46213</c:v>
                </c:pt>
                <c:pt idx="4171">
                  <c:v>46214</c:v>
                </c:pt>
                <c:pt idx="4172">
                  <c:v>46215</c:v>
                </c:pt>
                <c:pt idx="4173">
                  <c:v>46216</c:v>
                </c:pt>
                <c:pt idx="4174">
                  <c:v>46217</c:v>
                </c:pt>
                <c:pt idx="4175">
                  <c:v>46218</c:v>
                </c:pt>
                <c:pt idx="4176">
                  <c:v>46219</c:v>
                </c:pt>
                <c:pt idx="4177">
                  <c:v>46220</c:v>
                </c:pt>
                <c:pt idx="4178">
                  <c:v>46221</c:v>
                </c:pt>
                <c:pt idx="4179">
                  <c:v>46222</c:v>
                </c:pt>
                <c:pt idx="4180">
                  <c:v>46223</c:v>
                </c:pt>
                <c:pt idx="4181">
                  <c:v>46224</c:v>
                </c:pt>
                <c:pt idx="4182">
                  <c:v>46225</c:v>
                </c:pt>
                <c:pt idx="4183">
                  <c:v>46226</c:v>
                </c:pt>
                <c:pt idx="4184">
                  <c:v>46227</c:v>
                </c:pt>
                <c:pt idx="4185">
                  <c:v>46228</c:v>
                </c:pt>
                <c:pt idx="4186">
                  <c:v>46229</c:v>
                </c:pt>
                <c:pt idx="4187">
                  <c:v>46230</c:v>
                </c:pt>
                <c:pt idx="4188">
                  <c:v>46231</c:v>
                </c:pt>
                <c:pt idx="4189">
                  <c:v>46232</c:v>
                </c:pt>
                <c:pt idx="4190">
                  <c:v>46233</c:v>
                </c:pt>
                <c:pt idx="4191">
                  <c:v>46234</c:v>
                </c:pt>
                <c:pt idx="4192">
                  <c:v>46235</c:v>
                </c:pt>
                <c:pt idx="4193">
                  <c:v>46236</c:v>
                </c:pt>
                <c:pt idx="4194">
                  <c:v>46237</c:v>
                </c:pt>
                <c:pt idx="4195">
                  <c:v>46238</c:v>
                </c:pt>
                <c:pt idx="4196">
                  <c:v>46239</c:v>
                </c:pt>
                <c:pt idx="4197">
                  <c:v>46240</c:v>
                </c:pt>
                <c:pt idx="4198">
                  <c:v>46241</c:v>
                </c:pt>
                <c:pt idx="4199">
                  <c:v>46242</c:v>
                </c:pt>
                <c:pt idx="4200">
                  <c:v>46243</c:v>
                </c:pt>
                <c:pt idx="4201">
                  <c:v>46244</c:v>
                </c:pt>
                <c:pt idx="4202">
                  <c:v>46245</c:v>
                </c:pt>
                <c:pt idx="4203">
                  <c:v>46246</c:v>
                </c:pt>
                <c:pt idx="4204">
                  <c:v>46247</c:v>
                </c:pt>
                <c:pt idx="4205">
                  <c:v>46248</c:v>
                </c:pt>
                <c:pt idx="4206">
                  <c:v>46249</c:v>
                </c:pt>
                <c:pt idx="4207">
                  <c:v>46250</c:v>
                </c:pt>
                <c:pt idx="4208">
                  <c:v>46251</c:v>
                </c:pt>
                <c:pt idx="4209">
                  <c:v>46252</c:v>
                </c:pt>
                <c:pt idx="4210">
                  <c:v>46253</c:v>
                </c:pt>
                <c:pt idx="4211">
                  <c:v>46254</c:v>
                </c:pt>
                <c:pt idx="4212">
                  <c:v>46255</c:v>
                </c:pt>
                <c:pt idx="4213">
                  <c:v>46256</c:v>
                </c:pt>
                <c:pt idx="4214">
                  <c:v>46257</c:v>
                </c:pt>
                <c:pt idx="4215">
                  <c:v>46258</c:v>
                </c:pt>
                <c:pt idx="4216">
                  <c:v>46259</c:v>
                </c:pt>
                <c:pt idx="4217">
                  <c:v>46260</c:v>
                </c:pt>
                <c:pt idx="4218">
                  <c:v>46261</c:v>
                </c:pt>
                <c:pt idx="4219">
                  <c:v>46262</c:v>
                </c:pt>
                <c:pt idx="4220">
                  <c:v>46263</c:v>
                </c:pt>
                <c:pt idx="4221">
                  <c:v>46264</c:v>
                </c:pt>
                <c:pt idx="4222">
                  <c:v>46265</c:v>
                </c:pt>
                <c:pt idx="4223">
                  <c:v>46266</c:v>
                </c:pt>
                <c:pt idx="4224">
                  <c:v>46267</c:v>
                </c:pt>
                <c:pt idx="4225">
                  <c:v>46268</c:v>
                </c:pt>
                <c:pt idx="4226">
                  <c:v>46269</c:v>
                </c:pt>
                <c:pt idx="4227">
                  <c:v>46270</c:v>
                </c:pt>
                <c:pt idx="4228">
                  <c:v>46271</c:v>
                </c:pt>
                <c:pt idx="4229">
                  <c:v>46272</c:v>
                </c:pt>
                <c:pt idx="4230">
                  <c:v>46273</c:v>
                </c:pt>
                <c:pt idx="4231">
                  <c:v>46274</c:v>
                </c:pt>
                <c:pt idx="4232">
                  <c:v>46275</c:v>
                </c:pt>
                <c:pt idx="4233">
                  <c:v>46276</c:v>
                </c:pt>
                <c:pt idx="4234">
                  <c:v>46277</c:v>
                </c:pt>
                <c:pt idx="4235">
                  <c:v>46278</c:v>
                </c:pt>
                <c:pt idx="4236">
                  <c:v>46279</c:v>
                </c:pt>
                <c:pt idx="4237">
                  <c:v>46280</c:v>
                </c:pt>
                <c:pt idx="4238">
                  <c:v>46281</c:v>
                </c:pt>
                <c:pt idx="4239">
                  <c:v>46282</c:v>
                </c:pt>
                <c:pt idx="4240">
                  <c:v>46283</c:v>
                </c:pt>
                <c:pt idx="4241">
                  <c:v>46284</c:v>
                </c:pt>
                <c:pt idx="4242">
                  <c:v>46285</c:v>
                </c:pt>
                <c:pt idx="4243">
                  <c:v>46286</c:v>
                </c:pt>
                <c:pt idx="4244">
                  <c:v>46287</c:v>
                </c:pt>
                <c:pt idx="4245">
                  <c:v>46288</c:v>
                </c:pt>
                <c:pt idx="4246">
                  <c:v>46289</c:v>
                </c:pt>
                <c:pt idx="4247">
                  <c:v>46290</c:v>
                </c:pt>
                <c:pt idx="4248">
                  <c:v>46291</c:v>
                </c:pt>
                <c:pt idx="4249">
                  <c:v>46292</c:v>
                </c:pt>
                <c:pt idx="4250">
                  <c:v>46293</c:v>
                </c:pt>
                <c:pt idx="4251">
                  <c:v>46294</c:v>
                </c:pt>
                <c:pt idx="4252">
                  <c:v>46295</c:v>
                </c:pt>
                <c:pt idx="4253">
                  <c:v>46296</c:v>
                </c:pt>
                <c:pt idx="4254">
                  <c:v>46297</c:v>
                </c:pt>
                <c:pt idx="4255">
                  <c:v>46298</c:v>
                </c:pt>
                <c:pt idx="4256">
                  <c:v>46299</c:v>
                </c:pt>
                <c:pt idx="4257">
                  <c:v>46300</c:v>
                </c:pt>
                <c:pt idx="4258">
                  <c:v>46301</c:v>
                </c:pt>
                <c:pt idx="4259">
                  <c:v>46302</c:v>
                </c:pt>
                <c:pt idx="4260">
                  <c:v>46303</c:v>
                </c:pt>
                <c:pt idx="4261">
                  <c:v>46304</c:v>
                </c:pt>
                <c:pt idx="4262">
                  <c:v>46305</c:v>
                </c:pt>
                <c:pt idx="4263">
                  <c:v>46306</c:v>
                </c:pt>
                <c:pt idx="4264">
                  <c:v>46307</c:v>
                </c:pt>
                <c:pt idx="4265">
                  <c:v>46308</c:v>
                </c:pt>
                <c:pt idx="4266">
                  <c:v>46309</c:v>
                </c:pt>
                <c:pt idx="4267">
                  <c:v>46310</c:v>
                </c:pt>
                <c:pt idx="4268">
                  <c:v>46311</c:v>
                </c:pt>
                <c:pt idx="4269">
                  <c:v>46312</c:v>
                </c:pt>
                <c:pt idx="4270">
                  <c:v>46313</c:v>
                </c:pt>
                <c:pt idx="4271">
                  <c:v>46314</c:v>
                </c:pt>
                <c:pt idx="4272">
                  <c:v>46315</c:v>
                </c:pt>
                <c:pt idx="4273">
                  <c:v>46316</c:v>
                </c:pt>
                <c:pt idx="4274">
                  <c:v>46317</c:v>
                </c:pt>
                <c:pt idx="4275">
                  <c:v>46318</c:v>
                </c:pt>
                <c:pt idx="4276">
                  <c:v>46319</c:v>
                </c:pt>
                <c:pt idx="4277">
                  <c:v>46320</c:v>
                </c:pt>
                <c:pt idx="4278">
                  <c:v>46321</c:v>
                </c:pt>
              </c:numCache>
            </c:numRef>
          </c:xVal>
          <c:yVal>
            <c:numRef>
              <c:f>Clean_Data!$M$36:$M$4314</c:f>
              <c:numCache>
                <c:formatCode>0.00%</c:formatCode>
                <c:ptCount val="4279"/>
                <c:pt idx="1">
                  <c:v>0.871195966790491</c:v>
                </c:pt>
                <c:pt idx="2">
                  <c:v>0.850772489369326</c:v>
                </c:pt>
                <c:pt idx="3">
                  <c:v>0.830269035044256</c:v>
                </c:pt>
                <c:pt idx="4">
                  <c:v>0.811326004593593</c:v>
                </c:pt>
                <c:pt idx="5">
                  <c:v>0.796085445094459</c:v>
                </c:pt>
                <c:pt idx="6">
                  <c:v>0.810452627195198</c:v>
                </c:pt>
                <c:pt idx="7">
                  <c:v>0.8486943162867</c:v>
                </c:pt>
                <c:pt idx="8">
                  <c:v>0.896745203537631</c:v>
                </c:pt>
                <c:pt idx="9">
                  <c:v>0.88018778446038</c:v>
                </c:pt>
                <c:pt idx="10">
                  <c:v>0.876408633324664</c:v>
                </c:pt>
                <c:pt idx="11">
                  <c:v>0.868931315056025</c:v>
                </c:pt>
                <c:pt idx="12">
                  <c:v>0.860290474870373</c:v>
                </c:pt>
                <c:pt idx="13">
                  <c:v>0.855023635253945</c:v>
                </c:pt>
                <c:pt idx="14">
                  <c:v>0.855019182408966</c:v>
                </c:pt>
                <c:pt idx="15">
                  <c:v>0.856880419528676</c:v>
                </c:pt>
                <c:pt idx="16">
                  <c:v>0.854551766208955</c:v>
                </c:pt>
                <c:pt idx="17">
                  <c:v>0.827846444310637</c:v>
                </c:pt>
                <c:pt idx="18">
                  <c:v>0.779309291591751</c:v>
                </c:pt>
                <c:pt idx="19">
                  <c:v>0.768700662269584</c:v>
                </c:pt>
                <c:pt idx="20">
                  <c:v>0.708758518244155</c:v>
                </c:pt>
                <c:pt idx="21">
                  <c:v>0.708338820431262</c:v>
                </c:pt>
                <c:pt idx="22">
                  <c:v>0.702604962953904</c:v>
                </c:pt>
                <c:pt idx="23">
                  <c:v>0.704286255018973</c:v>
                </c:pt>
                <c:pt idx="24">
                  <c:v>0.692430878500646</c:v>
                </c:pt>
                <c:pt idx="25">
                  <c:v>0.698697377514203</c:v>
                </c:pt>
                <c:pt idx="26">
                  <c:v>0.680535365878188</c:v>
                </c:pt>
                <c:pt idx="27">
                  <c:v>0.682541190626698</c:v>
                </c:pt>
                <c:pt idx="28">
                  <c:v>0.655667708274281</c:v>
                </c:pt>
                <c:pt idx="29">
                  <c:v>0.65267519904021</c:v>
                </c:pt>
                <c:pt idx="30">
                  <c:v>0.668380380803055</c:v>
                </c:pt>
                <c:pt idx="31">
                  <c:v>0.659596741048205</c:v>
                </c:pt>
                <c:pt idx="32">
                  <c:v>0.654849064627656</c:v>
                </c:pt>
                <c:pt idx="33">
                  <c:v>0.655336145007137</c:v>
                </c:pt>
                <c:pt idx="34">
                  <c:v>0.677770532932028</c:v>
                </c:pt>
                <c:pt idx="35">
                  <c:v>0.67797084572337</c:v>
                </c:pt>
                <c:pt idx="36">
                  <c:v>0.654326727247999</c:v>
                </c:pt>
                <c:pt idx="37">
                  <c:v>0.596537217651823</c:v>
                </c:pt>
                <c:pt idx="38">
                  <c:v>0.508619217244178</c:v>
                </c:pt>
                <c:pt idx="39">
                  <c:v>0.637285079504035</c:v>
                </c:pt>
                <c:pt idx="40">
                  <c:v>0.623859067368328</c:v>
                </c:pt>
                <c:pt idx="41">
                  <c:v>0.612599222793475</c:v>
                </c:pt>
                <c:pt idx="42">
                  <c:v>0.612062531659661</c:v>
                </c:pt>
                <c:pt idx="43">
                  <c:v>0.616305792082503</c:v>
                </c:pt>
                <c:pt idx="44">
                  <c:v>0.617348088400974</c:v>
                </c:pt>
                <c:pt idx="45">
                  <c:v>0.672784704157019</c:v>
                </c:pt>
                <c:pt idx="46">
                  <c:v>0.671875796218865</c:v>
                </c:pt>
                <c:pt idx="47">
                  <c:v>0.672984294125276</c:v>
                </c:pt>
                <c:pt idx="48">
                  <c:v>0.673201753287995</c:v>
                </c:pt>
                <c:pt idx="49">
                  <c:v>0.676942526330035</c:v>
                </c:pt>
                <c:pt idx="50">
                  <c:v>0.645402571476671</c:v>
                </c:pt>
                <c:pt idx="51">
                  <c:v>0.649716110037065</c:v>
                </c:pt>
                <c:pt idx="52">
                  <c:v>0.647407361671408</c:v>
                </c:pt>
                <c:pt idx="53">
                  <c:v>0.607704252019244</c:v>
                </c:pt>
                <c:pt idx="54">
                  <c:v>0.609168464755656</c:v>
                </c:pt>
                <c:pt idx="55">
                  <c:v>0.598315587692288</c:v>
                </c:pt>
                <c:pt idx="56">
                  <c:v>0.59586370170322</c:v>
                </c:pt>
                <c:pt idx="57">
                  <c:v>0.603845564770058</c:v>
                </c:pt>
                <c:pt idx="58">
                  <c:v>0.604024048447257</c:v>
                </c:pt>
                <c:pt idx="59">
                  <c:v>0.604548715547921</c:v>
                </c:pt>
                <c:pt idx="60">
                  <c:v>0.578753598478344</c:v>
                </c:pt>
                <c:pt idx="61">
                  <c:v>0.575643457065582</c:v>
                </c:pt>
                <c:pt idx="62">
                  <c:v>0.57933849576457</c:v>
                </c:pt>
                <c:pt idx="63">
                  <c:v>0.580752339406339</c:v>
                </c:pt>
                <c:pt idx="64">
                  <c:v>0.567663454668564</c:v>
                </c:pt>
                <c:pt idx="65">
                  <c:v>0.588489763310563</c:v>
                </c:pt>
                <c:pt idx="66">
                  <c:v>0.584844024966597</c:v>
                </c:pt>
                <c:pt idx="67">
                  <c:v>0.584720652336202</c:v>
                </c:pt>
                <c:pt idx="68">
                  <c:v>0.593360425348596</c:v>
                </c:pt>
                <c:pt idx="69">
                  <c:v>0.486975932108429</c:v>
                </c:pt>
                <c:pt idx="70">
                  <c:v>0.480984661373966</c:v>
                </c:pt>
                <c:pt idx="71">
                  <c:v>0.48083936254358</c:v>
                </c:pt>
                <c:pt idx="72">
                  <c:v>0.482466155908961</c:v>
                </c:pt>
                <c:pt idx="73">
                  <c:v>0.50084769908878</c:v>
                </c:pt>
                <c:pt idx="74">
                  <c:v>0.500926166936003</c:v>
                </c:pt>
                <c:pt idx="75">
                  <c:v>0.413909071255477</c:v>
                </c:pt>
                <c:pt idx="76">
                  <c:v>0.418145714979441</c:v>
                </c:pt>
                <c:pt idx="77">
                  <c:v>0.419111755893192</c:v>
                </c:pt>
                <c:pt idx="78">
                  <c:v>0.426169661828895</c:v>
                </c:pt>
                <c:pt idx="79">
                  <c:v>0.430738264750306</c:v>
                </c:pt>
                <c:pt idx="80">
                  <c:v>0.411312856737197</c:v>
                </c:pt>
                <c:pt idx="81">
                  <c:v>0.402829357177139</c:v>
                </c:pt>
                <c:pt idx="82">
                  <c:v>0.439456694281096</c:v>
                </c:pt>
                <c:pt idx="83">
                  <c:v>0.440455515727524</c:v>
                </c:pt>
                <c:pt idx="84">
                  <c:v>0.43186406566089</c:v>
                </c:pt>
                <c:pt idx="85">
                  <c:v>0.438957893927846</c:v>
                </c:pt>
                <c:pt idx="86">
                  <c:v>0.439037377725543</c:v>
                </c:pt>
                <c:pt idx="87">
                  <c:v>0.427204207388251</c:v>
                </c:pt>
                <c:pt idx="88">
                  <c:v>0.433687389165196</c:v>
                </c:pt>
                <c:pt idx="89">
                  <c:v>0.452501386658567</c:v>
                </c:pt>
                <c:pt idx="90">
                  <c:v>0.451633544540442</c:v>
                </c:pt>
                <c:pt idx="91">
                  <c:v>0.451822432300833</c:v>
                </c:pt>
                <c:pt idx="92">
                  <c:v>0.436389858328152</c:v>
                </c:pt>
                <c:pt idx="93">
                  <c:v>0.436460986715967</c:v>
                </c:pt>
                <c:pt idx="94">
                  <c:v>0.436632912865902</c:v>
                </c:pt>
                <c:pt idx="95">
                  <c:v>0.405340517402449</c:v>
                </c:pt>
                <c:pt idx="96">
                  <c:v>0.397238454062752</c:v>
                </c:pt>
                <c:pt idx="97">
                  <c:v>0.394700697708476</c:v>
                </c:pt>
                <c:pt idx="98">
                  <c:v>0.38821647480698</c:v>
                </c:pt>
                <c:pt idx="99">
                  <c:v>0.376001175886057</c:v>
                </c:pt>
                <c:pt idx="100">
                  <c:v>0.379639885801678</c:v>
                </c:pt>
                <c:pt idx="101">
                  <c:v>0.380560012339087</c:v>
                </c:pt>
                <c:pt idx="102">
                  <c:v>0.381022550553519</c:v>
                </c:pt>
                <c:pt idx="103">
                  <c:v>0.346400242989483</c:v>
                </c:pt>
                <c:pt idx="104">
                  <c:v>0.351726728815787</c:v>
                </c:pt>
                <c:pt idx="105">
                  <c:v>0.351110244995748</c:v>
                </c:pt>
                <c:pt idx="106">
                  <c:v>0.344314518634335</c:v>
                </c:pt>
                <c:pt idx="107">
                  <c:v>0.340783131222183</c:v>
                </c:pt>
                <c:pt idx="108">
                  <c:v>0.32675075295631</c:v>
                </c:pt>
                <c:pt idx="109">
                  <c:v>0.313164443570565</c:v>
                </c:pt>
                <c:pt idx="110">
                  <c:v>0.311156919313635</c:v>
                </c:pt>
                <c:pt idx="111">
                  <c:v>0.311344349155879</c:v>
                </c:pt>
                <c:pt idx="112">
                  <c:v>0.266070621384333</c:v>
                </c:pt>
                <c:pt idx="113">
                  <c:v>0.265232082391292</c:v>
                </c:pt>
                <c:pt idx="114">
                  <c:v>0.279672343813054</c:v>
                </c:pt>
                <c:pt idx="115">
                  <c:v>0.271723565641054</c:v>
                </c:pt>
                <c:pt idx="116">
                  <c:v>0.271711575102281</c:v>
                </c:pt>
                <c:pt idx="117">
                  <c:v>0.269406634359723</c:v>
                </c:pt>
                <c:pt idx="118">
                  <c:v>0.251048806343704</c:v>
                </c:pt>
                <c:pt idx="119">
                  <c:v>0.217702010933679</c:v>
                </c:pt>
                <c:pt idx="120">
                  <c:v>0.191584162036133</c:v>
                </c:pt>
                <c:pt idx="121">
                  <c:v>0.210692617028916</c:v>
                </c:pt>
                <c:pt idx="122">
                  <c:v>0.2107122130877</c:v>
                </c:pt>
                <c:pt idx="123">
                  <c:v>0.209157419368678</c:v>
                </c:pt>
                <c:pt idx="124">
                  <c:v>0.210187157421028</c:v>
                </c:pt>
                <c:pt idx="125">
                  <c:v>0.194427061740142</c:v>
                </c:pt>
                <c:pt idx="126">
                  <c:v>0.203744203405402</c:v>
                </c:pt>
                <c:pt idx="127">
                  <c:v>0.203648486844312</c:v>
                </c:pt>
                <c:pt idx="128">
                  <c:v>0.209651469163816</c:v>
                </c:pt>
                <c:pt idx="129">
                  <c:v>0.298831670185519</c:v>
                </c:pt>
                <c:pt idx="130">
                  <c:v>0.295556153752622</c:v>
                </c:pt>
                <c:pt idx="131">
                  <c:v>0.294839198173919</c:v>
                </c:pt>
                <c:pt idx="132">
                  <c:v>0.298039999507799</c:v>
                </c:pt>
                <c:pt idx="133">
                  <c:v>0.297867690055816</c:v>
                </c:pt>
                <c:pt idx="134">
                  <c:v>0.291485432405394</c:v>
                </c:pt>
                <c:pt idx="135">
                  <c:v>0.293321634426565</c:v>
                </c:pt>
                <c:pt idx="136">
                  <c:v>0.296294896671555</c:v>
                </c:pt>
                <c:pt idx="137">
                  <c:v>0.299352802421324</c:v>
                </c:pt>
                <c:pt idx="138">
                  <c:v>0.300970100501821</c:v>
                </c:pt>
                <c:pt idx="139">
                  <c:v>0.300966537287245</c:v>
                </c:pt>
                <c:pt idx="140">
                  <c:v>0.323382153821199</c:v>
                </c:pt>
                <c:pt idx="141">
                  <c:v>0.325777081722397</c:v>
                </c:pt>
                <c:pt idx="142">
                  <c:v>0.33850200572972</c:v>
                </c:pt>
                <c:pt idx="143">
                  <c:v>0.339849075155544</c:v>
                </c:pt>
                <c:pt idx="144">
                  <c:v>0.328061583027205</c:v>
                </c:pt>
                <c:pt idx="145">
                  <c:v>0.3355647075518</c:v>
                </c:pt>
                <c:pt idx="146">
                  <c:v>0.335553223703437</c:v>
                </c:pt>
                <c:pt idx="147">
                  <c:v>0.335278279574596</c:v>
                </c:pt>
                <c:pt idx="148">
                  <c:v>0.358614961321509</c:v>
                </c:pt>
                <c:pt idx="149">
                  <c:v>0.361213141573514</c:v>
                </c:pt>
                <c:pt idx="150">
                  <c:v>0.365171639159489</c:v>
                </c:pt>
                <c:pt idx="151">
                  <c:v>0.362536683626492</c:v>
                </c:pt>
                <c:pt idx="152">
                  <c:v>0.3638164321917</c:v>
                </c:pt>
                <c:pt idx="153">
                  <c:v>0.410673024048851</c:v>
                </c:pt>
                <c:pt idx="154">
                  <c:v>0.415477211767913</c:v>
                </c:pt>
                <c:pt idx="155">
                  <c:v>0.450161307227299</c:v>
                </c:pt>
                <c:pt idx="156">
                  <c:v>0.516713048119374</c:v>
                </c:pt>
                <c:pt idx="157">
                  <c:v>0.524620015527078</c:v>
                </c:pt>
                <c:pt idx="158">
                  <c:v>0.525876353792952</c:v>
                </c:pt>
                <c:pt idx="159">
                  <c:v>0.496077191705704</c:v>
                </c:pt>
                <c:pt idx="160">
                  <c:v>0.49474984151901</c:v>
                </c:pt>
                <c:pt idx="161">
                  <c:v>0.496495135058825</c:v>
                </c:pt>
                <c:pt idx="162">
                  <c:v>0.495041159733748</c:v>
                </c:pt>
                <c:pt idx="163">
                  <c:v>0.496506733380119</c:v>
                </c:pt>
                <c:pt idx="164">
                  <c:v>0.497612649255427</c:v>
                </c:pt>
                <c:pt idx="165">
                  <c:v>0.49694541114665</c:v>
                </c:pt>
                <c:pt idx="166">
                  <c:v>0.494066730976605</c:v>
                </c:pt>
                <c:pt idx="167">
                  <c:v>0.503530166522672</c:v>
                </c:pt>
                <c:pt idx="168">
                  <c:v>0.503548518981911</c:v>
                </c:pt>
                <c:pt idx="169">
                  <c:v>0.50420967887896</c:v>
                </c:pt>
                <c:pt idx="170">
                  <c:v>0.493909728027928</c:v>
                </c:pt>
                <c:pt idx="171">
                  <c:v>0.490889001573863</c:v>
                </c:pt>
                <c:pt idx="172">
                  <c:v>0.487817365460659</c:v>
                </c:pt>
                <c:pt idx="173">
                  <c:v>0.4834454459971</c:v>
                </c:pt>
                <c:pt idx="174">
                  <c:v>0.480216471739801</c:v>
                </c:pt>
                <c:pt idx="175">
                  <c:v>0.478664901140593</c:v>
                </c:pt>
                <c:pt idx="176">
                  <c:v>0.478346377480392</c:v>
                </c:pt>
                <c:pt idx="177">
                  <c:v>0.477640321146687</c:v>
                </c:pt>
                <c:pt idx="178">
                  <c:v>0.459181970972892</c:v>
                </c:pt>
                <c:pt idx="179">
                  <c:v>0.459981642131689</c:v>
                </c:pt>
                <c:pt idx="180">
                  <c:v>0.45884444903213</c:v>
                </c:pt>
                <c:pt idx="181">
                  <c:v>0.455110462899624</c:v>
                </c:pt>
                <c:pt idx="182">
                  <c:v>0.51190037358796</c:v>
                </c:pt>
                <c:pt idx="183">
                  <c:v>0.468488609503028</c:v>
                </c:pt>
                <c:pt idx="184">
                  <c:v>0.457692676434151</c:v>
                </c:pt>
                <c:pt idx="185">
                  <c:v>0.412538671490696</c:v>
                </c:pt>
                <c:pt idx="186">
                  <c:v>0.358945763786532</c:v>
                </c:pt>
                <c:pt idx="187">
                  <c:v>0.354842441893502</c:v>
                </c:pt>
                <c:pt idx="188">
                  <c:v>0.355786768174083</c:v>
                </c:pt>
                <c:pt idx="189">
                  <c:v>0.351044039519683</c:v>
                </c:pt>
                <c:pt idx="190">
                  <c:v>0.352092083260376</c:v>
                </c:pt>
                <c:pt idx="191">
                  <c:v>0.35143397370342</c:v>
                </c:pt>
                <c:pt idx="192">
                  <c:v>0.616415076655714</c:v>
                </c:pt>
                <c:pt idx="193">
                  <c:v>0.620797744947851</c:v>
                </c:pt>
                <c:pt idx="194">
                  <c:v>0.638075422800524</c:v>
                </c:pt>
                <c:pt idx="195">
                  <c:v>0.637831265055345</c:v>
                </c:pt>
                <c:pt idx="196">
                  <c:v>0.63767614210019</c:v>
                </c:pt>
                <c:pt idx="197">
                  <c:v>0.614219156398026</c:v>
                </c:pt>
                <c:pt idx="198">
                  <c:v>0.665249598797712</c:v>
                </c:pt>
                <c:pt idx="199">
                  <c:v>0.701986648783909</c:v>
                </c:pt>
                <c:pt idx="200">
                  <c:v>0.705646537538128</c:v>
                </c:pt>
                <c:pt idx="201">
                  <c:v>0.704044849720029</c:v>
                </c:pt>
                <c:pt idx="202">
                  <c:v>0.712930979650374</c:v>
                </c:pt>
                <c:pt idx="203">
                  <c:v>0.713011484381155</c:v>
                </c:pt>
                <c:pt idx="204">
                  <c:v>0.712897262308424</c:v>
                </c:pt>
                <c:pt idx="205">
                  <c:v>0.714040242751695</c:v>
                </c:pt>
                <c:pt idx="206">
                  <c:v>0.713174173155157</c:v>
                </c:pt>
                <c:pt idx="207">
                  <c:v>0.715028685131173</c:v>
                </c:pt>
                <c:pt idx="208">
                  <c:v>0.710459257339759</c:v>
                </c:pt>
                <c:pt idx="209">
                  <c:v>0.716007315736501</c:v>
                </c:pt>
                <c:pt idx="210">
                  <c:v>0.721685447119207</c:v>
                </c:pt>
                <c:pt idx="211">
                  <c:v>0.727869067382723</c:v>
                </c:pt>
                <c:pt idx="212">
                  <c:v>0.693633882303828</c:v>
                </c:pt>
                <c:pt idx="213">
                  <c:v>0.690285655440736</c:v>
                </c:pt>
                <c:pt idx="214">
                  <c:v>0.693254711059292</c:v>
                </c:pt>
                <c:pt idx="215">
                  <c:v>0.685441303572839</c:v>
                </c:pt>
                <c:pt idx="216">
                  <c:v>0.685174298379921</c:v>
                </c:pt>
                <c:pt idx="217">
                  <c:v>0.686971264690869</c:v>
                </c:pt>
                <c:pt idx="218">
                  <c:v>0.689753523512188</c:v>
                </c:pt>
                <c:pt idx="219">
                  <c:v>0.689182636277818</c:v>
                </c:pt>
                <c:pt idx="220">
                  <c:v>0.688582848175384</c:v>
                </c:pt>
                <c:pt idx="221">
                  <c:v>0.688472179602372</c:v>
                </c:pt>
                <c:pt idx="222">
                  <c:v>0.454994937436103</c:v>
                </c:pt>
                <c:pt idx="223">
                  <c:v>0.447931829764594</c:v>
                </c:pt>
                <c:pt idx="224">
                  <c:v>0.430376463691954</c:v>
                </c:pt>
                <c:pt idx="225">
                  <c:v>0.428586124149423</c:v>
                </c:pt>
                <c:pt idx="226">
                  <c:v>0.434384528414147</c:v>
                </c:pt>
                <c:pt idx="227">
                  <c:v>0.437781759632726</c:v>
                </c:pt>
                <c:pt idx="228">
                  <c:v>0.322661992641687</c:v>
                </c:pt>
                <c:pt idx="229">
                  <c:v>0.264468459916916</c:v>
                </c:pt>
                <c:pt idx="230">
                  <c:v>0.260945654429753</c:v>
                </c:pt>
                <c:pt idx="231">
                  <c:v>0.261132399133458</c:v>
                </c:pt>
                <c:pt idx="232">
                  <c:v>0.247200362016876</c:v>
                </c:pt>
                <c:pt idx="233">
                  <c:v>0.2636088034435</c:v>
                </c:pt>
                <c:pt idx="234">
                  <c:v>0.267386653701093</c:v>
                </c:pt>
                <c:pt idx="235">
                  <c:v>0.266816476015515</c:v>
                </c:pt>
                <c:pt idx="236">
                  <c:v>0.263638270750103</c:v>
                </c:pt>
                <c:pt idx="237">
                  <c:v>0.262740671653346</c:v>
                </c:pt>
                <c:pt idx="238">
                  <c:v>0.259107569245434</c:v>
                </c:pt>
                <c:pt idx="239">
                  <c:v>0.252440802383345</c:v>
                </c:pt>
                <c:pt idx="240">
                  <c:v>0.243771778354365</c:v>
                </c:pt>
                <c:pt idx="241">
                  <c:v>0.245149357311668</c:v>
                </c:pt>
                <c:pt idx="242">
                  <c:v>0.24840683642761</c:v>
                </c:pt>
                <c:pt idx="243">
                  <c:v>0.245509483347784</c:v>
                </c:pt>
                <c:pt idx="244">
                  <c:v>0.232826430917564</c:v>
                </c:pt>
                <c:pt idx="245">
                  <c:v>0.233738768577408</c:v>
                </c:pt>
                <c:pt idx="246">
                  <c:v>0.234791162840395</c:v>
                </c:pt>
                <c:pt idx="247">
                  <c:v>0.228091886779118</c:v>
                </c:pt>
                <c:pt idx="248">
                  <c:v>0.215995105289551</c:v>
                </c:pt>
                <c:pt idx="249">
                  <c:v>0.216952613815286</c:v>
                </c:pt>
                <c:pt idx="250">
                  <c:v>0.216598887722793</c:v>
                </c:pt>
                <c:pt idx="251">
                  <c:v>0.237615691005528</c:v>
                </c:pt>
                <c:pt idx="252">
                  <c:v>0.258047898039014</c:v>
                </c:pt>
                <c:pt idx="253">
                  <c:v>0.284617643742175</c:v>
                </c:pt>
                <c:pt idx="254">
                  <c:v>0.283449267049167</c:v>
                </c:pt>
                <c:pt idx="255">
                  <c:v>0.288961816065468</c:v>
                </c:pt>
                <c:pt idx="256">
                  <c:v>0.277416227579465</c:v>
                </c:pt>
                <c:pt idx="257">
                  <c:v>0.283592048705263</c:v>
                </c:pt>
                <c:pt idx="258">
                  <c:v>0.281549624207725</c:v>
                </c:pt>
                <c:pt idx="259">
                  <c:v>0.280349296809304</c:v>
                </c:pt>
                <c:pt idx="260">
                  <c:v>0.280390641575502</c:v>
                </c:pt>
                <c:pt idx="261">
                  <c:v>0.277368872239599</c:v>
                </c:pt>
                <c:pt idx="262">
                  <c:v>0.284892994939414</c:v>
                </c:pt>
                <c:pt idx="263">
                  <c:v>0.285949898259328</c:v>
                </c:pt>
                <c:pt idx="264">
                  <c:v>0.295090315413693</c:v>
                </c:pt>
                <c:pt idx="265">
                  <c:v>0.312144058758568</c:v>
                </c:pt>
                <c:pt idx="266">
                  <c:v>0.366547058693625</c:v>
                </c:pt>
                <c:pt idx="267">
                  <c:v>0.385646954894954</c:v>
                </c:pt>
                <c:pt idx="268">
                  <c:v>0.501679469095204</c:v>
                </c:pt>
                <c:pt idx="269">
                  <c:v>0.583519360945979</c:v>
                </c:pt>
                <c:pt idx="270">
                  <c:v>0.581778126509125</c:v>
                </c:pt>
                <c:pt idx="271">
                  <c:v>0.637159962670897</c:v>
                </c:pt>
                <c:pt idx="272">
                  <c:v>0.654375755960888</c:v>
                </c:pt>
                <c:pt idx="273">
                  <c:v>0.652593485624463</c:v>
                </c:pt>
                <c:pt idx="274">
                  <c:v>0.670002461148034</c:v>
                </c:pt>
                <c:pt idx="275">
                  <c:v>0.669508916022991</c:v>
                </c:pt>
                <c:pt idx="276">
                  <c:v>0.81441179131452</c:v>
                </c:pt>
                <c:pt idx="277">
                  <c:v>0.862837781688085</c:v>
                </c:pt>
                <c:pt idx="278">
                  <c:v>0.890522347478939</c:v>
                </c:pt>
                <c:pt idx="279">
                  <c:v>0.89069699388994</c:v>
                </c:pt>
                <c:pt idx="280">
                  <c:v>0.893287774692487</c:v>
                </c:pt>
                <c:pt idx="281">
                  <c:v>0.90245392988625</c:v>
                </c:pt>
                <c:pt idx="282">
                  <c:v>0.900694638736085</c:v>
                </c:pt>
                <c:pt idx="283">
                  <c:v>0.891391394042797</c:v>
                </c:pt>
                <c:pt idx="284">
                  <c:v>0.89185448574291</c:v>
                </c:pt>
                <c:pt idx="285">
                  <c:v>0.898562283144935</c:v>
                </c:pt>
                <c:pt idx="286">
                  <c:v>0.899407505687005</c:v>
                </c:pt>
                <c:pt idx="287">
                  <c:v>0.897063898548515</c:v>
                </c:pt>
                <c:pt idx="288">
                  <c:v>0.898545020580425</c:v>
                </c:pt>
                <c:pt idx="289">
                  <c:v>0.89728846252313</c:v>
                </c:pt>
                <c:pt idx="290">
                  <c:v>0.898014752888502</c:v>
                </c:pt>
                <c:pt idx="291">
                  <c:v>0.900827346830958</c:v>
                </c:pt>
                <c:pt idx="292">
                  <c:v>0.925129684662085</c:v>
                </c:pt>
                <c:pt idx="293">
                  <c:v>0.92234651337606</c:v>
                </c:pt>
                <c:pt idx="294">
                  <c:v>0.914850096271229</c:v>
                </c:pt>
                <c:pt idx="295">
                  <c:v>0.915220476729295</c:v>
                </c:pt>
                <c:pt idx="296">
                  <c:v>0.898693986716602</c:v>
                </c:pt>
                <c:pt idx="297">
                  <c:v>0.89997625647884</c:v>
                </c:pt>
                <c:pt idx="298">
                  <c:v>0.825143718961289</c:v>
                </c:pt>
                <c:pt idx="299">
                  <c:v>0.739756431478157</c:v>
                </c:pt>
                <c:pt idx="300">
                  <c:v>0.737734435991167</c:v>
                </c:pt>
                <c:pt idx="301">
                  <c:v>0.748593812542916</c:v>
                </c:pt>
                <c:pt idx="302">
                  <c:v>0.738194431740813</c:v>
                </c:pt>
                <c:pt idx="303">
                  <c:v>0.734423499498436</c:v>
                </c:pt>
                <c:pt idx="304">
                  <c:v>0.753826051975275</c:v>
                </c:pt>
                <c:pt idx="305">
                  <c:v>0.752895720426234</c:v>
                </c:pt>
                <c:pt idx="306">
                  <c:v>0.613534798655362</c:v>
                </c:pt>
                <c:pt idx="307">
                  <c:v>0.601857290584274</c:v>
                </c:pt>
                <c:pt idx="308">
                  <c:v>0.585180852147428</c:v>
                </c:pt>
                <c:pt idx="309">
                  <c:v>0.587599237142549</c:v>
                </c:pt>
                <c:pt idx="310">
                  <c:v>0.585988243272373</c:v>
                </c:pt>
                <c:pt idx="311">
                  <c:v>0.574884752435212</c:v>
                </c:pt>
                <c:pt idx="312">
                  <c:v>0.58320734595127</c:v>
                </c:pt>
                <c:pt idx="313">
                  <c:v>0.583710732399758</c:v>
                </c:pt>
                <c:pt idx="314">
                  <c:v>0.582198042041574</c:v>
                </c:pt>
                <c:pt idx="315">
                  <c:v>0.568448793670308</c:v>
                </c:pt>
                <c:pt idx="316">
                  <c:v>0.593227509628813</c:v>
                </c:pt>
                <c:pt idx="317">
                  <c:v>0.598350476832727</c:v>
                </c:pt>
                <c:pt idx="318">
                  <c:v>0.59702750935993</c:v>
                </c:pt>
                <c:pt idx="319">
                  <c:v>0.596337038609515</c:v>
                </c:pt>
                <c:pt idx="320">
                  <c:v>0.596813037547881</c:v>
                </c:pt>
                <c:pt idx="321">
                  <c:v>0.596242814537717</c:v>
                </c:pt>
                <c:pt idx="322">
                  <c:v>0.643774945436864</c:v>
                </c:pt>
                <c:pt idx="323">
                  <c:v>0.643239637064846</c:v>
                </c:pt>
                <c:pt idx="324">
                  <c:v>0.644021698670486</c:v>
                </c:pt>
                <c:pt idx="325">
                  <c:v>0.636442388000926</c:v>
                </c:pt>
                <c:pt idx="326">
                  <c:v>0.639224552880891</c:v>
                </c:pt>
                <c:pt idx="327">
                  <c:v>0.620475649602135</c:v>
                </c:pt>
                <c:pt idx="328">
                  <c:v>0.619033876877147</c:v>
                </c:pt>
                <c:pt idx="329">
                  <c:v>0.619493789705047</c:v>
                </c:pt>
                <c:pt idx="330">
                  <c:v>0.621477884993365</c:v>
                </c:pt>
                <c:pt idx="331">
                  <c:v>0.584957219826294</c:v>
                </c:pt>
                <c:pt idx="332">
                  <c:v>0.584961578252259</c:v>
                </c:pt>
                <c:pt idx="333">
                  <c:v>0.583406080919254</c:v>
                </c:pt>
                <c:pt idx="334">
                  <c:v>0.588268715861388</c:v>
                </c:pt>
                <c:pt idx="335">
                  <c:v>0.589895086220787</c:v>
                </c:pt>
                <c:pt idx="336">
                  <c:v>0.590446878706605</c:v>
                </c:pt>
                <c:pt idx="337">
                  <c:v>0.508446713271196</c:v>
                </c:pt>
                <c:pt idx="338">
                  <c:v>0.491738853865155</c:v>
                </c:pt>
                <c:pt idx="339">
                  <c:v>0.506352734158808</c:v>
                </c:pt>
                <c:pt idx="340">
                  <c:v>0.499448979237244</c:v>
                </c:pt>
                <c:pt idx="341">
                  <c:v>0.471924682518959</c:v>
                </c:pt>
                <c:pt idx="342">
                  <c:v>0.789924972796543</c:v>
                </c:pt>
                <c:pt idx="343">
                  <c:v>0.851560194177408</c:v>
                </c:pt>
                <c:pt idx="344">
                  <c:v>0.85091212046525</c:v>
                </c:pt>
                <c:pt idx="345">
                  <c:v>0.854854739467991</c:v>
                </c:pt>
                <c:pt idx="346">
                  <c:v>0.847852978429688</c:v>
                </c:pt>
                <c:pt idx="347">
                  <c:v>0.936681681487509</c:v>
                </c:pt>
                <c:pt idx="348">
                  <c:v>0.939321630762348</c:v>
                </c:pt>
                <c:pt idx="349">
                  <c:v>0.962558327232402</c:v>
                </c:pt>
                <c:pt idx="350">
                  <c:v>0.956545115903851</c:v>
                </c:pt>
                <c:pt idx="351">
                  <c:v>0.969094654599348</c:v>
                </c:pt>
                <c:pt idx="352">
                  <c:v>0.931130492533395</c:v>
                </c:pt>
                <c:pt idx="353">
                  <c:v>0.929646051291965</c:v>
                </c:pt>
                <c:pt idx="354">
                  <c:v>0.930311310858498</c:v>
                </c:pt>
                <c:pt idx="355">
                  <c:v>0.93240250650001</c:v>
                </c:pt>
                <c:pt idx="356">
                  <c:v>0.931812985635291</c:v>
                </c:pt>
                <c:pt idx="357">
                  <c:v>0.931255308683433</c:v>
                </c:pt>
                <c:pt idx="358">
                  <c:v>0.932889345709915</c:v>
                </c:pt>
                <c:pt idx="359">
                  <c:v>0.934168753399802</c:v>
                </c:pt>
                <c:pt idx="360">
                  <c:v>0.934705249452609</c:v>
                </c:pt>
                <c:pt idx="361">
                  <c:v>0.93430651449118</c:v>
                </c:pt>
                <c:pt idx="362">
                  <c:v>0.954448771765829</c:v>
                </c:pt>
                <c:pt idx="363">
                  <c:v>0.954607918825692</c:v>
                </c:pt>
                <c:pt idx="364">
                  <c:v>0.92537527555068</c:v>
                </c:pt>
                <c:pt idx="365">
                  <c:v>0.926243398174088</c:v>
                </c:pt>
                <c:pt idx="366">
                  <c:v>0.926965407350421</c:v>
                </c:pt>
                <c:pt idx="367">
                  <c:v>0.927509419249141</c:v>
                </c:pt>
                <c:pt idx="368">
                  <c:v>0.930472492972008</c:v>
                </c:pt>
                <c:pt idx="369">
                  <c:v>0.924819853174019</c:v>
                </c:pt>
                <c:pt idx="370">
                  <c:v>0.926218110585928</c:v>
                </c:pt>
                <c:pt idx="371">
                  <c:v>0.931043544886177</c:v>
                </c:pt>
                <c:pt idx="372">
                  <c:v>0.673702436108293</c:v>
                </c:pt>
                <c:pt idx="373">
                  <c:v>0.614097757207147</c:v>
                </c:pt>
                <c:pt idx="374">
                  <c:v>0.609674910027435</c:v>
                </c:pt>
                <c:pt idx="375">
                  <c:v>0.610331725292675</c:v>
                </c:pt>
                <c:pt idx="376">
                  <c:v>0.603194156640523</c:v>
                </c:pt>
                <c:pt idx="377">
                  <c:v>0.468565672429205</c:v>
                </c:pt>
                <c:pt idx="378">
                  <c:v>0.480329580348908</c:v>
                </c:pt>
                <c:pt idx="379">
                  <c:v>0.410650422935031</c:v>
                </c:pt>
                <c:pt idx="380">
                  <c:v>0.410418243462164</c:v>
                </c:pt>
                <c:pt idx="381">
                  <c:v>0.419054006576303</c:v>
                </c:pt>
                <c:pt idx="382">
                  <c:v>0.404878272102471</c:v>
                </c:pt>
                <c:pt idx="383">
                  <c:v>0.404996952055549</c:v>
                </c:pt>
                <c:pt idx="384">
                  <c:v>0.40771569417527</c:v>
                </c:pt>
                <c:pt idx="385">
                  <c:v>0.378337424000589</c:v>
                </c:pt>
                <c:pt idx="386">
                  <c:v>0.377696992120629</c:v>
                </c:pt>
                <c:pt idx="387">
                  <c:v>0.377285103627977</c:v>
                </c:pt>
                <c:pt idx="388">
                  <c:v>0.361238843274335</c:v>
                </c:pt>
                <c:pt idx="389">
                  <c:v>0.381124552312351</c:v>
                </c:pt>
                <c:pt idx="390">
                  <c:v>0.38212403085203</c:v>
                </c:pt>
                <c:pt idx="391">
                  <c:v>0.394584638192713</c:v>
                </c:pt>
                <c:pt idx="392">
                  <c:v>0.370693840499448</c:v>
                </c:pt>
                <c:pt idx="393">
                  <c:v>0.373704044493141</c:v>
                </c:pt>
                <c:pt idx="394">
                  <c:v>0.368616526407708</c:v>
                </c:pt>
                <c:pt idx="395">
                  <c:v>0.369026110855685</c:v>
                </c:pt>
                <c:pt idx="396">
                  <c:v>0.362036452209609</c:v>
                </c:pt>
                <c:pt idx="397">
                  <c:v>0.36231914352146</c:v>
                </c:pt>
                <c:pt idx="398">
                  <c:v>0.360268423971274</c:v>
                </c:pt>
                <c:pt idx="399">
                  <c:v>0.37022367981938</c:v>
                </c:pt>
                <c:pt idx="400">
                  <c:v>0.369363919227769</c:v>
                </c:pt>
                <c:pt idx="401">
                  <c:v>0.362104159588739</c:v>
                </c:pt>
                <c:pt idx="402">
                  <c:v>0.336435481656779</c:v>
                </c:pt>
                <c:pt idx="403">
                  <c:v>0.328852835717623</c:v>
                </c:pt>
                <c:pt idx="404">
                  <c:v>0.321603015409728</c:v>
                </c:pt>
                <c:pt idx="405">
                  <c:v>0.323699028759142</c:v>
                </c:pt>
                <c:pt idx="406">
                  <c:v>0.31938085445098</c:v>
                </c:pt>
                <c:pt idx="407">
                  <c:v>0.319610087118599</c:v>
                </c:pt>
                <c:pt idx="408">
                  <c:v>0.28589725255539</c:v>
                </c:pt>
                <c:pt idx="409">
                  <c:v>0.289236085682666</c:v>
                </c:pt>
                <c:pt idx="410">
                  <c:v>0.28952725798588</c:v>
                </c:pt>
                <c:pt idx="411">
                  <c:v>0.254937094127166</c:v>
                </c:pt>
                <c:pt idx="412">
                  <c:v>0.25443951082325</c:v>
                </c:pt>
                <c:pt idx="413">
                  <c:v>0.254525421482567</c:v>
                </c:pt>
                <c:pt idx="414">
                  <c:v>0.257010281909319</c:v>
                </c:pt>
                <c:pt idx="415">
                  <c:v>0.256734972459961</c:v>
                </c:pt>
                <c:pt idx="416">
                  <c:v>0.261813211747936</c:v>
                </c:pt>
                <c:pt idx="417">
                  <c:v>0.261539792526415</c:v>
                </c:pt>
                <c:pt idx="418">
                  <c:v>0.262766098318261</c:v>
                </c:pt>
                <c:pt idx="419">
                  <c:v>0.242426650311173</c:v>
                </c:pt>
                <c:pt idx="420">
                  <c:v>0.242845816214786</c:v>
                </c:pt>
                <c:pt idx="421">
                  <c:v>0.221148052102977</c:v>
                </c:pt>
                <c:pt idx="422">
                  <c:v>0.195074511641045</c:v>
                </c:pt>
                <c:pt idx="423">
                  <c:v>0.187318766168451</c:v>
                </c:pt>
                <c:pt idx="424">
                  <c:v>0.172473392634153</c:v>
                </c:pt>
                <c:pt idx="425">
                  <c:v>0.1720821151314</c:v>
                </c:pt>
                <c:pt idx="426">
                  <c:v>0.173320567425632</c:v>
                </c:pt>
                <c:pt idx="427">
                  <c:v>0.171399651242556</c:v>
                </c:pt>
                <c:pt idx="428">
                  <c:v>0.172134228990888</c:v>
                </c:pt>
                <c:pt idx="429">
                  <c:v>0.153575492521235</c:v>
                </c:pt>
                <c:pt idx="430">
                  <c:v>0.155611513775729</c:v>
                </c:pt>
                <c:pt idx="431">
                  <c:v>0.156161134084167</c:v>
                </c:pt>
                <c:pt idx="432">
                  <c:v>0.156192482474608</c:v>
                </c:pt>
                <c:pt idx="433">
                  <c:v>0.159955137092025</c:v>
                </c:pt>
                <c:pt idx="434">
                  <c:v>0.159984759002489</c:v>
                </c:pt>
                <c:pt idx="435">
                  <c:v>0.140646818294021</c:v>
                </c:pt>
                <c:pt idx="436">
                  <c:v>0.140777338430272</c:v>
                </c:pt>
                <c:pt idx="437">
                  <c:v>0.147250325603929</c:v>
                </c:pt>
                <c:pt idx="438">
                  <c:v>0.152497489715971</c:v>
                </c:pt>
                <c:pt idx="439">
                  <c:v>0.162694273397136</c:v>
                </c:pt>
                <c:pt idx="440">
                  <c:v>0.167369311430784</c:v>
                </c:pt>
                <c:pt idx="441">
                  <c:v>0.166769977904087</c:v>
                </c:pt>
                <c:pt idx="442">
                  <c:v>0.174858930174493</c:v>
                </c:pt>
                <c:pt idx="443">
                  <c:v>0.174662581184439</c:v>
                </c:pt>
                <c:pt idx="444">
                  <c:v>0.166212004874434</c:v>
                </c:pt>
                <c:pt idx="445">
                  <c:v>0.262331338546419</c:v>
                </c:pt>
                <c:pt idx="446">
                  <c:v>0.258004788504648</c:v>
                </c:pt>
                <c:pt idx="447">
                  <c:v>0.258459064786838</c:v>
                </c:pt>
                <c:pt idx="448">
                  <c:v>0.262505602983637</c:v>
                </c:pt>
                <c:pt idx="449">
                  <c:v>0.262782309507723</c:v>
                </c:pt>
                <c:pt idx="450">
                  <c:v>0.27818955561556</c:v>
                </c:pt>
                <c:pt idx="451">
                  <c:v>0.280671882893273</c:v>
                </c:pt>
                <c:pt idx="452">
                  <c:v>0.282633319482981</c:v>
                </c:pt>
                <c:pt idx="453">
                  <c:v>0.282154902584431</c:v>
                </c:pt>
                <c:pt idx="454">
                  <c:v>0.294693909906254</c:v>
                </c:pt>
                <c:pt idx="455">
                  <c:v>0.29495238043596</c:v>
                </c:pt>
                <c:pt idx="456">
                  <c:v>0.29320941007396</c:v>
                </c:pt>
                <c:pt idx="457">
                  <c:v>0.292968055110118</c:v>
                </c:pt>
                <c:pt idx="458">
                  <c:v>0.308056951410811</c:v>
                </c:pt>
                <c:pt idx="459">
                  <c:v>0.308067574561718</c:v>
                </c:pt>
                <c:pt idx="460">
                  <c:v>0.307231630261865</c:v>
                </c:pt>
                <c:pt idx="461">
                  <c:v>0.306094648598604</c:v>
                </c:pt>
                <c:pt idx="462">
                  <c:v>0.306088240976556</c:v>
                </c:pt>
                <c:pt idx="463">
                  <c:v>0.304852245172324</c:v>
                </c:pt>
                <c:pt idx="464">
                  <c:v>0.308967752410275</c:v>
                </c:pt>
                <c:pt idx="465">
                  <c:v>0.308397046823935</c:v>
                </c:pt>
                <c:pt idx="466">
                  <c:v>0.308355899855302</c:v>
                </c:pt>
                <c:pt idx="467">
                  <c:v>0.335398582098806</c:v>
                </c:pt>
                <c:pt idx="468">
                  <c:v>0.33707947449154</c:v>
                </c:pt>
                <c:pt idx="469">
                  <c:v>0.328887339468857</c:v>
                </c:pt>
                <c:pt idx="470">
                  <c:v>0.328894824724637</c:v>
                </c:pt>
                <c:pt idx="471">
                  <c:v>0.32469037899693</c:v>
                </c:pt>
                <c:pt idx="472">
                  <c:v>0.317097770012238</c:v>
                </c:pt>
                <c:pt idx="473">
                  <c:v>0.319109806898258</c:v>
                </c:pt>
                <c:pt idx="474">
                  <c:v>0.318439523400301</c:v>
                </c:pt>
                <c:pt idx="475">
                  <c:v>0.278847153657908</c:v>
                </c:pt>
                <c:pt idx="476">
                  <c:v>0.453066343066174</c:v>
                </c:pt>
                <c:pt idx="477">
                  <c:v>0.451401151928639</c:v>
                </c:pt>
                <c:pt idx="478">
                  <c:v>0.449193505480348</c:v>
                </c:pt>
                <c:pt idx="479">
                  <c:v>0.449945023236387</c:v>
                </c:pt>
                <c:pt idx="480">
                  <c:v>0.438120065734734</c:v>
                </c:pt>
                <c:pt idx="481">
                  <c:v>0.437419914903223</c:v>
                </c:pt>
                <c:pt idx="482">
                  <c:v>0.473649812751577</c:v>
                </c:pt>
                <c:pt idx="483">
                  <c:v>0.473288567418328</c:v>
                </c:pt>
                <c:pt idx="484">
                  <c:v>0.469600390284861</c:v>
                </c:pt>
                <c:pt idx="485">
                  <c:v>0.470672685200509</c:v>
                </c:pt>
                <c:pt idx="486">
                  <c:v>0.475459163580833</c:v>
                </c:pt>
                <c:pt idx="487">
                  <c:v>0.475209986067699</c:v>
                </c:pt>
                <c:pt idx="488">
                  <c:v>0.4651388059895</c:v>
                </c:pt>
                <c:pt idx="489">
                  <c:v>0.464988510407311</c:v>
                </c:pt>
                <c:pt idx="490">
                  <c:v>0.486113120171502</c:v>
                </c:pt>
                <c:pt idx="491">
                  <c:v>0.590722201475979</c:v>
                </c:pt>
                <c:pt idx="492">
                  <c:v>0.59697956971556</c:v>
                </c:pt>
                <c:pt idx="493">
                  <c:v>0.616409332970311</c:v>
                </c:pt>
                <c:pt idx="494">
                  <c:v>0.609671310714761</c:v>
                </c:pt>
                <c:pt idx="495">
                  <c:v>0.670299987641201</c:v>
                </c:pt>
                <c:pt idx="496">
                  <c:v>0.683427763385205</c:v>
                </c:pt>
                <c:pt idx="497">
                  <c:v>0.654680236315482</c:v>
                </c:pt>
                <c:pt idx="498">
                  <c:v>0.654934506236825</c:v>
                </c:pt>
                <c:pt idx="499">
                  <c:v>0.753129248009831</c:v>
                </c:pt>
                <c:pt idx="500">
                  <c:v>0.784653980765618</c:v>
                </c:pt>
                <c:pt idx="501">
                  <c:v>0.878266038086181</c:v>
                </c:pt>
                <c:pt idx="502">
                  <c:v>0.885239160188461</c:v>
                </c:pt>
                <c:pt idx="503">
                  <c:v>0.901069826292713</c:v>
                </c:pt>
                <c:pt idx="504">
                  <c:v>0.901263041234347</c:v>
                </c:pt>
                <c:pt idx="505">
                  <c:v>0.926691301375535</c:v>
                </c:pt>
                <c:pt idx="506">
                  <c:v>0.865373811653494</c:v>
                </c:pt>
                <c:pt idx="507">
                  <c:v>0.868724727779306</c:v>
                </c:pt>
                <c:pt idx="508">
                  <c:v>0.871394724733275</c:v>
                </c:pt>
                <c:pt idx="509">
                  <c:v>0.885231145230263</c:v>
                </c:pt>
                <c:pt idx="510">
                  <c:v>0.885224793741735</c:v>
                </c:pt>
                <c:pt idx="511">
                  <c:v>0.891643125928465</c:v>
                </c:pt>
                <c:pt idx="512">
                  <c:v>0.90376490412452</c:v>
                </c:pt>
                <c:pt idx="513">
                  <c:v>0.907071776478526</c:v>
                </c:pt>
                <c:pt idx="514">
                  <c:v>0.910447595064514</c:v>
                </c:pt>
                <c:pt idx="515">
                  <c:v>0.909363516513245</c:v>
                </c:pt>
                <c:pt idx="516">
                  <c:v>0.9320849888896</c:v>
                </c:pt>
                <c:pt idx="517">
                  <c:v>0.940195887843527</c:v>
                </c:pt>
                <c:pt idx="518">
                  <c:v>0.941260570133662</c:v>
                </c:pt>
                <c:pt idx="519">
                  <c:v>0.942220390706333</c:v>
                </c:pt>
                <c:pt idx="520">
                  <c:v>0.928154106805701</c:v>
                </c:pt>
                <c:pt idx="521">
                  <c:v>0.853225532411</c:v>
                </c:pt>
                <c:pt idx="522">
                  <c:v>0.841769108255077</c:v>
                </c:pt>
                <c:pt idx="523">
                  <c:v>0.836667620391784</c:v>
                </c:pt>
                <c:pt idx="524">
                  <c:v>0.834010370419981</c:v>
                </c:pt>
                <c:pt idx="525">
                  <c:v>0.754956302549111</c:v>
                </c:pt>
                <c:pt idx="526">
                  <c:v>0.756940677443794</c:v>
                </c:pt>
                <c:pt idx="527">
                  <c:v>0.75570951045712</c:v>
                </c:pt>
                <c:pt idx="528">
                  <c:v>0.753349775237258</c:v>
                </c:pt>
                <c:pt idx="529">
                  <c:v>0.689031057906195</c:v>
                </c:pt>
                <c:pt idx="530">
                  <c:v>0.665007350445767</c:v>
                </c:pt>
                <c:pt idx="531">
                  <c:v>0.565552386927481</c:v>
                </c:pt>
                <c:pt idx="532">
                  <c:v>0.546540280146365</c:v>
                </c:pt>
                <c:pt idx="533">
                  <c:v>0.504683289589852</c:v>
                </c:pt>
                <c:pt idx="534">
                  <c:v>0.504432366829812</c:v>
                </c:pt>
                <c:pt idx="535">
                  <c:v>0.467674455388359</c:v>
                </c:pt>
                <c:pt idx="536">
                  <c:v>0.456186899607258</c:v>
                </c:pt>
                <c:pt idx="537">
                  <c:v>0.453209010751763</c:v>
                </c:pt>
                <c:pt idx="538">
                  <c:v>0.450232565206582</c:v>
                </c:pt>
                <c:pt idx="539">
                  <c:v>0.410904973606309</c:v>
                </c:pt>
                <c:pt idx="540">
                  <c:v>0.437608674149123</c:v>
                </c:pt>
                <c:pt idx="541">
                  <c:v>0.425666706626002</c:v>
                </c:pt>
                <c:pt idx="542">
                  <c:v>0.55092450226455</c:v>
                </c:pt>
                <c:pt idx="543">
                  <c:v>0.593856562266386</c:v>
                </c:pt>
                <c:pt idx="544">
                  <c:v>0.601248896382415</c:v>
                </c:pt>
                <c:pt idx="545">
                  <c:v>0.59795949882261</c:v>
                </c:pt>
                <c:pt idx="546">
                  <c:v>0.572797420240458</c:v>
                </c:pt>
                <c:pt idx="547">
                  <c:v>0.553998551297538</c:v>
                </c:pt>
                <c:pt idx="548">
                  <c:v>0.552693672946157</c:v>
                </c:pt>
                <c:pt idx="549">
                  <c:v>0.552762583205985</c:v>
                </c:pt>
                <c:pt idx="550">
                  <c:v>0.556286255762711</c:v>
                </c:pt>
                <c:pt idx="551">
                  <c:v>0.548605341649879</c:v>
                </c:pt>
                <c:pt idx="552">
                  <c:v>0.546793284401554</c:v>
                </c:pt>
                <c:pt idx="553">
                  <c:v>0.544750980203885</c:v>
                </c:pt>
                <c:pt idx="554">
                  <c:v>0.54539887766572</c:v>
                </c:pt>
                <c:pt idx="555">
                  <c:v>0.545904284942633</c:v>
                </c:pt>
                <c:pt idx="556">
                  <c:v>0.545473992213546</c:v>
                </c:pt>
                <c:pt idx="557">
                  <c:v>0.545530349631895</c:v>
                </c:pt>
                <c:pt idx="558">
                  <c:v>0.545677912489394</c:v>
                </c:pt>
                <c:pt idx="559">
                  <c:v>0.54557681915292</c:v>
                </c:pt>
                <c:pt idx="560">
                  <c:v>0.549393249520096</c:v>
                </c:pt>
                <c:pt idx="561">
                  <c:v>0.546996358748904</c:v>
                </c:pt>
                <c:pt idx="562">
                  <c:v>0.547514876244068</c:v>
                </c:pt>
                <c:pt idx="563">
                  <c:v>0.546513471505943</c:v>
                </c:pt>
                <c:pt idx="564">
                  <c:v>0.546581164902402</c:v>
                </c:pt>
                <c:pt idx="565">
                  <c:v>0.546564368183744</c:v>
                </c:pt>
                <c:pt idx="566">
                  <c:v>0.546887039231982</c:v>
                </c:pt>
                <c:pt idx="567">
                  <c:v>0.547854687917454</c:v>
                </c:pt>
                <c:pt idx="568">
                  <c:v>0.549478097977487</c:v>
                </c:pt>
                <c:pt idx="569">
                  <c:v>0.54939696539444</c:v>
                </c:pt>
                <c:pt idx="570">
                  <c:v>0.529961315034669</c:v>
                </c:pt>
                <c:pt idx="571">
                  <c:v>0.516901247672202</c:v>
                </c:pt>
                <c:pt idx="572">
                  <c:v>0.299057539711401</c:v>
                </c:pt>
                <c:pt idx="573">
                  <c:v>0.197340569312724</c:v>
                </c:pt>
                <c:pt idx="574">
                  <c:v>0.231177780120372</c:v>
                </c:pt>
                <c:pt idx="575">
                  <c:v>0.236808907559751</c:v>
                </c:pt>
                <c:pt idx="576">
                  <c:v>0.235336387413985</c:v>
                </c:pt>
                <c:pt idx="577">
                  <c:v>0.23797391403426</c:v>
                </c:pt>
                <c:pt idx="578">
                  <c:v>0.236715749166104</c:v>
                </c:pt>
                <c:pt idx="579">
                  <c:v>0.243118340179968</c:v>
                </c:pt>
                <c:pt idx="580">
                  <c:v>0.242398055805597</c:v>
                </c:pt>
                <c:pt idx="581">
                  <c:v>0.237560169830963</c:v>
                </c:pt>
                <c:pt idx="582">
                  <c:v>0.256336892412337</c:v>
                </c:pt>
                <c:pt idx="583">
                  <c:v>0.256301917977123</c:v>
                </c:pt>
                <c:pt idx="584">
                  <c:v>0.245029888842515</c:v>
                </c:pt>
                <c:pt idx="585">
                  <c:v>0.239570065149734</c:v>
                </c:pt>
                <c:pt idx="586">
                  <c:v>0.232467462883389</c:v>
                </c:pt>
                <c:pt idx="587">
                  <c:v>0.230112675149909</c:v>
                </c:pt>
                <c:pt idx="588">
                  <c:v>0.230038539369426</c:v>
                </c:pt>
                <c:pt idx="589">
                  <c:v>0.230204868943781</c:v>
                </c:pt>
                <c:pt idx="590">
                  <c:v>0.227112436444479</c:v>
                </c:pt>
                <c:pt idx="591">
                  <c:v>0.228072355276859</c:v>
                </c:pt>
                <c:pt idx="592">
                  <c:v>0.233587333014493</c:v>
                </c:pt>
                <c:pt idx="593">
                  <c:v>0.232873260422408</c:v>
                </c:pt>
                <c:pt idx="594">
                  <c:v>0.23400963867142</c:v>
                </c:pt>
                <c:pt idx="595">
                  <c:v>0.232875084787072</c:v>
                </c:pt>
                <c:pt idx="596">
                  <c:v>0.232812446706475</c:v>
                </c:pt>
                <c:pt idx="597">
                  <c:v>0.226949048492816</c:v>
                </c:pt>
                <c:pt idx="598">
                  <c:v>0.226394400375797</c:v>
                </c:pt>
                <c:pt idx="599">
                  <c:v>0.225753721172256</c:v>
                </c:pt>
                <c:pt idx="600">
                  <c:v>0.225711096910901</c:v>
                </c:pt>
                <c:pt idx="601">
                  <c:v>0.22513006192815</c:v>
                </c:pt>
                <c:pt idx="602">
                  <c:v>0.227108443325848</c:v>
                </c:pt>
                <c:pt idx="603">
                  <c:v>0.228356223941446</c:v>
                </c:pt>
                <c:pt idx="604">
                  <c:v>0.177130440299147</c:v>
                </c:pt>
                <c:pt idx="605">
                  <c:v>0.166209916032928</c:v>
                </c:pt>
                <c:pt idx="606">
                  <c:v>0.162834078483257</c:v>
                </c:pt>
                <c:pt idx="607">
                  <c:v>0.157559780579732</c:v>
                </c:pt>
                <c:pt idx="608">
                  <c:v>0.16091007518088</c:v>
                </c:pt>
                <c:pt idx="609">
                  <c:v>0.143509317722483</c:v>
                </c:pt>
                <c:pt idx="610">
                  <c:v>0.140247954227955</c:v>
                </c:pt>
                <c:pt idx="611">
                  <c:v>0.140110409771965</c:v>
                </c:pt>
                <c:pt idx="612">
                  <c:v>0.165717249798931</c:v>
                </c:pt>
                <c:pt idx="613">
                  <c:v>0.170252700561713</c:v>
                </c:pt>
                <c:pt idx="614">
                  <c:v>0.170265160420507</c:v>
                </c:pt>
                <c:pt idx="615">
                  <c:v>0.170319180382747</c:v>
                </c:pt>
                <c:pt idx="616">
                  <c:v>0.168784361794274</c:v>
                </c:pt>
                <c:pt idx="617">
                  <c:v>0.169207011272674</c:v>
                </c:pt>
                <c:pt idx="618">
                  <c:v>0.170186671649696</c:v>
                </c:pt>
                <c:pt idx="619">
                  <c:v>0.172161854356209</c:v>
                </c:pt>
                <c:pt idx="620">
                  <c:v>0.174301369933575</c:v>
                </c:pt>
                <c:pt idx="621">
                  <c:v>0.173509437447321</c:v>
                </c:pt>
                <c:pt idx="622">
                  <c:v>0.16449197458512</c:v>
                </c:pt>
                <c:pt idx="623">
                  <c:v>0.198875208544603</c:v>
                </c:pt>
                <c:pt idx="624">
                  <c:v>0.19752769885354</c:v>
                </c:pt>
                <c:pt idx="625">
                  <c:v>0.198017839200343</c:v>
                </c:pt>
                <c:pt idx="626">
                  <c:v>0.197393556202476</c:v>
                </c:pt>
                <c:pt idx="627">
                  <c:v>0.217700925262149</c:v>
                </c:pt>
                <c:pt idx="628">
                  <c:v>0.229354810890746</c:v>
                </c:pt>
                <c:pt idx="629">
                  <c:v>0.229585330412614</c:v>
                </c:pt>
                <c:pt idx="630">
                  <c:v>0.2523681296934</c:v>
                </c:pt>
                <c:pt idx="631">
                  <c:v>0.272401705342544</c:v>
                </c:pt>
                <c:pt idx="632">
                  <c:v>0.272000734070918</c:v>
                </c:pt>
                <c:pt idx="633">
                  <c:v>0.308583141216477</c:v>
                </c:pt>
                <c:pt idx="634">
                  <c:v>0.311283175318078</c:v>
                </c:pt>
                <c:pt idx="635">
                  <c:v>0.423336887890412</c:v>
                </c:pt>
                <c:pt idx="636">
                  <c:v>0.428655068561058</c:v>
                </c:pt>
                <c:pt idx="637">
                  <c:v>0.428178828334902</c:v>
                </c:pt>
                <c:pt idx="638">
                  <c:v>0.429049886208124</c:v>
                </c:pt>
                <c:pt idx="639">
                  <c:v>0.434554423180758</c:v>
                </c:pt>
                <c:pt idx="640">
                  <c:v>0.43371386693022</c:v>
                </c:pt>
                <c:pt idx="641">
                  <c:v>0.434724892663438</c:v>
                </c:pt>
                <c:pt idx="642">
                  <c:v>0.422441999205555</c:v>
                </c:pt>
                <c:pt idx="643">
                  <c:v>0.419707368420113</c:v>
                </c:pt>
                <c:pt idx="644">
                  <c:v>0.426116820551931</c:v>
                </c:pt>
                <c:pt idx="645">
                  <c:v>0.426362164211615</c:v>
                </c:pt>
                <c:pt idx="646">
                  <c:v>0.426322976781702</c:v>
                </c:pt>
                <c:pt idx="647">
                  <c:v>0.42630393026594</c:v>
                </c:pt>
                <c:pt idx="648">
                  <c:v>0.441973082294562</c:v>
                </c:pt>
                <c:pt idx="649">
                  <c:v>0.444212779687873</c:v>
                </c:pt>
                <c:pt idx="650">
                  <c:v>0.446631477972449</c:v>
                </c:pt>
                <c:pt idx="651">
                  <c:v>0.445700261608136</c:v>
                </c:pt>
                <c:pt idx="652">
                  <c:v>0.458872656150167</c:v>
                </c:pt>
                <c:pt idx="653">
                  <c:v>0.446669781616684</c:v>
                </c:pt>
                <c:pt idx="654">
                  <c:v>0.447278351847249</c:v>
                </c:pt>
                <c:pt idx="655">
                  <c:v>0.448575895503921</c:v>
                </c:pt>
                <c:pt idx="656">
                  <c:v>0.449622143713567</c:v>
                </c:pt>
                <c:pt idx="657">
                  <c:v>0.43999937681723</c:v>
                </c:pt>
                <c:pt idx="658">
                  <c:v>0.43356319737157</c:v>
                </c:pt>
                <c:pt idx="659">
                  <c:v>0.435039938857955</c:v>
                </c:pt>
                <c:pt idx="660">
                  <c:v>0.418621217338729</c:v>
                </c:pt>
                <c:pt idx="661">
                  <c:v>0.409147893781934</c:v>
                </c:pt>
                <c:pt idx="662">
                  <c:v>0.411295976102735</c:v>
                </c:pt>
                <c:pt idx="663">
                  <c:v>0.380911056610983</c:v>
                </c:pt>
                <c:pt idx="664">
                  <c:v>0.381626225880735</c:v>
                </c:pt>
                <c:pt idx="665">
                  <c:v>0.261733132085534</c:v>
                </c:pt>
                <c:pt idx="666">
                  <c:v>0.251796895774688</c:v>
                </c:pt>
                <c:pt idx="667">
                  <c:v>0.265148702570345</c:v>
                </c:pt>
                <c:pt idx="668">
                  <c:v>0.26331631484478</c:v>
                </c:pt>
                <c:pt idx="669">
                  <c:v>0.256503292085281</c:v>
                </c:pt>
                <c:pt idx="670">
                  <c:v>0.256196775208275</c:v>
                </c:pt>
                <c:pt idx="671">
                  <c:v>0.253555169235081</c:v>
                </c:pt>
                <c:pt idx="672">
                  <c:v>0.248788473532667</c:v>
                </c:pt>
                <c:pt idx="673">
                  <c:v>0.250544884110515</c:v>
                </c:pt>
                <c:pt idx="674">
                  <c:v>0.241370106030484</c:v>
                </c:pt>
                <c:pt idx="675">
                  <c:v>0.242166811460741</c:v>
                </c:pt>
                <c:pt idx="676">
                  <c:v>0.241987576322912</c:v>
                </c:pt>
                <c:pt idx="677">
                  <c:v>0.242440294085612</c:v>
                </c:pt>
                <c:pt idx="678">
                  <c:v>0.207333085925043</c:v>
                </c:pt>
                <c:pt idx="679">
                  <c:v>0.202512058807011</c:v>
                </c:pt>
                <c:pt idx="680">
                  <c:v>0.186989157429559</c:v>
                </c:pt>
                <c:pt idx="681">
                  <c:v>0.18703447599962</c:v>
                </c:pt>
                <c:pt idx="682">
                  <c:v>0.161716623662881</c:v>
                </c:pt>
                <c:pt idx="683">
                  <c:v>0.214834360373475</c:v>
                </c:pt>
                <c:pt idx="684">
                  <c:v>0.225004115857798</c:v>
                </c:pt>
                <c:pt idx="685">
                  <c:v>0.314607192479962</c:v>
                </c:pt>
                <c:pt idx="686">
                  <c:v>0.336005872580607</c:v>
                </c:pt>
                <c:pt idx="687">
                  <c:v>0.335735425830432</c:v>
                </c:pt>
                <c:pt idx="688">
                  <c:v>0.332993149868355</c:v>
                </c:pt>
                <c:pt idx="689">
                  <c:v>0.334117041719897</c:v>
                </c:pt>
                <c:pt idx="690">
                  <c:v>0.378573285916488</c:v>
                </c:pt>
                <c:pt idx="691">
                  <c:v>0.385487051680251</c:v>
                </c:pt>
                <c:pt idx="692">
                  <c:v>0.391086144354328</c:v>
                </c:pt>
                <c:pt idx="693">
                  <c:v>0.390709452989642</c:v>
                </c:pt>
                <c:pt idx="694">
                  <c:v>0.390669726202211</c:v>
                </c:pt>
                <c:pt idx="695">
                  <c:v>0.389900785302998</c:v>
                </c:pt>
                <c:pt idx="696">
                  <c:v>0.38885834898197</c:v>
                </c:pt>
                <c:pt idx="697">
                  <c:v>0.490837900775757</c:v>
                </c:pt>
                <c:pt idx="698">
                  <c:v>0.666248971967496</c:v>
                </c:pt>
                <c:pt idx="699">
                  <c:v>0.799251676682963</c:v>
                </c:pt>
                <c:pt idx="700">
                  <c:v>0.79992318692187</c:v>
                </c:pt>
                <c:pt idx="701">
                  <c:v>0.800679297842844</c:v>
                </c:pt>
                <c:pt idx="702">
                  <c:v>0.806837464913826</c:v>
                </c:pt>
                <c:pt idx="703">
                  <c:v>0.805813760501467</c:v>
                </c:pt>
                <c:pt idx="704">
                  <c:v>0.93506258429553</c:v>
                </c:pt>
                <c:pt idx="705">
                  <c:v>0.937442172976173</c:v>
                </c:pt>
                <c:pt idx="706">
                  <c:v>0.940527439434776</c:v>
                </c:pt>
                <c:pt idx="707">
                  <c:v>0.940680433363521</c:v>
                </c:pt>
                <c:pt idx="708">
                  <c:v>0.940691588257243</c:v>
                </c:pt>
                <c:pt idx="709">
                  <c:v>0.940303416361625</c:v>
                </c:pt>
                <c:pt idx="710">
                  <c:v>0.981287857216681</c:v>
                </c:pt>
                <c:pt idx="711">
                  <c:v>0.984954198961407</c:v>
                </c:pt>
                <c:pt idx="712">
                  <c:v>0.985729735766233</c:v>
                </c:pt>
                <c:pt idx="713">
                  <c:v>0.976362144777742</c:v>
                </c:pt>
                <c:pt idx="714">
                  <c:v>0.979282474320989</c:v>
                </c:pt>
                <c:pt idx="715">
                  <c:v>0.949676272281129</c:v>
                </c:pt>
                <c:pt idx="716">
                  <c:v>0.947537013911832</c:v>
                </c:pt>
                <c:pt idx="717">
                  <c:v>0.952044065686403</c:v>
                </c:pt>
                <c:pt idx="718">
                  <c:v>0.952439182300699</c:v>
                </c:pt>
                <c:pt idx="719">
                  <c:v>0.951756761886883</c:v>
                </c:pt>
                <c:pt idx="720">
                  <c:v>0.92723308558747</c:v>
                </c:pt>
                <c:pt idx="721">
                  <c:v>0.926701305511084</c:v>
                </c:pt>
                <c:pt idx="722">
                  <c:v>0.926580490417917</c:v>
                </c:pt>
                <c:pt idx="723">
                  <c:v>0.925664194313498</c:v>
                </c:pt>
                <c:pt idx="724">
                  <c:v>0.939976489583953</c:v>
                </c:pt>
                <c:pt idx="725">
                  <c:v>0.941333241286037</c:v>
                </c:pt>
                <c:pt idx="726">
                  <c:v>0.94245840134667</c:v>
                </c:pt>
                <c:pt idx="727">
                  <c:v>0.868229229056486</c:v>
                </c:pt>
                <c:pt idx="728">
                  <c:v>0.770607912515457</c:v>
                </c:pt>
                <c:pt idx="729">
                  <c:v>0.647501046051316</c:v>
                </c:pt>
                <c:pt idx="730">
                  <c:v>0.646437369107234</c:v>
                </c:pt>
                <c:pt idx="731">
                  <c:v>0.651744227688406</c:v>
                </c:pt>
                <c:pt idx="732">
                  <c:v>0.64446441100765</c:v>
                </c:pt>
                <c:pt idx="733">
                  <c:v>0.684575522874932</c:v>
                </c:pt>
                <c:pt idx="734">
                  <c:v>0.484999382319066</c:v>
                </c:pt>
                <c:pt idx="735">
                  <c:v>0.483866499996748</c:v>
                </c:pt>
                <c:pt idx="736">
                  <c:v>0.483549116285452</c:v>
                </c:pt>
                <c:pt idx="737">
                  <c:v>0.484494080386055</c:v>
                </c:pt>
                <c:pt idx="738">
                  <c:v>0.484762349763503</c:v>
                </c:pt>
                <c:pt idx="739">
                  <c:v>0.484866075232314</c:v>
                </c:pt>
                <c:pt idx="740">
                  <c:v>0.406316086313153</c:v>
                </c:pt>
                <c:pt idx="741">
                  <c:v>0.398708567645358</c:v>
                </c:pt>
                <c:pt idx="742">
                  <c:v>0.396790974218286</c:v>
                </c:pt>
                <c:pt idx="743">
                  <c:v>0.394091074396588</c:v>
                </c:pt>
                <c:pt idx="744">
                  <c:v>0.389260315872048</c:v>
                </c:pt>
                <c:pt idx="745">
                  <c:v>0.402402114617107</c:v>
                </c:pt>
                <c:pt idx="746">
                  <c:v>0.389635755061948</c:v>
                </c:pt>
                <c:pt idx="747">
                  <c:v>0.398252744527646</c:v>
                </c:pt>
                <c:pt idx="748">
                  <c:v>0.399681038782067</c:v>
                </c:pt>
                <c:pt idx="749">
                  <c:v>0.413470801267194</c:v>
                </c:pt>
                <c:pt idx="750">
                  <c:v>0.416784408876916</c:v>
                </c:pt>
                <c:pt idx="751">
                  <c:v>0.416264926316009</c:v>
                </c:pt>
                <c:pt idx="752">
                  <c:v>0.412733973155498</c:v>
                </c:pt>
                <c:pt idx="753">
                  <c:v>0.418492436164644</c:v>
                </c:pt>
                <c:pt idx="754">
                  <c:v>0.401211120920362</c:v>
                </c:pt>
                <c:pt idx="755">
                  <c:v>0.399453188725007</c:v>
                </c:pt>
                <c:pt idx="756">
                  <c:v>0.406886020828989</c:v>
                </c:pt>
                <c:pt idx="757">
                  <c:v>0.407056628152555</c:v>
                </c:pt>
                <c:pt idx="758">
                  <c:v>0.405718885824835</c:v>
                </c:pt>
                <c:pt idx="759">
                  <c:v>0.425959467170956</c:v>
                </c:pt>
                <c:pt idx="760">
                  <c:v>0.508459557395305</c:v>
                </c:pt>
                <c:pt idx="761">
                  <c:v>0.516013586325275</c:v>
                </c:pt>
                <c:pt idx="762">
                  <c:v>0.588115873239901</c:v>
                </c:pt>
                <c:pt idx="763">
                  <c:v>0.58869904744507</c:v>
                </c:pt>
                <c:pt idx="764">
                  <c:v>0.600013302755395</c:v>
                </c:pt>
                <c:pt idx="765">
                  <c:v>0.599050234949163</c:v>
                </c:pt>
                <c:pt idx="766">
                  <c:v>0.596853068735252</c:v>
                </c:pt>
                <c:pt idx="767">
                  <c:v>0.594902560493069</c:v>
                </c:pt>
                <c:pt idx="768">
                  <c:v>0.656547614667822</c:v>
                </c:pt>
                <c:pt idx="769">
                  <c:v>0.741937987757145</c:v>
                </c:pt>
                <c:pt idx="770">
                  <c:v>0.81408145657534</c:v>
                </c:pt>
                <c:pt idx="771">
                  <c:v>0.831537205790274</c:v>
                </c:pt>
                <c:pt idx="772">
                  <c:v>0.836241013645825</c:v>
                </c:pt>
                <c:pt idx="773">
                  <c:v>0.866270256447014</c:v>
                </c:pt>
                <c:pt idx="774">
                  <c:v>0.9000834296575</c:v>
                </c:pt>
                <c:pt idx="775">
                  <c:v>0.890695208737968</c:v>
                </c:pt>
                <c:pt idx="776">
                  <c:v>0.942993857556462</c:v>
                </c:pt>
                <c:pt idx="777">
                  <c:v>0.93045696090012</c:v>
                </c:pt>
                <c:pt idx="778">
                  <c:v>0.931973562022268</c:v>
                </c:pt>
                <c:pt idx="779">
                  <c:v>0.965339073901439</c:v>
                </c:pt>
                <c:pt idx="780">
                  <c:v>0.960962420748858</c:v>
                </c:pt>
                <c:pt idx="781">
                  <c:v>0.959800148442993</c:v>
                </c:pt>
                <c:pt idx="782">
                  <c:v>0.959786128952784</c:v>
                </c:pt>
                <c:pt idx="783">
                  <c:v>0.967729573447064</c:v>
                </c:pt>
                <c:pt idx="784">
                  <c:v>0.959668394903639</c:v>
                </c:pt>
                <c:pt idx="785">
                  <c:v>0.960126529148367</c:v>
                </c:pt>
                <c:pt idx="786">
                  <c:v>0.968929907470112</c:v>
                </c:pt>
                <c:pt idx="787">
                  <c:v>0.968671535679709</c:v>
                </c:pt>
                <c:pt idx="788">
                  <c:v>0.968397368614344</c:v>
                </c:pt>
                <c:pt idx="789">
                  <c:v>0.979120458240519</c:v>
                </c:pt>
                <c:pt idx="790">
                  <c:v>0.944231465288706</c:v>
                </c:pt>
                <c:pt idx="791">
                  <c:v>0.934161927649744</c:v>
                </c:pt>
                <c:pt idx="792">
                  <c:v>0.895408502125413</c:v>
                </c:pt>
                <c:pt idx="793">
                  <c:v>0.863207727216871</c:v>
                </c:pt>
                <c:pt idx="794">
                  <c:v>0.852980625382084</c:v>
                </c:pt>
                <c:pt idx="795">
                  <c:v>0.852850845754489</c:v>
                </c:pt>
                <c:pt idx="796">
                  <c:v>0.859253103468674</c:v>
                </c:pt>
                <c:pt idx="797">
                  <c:v>0.857693017942234</c:v>
                </c:pt>
                <c:pt idx="798">
                  <c:v>0.820149479764611</c:v>
                </c:pt>
                <c:pt idx="799">
                  <c:v>0.746514902795987</c:v>
                </c:pt>
                <c:pt idx="800">
                  <c:v>0.65174845511986</c:v>
                </c:pt>
                <c:pt idx="801">
                  <c:v>0.633268652485828</c:v>
                </c:pt>
                <c:pt idx="802">
                  <c:v>0.629746762944645</c:v>
                </c:pt>
                <c:pt idx="803">
                  <c:v>0.594504267538127</c:v>
                </c:pt>
                <c:pt idx="804">
                  <c:v>0.524330014173624</c:v>
                </c:pt>
                <c:pt idx="805">
                  <c:v>0.522347106671482</c:v>
                </c:pt>
                <c:pt idx="806">
                  <c:v>0.382647591964922</c:v>
                </c:pt>
                <c:pt idx="807">
                  <c:v>0.375689122359289</c:v>
                </c:pt>
                <c:pt idx="808">
                  <c:v>0.377284524110616</c:v>
                </c:pt>
                <c:pt idx="809">
                  <c:v>0.311410862493636</c:v>
                </c:pt>
                <c:pt idx="810">
                  <c:v>0.329215596502412</c:v>
                </c:pt>
                <c:pt idx="811">
                  <c:v>0.327645327128259</c:v>
                </c:pt>
                <c:pt idx="812">
                  <c:v>0.325822388757505</c:v>
                </c:pt>
                <c:pt idx="813">
                  <c:v>0.301432623379377</c:v>
                </c:pt>
                <c:pt idx="814">
                  <c:v>0.317001377638496</c:v>
                </c:pt>
                <c:pt idx="815">
                  <c:v>0.319291818959125</c:v>
                </c:pt>
                <c:pt idx="816">
                  <c:v>0.326415510206169</c:v>
                </c:pt>
                <c:pt idx="817">
                  <c:v>0.322317504684798</c:v>
                </c:pt>
                <c:pt idx="818">
                  <c:v>0.320894097749279</c:v>
                </c:pt>
                <c:pt idx="819">
                  <c:v>0.288988875332254</c:v>
                </c:pt>
                <c:pt idx="820">
                  <c:v>0.288124037361461</c:v>
                </c:pt>
                <c:pt idx="821">
                  <c:v>0.333691430287298</c:v>
                </c:pt>
                <c:pt idx="822">
                  <c:v>0.332877160565681</c:v>
                </c:pt>
                <c:pt idx="823">
                  <c:v>0.346312837960656</c:v>
                </c:pt>
                <c:pt idx="824">
                  <c:v>0.348170364120601</c:v>
                </c:pt>
                <c:pt idx="825">
                  <c:v>0.474027338246577</c:v>
                </c:pt>
                <c:pt idx="826">
                  <c:v>0.473440366086591</c:v>
                </c:pt>
                <c:pt idx="827">
                  <c:v>0.470968066884381</c:v>
                </c:pt>
                <c:pt idx="828">
                  <c:v>0.494064935710642</c:v>
                </c:pt>
                <c:pt idx="829">
                  <c:v>0.491657123164814</c:v>
                </c:pt>
                <c:pt idx="830">
                  <c:v>0.491937710958566</c:v>
                </c:pt>
                <c:pt idx="831">
                  <c:v>0.504332541479312</c:v>
                </c:pt>
                <c:pt idx="832">
                  <c:v>0.511106884695306</c:v>
                </c:pt>
                <c:pt idx="833">
                  <c:v>0.518344435784441</c:v>
                </c:pt>
                <c:pt idx="834">
                  <c:v>0.521760474178301</c:v>
                </c:pt>
                <c:pt idx="835">
                  <c:v>0.51969034188356</c:v>
                </c:pt>
                <c:pt idx="836">
                  <c:v>0.545709421036115</c:v>
                </c:pt>
                <c:pt idx="837">
                  <c:v>0.567718035832129</c:v>
                </c:pt>
                <c:pt idx="838">
                  <c:v>0.598796820384177</c:v>
                </c:pt>
                <c:pt idx="839">
                  <c:v>0.629470431839695</c:v>
                </c:pt>
                <c:pt idx="840">
                  <c:v>0.711109353722729</c:v>
                </c:pt>
                <c:pt idx="841">
                  <c:v>0.727884152012986</c:v>
                </c:pt>
                <c:pt idx="842">
                  <c:v>0.727457570105819</c:v>
                </c:pt>
                <c:pt idx="843">
                  <c:v>0.75360810876673</c:v>
                </c:pt>
                <c:pt idx="844">
                  <c:v>0.759555108965279</c:v>
                </c:pt>
                <c:pt idx="845">
                  <c:v>0.768113859306139</c:v>
                </c:pt>
                <c:pt idx="846">
                  <c:v>0.763754994485839</c:v>
                </c:pt>
                <c:pt idx="847">
                  <c:v>0.764711591200689</c:v>
                </c:pt>
                <c:pt idx="848">
                  <c:v>0.765866552877556</c:v>
                </c:pt>
                <c:pt idx="849">
                  <c:v>0.786567231032754</c:v>
                </c:pt>
                <c:pt idx="850">
                  <c:v>0.801640660580216</c:v>
                </c:pt>
                <c:pt idx="851">
                  <c:v>0.840093681540115</c:v>
                </c:pt>
                <c:pt idx="852">
                  <c:v>0.844191536492393</c:v>
                </c:pt>
                <c:pt idx="853">
                  <c:v>0.839788548189667</c:v>
                </c:pt>
                <c:pt idx="854">
                  <c:v>0.844494708619093</c:v>
                </c:pt>
                <c:pt idx="855">
                  <c:v>0.770053249044108</c:v>
                </c:pt>
                <c:pt idx="856">
                  <c:v>0.900862063012019</c:v>
                </c:pt>
                <c:pt idx="857">
                  <c:v>0.900550935548485</c:v>
                </c:pt>
                <c:pt idx="858">
                  <c:v>0.985200638914237</c:v>
                </c:pt>
                <c:pt idx="859">
                  <c:v>0.987443220647282</c:v>
                </c:pt>
                <c:pt idx="860">
                  <c:v>0.989037843033696</c:v>
                </c:pt>
                <c:pt idx="861">
                  <c:v>0.996681938688134</c:v>
                </c:pt>
                <c:pt idx="862">
                  <c:v>1.01056396825409</c:v>
                </c:pt>
                <c:pt idx="863">
                  <c:v>1.00735081920706</c:v>
                </c:pt>
                <c:pt idx="864">
                  <c:v>1.01653925643575</c:v>
                </c:pt>
                <c:pt idx="865">
                  <c:v>1.02245298356048</c:v>
                </c:pt>
                <c:pt idx="866">
                  <c:v>0.999147034919908</c:v>
                </c:pt>
                <c:pt idx="867">
                  <c:v>0.97325816329557</c:v>
                </c:pt>
                <c:pt idx="868">
                  <c:v>0.979387075862737</c:v>
                </c:pt>
                <c:pt idx="869">
                  <c:v>0.97568974151478</c:v>
                </c:pt>
                <c:pt idx="870">
                  <c:v>0.943078749512314</c:v>
                </c:pt>
                <c:pt idx="871">
                  <c:v>0.947898981907389</c:v>
                </c:pt>
                <c:pt idx="872">
                  <c:v>0.947245401530872</c:v>
                </c:pt>
                <c:pt idx="873">
                  <c:v>0.935731264972094</c:v>
                </c:pt>
                <c:pt idx="874">
                  <c:v>0.92885030485509</c:v>
                </c:pt>
                <c:pt idx="875">
                  <c:v>0.914239628399837</c:v>
                </c:pt>
                <c:pt idx="876">
                  <c:v>0.919942072432727</c:v>
                </c:pt>
                <c:pt idx="877">
                  <c:v>0.91552639085963</c:v>
                </c:pt>
                <c:pt idx="878">
                  <c:v>0.918223804695434</c:v>
                </c:pt>
                <c:pt idx="879">
                  <c:v>0.88649139425912</c:v>
                </c:pt>
                <c:pt idx="880">
                  <c:v>0.856607142118345</c:v>
                </c:pt>
                <c:pt idx="881">
                  <c:v>0.836757971725978</c:v>
                </c:pt>
                <c:pt idx="882">
                  <c:v>0.827186736230894</c:v>
                </c:pt>
                <c:pt idx="883">
                  <c:v>0.828997779167971</c:v>
                </c:pt>
                <c:pt idx="884">
                  <c:v>0.84667567137203</c:v>
                </c:pt>
                <c:pt idx="885">
                  <c:v>0.839487254574484</c:v>
                </c:pt>
                <c:pt idx="886">
                  <c:v>0.744813352372968</c:v>
                </c:pt>
                <c:pt idx="887">
                  <c:v>0.741582788291895</c:v>
                </c:pt>
                <c:pt idx="888">
                  <c:v>0.667593703573766</c:v>
                </c:pt>
                <c:pt idx="889">
                  <c:v>0.78442226620104</c:v>
                </c:pt>
                <c:pt idx="890">
                  <c:v>0.776666276858997</c:v>
                </c:pt>
                <c:pt idx="891">
                  <c:v>0.939033762481386</c:v>
                </c:pt>
                <c:pt idx="892">
                  <c:v>0.935857303103979</c:v>
                </c:pt>
                <c:pt idx="893">
                  <c:v>0.929372786232618</c:v>
                </c:pt>
                <c:pt idx="894">
                  <c:v>1.253061631842</c:v>
                </c:pt>
                <c:pt idx="895">
                  <c:v>1.27927456283994</c:v>
                </c:pt>
                <c:pt idx="896">
                  <c:v>1.29622479721571</c:v>
                </c:pt>
                <c:pt idx="897">
                  <c:v>1.29964912072015</c:v>
                </c:pt>
                <c:pt idx="898">
                  <c:v>1.28955159982682</c:v>
                </c:pt>
                <c:pt idx="899">
                  <c:v>1.31349250066281</c:v>
                </c:pt>
                <c:pt idx="900">
                  <c:v>1.30668326024083</c:v>
                </c:pt>
                <c:pt idx="901">
                  <c:v>1.29879427794408</c:v>
                </c:pt>
                <c:pt idx="902">
                  <c:v>1.30691312334927</c:v>
                </c:pt>
                <c:pt idx="903">
                  <c:v>1.31176709457762</c:v>
                </c:pt>
                <c:pt idx="904">
                  <c:v>1.30675614724996</c:v>
                </c:pt>
                <c:pt idx="905">
                  <c:v>1.31424566159328</c:v>
                </c:pt>
                <c:pt idx="906">
                  <c:v>1.32014838817636</c:v>
                </c:pt>
                <c:pt idx="907">
                  <c:v>1.32084740904999</c:v>
                </c:pt>
                <c:pt idx="908">
                  <c:v>1.32291808202912</c:v>
                </c:pt>
                <c:pt idx="909">
                  <c:v>1.32523708679612</c:v>
                </c:pt>
                <c:pt idx="910">
                  <c:v>1.39329887163605</c:v>
                </c:pt>
                <c:pt idx="911">
                  <c:v>1.38358569820766</c:v>
                </c:pt>
                <c:pt idx="912">
                  <c:v>1.39147849414767</c:v>
                </c:pt>
                <c:pt idx="913">
                  <c:v>1.38731454879924</c:v>
                </c:pt>
                <c:pt idx="914">
                  <c:v>1.35993729731744</c:v>
                </c:pt>
                <c:pt idx="915">
                  <c:v>1.35915822868155</c:v>
                </c:pt>
                <c:pt idx="916">
                  <c:v>1.36738671497848</c:v>
                </c:pt>
                <c:pt idx="917">
                  <c:v>1.37034031474586</c:v>
                </c:pt>
                <c:pt idx="918">
                  <c:v>1.34986933671127</c:v>
                </c:pt>
                <c:pt idx="919">
                  <c:v>1.256555920694</c:v>
                </c:pt>
                <c:pt idx="920">
                  <c:v>1.26287283593921</c:v>
                </c:pt>
                <c:pt idx="921">
                  <c:v>1.17599586607402</c:v>
                </c:pt>
                <c:pt idx="922">
                  <c:v>1.18491861649421</c:v>
                </c:pt>
                <c:pt idx="923">
                  <c:v>1.19653293933462</c:v>
                </c:pt>
                <c:pt idx="924">
                  <c:v>0.89296216087311</c:v>
                </c:pt>
                <c:pt idx="925">
                  <c:v>0.843582377934311</c:v>
                </c:pt>
                <c:pt idx="926">
                  <c:v>0.830664136366065</c:v>
                </c:pt>
                <c:pt idx="927">
                  <c:v>0.820482091554908</c:v>
                </c:pt>
                <c:pt idx="928">
                  <c:v>0.819647560038382</c:v>
                </c:pt>
                <c:pt idx="929">
                  <c:v>0.760011109957961</c:v>
                </c:pt>
                <c:pt idx="930">
                  <c:v>0.751482459596343</c:v>
                </c:pt>
                <c:pt idx="931">
                  <c:v>0.744033999430071</c:v>
                </c:pt>
                <c:pt idx="932">
                  <c:v>0.73925790089266</c:v>
                </c:pt>
                <c:pt idx="933">
                  <c:v>0.720629722912944</c:v>
                </c:pt>
                <c:pt idx="934">
                  <c:v>0.728330461553871</c:v>
                </c:pt>
                <c:pt idx="935">
                  <c:v>0.723559432141765</c:v>
                </c:pt>
                <c:pt idx="936">
                  <c:v>0.692669197815081</c:v>
                </c:pt>
                <c:pt idx="937">
                  <c:v>0.688474273729933</c:v>
                </c:pt>
                <c:pt idx="938">
                  <c:v>0.744233700234212</c:v>
                </c:pt>
                <c:pt idx="939">
                  <c:v>0.747625861587557</c:v>
                </c:pt>
                <c:pt idx="940">
                  <c:v>0.647388424227088</c:v>
                </c:pt>
                <c:pt idx="941">
                  <c:v>0.650770105991917</c:v>
                </c:pt>
                <c:pt idx="942">
                  <c:v>0.641832954549036</c:v>
                </c:pt>
                <c:pt idx="943">
                  <c:v>0.642433060936348</c:v>
                </c:pt>
                <c:pt idx="944">
                  <c:v>0.679459142042026</c:v>
                </c:pt>
                <c:pt idx="945">
                  <c:v>0.67630662126669</c:v>
                </c:pt>
                <c:pt idx="946">
                  <c:v>0.655844366373679</c:v>
                </c:pt>
                <c:pt idx="947">
                  <c:v>0.629096522583749</c:v>
                </c:pt>
                <c:pt idx="948">
                  <c:v>0.610019709421046</c:v>
                </c:pt>
                <c:pt idx="949">
                  <c:v>0.62715566222745</c:v>
                </c:pt>
                <c:pt idx="950">
                  <c:v>0.849586743324742</c:v>
                </c:pt>
                <c:pt idx="951">
                  <c:v>0.976940044231531</c:v>
                </c:pt>
                <c:pt idx="952">
                  <c:v>0.975319302793796</c:v>
                </c:pt>
                <c:pt idx="953">
                  <c:v>0.965682266235985</c:v>
                </c:pt>
                <c:pt idx="954">
                  <c:v>1.02628607718074</c:v>
                </c:pt>
                <c:pt idx="955">
                  <c:v>1.03569264000294</c:v>
                </c:pt>
                <c:pt idx="956">
                  <c:v>1.03540722343085</c:v>
                </c:pt>
                <c:pt idx="957">
                  <c:v>1.05742369489364</c:v>
                </c:pt>
                <c:pt idx="958">
                  <c:v>1.0558734045891</c:v>
                </c:pt>
                <c:pt idx="959">
                  <c:v>1.05900635424518</c:v>
                </c:pt>
                <c:pt idx="960">
                  <c:v>1.06169896315334</c:v>
                </c:pt>
                <c:pt idx="961">
                  <c:v>1.09092185461669</c:v>
                </c:pt>
                <c:pt idx="962">
                  <c:v>1.0910469987893</c:v>
                </c:pt>
                <c:pt idx="963">
                  <c:v>1.12688588557324</c:v>
                </c:pt>
                <c:pt idx="964">
                  <c:v>1.11288003659636</c:v>
                </c:pt>
                <c:pt idx="965">
                  <c:v>1.11299778631683</c:v>
                </c:pt>
                <c:pt idx="966">
                  <c:v>1.11683700936338</c:v>
                </c:pt>
                <c:pt idx="967">
                  <c:v>1.10657197607288</c:v>
                </c:pt>
                <c:pt idx="968">
                  <c:v>1.08649851558238</c:v>
                </c:pt>
                <c:pt idx="969">
                  <c:v>1.08818552903437</c:v>
                </c:pt>
                <c:pt idx="970">
                  <c:v>1.08657073107524</c:v>
                </c:pt>
                <c:pt idx="971">
                  <c:v>1.08952148169639</c:v>
                </c:pt>
                <c:pt idx="972">
                  <c:v>1.08003835777082</c:v>
                </c:pt>
                <c:pt idx="973">
                  <c:v>1.08142202707864</c:v>
                </c:pt>
                <c:pt idx="974">
                  <c:v>1.0684569231465</c:v>
                </c:pt>
                <c:pt idx="975">
                  <c:v>1.07459198339471</c:v>
                </c:pt>
                <c:pt idx="976">
                  <c:v>1.07188395167841</c:v>
                </c:pt>
                <c:pt idx="977">
                  <c:v>1.07131419899112</c:v>
                </c:pt>
                <c:pt idx="978">
                  <c:v>1.14509815591326</c:v>
                </c:pt>
                <c:pt idx="979">
                  <c:v>1.10475111493129</c:v>
                </c:pt>
                <c:pt idx="980">
                  <c:v>0.88652431011512</c:v>
                </c:pt>
                <c:pt idx="981">
                  <c:v>0.78249382530089</c:v>
                </c:pt>
                <c:pt idx="982">
                  <c:v>0.780024470516818</c:v>
                </c:pt>
                <c:pt idx="983">
                  <c:v>0.792416023452486</c:v>
                </c:pt>
                <c:pt idx="984">
                  <c:v>0.734321133097065</c:v>
                </c:pt>
                <c:pt idx="985">
                  <c:v>0.705225396620368</c:v>
                </c:pt>
                <c:pt idx="986">
                  <c:v>0.711398930090593</c:v>
                </c:pt>
                <c:pt idx="987">
                  <c:v>0.647264745067012</c:v>
                </c:pt>
                <c:pt idx="988">
                  <c:v>0.64859229987881</c:v>
                </c:pt>
                <c:pt idx="989">
                  <c:v>0.650314996094536</c:v>
                </c:pt>
                <c:pt idx="990">
                  <c:v>0.691777325260966</c:v>
                </c:pt>
                <c:pt idx="991">
                  <c:v>0.671641282383998</c:v>
                </c:pt>
                <c:pt idx="992">
                  <c:v>0.668552204036412</c:v>
                </c:pt>
                <c:pt idx="993">
                  <c:v>0.63645256813109</c:v>
                </c:pt>
                <c:pt idx="994">
                  <c:v>0.637111416957353</c:v>
                </c:pt>
                <c:pt idx="995">
                  <c:v>0.661145975844565</c:v>
                </c:pt>
                <c:pt idx="996">
                  <c:v>0.654285555749297</c:v>
                </c:pt>
                <c:pt idx="997">
                  <c:v>0.66870686004864</c:v>
                </c:pt>
                <c:pt idx="998">
                  <c:v>0.680037437903275</c:v>
                </c:pt>
                <c:pt idx="999">
                  <c:v>0.673067849545817</c:v>
                </c:pt>
                <c:pt idx="1000">
                  <c:v>0.658782579904114</c:v>
                </c:pt>
                <c:pt idx="1001">
                  <c:v>0.660608021407524</c:v>
                </c:pt>
                <c:pt idx="1002">
                  <c:v>0.664033334292925</c:v>
                </c:pt>
                <c:pt idx="1003">
                  <c:v>0.715547490671994</c:v>
                </c:pt>
                <c:pt idx="1004">
                  <c:v>0.710651834514708</c:v>
                </c:pt>
                <c:pt idx="1005">
                  <c:v>0.715928017548284</c:v>
                </c:pt>
                <c:pt idx="1006">
                  <c:v>0.74104099439635</c:v>
                </c:pt>
                <c:pt idx="1007">
                  <c:v>0.815995922665456</c:v>
                </c:pt>
                <c:pt idx="1008">
                  <c:v>0.724780427349509</c:v>
                </c:pt>
                <c:pt idx="1009">
                  <c:v>0.769237794403962</c:v>
                </c:pt>
                <c:pt idx="1010">
                  <c:v>0.842794994305198</c:v>
                </c:pt>
                <c:pt idx="1011">
                  <c:v>0.837933903082124</c:v>
                </c:pt>
                <c:pt idx="1012">
                  <c:v>0.900164494660332</c:v>
                </c:pt>
                <c:pt idx="1013">
                  <c:v>0.917190435919703</c:v>
                </c:pt>
                <c:pt idx="1014">
                  <c:v>0.920720204010396</c:v>
                </c:pt>
                <c:pt idx="1015">
                  <c:v>0.91971358432724</c:v>
                </c:pt>
                <c:pt idx="1016">
                  <c:v>0.912798945668102</c:v>
                </c:pt>
                <c:pt idx="1017">
                  <c:v>0.914760380743236</c:v>
                </c:pt>
                <c:pt idx="1018">
                  <c:v>0.918967652500366</c:v>
                </c:pt>
                <c:pt idx="1019">
                  <c:v>0.914188706541031</c:v>
                </c:pt>
                <c:pt idx="1020">
                  <c:v>0.881588647628644</c:v>
                </c:pt>
                <c:pt idx="1021">
                  <c:v>0.877572527940529</c:v>
                </c:pt>
                <c:pt idx="1022">
                  <c:v>0.898224791471399</c:v>
                </c:pt>
                <c:pt idx="1023">
                  <c:v>0.908905046069354</c:v>
                </c:pt>
                <c:pt idx="1024">
                  <c:v>0.908795445183838</c:v>
                </c:pt>
                <c:pt idx="1025">
                  <c:v>0.892436865208285</c:v>
                </c:pt>
                <c:pt idx="1026">
                  <c:v>0.892112060338552</c:v>
                </c:pt>
                <c:pt idx="1027">
                  <c:v>0.885452993614118</c:v>
                </c:pt>
                <c:pt idx="1028">
                  <c:v>0.918901430690623</c:v>
                </c:pt>
                <c:pt idx="1029">
                  <c:v>0.916252332622797</c:v>
                </c:pt>
                <c:pt idx="1030">
                  <c:v>0.918270434501881</c:v>
                </c:pt>
                <c:pt idx="1031">
                  <c:v>0.917712874379397</c:v>
                </c:pt>
                <c:pt idx="1032">
                  <c:v>0.916029703982765</c:v>
                </c:pt>
                <c:pt idx="1033">
                  <c:v>1.05086903143875</c:v>
                </c:pt>
                <c:pt idx="1034">
                  <c:v>1.23670014322771</c:v>
                </c:pt>
                <c:pt idx="1035">
                  <c:v>1.27424466943389</c:v>
                </c:pt>
                <c:pt idx="1036">
                  <c:v>1.2932532473696</c:v>
                </c:pt>
                <c:pt idx="1037">
                  <c:v>1.23583538475168</c:v>
                </c:pt>
                <c:pt idx="1038">
                  <c:v>1.23775720918683</c:v>
                </c:pt>
                <c:pt idx="1039">
                  <c:v>1.17571111133255</c:v>
                </c:pt>
                <c:pt idx="1040">
                  <c:v>1.19657577725236</c:v>
                </c:pt>
                <c:pt idx="1041">
                  <c:v>1.19832747595475</c:v>
                </c:pt>
                <c:pt idx="1042">
                  <c:v>1.17704511156394</c:v>
                </c:pt>
                <c:pt idx="1043">
                  <c:v>1.19540101638132</c:v>
                </c:pt>
                <c:pt idx="1044">
                  <c:v>1.19442459894095</c:v>
                </c:pt>
                <c:pt idx="1045">
                  <c:v>1.20390852008747</c:v>
                </c:pt>
                <c:pt idx="1046">
                  <c:v>1.2485378107061</c:v>
                </c:pt>
                <c:pt idx="1047">
                  <c:v>1.30091400996817</c:v>
                </c:pt>
                <c:pt idx="1048">
                  <c:v>1.3154888412477</c:v>
                </c:pt>
                <c:pt idx="1049">
                  <c:v>1.38655223427806</c:v>
                </c:pt>
                <c:pt idx="1050">
                  <c:v>1.38385984070183</c:v>
                </c:pt>
                <c:pt idx="1051">
                  <c:v>1.41118386134584</c:v>
                </c:pt>
                <c:pt idx="1052">
                  <c:v>1.40136420920492</c:v>
                </c:pt>
                <c:pt idx="1053">
                  <c:v>1.42755198877348</c:v>
                </c:pt>
                <c:pt idx="1054">
                  <c:v>1.43367658415888</c:v>
                </c:pt>
                <c:pt idx="1055">
                  <c:v>1.45826728293923</c:v>
                </c:pt>
                <c:pt idx="1056">
                  <c:v>1.45752670491538</c:v>
                </c:pt>
                <c:pt idx="1057">
                  <c:v>1.53535755367479</c:v>
                </c:pt>
                <c:pt idx="1058">
                  <c:v>1.52498005196134</c:v>
                </c:pt>
                <c:pt idx="1059">
                  <c:v>1.53017678655046</c:v>
                </c:pt>
                <c:pt idx="1060">
                  <c:v>1.55664562623142</c:v>
                </c:pt>
                <c:pt idx="1061">
                  <c:v>1.55529822143708</c:v>
                </c:pt>
                <c:pt idx="1062">
                  <c:v>1.55540064467541</c:v>
                </c:pt>
                <c:pt idx="1063">
                  <c:v>1.47178597296676</c:v>
                </c:pt>
                <c:pt idx="1064">
                  <c:v>1.27434783280726</c:v>
                </c:pt>
                <c:pt idx="1065">
                  <c:v>1.27148352300587</c:v>
                </c:pt>
                <c:pt idx="1066">
                  <c:v>1.27778443278143</c:v>
                </c:pt>
                <c:pt idx="1067">
                  <c:v>1.2833134557143</c:v>
                </c:pt>
                <c:pt idx="1068">
                  <c:v>1.23548989255491</c:v>
                </c:pt>
                <c:pt idx="1069">
                  <c:v>1.27462230306878</c:v>
                </c:pt>
                <c:pt idx="1070">
                  <c:v>1.27128167279988</c:v>
                </c:pt>
                <c:pt idx="1071">
                  <c:v>1.27595390740749</c:v>
                </c:pt>
                <c:pt idx="1072">
                  <c:v>1.26010631027586</c:v>
                </c:pt>
                <c:pt idx="1073">
                  <c:v>1.1949988759826</c:v>
                </c:pt>
                <c:pt idx="1074">
                  <c:v>1.30266937447463</c:v>
                </c:pt>
                <c:pt idx="1075">
                  <c:v>1.30376463621224</c:v>
                </c:pt>
                <c:pt idx="1076">
                  <c:v>1.29552136342763</c:v>
                </c:pt>
                <c:pt idx="1077">
                  <c:v>1.27970733736032</c:v>
                </c:pt>
                <c:pt idx="1078">
                  <c:v>1.33571307709511</c:v>
                </c:pt>
                <c:pt idx="1079">
                  <c:v>1.33498563506073</c:v>
                </c:pt>
                <c:pt idx="1080">
                  <c:v>1.32908549797915</c:v>
                </c:pt>
                <c:pt idx="1081">
                  <c:v>1.31921622270266</c:v>
                </c:pt>
                <c:pt idx="1082">
                  <c:v>1.33409434153341</c:v>
                </c:pt>
                <c:pt idx="1083">
                  <c:v>1.26773839479138</c:v>
                </c:pt>
                <c:pt idx="1084">
                  <c:v>1.26683810289282</c:v>
                </c:pt>
                <c:pt idx="1085">
                  <c:v>1.25790317937441</c:v>
                </c:pt>
                <c:pt idx="1086">
                  <c:v>1.26027092498579</c:v>
                </c:pt>
                <c:pt idx="1087">
                  <c:v>1.1912859016997</c:v>
                </c:pt>
                <c:pt idx="1088">
                  <c:v>1.20533696934096</c:v>
                </c:pt>
                <c:pt idx="1089">
                  <c:v>1.20592978792073</c:v>
                </c:pt>
                <c:pt idx="1090">
                  <c:v>1.20103372897717</c:v>
                </c:pt>
                <c:pt idx="1091">
                  <c:v>1.19361418061028</c:v>
                </c:pt>
                <c:pt idx="1092">
                  <c:v>1.21523150123583</c:v>
                </c:pt>
                <c:pt idx="1093">
                  <c:v>1.17704786105605</c:v>
                </c:pt>
                <c:pt idx="1094">
                  <c:v>1.27224563501434</c:v>
                </c:pt>
                <c:pt idx="1095">
                  <c:v>1.35569348442361</c:v>
                </c:pt>
                <c:pt idx="1096">
                  <c:v>1.34345653498111</c:v>
                </c:pt>
                <c:pt idx="1097">
                  <c:v>1.39064519198262</c:v>
                </c:pt>
                <c:pt idx="1098">
                  <c:v>1.40480255487279</c:v>
                </c:pt>
                <c:pt idx="1099">
                  <c:v>1.36383668998711</c:v>
                </c:pt>
                <c:pt idx="1100">
                  <c:v>1.35799793182496</c:v>
                </c:pt>
                <c:pt idx="1101">
                  <c:v>1.40585666694259</c:v>
                </c:pt>
                <c:pt idx="1102">
                  <c:v>1.40634756782515</c:v>
                </c:pt>
                <c:pt idx="1103">
                  <c:v>1.46892523332197</c:v>
                </c:pt>
                <c:pt idx="1104">
                  <c:v>1.38534843218506</c:v>
                </c:pt>
                <c:pt idx="1105">
                  <c:v>1.38304230036698</c:v>
                </c:pt>
                <c:pt idx="1106">
                  <c:v>1.4201219363733</c:v>
                </c:pt>
                <c:pt idx="1107">
                  <c:v>1.43831635040022</c:v>
                </c:pt>
                <c:pt idx="1108">
                  <c:v>1.41116045414355</c:v>
                </c:pt>
                <c:pt idx="1109">
                  <c:v>1.36648357892245</c:v>
                </c:pt>
                <c:pt idx="1110">
                  <c:v>1.36940229838012</c:v>
                </c:pt>
                <c:pt idx="1111">
                  <c:v>1.38530694463194</c:v>
                </c:pt>
                <c:pt idx="1112">
                  <c:v>1.37884041262237</c:v>
                </c:pt>
                <c:pt idx="1113">
                  <c:v>1.3854885701958</c:v>
                </c:pt>
                <c:pt idx="1114">
                  <c:v>1.38557264680016</c:v>
                </c:pt>
                <c:pt idx="1115">
                  <c:v>1.40787650193398</c:v>
                </c:pt>
                <c:pt idx="1116">
                  <c:v>1.40936013253343</c:v>
                </c:pt>
                <c:pt idx="1117">
                  <c:v>1.40646224587432</c:v>
                </c:pt>
                <c:pt idx="1118">
                  <c:v>1.36834007354161</c:v>
                </c:pt>
                <c:pt idx="1119">
                  <c:v>1.36827836562544</c:v>
                </c:pt>
                <c:pt idx="1120">
                  <c:v>1.30670170213228</c:v>
                </c:pt>
                <c:pt idx="1121">
                  <c:v>1.30129176323805</c:v>
                </c:pt>
                <c:pt idx="1122">
                  <c:v>1.29385393226926</c:v>
                </c:pt>
                <c:pt idx="1123">
                  <c:v>1.23192708037882</c:v>
                </c:pt>
                <c:pt idx="1124">
                  <c:v>1.1001371807016</c:v>
                </c:pt>
                <c:pt idx="1125">
                  <c:v>1.07533904675498</c:v>
                </c:pt>
                <c:pt idx="1126">
                  <c:v>1.07351401341507</c:v>
                </c:pt>
                <c:pt idx="1127">
                  <c:v>1.05669046440846</c:v>
                </c:pt>
                <c:pt idx="1128">
                  <c:v>1.07718738647917</c:v>
                </c:pt>
                <c:pt idx="1129">
                  <c:v>1.08836843153828</c:v>
                </c:pt>
                <c:pt idx="1130">
                  <c:v>1.06715691861158</c:v>
                </c:pt>
                <c:pt idx="1131">
                  <c:v>1.08542117210002</c:v>
                </c:pt>
                <c:pt idx="1132">
                  <c:v>1.07710089600093</c:v>
                </c:pt>
                <c:pt idx="1133">
                  <c:v>1.00570049009478</c:v>
                </c:pt>
                <c:pt idx="1134">
                  <c:v>0.992725913933282</c:v>
                </c:pt>
                <c:pt idx="1135">
                  <c:v>1.00466196013767</c:v>
                </c:pt>
                <c:pt idx="1136">
                  <c:v>0.963258250819759</c:v>
                </c:pt>
                <c:pt idx="1137">
                  <c:v>0.949715253756273</c:v>
                </c:pt>
                <c:pt idx="1138">
                  <c:v>0.909804711818666</c:v>
                </c:pt>
                <c:pt idx="1139">
                  <c:v>0.908923610278202</c:v>
                </c:pt>
                <c:pt idx="1140">
                  <c:v>0.885800476142073</c:v>
                </c:pt>
                <c:pt idx="1141">
                  <c:v>0.874555100258404</c:v>
                </c:pt>
                <c:pt idx="1142">
                  <c:v>0.864784671228135</c:v>
                </c:pt>
                <c:pt idx="1143">
                  <c:v>0.860150233580912</c:v>
                </c:pt>
                <c:pt idx="1144">
                  <c:v>0.870440156856544</c:v>
                </c:pt>
                <c:pt idx="1145">
                  <c:v>0.830257711932671</c:v>
                </c:pt>
                <c:pt idx="1146">
                  <c:v>0.899212448284454</c:v>
                </c:pt>
                <c:pt idx="1147">
                  <c:v>0.90105868811152</c:v>
                </c:pt>
                <c:pt idx="1148">
                  <c:v>0.871177099990135</c:v>
                </c:pt>
                <c:pt idx="1149">
                  <c:v>0.866644976499942</c:v>
                </c:pt>
                <c:pt idx="1150">
                  <c:v>0.862478543942096</c:v>
                </c:pt>
                <c:pt idx="1151">
                  <c:v>0.892996282323352</c:v>
                </c:pt>
                <c:pt idx="1152">
                  <c:v>0.929675607866858</c:v>
                </c:pt>
                <c:pt idx="1153">
                  <c:v>0.917350033336329</c:v>
                </c:pt>
                <c:pt idx="1154">
                  <c:v>0.891936744767686</c:v>
                </c:pt>
                <c:pt idx="1155">
                  <c:v>0.892068624272552</c:v>
                </c:pt>
                <c:pt idx="1156">
                  <c:v>0.89734623921661</c:v>
                </c:pt>
                <c:pt idx="1157">
                  <c:v>0.89012924224679</c:v>
                </c:pt>
                <c:pt idx="1158">
                  <c:v>0.83255415573653</c:v>
                </c:pt>
                <c:pt idx="1159">
                  <c:v>0.829289165312428</c:v>
                </c:pt>
                <c:pt idx="1160">
                  <c:v>0.962593050435713</c:v>
                </c:pt>
                <c:pt idx="1161">
                  <c:v>0.887288162306887</c:v>
                </c:pt>
                <c:pt idx="1162">
                  <c:v>0.888473917218929</c:v>
                </c:pt>
                <c:pt idx="1163">
                  <c:v>0.901698860415871</c:v>
                </c:pt>
                <c:pt idx="1164">
                  <c:v>0.89327291712402</c:v>
                </c:pt>
                <c:pt idx="1165">
                  <c:v>0.884063049117673</c:v>
                </c:pt>
                <c:pt idx="1166">
                  <c:v>0.875235839667741</c:v>
                </c:pt>
                <c:pt idx="1167">
                  <c:v>0.86706485277683</c:v>
                </c:pt>
                <c:pt idx="1168">
                  <c:v>0.902318432178736</c:v>
                </c:pt>
                <c:pt idx="1169">
                  <c:v>0.899598721054161</c:v>
                </c:pt>
                <c:pt idx="1170">
                  <c:v>0.896915465283748</c:v>
                </c:pt>
                <c:pt idx="1171">
                  <c:v>0.883609985790478</c:v>
                </c:pt>
                <c:pt idx="1172">
                  <c:v>0.921200690826741</c:v>
                </c:pt>
                <c:pt idx="1173">
                  <c:v>0.962280372882379</c:v>
                </c:pt>
                <c:pt idx="1174">
                  <c:v>0.957660560247318</c:v>
                </c:pt>
                <c:pt idx="1175">
                  <c:v>0.96858799415187</c:v>
                </c:pt>
                <c:pt idx="1176">
                  <c:v>0.877826975461657</c:v>
                </c:pt>
                <c:pt idx="1177">
                  <c:v>0.864453051262137</c:v>
                </c:pt>
                <c:pt idx="1178">
                  <c:v>0.8692102609992</c:v>
                </c:pt>
                <c:pt idx="1179">
                  <c:v>0.870137124108461</c:v>
                </c:pt>
                <c:pt idx="1180">
                  <c:v>0.866115924686674</c:v>
                </c:pt>
                <c:pt idx="1181">
                  <c:v>0.868822730600355</c:v>
                </c:pt>
                <c:pt idx="1182">
                  <c:v>0.795485287158597</c:v>
                </c:pt>
                <c:pt idx="1183">
                  <c:v>0.794168338325586</c:v>
                </c:pt>
                <c:pt idx="1184">
                  <c:v>0.791788406207342</c:v>
                </c:pt>
                <c:pt idx="1185">
                  <c:v>0.795782847371576</c:v>
                </c:pt>
                <c:pt idx="1186">
                  <c:v>0.801746885826946</c:v>
                </c:pt>
                <c:pt idx="1187">
                  <c:v>0.785167424909531</c:v>
                </c:pt>
                <c:pt idx="1188">
                  <c:v>0.798853679350493</c:v>
                </c:pt>
                <c:pt idx="1189">
                  <c:v>0.844283308032827</c:v>
                </c:pt>
                <c:pt idx="1190">
                  <c:v>0.714533983750853</c:v>
                </c:pt>
                <c:pt idx="1191">
                  <c:v>0.718457991453981</c:v>
                </c:pt>
                <c:pt idx="1192">
                  <c:v>0.717617249990241</c:v>
                </c:pt>
                <c:pt idx="1193">
                  <c:v>0.707520256387506</c:v>
                </c:pt>
                <c:pt idx="1194">
                  <c:v>0.696950373821205</c:v>
                </c:pt>
                <c:pt idx="1195">
                  <c:v>0.704576644337219</c:v>
                </c:pt>
                <c:pt idx="1196">
                  <c:v>0.699610824048054</c:v>
                </c:pt>
                <c:pt idx="1197">
                  <c:v>0.697652822564348</c:v>
                </c:pt>
                <c:pt idx="1198">
                  <c:v>0.663388591054714</c:v>
                </c:pt>
                <c:pt idx="1199">
                  <c:v>0.664479319780144</c:v>
                </c:pt>
                <c:pt idx="1200">
                  <c:v>0.683916761367522</c:v>
                </c:pt>
                <c:pt idx="1201">
                  <c:v>0.710533130827009</c:v>
                </c:pt>
                <c:pt idx="1202">
                  <c:v>0.647459555979258</c:v>
                </c:pt>
                <c:pt idx="1203">
                  <c:v>0.586627099835321</c:v>
                </c:pt>
                <c:pt idx="1204">
                  <c:v>0.558408617725607</c:v>
                </c:pt>
                <c:pt idx="1205">
                  <c:v>0.548058652035477</c:v>
                </c:pt>
                <c:pt idx="1206">
                  <c:v>0.523265088119977</c:v>
                </c:pt>
                <c:pt idx="1207">
                  <c:v>0.558187988761087</c:v>
                </c:pt>
                <c:pt idx="1208">
                  <c:v>0.557581412260909</c:v>
                </c:pt>
                <c:pt idx="1209">
                  <c:v>0.561024097043184</c:v>
                </c:pt>
                <c:pt idx="1210">
                  <c:v>0.557978236797842</c:v>
                </c:pt>
                <c:pt idx="1211">
                  <c:v>0.516477624221266</c:v>
                </c:pt>
                <c:pt idx="1212">
                  <c:v>0.519809246553627</c:v>
                </c:pt>
                <c:pt idx="1213">
                  <c:v>0.520023542907579</c:v>
                </c:pt>
                <c:pt idx="1214">
                  <c:v>0.525691344531731</c:v>
                </c:pt>
                <c:pt idx="1215">
                  <c:v>0.523540775288649</c:v>
                </c:pt>
                <c:pt idx="1216">
                  <c:v>0.522775645601376</c:v>
                </c:pt>
                <c:pt idx="1217">
                  <c:v>0.518237632008078</c:v>
                </c:pt>
                <c:pt idx="1218">
                  <c:v>0.511627095140834</c:v>
                </c:pt>
                <c:pt idx="1219">
                  <c:v>0.570740589812381</c:v>
                </c:pt>
                <c:pt idx="1220">
                  <c:v>0.574040636617291</c:v>
                </c:pt>
                <c:pt idx="1221">
                  <c:v>0.581426817015373</c:v>
                </c:pt>
                <c:pt idx="1222">
                  <c:v>0.588988125130147</c:v>
                </c:pt>
                <c:pt idx="1223">
                  <c:v>0.626212969928969</c:v>
                </c:pt>
                <c:pt idx="1224">
                  <c:v>0.634327805061519</c:v>
                </c:pt>
                <c:pt idx="1225">
                  <c:v>0.632292639877015</c:v>
                </c:pt>
                <c:pt idx="1226">
                  <c:v>0.623466712869888</c:v>
                </c:pt>
                <c:pt idx="1227">
                  <c:v>0.645171156671965</c:v>
                </c:pt>
                <c:pt idx="1228">
                  <c:v>0.629936391437196</c:v>
                </c:pt>
                <c:pt idx="1229">
                  <c:v>0.630526204195612</c:v>
                </c:pt>
                <c:pt idx="1230">
                  <c:v>0.61176114849956</c:v>
                </c:pt>
                <c:pt idx="1231">
                  <c:v>0.672985905546662</c:v>
                </c:pt>
                <c:pt idx="1232">
                  <c:v>0.676610556134414</c:v>
                </c:pt>
                <c:pt idx="1233">
                  <c:v>0.675720341573388</c:v>
                </c:pt>
                <c:pt idx="1234">
                  <c:v>0.67895344961906</c:v>
                </c:pt>
                <c:pt idx="1235">
                  <c:v>0.682996748610572</c:v>
                </c:pt>
                <c:pt idx="1236">
                  <c:v>0.678181140619625</c:v>
                </c:pt>
                <c:pt idx="1237">
                  <c:v>0.665220696725015</c:v>
                </c:pt>
                <c:pt idx="1238">
                  <c:v>0.704098216421133</c:v>
                </c:pt>
                <c:pt idx="1239">
                  <c:v>0.711111354928757</c:v>
                </c:pt>
                <c:pt idx="1240">
                  <c:v>0.710334103403468</c:v>
                </c:pt>
                <c:pt idx="1241">
                  <c:v>0.724652271642772</c:v>
                </c:pt>
                <c:pt idx="1242">
                  <c:v>0.723995647484016</c:v>
                </c:pt>
                <c:pt idx="1243">
                  <c:v>0.721836072646654</c:v>
                </c:pt>
                <c:pt idx="1244">
                  <c:v>0.718000701242223</c:v>
                </c:pt>
                <c:pt idx="1245">
                  <c:v>0.719051032003571</c:v>
                </c:pt>
                <c:pt idx="1246">
                  <c:v>0.725048754733347</c:v>
                </c:pt>
                <c:pt idx="1247">
                  <c:v>0.724981285492635</c:v>
                </c:pt>
                <c:pt idx="1248">
                  <c:v>0.723730771185221</c:v>
                </c:pt>
                <c:pt idx="1249">
                  <c:v>0.660088786588658</c:v>
                </c:pt>
                <c:pt idx="1250">
                  <c:v>0.659224452971609</c:v>
                </c:pt>
                <c:pt idx="1251">
                  <c:v>0.64081047161874</c:v>
                </c:pt>
                <c:pt idx="1252">
                  <c:v>0.62757372270924</c:v>
                </c:pt>
                <c:pt idx="1253">
                  <c:v>0.598950090012788</c:v>
                </c:pt>
                <c:pt idx="1254">
                  <c:v>0.587623322668442</c:v>
                </c:pt>
                <c:pt idx="1255">
                  <c:v>0.620212984344911</c:v>
                </c:pt>
                <c:pt idx="1256">
                  <c:v>0.682605450783691</c:v>
                </c:pt>
                <c:pt idx="1257">
                  <c:v>0.670704548349628</c:v>
                </c:pt>
                <c:pt idx="1258">
                  <c:v>0.671450288227076</c:v>
                </c:pt>
                <c:pt idx="1259">
                  <c:v>0.675730291662224</c:v>
                </c:pt>
                <c:pt idx="1260">
                  <c:v>0.675511072395172</c:v>
                </c:pt>
                <c:pt idx="1261">
                  <c:v>0.556268816391768</c:v>
                </c:pt>
                <c:pt idx="1262">
                  <c:v>0.568752633510215</c:v>
                </c:pt>
                <c:pt idx="1263">
                  <c:v>0.624291962983965</c:v>
                </c:pt>
                <c:pt idx="1264">
                  <c:v>0.637767617710499</c:v>
                </c:pt>
                <c:pt idx="1265">
                  <c:v>0.637815183718489</c:v>
                </c:pt>
                <c:pt idx="1266">
                  <c:v>0.64259100791956</c:v>
                </c:pt>
                <c:pt idx="1267">
                  <c:v>0.609832806042084</c:v>
                </c:pt>
                <c:pt idx="1268">
                  <c:v>0.58726203884555</c:v>
                </c:pt>
                <c:pt idx="1269">
                  <c:v>0.585237591897319</c:v>
                </c:pt>
                <c:pt idx="1270">
                  <c:v>0.624975753183266</c:v>
                </c:pt>
                <c:pt idx="1271">
                  <c:v>0.617418383560277</c:v>
                </c:pt>
                <c:pt idx="1272">
                  <c:v>0.614739926418181</c:v>
                </c:pt>
                <c:pt idx="1273">
                  <c:v>0.618267735573129</c:v>
                </c:pt>
                <c:pt idx="1274">
                  <c:v>0.652495654931679</c:v>
                </c:pt>
                <c:pt idx="1275">
                  <c:v>0.651896246783487</c:v>
                </c:pt>
                <c:pt idx="1276">
                  <c:v>0.64952676607831</c:v>
                </c:pt>
                <c:pt idx="1277">
                  <c:v>0.659164610776357</c:v>
                </c:pt>
                <c:pt idx="1278">
                  <c:v>0.69944903576961</c:v>
                </c:pt>
                <c:pt idx="1279">
                  <c:v>0.687399925044733</c:v>
                </c:pt>
                <c:pt idx="1280">
                  <c:v>0.721316317536753</c:v>
                </c:pt>
                <c:pt idx="1281">
                  <c:v>0.719278995276377</c:v>
                </c:pt>
                <c:pt idx="1282">
                  <c:v>0.720391438552247</c:v>
                </c:pt>
                <c:pt idx="1283">
                  <c:v>0.721088665603027</c:v>
                </c:pt>
                <c:pt idx="1284">
                  <c:v>0.719484062651882</c:v>
                </c:pt>
                <c:pt idx="1285">
                  <c:v>0.689225952672947</c:v>
                </c:pt>
                <c:pt idx="1286">
                  <c:v>0.617225507116012</c:v>
                </c:pt>
                <c:pt idx="1287">
                  <c:v>0.636883462602707</c:v>
                </c:pt>
                <c:pt idx="1288">
                  <c:v>0.640092689150144</c:v>
                </c:pt>
                <c:pt idx="1289">
                  <c:v>0.641813623048494</c:v>
                </c:pt>
                <c:pt idx="1290">
                  <c:v>0.649258984181566</c:v>
                </c:pt>
                <c:pt idx="1291">
                  <c:v>0.663811758595379</c:v>
                </c:pt>
                <c:pt idx="1292">
                  <c:v>0.643069424215026</c:v>
                </c:pt>
                <c:pt idx="1293">
                  <c:v>0.570345744606519</c:v>
                </c:pt>
                <c:pt idx="1294">
                  <c:v>0.577397260317435</c:v>
                </c:pt>
                <c:pt idx="1295">
                  <c:v>0.573960336464833</c:v>
                </c:pt>
                <c:pt idx="1296">
                  <c:v>0.558511766814414</c:v>
                </c:pt>
                <c:pt idx="1297">
                  <c:v>0.571326162203093</c:v>
                </c:pt>
                <c:pt idx="1298">
                  <c:v>0.579836213308899</c:v>
                </c:pt>
                <c:pt idx="1299">
                  <c:v>0.579836703937273</c:v>
                </c:pt>
                <c:pt idx="1300">
                  <c:v>0.550350666078584</c:v>
                </c:pt>
                <c:pt idx="1301">
                  <c:v>0.549062897934368</c:v>
                </c:pt>
                <c:pt idx="1302">
                  <c:v>0.556724833394263</c:v>
                </c:pt>
                <c:pt idx="1303">
                  <c:v>0.556864049196288</c:v>
                </c:pt>
                <c:pt idx="1304">
                  <c:v>0.519117529579309</c:v>
                </c:pt>
                <c:pt idx="1305">
                  <c:v>0.521023223096527</c:v>
                </c:pt>
                <c:pt idx="1306">
                  <c:v>0.62047710495027</c:v>
                </c:pt>
                <c:pt idx="1307">
                  <c:v>0.618727413639574</c:v>
                </c:pt>
                <c:pt idx="1308">
                  <c:v>0.574114378072329</c:v>
                </c:pt>
                <c:pt idx="1309">
                  <c:v>0.566321479146814</c:v>
                </c:pt>
                <c:pt idx="1310">
                  <c:v>0.522053333053145</c:v>
                </c:pt>
                <c:pt idx="1311">
                  <c:v>0.52086638727153</c:v>
                </c:pt>
                <c:pt idx="1312">
                  <c:v>0.519001924319687</c:v>
                </c:pt>
                <c:pt idx="1313">
                  <c:v>0.518342966588426</c:v>
                </c:pt>
                <c:pt idx="1314">
                  <c:v>0.524008220823315</c:v>
                </c:pt>
                <c:pt idx="1315">
                  <c:v>0.522744161923641</c:v>
                </c:pt>
                <c:pt idx="1316">
                  <c:v>0.52257744103985</c:v>
                </c:pt>
                <c:pt idx="1317">
                  <c:v>0.50156621286076</c:v>
                </c:pt>
                <c:pt idx="1318">
                  <c:v>0.509621288812932</c:v>
                </c:pt>
                <c:pt idx="1319">
                  <c:v>0.509289611845845</c:v>
                </c:pt>
                <c:pt idx="1320">
                  <c:v>0.493718342570206</c:v>
                </c:pt>
                <c:pt idx="1321">
                  <c:v>0.482396863994711</c:v>
                </c:pt>
                <c:pt idx="1322">
                  <c:v>0.496051873566391</c:v>
                </c:pt>
                <c:pt idx="1323">
                  <c:v>0.489237446900441</c:v>
                </c:pt>
                <c:pt idx="1324">
                  <c:v>0.481555453323972</c:v>
                </c:pt>
                <c:pt idx="1325">
                  <c:v>0.484592205160683</c:v>
                </c:pt>
                <c:pt idx="1326">
                  <c:v>0.490291241399267</c:v>
                </c:pt>
                <c:pt idx="1327">
                  <c:v>0.477699041423538</c:v>
                </c:pt>
                <c:pt idx="1328">
                  <c:v>0.486790380558176</c:v>
                </c:pt>
                <c:pt idx="1329">
                  <c:v>0.487255986658185</c:v>
                </c:pt>
                <c:pt idx="1330">
                  <c:v>0.487151186034778</c:v>
                </c:pt>
                <c:pt idx="1331">
                  <c:v>0.487004104608321</c:v>
                </c:pt>
                <c:pt idx="1332">
                  <c:v>0.477357249936189</c:v>
                </c:pt>
                <c:pt idx="1333">
                  <c:v>0.474015200366763</c:v>
                </c:pt>
                <c:pt idx="1334">
                  <c:v>0.474007733910546</c:v>
                </c:pt>
                <c:pt idx="1335">
                  <c:v>0.473285225879223</c:v>
                </c:pt>
                <c:pt idx="1336">
                  <c:v>0.338958402563295</c:v>
                </c:pt>
                <c:pt idx="1337">
                  <c:v>0.323509969004237</c:v>
                </c:pt>
                <c:pt idx="1338">
                  <c:v>0.318506142292793</c:v>
                </c:pt>
                <c:pt idx="1339">
                  <c:v>0.294506018906705</c:v>
                </c:pt>
                <c:pt idx="1340">
                  <c:v>0.29434650565787</c:v>
                </c:pt>
                <c:pt idx="1341">
                  <c:v>0.295446132744767</c:v>
                </c:pt>
                <c:pt idx="1342">
                  <c:v>0.361101969468773</c:v>
                </c:pt>
                <c:pt idx="1343">
                  <c:v>0.360744173880725</c:v>
                </c:pt>
                <c:pt idx="1344">
                  <c:v>0.348757972575087</c:v>
                </c:pt>
                <c:pt idx="1345">
                  <c:v>0.348760434443491</c:v>
                </c:pt>
                <c:pt idx="1346">
                  <c:v>0.377953714916529</c:v>
                </c:pt>
                <c:pt idx="1347">
                  <c:v>0.377955985689543</c:v>
                </c:pt>
                <c:pt idx="1348">
                  <c:v>0.351546786459797</c:v>
                </c:pt>
                <c:pt idx="1349">
                  <c:v>0.349808760062378</c:v>
                </c:pt>
                <c:pt idx="1350">
                  <c:v>0.348754820029966</c:v>
                </c:pt>
                <c:pt idx="1351">
                  <c:v>0.344153666713832</c:v>
                </c:pt>
                <c:pt idx="1352">
                  <c:v>0.31380881989607</c:v>
                </c:pt>
                <c:pt idx="1353">
                  <c:v>0.313361255605946</c:v>
                </c:pt>
                <c:pt idx="1354">
                  <c:v>0.313364859362606</c:v>
                </c:pt>
                <c:pt idx="1355">
                  <c:v>0.308511847149843</c:v>
                </c:pt>
                <c:pt idx="1356">
                  <c:v>0.29883288975986</c:v>
                </c:pt>
                <c:pt idx="1357">
                  <c:v>0.298683980278004</c:v>
                </c:pt>
                <c:pt idx="1358">
                  <c:v>0.271727842495814</c:v>
                </c:pt>
                <c:pt idx="1359">
                  <c:v>0.27032630277453</c:v>
                </c:pt>
                <c:pt idx="1360">
                  <c:v>0.27934074651977</c:v>
                </c:pt>
                <c:pt idx="1361">
                  <c:v>0.278785609856072</c:v>
                </c:pt>
                <c:pt idx="1362">
                  <c:v>0.2797668582801</c:v>
                </c:pt>
                <c:pt idx="1363">
                  <c:v>0.278615510549943</c:v>
                </c:pt>
                <c:pt idx="1364">
                  <c:v>0.278256774615147</c:v>
                </c:pt>
                <c:pt idx="1365">
                  <c:v>0.274269640836713</c:v>
                </c:pt>
                <c:pt idx="1366">
                  <c:v>0.278129054092014</c:v>
                </c:pt>
                <c:pt idx="1367">
                  <c:v>0.277553201728682</c:v>
                </c:pt>
                <c:pt idx="1368">
                  <c:v>0.278609304884398</c:v>
                </c:pt>
                <c:pt idx="1369">
                  <c:v>0.279530009252591</c:v>
                </c:pt>
                <c:pt idx="1370">
                  <c:v>0.283983251601454</c:v>
                </c:pt>
                <c:pt idx="1371">
                  <c:v>0.284534822826995</c:v>
                </c:pt>
                <c:pt idx="1372">
                  <c:v>0.195216599678052</c:v>
                </c:pt>
                <c:pt idx="1373">
                  <c:v>0.194594768581993</c:v>
                </c:pt>
                <c:pt idx="1374">
                  <c:v>0.195558973659893</c:v>
                </c:pt>
                <c:pt idx="1375">
                  <c:v>0.19951928263702</c:v>
                </c:pt>
                <c:pt idx="1376">
                  <c:v>0.405141624708105</c:v>
                </c:pt>
                <c:pt idx="1377">
                  <c:v>0.404304789204625</c:v>
                </c:pt>
                <c:pt idx="1378">
                  <c:v>0.40495158934394</c:v>
                </c:pt>
                <c:pt idx="1379">
                  <c:v>0.405060771868783</c:v>
                </c:pt>
                <c:pt idx="1380">
                  <c:v>0.4083600894066</c:v>
                </c:pt>
                <c:pt idx="1381">
                  <c:v>0.679490350640588</c:v>
                </c:pt>
                <c:pt idx="1382">
                  <c:v>0.726114030756694</c:v>
                </c:pt>
                <c:pt idx="1383">
                  <c:v>0.752046413059874</c:v>
                </c:pt>
                <c:pt idx="1384">
                  <c:v>0.772646949675144</c:v>
                </c:pt>
                <c:pt idx="1385">
                  <c:v>0.772945160228158</c:v>
                </c:pt>
                <c:pt idx="1386">
                  <c:v>0.866250513904556</c:v>
                </c:pt>
                <c:pt idx="1387">
                  <c:v>0.888666981476443</c:v>
                </c:pt>
                <c:pt idx="1388">
                  <c:v>0.895805430020795</c:v>
                </c:pt>
                <c:pt idx="1389">
                  <c:v>0.899872107482206</c:v>
                </c:pt>
                <c:pt idx="1390">
                  <c:v>1.0077112928045</c:v>
                </c:pt>
                <c:pt idx="1391">
                  <c:v>1.00873534215791</c:v>
                </c:pt>
                <c:pt idx="1392">
                  <c:v>1.0230178057496</c:v>
                </c:pt>
                <c:pt idx="1393">
                  <c:v>1.0392345765618</c:v>
                </c:pt>
                <c:pt idx="1394">
                  <c:v>1.0379662076736</c:v>
                </c:pt>
                <c:pt idx="1395">
                  <c:v>1.05346996730611</c:v>
                </c:pt>
                <c:pt idx="1396">
                  <c:v>1.05478017005295</c:v>
                </c:pt>
                <c:pt idx="1397">
                  <c:v>1.06174487338395</c:v>
                </c:pt>
                <c:pt idx="1398">
                  <c:v>1.07452275233015</c:v>
                </c:pt>
                <c:pt idx="1399">
                  <c:v>1.06948936728131</c:v>
                </c:pt>
                <c:pt idx="1400">
                  <c:v>1.07373502036317</c:v>
                </c:pt>
                <c:pt idx="1401">
                  <c:v>1.09270168089356</c:v>
                </c:pt>
                <c:pt idx="1402">
                  <c:v>1.09115310745969</c:v>
                </c:pt>
                <c:pt idx="1403">
                  <c:v>1.0882470011404</c:v>
                </c:pt>
                <c:pt idx="1404">
                  <c:v>1.09826263364771</c:v>
                </c:pt>
                <c:pt idx="1405">
                  <c:v>1.10225844443133</c:v>
                </c:pt>
                <c:pt idx="1406">
                  <c:v>1.05487912903425</c:v>
                </c:pt>
                <c:pt idx="1407">
                  <c:v>1.05499142250522</c:v>
                </c:pt>
                <c:pt idx="1408">
                  <c:v>1.05769202242253</c:v>
                </c:pt>
                <c:pt idx="1409">
                  <c:v>1.12235795803273</c:v>
                </c:pt>
                <c:pt idx="1410">
                  <c:v>1.14053106733614</c:v>
                </c:pt>
                <c:pt idx="1411">
                  <c:v>1.0105442881203</c:v>
                </c:pt>
                <c:pt idx="1412">
                  <c:v>1.0416124700442</c:v>
                </c:pt>
                <c:pt idx="1413">
                  <c:v>1.04654029187301</c:v>
                </c:pt>
                <c:pt idx="1414">
                  <c:v>1.03483042707416</c:v>
                </c:pt>
                <c:pt idx="1415">
                  <c:v>1.03479820481522</c:v>
                </c:pt>
                <c:pt idx="1416">
                  <c:v>0.936406947291261</c:v>
                </c:pt>
                <c:pt idx="1417">
                  <c:v>0.9534700458846</c:v>
                </c:pt>
                <c:pt idx="1418">
                  <c:v>0.935021448157356</c:v>
                </c:pt>
                <c:pt idx="1419">
                  <c:v>0.957185680668727</c:v>
                </c:pt>
                <c:pt idx="1420">
                  <c:v>0.913697135467015</c:v>
                </c:pt>
                <c:pt idx="1421">
                  <c:v>0.923108029350497</c:v>
                </c:pt>
                <c:pt idx="1422">
                  <c:v>0.90127424430933</c:v>
                </c:pt>
                <c:pt idx="1423">
                  <c:v>0.896114629290746</c:v>
                </c:pt>
                <c:pt idx="1424">
                  <c:v>0.906345842724737</c:v>
                </c:pt>
                <c:pt idx="1425">
                  <c:v>0.876795587283395</c:v>
                </c:pt>
                <c:pt idx="1426">
                  <c:v>0.879578355161304</c:v>
                </c:pt>
                <c:pt idx="1427">
                  <c:v>0.858440625952023</c:v>
                </c:pt>
                <c:pt idx="1428">
                  <c:v>0.816010089790079</c:v>
                </c:pt>
                <c:pt idx="1429">
                  <c:v>0.837767246872284</c:v>
                </c:pt>
                <c:pt idx="1430">
                  <c:v>0.839321587506685</c:v>
                </c:pt>
                <c:pt idx="1431">
                  <c:v>0.831687707029935</c:v>
                </c:pt>
                <c:pt idx="1432">
                  <c:v>0.819769534341549</c:v>
                </c:pt>
                <c:pt idx="1433">
                  <c:v>0.89436016694055</c:v>
                </c:pt>
                <c:pt idx="1434">
                  <c:v>0.891081716829029</c:v>
                </c:pt>
                <c:pt idx="1435">
                  <c:v>0.872104457554926</c:v>
                </c:pt>
                <c:pt idx="1436">
                  <c:v>0.875435261019194</c:v>
                </c:pt>
                <c:pt idx="1437">
                  <c:v>0.88523078465552</c:v>
                </c:pt>
                <c:pt idx="1438">
                  <c:v>0.890503313838108</c:v>
                </c:pt>
                <c:pt idx="1439">
                  <c:v>0.834437574974569</c:v>
                </c:pt>
                <c:pt idx="1440">
                  <c:v>0.817881519841409</c:v>
                </c:pt>
                <c:pt idx="1441">
                  <c:v>0.818294387630515</c:v>
                </c:pt>
                <c:pt idx="1442">
                  <c:v>0.735844349159739</c:v>
                </c:pt>
                <c:pt idx="1443">
                  <c:v>0.720257764207291</c:v>
                </c:pt>
                <c:pt idx="1444">
                  <c:v>0.706510418436476</c:v>
                </c:pt>
                <c:pt idx="1445">
                  <c:v>0.708637581662895</c:v>
                </c:pt>
                <c:pt idx="1446">
                  <c:v>0.702653800083444</c:v>
                </c:pt>
                <c:pt idx="1447">
                  <c:v>0.667922467024154</c:v>
                </c:pt>
                <c:pt idx="1448">
                  <c:v>0.666988998003033</c:v>
                </c:pt>
                <c:pt idx="1449">
                  <c:v>0.634229668718617</c:v>
                </c:pt>
                <c:pt idx="1450">
                  <c:v>0.564707330564128</c:v>
                </c:pt>
                <c:pt idx="1451">
                  <c:v>0.555510494131724</c:v>
                </c:pt>
                <c:pt idx="1452">
                  <c:v>0.545814480487657</c:v>
                </c:pt>
                <c:pt idx="1453">
                  <c:v>0.535507567273176</c:v>
                </c:pt>
                <c:pt idx="1454">
                  <c:v>0.517744911925314</c:v>
                </c:pt>
                <c:pt idx="1455">
                  <c:v>0.514129444591122</c:v>
                </c:pt>
                <c:pt idx="1456">
                  <c:v>0.509339179990879</c:v>
                </c:pt>
                <c:pt idx="1457">
                  <c:v>0.509435842313272</c:v>
                </c:pt>
                <c:pt idx="1458">
                  <c:v>0.509442862761469</c:v>
                </c:pt>
                <c:pt idx="1459">
                  <c:v>0.453125827785463</c:v>
                </c:pt>
                <c:pt idx="1460">
                  <c:v>0.455102997455672</c:v>
                </c:pt>
                <c:pt idx="1461">
                  <c:v>0.455149052442469</c:v>
                </c:pt>
                <c:pt idx="1462">
                  <c:v>0.535674779822247</c:v>
                </c:pt>
                <c:pt idx="1463">
                  <c:v>0.409161087789443</c:v>
                </c:pt>
                <c:pt idx="1464">
                  <c:v>0.409780729012749</c:v>
                </c:pt>
                <c:pt idx="1465">
                  <c:v>0.413437436155455</c:v>
                </c:pt>
                <c:pt idx="1466">
                  <c:v>0.399796914665745</c:v>
                </c:pt>
                <c:pt idx="1467">
                  <c:v>0.371384496789114</c:v>
                </c:pt>
                <c:pt idx="1468">
                  <c:v>0.362919109825839</c:v>
                </c:pt>
                <c:pt idx="1469">
                  <c:v>0.361761616366233</c:v>
                </c:pt>
                <c:pt idx="1470">
                  <c:v>0.360764849587134</c:v>
                </c:pt>
                <c:pt idx="1471">
                  <c:v>0.361922692194958</c:v>
                </c:pt>
                <c:pt idx="1472">
                  <c:v>0.420981168978519</c:v>
                </c:pt>
                <c:pt idx="1473">
                  <c:v>0.392546203015488</c:v>
                </c:pt>
                <c:pt idx="1474">
                  <c:v>0.393683322527341</c:v>
                </c:pt>
                <c:pt idx="1475">
                  <c:v>0.395278992694758</c:v>
                </c:pt>
                <c:pt idx="1476">
                  <c:v>0.394773480793641</c:v>
                </c:pt>
                <c:pt idx="1477">
                  <c:v>0.416750817482625</c:v>
                </c:pt>
                <c:pt idx="1478">
                  <c:v>0.544770297656403</c:v>
                </c:pt>
                <c:pt idx="1479">
                  <c:v>0.549410518692876</c:v>
                </c:pt>
                <c:pt idx="1480">
                  <c:v>0.549021953158333</c:v>
                </c:pt>
                <c:pt idx="1481">
                  <c:v>0.537271884289846</c:v>
                </c:pt>
                <c:pt idx="1482">
                  <c:v>0.535634460506355</c:v>
                </c:pt>
                <c:pt idx="1483">
                  <c:v>0.534841677079846</c:v>
                </c:pt>
                <c:pt idx="1484">
                  <c:v>0.533458675312886</c:v>
                </c:pt>
                <c:pt idx="1485">
                  <c:v>0.534309012029519</c:v>
                </c:pt>
                <c:pt idx="1486">
                  <c:v>0.541590032551724</c:v>
                </c:pt>
                <c:pt idx="1487">
                  <c:v>0.551756959805779</c:v>
                </c:pt>
                <c:pt idx="1488">
                  <c:v>0.551458230743012</c:v>
                </c:pt>
                <c:pt idx="1489">
                  <c:v>0.551512779682531</c:v>
                </c:pt>
                <c:pt idx="1490">
                  <c:v>0.546593695809383</c:v>
                </c:pt>
                <c:pt idx="1491">
                  <c:v>0.548332778163168</c:v>
                </c:pt>
                <c:pt idx="1492">
                  <c:v>0.486789404132069</c:v>
                </c:pt>
                <c:pt idx="1493">
                  <c:v>0.489833364158679</c:v>
                </c:pt>
                <c:pt idx="1494">
                  <c:v>0.489524111230048</c:v>
                </c:pt>
                <c:pt idx="1495">
                  <c:v>0.485472590951251</c:v>
                </c:pt>
                <c:pt idx="1496">
                  <c:v>0.485389034016941</c:v>
                </c:pt>
                <c:pt idx="1497">
                  <c:v>0.486232318113427</c:v>
                </c:pt>
                <c:pt idx="1498">
                  <c:v>0.490019535542395</c:v>
                </c:pt>
                <c:pt idx="1499">
                  <c:v>0.491099745165093</c:v>
                </c:pt>
                <c:pt idx="1500">
                  <c:v>0.491175922126611</c:v>
                </c:pt>
                <c:pt idx="1501">
                  <c:v>0.490483298164801</c:v>
                </c:pt>
                <c:pt idx="1502">
                  <c:v>0.43834374202235</c:v>
                </c:pt>
                <c:pt idx="1503">
                  <c:v>0.441650731674479</c:v>
                </c:pt>
                <c:pt idx="1504">
                  <c:v>0.439496888335902</c:v>
                </c:pt>
                <c:pt idx="1505">
                  <c:v>0.437739386801831</c:v>
                </c:pt>
                <c:pt idx="1506">
                  <c:v>0.436279446477244</c:v>
                </c:pt>
                <c:pt idx="1507">
                  <c:v>0.412904566569389</c:v>
                </c:pt>
                <c:pt idx="1508">
                  <c:v>0.234523745708082</c:v>
                </c:pt>
                <c:pt idx="1509">
                  <c:v>0.23940982430598</c:v>
                </c:pt>
                <c:pt idx="1510">
                  <c:v>0.2390007760204</c:v>
                </c:pt>
                <c:pt idx="1511">
                  <c:v>0.246895979451616</c:v>
                </c:pt>
                <c:pt idx="1512">
                  <c:v>0.246444298627009</c:v>
                </c:pt>
                <c:pt idx="1513">
                  <c:v>0.246541442002184</c:v>
                </c:pt>
                <c:pt idx="1514">
                  <c:v>0.247946381412178</c:v>
                </c:pt>
                <c:pt idx="1515">
                  <c:v>0.631041011371674</c:v>
                </c:pt>
                <c:pt idx="1516">
                  <c:v>0.620908634037152</c:v>
                </c:pt>
                <c:pt idx="1517">
                  <c:v>0.617684247310692</c:v>
                </c:pt>
                <c:pt idx="1518">
                  <c:v>0.620687047578315</c:v>
                </c:pt>
                <c:pt idx="1519">
                  <c:v>0.620632926319055</c:v>
                </c:pt>
                <c:pt idx="1520">
                  <c:v>0.62250821860777</c:v>
                </c:pt>
                <c:pt idx="1521">
                  <c:v>0.622223793138328</c:v>
                </c:pt>
                <c:pt idx="1522">
                  <c:v>0.628478971477154</c:v>
                </c:pt>
                <c:pt idx="1523">
                  <c:v>0.625220882832897</c:v>
                </c:pt>
                <c:pt idx="1524">
                  <c:v>0.66393814923842</c:v>
                </c:pt>
                <c:pt idx="1525">
                  <c:v>0.662737213709799</c:v>
                </c:pt>
                <c:pt idx="1526">
                  <c:v>0.663327684674058</c:v>
                </c:pt>
                <c:pt idx="1527">
                  <c:v>0.664157322204818</c:v>
                </c:pt>
                <c:pt idx="1528">
                  <c:v>0.67386573037458</c:v>
                </c:pt>
                <c:pt idx="1529">
                  <c:v>0.678014131042689</c:v>
                </c:pt>
                <c:pt idx="1530">
                  <c:v>0.677572746663429</c:v>
                </c:pt>
                <c:pt idx="1531">
                  <c:v>0.677557989812468</c:v>
                </c:pt>
                <c:pt idx="1532">
                  <c:v>0.678031701116379</c:v>
                </c:pt>
                <c:pt idx="1533">
                  <c:v>0.672730035423683</c:v>
                </c:pt>
                <c:pt idx="1534">
                  <c:v>0.674073748206158</c:v>
                </c:pt>
                <c:pt idx="1535">
                  <c:v>0.673628681902815</c:v>
                </c:pt>
                <c:pt idx="1536">
                  <c:v>0.674177514348417</c:v>
                </c:pt>
                <c:pt idx="1537">
                  <c:v>0.674592293381949</c:v>
                </c:pt>
                <c:pt idx="1538">
                  <c:v>0.716182833785102</c:v>
                </c:pt>
                <c:pt idx="1539">
                  <c:v>0.713516768614072</c:v>
                </c:pt>
                <c:pt idx="1540">
                  <c:v>0.712547256292526</c:v>
                </c:pt>
                <c:pt idx="1541">
                  <c:v>0.712443273234508</c:v>
                </c:pt>
                <c:pt idx="1542">
                  <c:v>0.71273442971636</c:v>
                </c:pt>
                <c:pt idx="1543">
                  <c:v>0.714308788315524</c:v>
                </c:pt>
                <c:pt idx="1544">
                  <c:v>0.714291269424887</c:v>
                </c:pt>
                <c:pt idx="1545">
                  <c:v>0.415711613741041</c:v>
                </c:pt>
                <c:pt idx="1546">
                  <c:v>0.443126945868465</c:v>
                </c:pt>
                <c:pt idx="1547">
                  <c:v>0.441187954949346</c:v>
                </c:pt>
                <c:pt idx="1548">
                  <c:v>0.437037259472813</c:v>
                </c:pt>
                <c:pt idx="1549">
                  <c:v>0.438116312233115</c:v>
                </c:pt>
                <c:pt idx="1550">
                  <c:v>0.429928447494002</c:v>
                </c:pt>
                <c:pt idx="1551">
                  <c:v>0.440710659215082</c:v>
                </c:pt>
                <c:pt idx="1552">
                  <c:v>0.444764717054526</c:v>
                </c:pt>
                <c:pt idx="1553">
                  <c:v>0.448109427695578</c:v>
                </c:pt>
                <c:pt idx="1554">
                  <c:v>0.578449469985159</c:v>
                </c:pt>
                <c:pt idx="1555">
                  <c:v>0.600022463181097</c:v>
                </c:pt>
                <c:pt idx="1556">
                  <c:v>0.698245095500093</c:v>
                </c:pt>
                <c:pt idx="1557">
                  <c:v>0.698427672554964</c:v>
                </c:pt>
                <c:pt idx="1558">
                  <c:v>0.683598926592813</c:v>
                </c:pt>
                <c:pt idx="1559">
                  <c:v>0.708192860312102</c:v>
                </c:pt>
                <c:pt idx="1560">
                  <c:v>0.762766474303295</c:v>
                </c:pt>
                <c:pt idx="1561">
                  <c:v>0.767848489395608</c:v>
                </c:pt>
                <c:pt idx="1562">
                  <c:v>0.858573271094916</c:v>
                </c:pt>
                <c:pt idx="1563">
                  <c:v>0.869040003121099</c:v>
                </c:pt>
                <c:pt idx="1564">
                  <c:v>0.869528299685974</c:v>
                </c:pt>
                <c:pt idx="1565">
                  <c:v>0.890498202933339</c:v>
                </c:pt>
                <c:pt idx="1566">
                  <c:v>0.892123811636255</c:v>
                </c:pt>
                <c:pt idx="1567">
                  <c:v>0.886252455181123</c:v>
                </c:pt>
                <c:pt idx="1568">
                  <c:v>0.848794412058815</c:v>
                </c:pt>
                <c:pt idx="1569">
                  <c:v>0.879557428042955</c:v>
                </c:pt>
                <c:pt idx="1570">
                  <c:v>0.879448253433664</c:v>
                </c:pt>
                <c:pt idx="1571">
                  <c:v>0.88227680433364</c:v>
                </c:pt>
                <c:pt idx="1572">
                  <c:v>0.88274653481208</c:v>
                </c:pt>
                <c:pt idx="1573">
                  <c:v>0.90927268482387</c:v>
                </c:pt>
                <c:pt idx="1574">
                  <c:v>0.911142077330616</c:v>
                </c:pt>
                <c:pt idx="1575">
                  <c:v>0.91257999068162</c:v>
                </c:pt>
                <c:pt idx="1576">
                  <c:v>0.90509532004129</c:v>
                </c:pt>
                <c:pt idx="1577">
                  <c:v>0.971124300791141</c:v>
                </c:pt>
                <c:pt idx="1578">
                  <c:v>0.986006937249837</c:v>
                </c:pt>
                <c:pt idx="1579">
                  <c:v>0.984562819302541</c:v>
                </c:pt>
                <c:pt idx="1580">
                  <c:v>0.984691547447462</c:v>
                </c:pt>
                <c:pt idx="1581">
                  <c:v>0.981996257961432</c:v>
                </c:pt>
                <c:pt idx="1582">
                  <c:v>0.979713888107275</c:v>
                </c:pt>
                <c:pt idx="1583">
                  <c:v>0.990880403472137</c:v>
                </c:pt>
                <c:pt idx="1584">
                  <c:v>0.903714502231439</c:v>
                </c:pt>
                <c:pt idx="1585">
                  <c:v>0.896534288652955</c:v>
                </c:pt>
                <c:pt idx="1586">
                  <c:v>0.810850990831979</c:v>
                </c:pt>
                <c:pt idx="1587">
                  <c:v>0.808502196947311</c:v>
                </c:pt>
                <c:pt idx="1588">
                  <c:v>0.823209972982753</c:v>
                </c:pt>
                <c:pt idx="1589">
                  <c:v>0.810795006371741</c:v>
                </c:pt>
                <c:pt idx="1590">
                  <c:v>0.769203053541925</c:v>
                </c:pt>
                <c:pt idx="1591">
                  <c:v>0.77309389854061</c:v>
                </c:pt>
                <c:pt idx="1592">
                  <c:v>0.666408401433939</c:v>
                </c:pt>
                <c:pt idx="1593">
                  <c:v>0.661176830581543</c:v>
                </c:pt>
                <c:pt idx="1594">
                  <c:v>0.664492541201175</c:v>
                </c:pt>
                <c:pt idx="1595">
                  <c:v>0.67128746898685</c:v>
                </c:pt>
                <c:pt idx="1596">
                  <c:v>0.678714326890351</c:v>
                </c:pt>
                <c:pt idx="1597">
                  <c:v>0.678697372493438</c:v>
                </c:pt>
                <c:pt idx="1598">
                  <c:v>0.679792027704503</c:v>
                </c:pt>
                <c:pt idx="1599">
                  <c:v>0.655191453777178</c:v>
                </c:pt>
                <c:pt idx="1600">
                  <c:v>0.718236551374311</c:v>
                </c:pt>
                <c:pt idx="1601">
                  <c:v>0.909051059231653</c:v>
                </c:pt>
                <c:pt idx="1602">
                  <c:v>0.96432574367222</c:v>
                </c:pt>
                <c:pt idx="1603">
                  <c:v>0.955986855204544</c:v>
                </c:pt>
                <c:pt idx="1604">
                  <c:v>1.02942856906067</c:v>
                </c:pt>
                <c:pt idx="1605">
                  <c:v>1.03358093981333</c:v>
                </c:pt>
                <c:pt idx="1606">
                  <c:v>1.03536838393542</c:v>
                </c:pt>
                <c:pt idx="1607">
                  <c:v>1.02610349861657</c:v>
                </c:pt>
                <c:pt idx="1608">
                  <c:v>1.05704951288041</c:v>
                </c:pt>
                <c:pt idx="1609">
                  <c:v>1.05949337137606</c:v>
                </c:pt>
                <c:pt idx="1610">
                  <c:v>1.05929173138454</c:v>
                </c:pt>
                <c:pt idx="1611">
                  <c:v>1.05971318628897</c:v>
                </c:pt>
                <c:pt idx="1612">
                  <c:v>1.07557960550524</c:v>
                </c:pt>
                <c:pt idx="1613">
                  <c:v>1.05719397627919</c:v>
                </c:pt>
                <c:pt idx="1614">
                  <c:v>1.06539871284145</c:v>
                </c:pt>
                <c:pt idx="1615">
                  <c:v>1.09567715172551</c:v>
                </c:pt>
                <c:pt idx="1616">
                  <c:v>1.09878194896874</c:v>
                </c:pt>
                <c:pt idx="1617">
                  <c:v>1.11100106384922</c:v>
                </c:pt>
                <c:pt idx="1618">
                  <c:v>1.18083157899707</c:v>
                </c:pt>
                <c:pt idx="1619">
                  <c:v>1.19725187700367</c:v>
                </c:pt>
                <c:pt idx="1620">
                  <c:v>1.3015541656486</c:v>
                </c:pt>
                <c:pt idx="1621">
                  <c:v>1.29858070028244</c:v>
                </c:pt>
                <c:pt idx="1622">
                  <c:v>1.33241930520447</c:v>
                </c:pt>
                <c:pt idx="1623">
                  <c:v>1.33219119668988</c:v>
                </c:pt>
                <c:pt idx="1624">
                  <c:v>1.33072015478524</c:v>
                </c:pt>
                <c:pt idx="1625">
                  <c:v>1.313644933149</c:v>
                </c:pt>
                <c:pt idx="1626">
                  <c:v>1.30821211037105</c:v>
                </c:pt>
                <c:pt idx="1627">
                  <c:v>1.31654160486282</c:v>
                </c:pt>
                <c:pt idx="1628">
                  <c:v>1.31369645882132</c:v>
                </c:pt>
                <c:pt idx="1629">
                  <c:v>1.29415913768921</c:v>
                </c:pt>
                <c:pt idx="1630">
                  <c:v>1.24253718447979</c:v>
                </c:pt>
                <c:pt idx="1631">
                  <c:v>1.14314801119647</c:v>
                </c:pt>
                <c:pt idx="1632">
                  <c:v>1.07770473195734</c:v>
                </c:pt>
                <c:pt idx="1633">
                  <c:v>1.07400690463044</c:v>
                </c:pt>
                <c:pt idx="1634">
                  <c:v>1.02164389075783</c:v>
                </c:pt>
                <c:pt idx="1635">
                  <c:v>1.03873140002811</c:v>
                </c:pt>
                <c:pt idx="1636">
                  <c:v>1.03939007687846</c:v>
                </c:pt>
                <c:pt idx="1637">
                  <c:v>0.975180944604383</c:v>
                </c:pt>
                <c:pt idx="1638">
                  <c:v>0.944659785915623</c:v>
                </c:pt>
                <c:pt idx="1639">
                  <c:v>0.946125817102691</c:v>
                </c:pt>
                <c:pt idx="1640">
                  <c:v>0.974933395841635</c:v>
                </c:pt>
                <c:pt idx="1641">
                  <c:v>0.976612906598805</c:v>
                </c:pt>
                <c:pt idx="1642">
                  <c:v>0.961202306443862</c:v>
                </c:pt>
                <c:pt idx="1643">
                  <c:v>0.958001899843867</c:v>
                </c:pt>
                <c:pt idx="1644">
                  <c:v>0.949273919413564</c:v>
                </c:pt>
                <c:pt idx="1645">
                  <c:v>0.939457964537309</c:v>
                </c:pt>
                <c:pt idx="1646">
                  <c:v>0.930532687033771</c:v>
                </c:pt>
                <c:pt idx="1647">
                  <c:v>0.923525556605993</c:v>
                </c:pt>
                <c:pt idx="1648">
                  <c:v>0.848313758167027</c:v>
                </c:pt>
                <c:pt idx="1649">
                  <c:v>0.856379225224163</c:v>
                </c:pt>
                <c:pt idx="1650">
                  <c:v>0.699275245060915</c:v>
                </c:pt>
                <c:pt idx="1651">
                  <c:v>0.69351412745263</c:v>
                </c:pt>
                <c:pt idx="1652">
                  <c:v>0.613179960827323</c:v>
                </c:pt>
                <c:pt idx="1653">
                  <c:v>0.613367933698348</c:v>
                </c:pt>
                <c:pt idx="1654">
                  <c:v>0.644516344333551</c:v>
                </c:pt>
                <c:pt idx="1655">
                  <c:v>0.645542416071829</c:v>
                </c:pt>
                <c:pt idx="1656">
                  <c:v>0.671166349897545</c:v>
                </c:pt>
                <c:pt idx="1657">
                  <c:v>0.65037697287165</c:v>
                </c:pt>
                <c:pt idx="1658">
                  <c:v>0.658258312053296</c:v>
                </c:pt>
                <c:pt idx="1659">
                  <c:v>0.663777356911482</c:v>
                </c:pt>
                <c:pt idx="1660">
                  <c:v>0.66357784442189</c:v>
                </c:pt>
                <c:pt idx="1661">
                  <c:v>0.651543958704599</c:v>
                </c:pt>
                <c:pt idx="1662">
                  <c:v>0.656031872542251</c:v>
                </c:pt>
                <c:pt idx="1663">
                  <c:v>0.677114663196172</c:v>
                </c:pt>
                <c:pt idx="1664">
                  <c:v>0.680094661905864</c:v>
                </c:pt>
                <c:pt idx="1665">
                  <c:v>0.653276659465482</c:v>
                </c:pt>
                <c:pt idx="1666">
                  <c:v>0.642651299389192</c:v>
                </c:pt>
                <c:pt idx="1667">
                  <c:v>0.64503888450409</c:v>
                </c:pt>
                <c:pt idx="1668">
                  <c:v>0.677230384061623</c:v>
                </c:pt>
                <c:pt idx="1669">
                  <c:v>0.679087265669444</c:v>
                </c:pt>
                <c:pt idx="1670">
                  <c:v>0.631184883032934</c:v>
                </c:pt>
                <c:pt idx="1671">
                  <c:v>0.624563494322637</c:v>
                </c:pt>
                <c:pt idx="1672">
                  <c:v>0.600246276095644</c:v>
                </c:pt>
                <c:pt idx="1673">
                  <c:v>0.604484010666322</c:v>
                </c:pt>
                <c:pt idx="1674">
                  <c:v>0.604247900740322</c:v>
                </c:pt>
                <c:pt idx="1675">
                  <c:v>0.57944858215077</c:v>
                </c:pt>
                <c:pt idx="1676">
                  <c:v>0.575841332989312</c:v>
                </c:pt>
                <c:pt idx="1677">
                  <c:v>0.576613083219095</c:v>
                </c:pt>
                <c:pt idx="1678">
                  <c:v>0.562948000845785</c:v>
                </c:pt>
                <c:pt idx="1679">
                  <c:v>0.503046948019169</c:v>
                </c:pt>
                <c:pt idx="1680">
                  <c:v>0.499656049907575</c:v>
                </c:pt>
                <c:pt idx="1681">
                  <c:v>0.49909129207477</c:v>
                </c:pt>
                <c:pt idx="1682">
                  <c:v>0.496566824711473</c:v>
                </c:pt>
                <c:pt idx="1683">
                  <c:v>0.496373685350634</c:v>
                </c:pt>
                <c:pt idx="1684">
                  <c:v>0.447695736447052</c:v>
                </c:pt>
                <c:pt idx="1685">
                  <c:v>0.449118130025927</c:v>
                </c:pt>
                <c:pt idx="1686">
                  <c:v>0.398190600261462</c:v>
                </c:pt>
                <c:pt idx="1687">
                  <c:v>0.403125906632122</c:v>
                </c:pt>
                <c:pt idx="1688">
                  <c:v>0.386765608565691</c:v>
                </c:pt>
                <c:pt idx="1689">
                  <c:v>0.396483797088859</c:v>
                </c:pt>
                <c:pt idx="1690">
                  <c:v>0.582037763227991</c:v>
                </c:pt>
                <c:pt idx="1691">
                  <c:v>0.573847024128619</c:v>
                </c:pt>
                <c:pt idx="1692">
                  <c:v>0.588766790812475</c:v>
                </c:pt>
                <c:pt idx="1693">
                  <c:v>0.577491577030514</c:v>
                </c:pt>
                <c:pt idx="1694">
                  <c:v>0.576323477773564</c:v>
                </c:pt>
                <c:pt idx="1695">
                  <c:v>0.577413764554443</c:v>
                </c:pt>
                <c:pt idx="1696">
                  <c:v>0.590035136138849</c:v>
                </c:pt>
                <c:pt idx="1697">
                  <c:v>0.584825271409573</c:v>
                </c:pt>
                <c:pt idx="1698">
                  <c:v>0.533342428626481</c:v>
                </c:pt>
                <c:pt idx="1699">
                  <c:v>0.524681404005906</c:v>
                </c:pt>
                <c:pt idx="1700">
                  <c:v>0.52445608401019</c:v>
                </c:pt>
                <c:pt idx="1701">
                  <c:v>0.524503077050791</c:v>
                </c:pt>
                <c:pt idx="1702">
                  <c:v>0.5305551563654</c:v>
                </c:pt>
                <c:pt idx="1703">
                  <c:v>0.556845407647153</c:v>
                </c:pt>
                <c:pt idx="1704">
                  <c:v>0.556971265440969</c:v>
                </c:pt>
                <c:pt idx="1705">
                  <c:v>0.591627102884334</c:v>
                </c:pt>
                <c:pt idx="1706">
                  <c:v>0.58915405112817</c:v>
                </c:pt>
                <c:pt idx="1707">
                  <c:v>0.598258473842066</c:v>
                </c:pt>
                <c:pt idx="1708">
                  <c:v>0.588094623925807</c:v>
                </c:pt>
                <c:pt idx="1709">
                  <c:v>0.588273375958243</c:v>
                </c:pt>
                <c:pt idx="1710">
                  <c:v>0.591178125899151</c:v>
                </c:pt>
                <c:pt idx="1711">
                  <c:v>0.594385308995708</c:v>
                </c:pt>
                <c:pt idx="1712">
                  <c:v>0.59574912933428</c:v>
                </c:pt>
                <c:pt idx="1713">
                  <c:v>0.599351468873766</c:v>
                </c:pt>
                <c:pt idx="1714">
                  <c:v>0.599662236550298</c:v>
                </c:pt>
                <c:pt idx="1715">
                  <c:v>0.595095103461298</c:v>
                </c:pt>
                <c:pt idx="1716">
                  <c:v>0.61243665456309</c:v>
                </c:pt>
                <c:pt idx="1717">
                  <c:v>0.611211469465711</c:v>
                </c:pt>
                <c:pt idx="1718">
                  <c:v>0.613166280063163</c:v>
                </c:pt>
                <c:pt idx="1719">
                  <c:v>0.642872164984799</c:v>
                </c:pt>
                <c:pt idx="1720">
                  <c:v>0.490573219046391</c:v>
                </c:pt>
                <c:pt idx="1721">
                  <c:v>0.746353823313742</c:v>
                </c:pt>
                <c:pt idx="1722">
                  <c:v>0.757414156011088</c:v>
                </c:pt>
                <c:pt idx="1723">
                  <c:v>0.761876669701918</c:v>
                </c:pt>
                <c:pt idx="1724">
                  <c:v>0.776035094107404</c:v>
                </c:pt>
                <c:pt idx="1725">
                  <c:v>0.773655443357658</c:v>
                </c:pt>
                <c:pt idx="1726">
                  <c:v>0.776633687717083</c:v>
                </c:pt>
                <c:pt idx="1727">
                  <c:v>0.776956995456628</c:v>
                </c:pt>
                <c:pt idx="1728">
                  <c:v>0.777517044702503</c:v>
                </c:pt>
                <c:pt idx="1729">
                  <c:v>0.77351074019836</c:v>
                </c:pt>
                <c:pt idx="1730">
                  <c:v>0.773842383948837</c:v>
                </c:pt>
                <c:pt idx="1731">
                  <c:v>0.775949301672704</c:v>
                </c:pt>
                <c:pt idx="1732">
                  <c:v>0.763924883338958</c:v>
                </c:pt>
                <c:pt idx="1733">
                  <c:v>0.750605974890132</c:v>
                </c:pt>
                <c:pt idx="1734">
                  <c:v>0.753271665390337</c:v>
                </c:pt>
                <c:pt idx="1735">
                  <c:v>0.756572852167012</c:v>
                </c:pt>
                <c:pt idx="1736">
                  <c:v>0.756661145787829</c:v>
                </c:pt>
                <c:pt idx="1737">
                  <c:v>0.748098738973823</c:v>
                </c:pt>
                <c:pt idx="1738">
                  <c:v>0.760046339773991</c:v>
                </c:pt>
                <c:pt idx="1739">
                  <c:v>0.760663600025211</c:v>
                </c:pt>
                <c:pt idx="1740">
                  <c:v>0.760706579104126</c:v>
                </c:pt>
                <c:pt idx="1741">
                  <c:v>0.757270914279478</c:v>
                </c:pt>
                <c:pt idx="1742">
                  <c:v>0.757141343533546</c:v>
                </c:pt>
                <c:pt idx="1743">
                  <c:v>0.756534242712696</c:v>
                </c:pt>
                <c:pt idx="1744">
                  <c:v>0.754054652930814</c:v>
                </c:pt>
                <c:pt idx="1745">
                  <c:v>0.768803617913642</c:v>
                </c:pt>
                <c:pt idx="1746">
                  <c:v>0.759926493615778</c:v>
                </c:pt>
                <c:pt idx="1747">
                  <c:v>0.760058877806699</c:v>
                </c:pt>
                <c:pt idx="1748">
                  <c:v>0.78270245900515</c:v>
                </c:pt>
                <c:pt idx="1749">
                  <c:v>0.759510202545411</c:v>
                </c:pt>
                <c:pt idx="1750">
                  <c:v>0.759723323564181</c:v>
                </c:pt>
                <c:pt idx="1751">
                  <c:v>0.539075680161829</c:v>
                </c:pt>
                <c:pt idx="1752">
                  <c:v>0.494212795815723</c:v>
                </c:pt>
                <c:pt idx="1753">
                  <c:v>0.475854716463799</c:v>
                </c:pt>
                <c:pt idx="1754">
                  <c:v>0.511907731784</c:v>
                </c:pt>
                <c:pt idx="1755">
                  <c:v>0.502001272695454</c:v>
                </c:pt>
                <c:pt idx="1756">
                  <c:v>0.529103607388678</c:v>
                </c:pt>
                <c:pt idx="1757">
                  <c:v>0.533783311817443</c:v>
                </c:pt>
                <c:pt idx="1758">
                  <c:v>0.530580517256905</c:v>
                </c:pt>
                <c:pt idx="1759">
                  <c:v>0.528841919843041</c:v>
                </c:pt>
                <c:pt idx="1760">
                  <c:v>0.529040568158364</c:v>
                </c:pt>
                <c:pt idx="1761">
                  <c:v>0.518970279316568</c:v>
                </c:pt>
                <c:pt idx="1762">
                  <c:v>0.534607243095802</c:v>
                </c:pt>
                <c:pt idx="1763">
                  <c:v>0.544128649087099</c:v>
                </c:pt>
                <c:pt idx="1764">
                  <c:v>0.543226099511754</c:v>
                </c:pt>
                <c:pt idx="1765">
                  <c:v>0.522338862395954</c:v>
                </c:pt>
                <c:pt idx="1766">
                  <c:v>0.525748544236992</c:v>
                </c:pt>
                <c:pt idx="1767">
                  <c:v>0.513177504789799</c:v>
                </c:pt>
                <c:pt idx="1768">
                  <c:v>0.505669984109962</c:v>
                </c:pt>
                <c:pt idx="1769">
                  <c:v>0.50183010969182</c:v>
                </c:pt>
                <c:pt idx="1770">
                  <c:v>0.504349761816099</c:v>
                </c:pt>
                <c:pt idx="1771">
                  <c:v>0.508298951004187</c:v>
                </c:pt>
                <c:pt idx="1772">
                  <c:v>0.508248771599906</c:v>
                </c:pt>
                <c:pt idx="1773">
                  <c:v>0.516082709051552</c:v>
                </c:pt>
                <c:pt idx="1774">
                  <c:v>0.526407446924011</c:v>
                </c:pt>
                <c:pt idx="1775">
                  <c:v>0.633506726920215</c:v>
                </c:pt>
                <c:pt idx="1776">
                  <c:v>0.636536958004869</c:v>
                </c:pt>
                <c:pt idx="1777">
                  <c:v>0.637341843130478</c:v>
                </c:pt>
                <c:pt idx="1778">
                  <c:v>0.605576129974692</c:v>
                </c:pt>
                <c:pt idx="1779">
                  <c:v>0.618957169421035</c:v>
                </c:pt>
                <c:pt idx="1780">
                  <c:v>0.628817196818745</c:v>
                </c:pt>
                <c:pt idx="1781">
                  <c:v>0.590508932406572</c:v>
                </c:pt>
                <c:pt idx="1782">
                  <c:v>0.581799019266648</c:v>
                </c:pt>
                <c:pt idx="1783">
                  <c:v>0.581631070287261</c:v>
                </c:pt>
                <c:pt idx="1784">
                  <c:v>0.551222649735504</c:v>
                </c:pt>
                <c:pt idx="1785">
                  <c:v>0.549152588982029</c:v>
                </c:pt>
                <c:pt idx="1786">
                  <c:v>0.52620765363312</c:v>
                </c:pt>
                <c:pt idx="1787">
                  <c:v>0.526008788608012</c:v>
                </c:pt>
                <c:pt idx="1788">
                  <c:v>0.52265338413433</c:v>
                </c:pt>
                <c:pt idx="1789">
                  <c:v>0.520891191785601</c:v>
                </c:pt>
                <c:pt idx="1790">
                  <c:v>0.532599149771975</c:v>
                </c:pt>
                <c:pt idx="1791">
                  <c:v>0.565017326221129</c:v>
                </c:pt>
                <c:pt idx="1792">
                  <c:v>0.556510065812971</c:v>
                </c:pt>
                <c:pt idx="1793">
                  <c:v>0.550193742444537</c:v>
                </c:pt>
                <c:pt idx="1794">
                  <c:v>0.584388032812344</c:v>
                </c:pt>
                <c:pt idx="1795">
                  <c:v>0.608465476232252</c:v>
                </c:pt>
                <c:pt idx="1796">
                  <c:v>0.604220456766815</c:v>
                </c:pt>
                <c:pt idx="1797">
                  <c:v>0.610322292504899</c:v>
                </c:pt>
                <c:pt idx="1798">
                  <c:v>0.628847775958599</c:v>
                </c:pt>
                <c:pt idx="1799">
                  <c:v>0.633418467822844</c:v>
                </c:pt>
                <c:pt idx="1800">
                  <c:v>0.637088661297214</c:v>
                </c:pt>
                <c:pt idx="1801">
                  <c:v>0.629722429601535</c:v>
                </c:pt>
                <c:pt idx="1802">
                  <c:v>0.678265123878086</c:v>
                </c:pt>
                <c:pt idx="1803">
                  <c:v>0.662417880488017</c:v>
                </c:pt>
                <c:pt idx="1804">
                  <c:v>0.645206321061842</c:v>
                </c:pt>
                <c:pt idx="1805">
                  <c:v>0.558746451923234</c:v>
                </c:pt>
                <c:pt idx="1806">
                  <c:v>0.549819258365651</c:v>
                </c:pt>
                <c:pt idx="1807">
                  <c:v>0.558990409900843</c:v>
                </c:pt>
                <c:pt idx="1808">
                  <c:v>0.559720829755036</c:v>
                </c:pt>
                <c:pt idx="1809">
                  <c:v>0.531425801461021</c:v>
                </c:pt>
                <c:pt idx="1810">
                  <c:v>0.517445898982721</c:v>
                </c:pt>
                <c:pt idx="1811">
                  <c:v>0.532544923490587</c:v>
                </c:pt>
                <c:pt idx="1812">
                  <c:v>0.530211657367265</c:v>
                </c:pt>
                <c:pt idx="1813">
                  <c:v>0.534402332823895</c:v>
                </c:pt>
                <c:pt idx="1814">
                  <c:v>0.547442401322217</c:v>
                </c:pt>
                <c:pt idx="1815">
                  <c:v>0.554337809871811</c:v>
                </c:pt>
                <c:pt idx="1816">
                  <c:v>0.580659523902048</c:v>
                </c:pt>
                <c:pt idx="1817">
                  <c:v>0.574359668128913</c:v>
                </c:pt>
                <c:pt idx="1818">
                  <c:v>0.574782997884704</c:v>
                </c:pt>
                <c:pt idx="1819">
                  <c:v>0.58111846242145</c:v>
                </c:pt>
                <c:pt idx="1820">
                  <c:v>0.562200626781437</c:v>
                </c:pt>
                <c:pt idx="1821">
                  <c:v>0.541090679509556</c:v>
                </c:pt>
                <c:pt idx="1822">
                  <c:v>0.542227782479121</c:v>
                </c:pt>
                <c:pt idx="1823">
                  <c:v>0.546532752508322</c:v>
                </c:pt>
                <c:pt idx="1824">
                  <c:v>0.539463770606566</c:v>
                </c:pt>
                <c:pt idx="1825">
                  <c:v>0.518033094728735</c:v>
                </c:pt>
                <c:pt idx="1826">
                  <c:v>0.511666905615539</c:v>
                </c:pt>
                <c:pt idx="1827">
                  <c:v>0.496340046031268</c:v>
                </c:pt>
                <c:pt idx="1828">
                  <c:v>0.4815607483179</c:v>
                </c:pt>
                <c:pt idx="1829">
                  <c:v>0.490104229193078</c:v>
                </c:pt>
                <c:pt idx="1830">
                  <c:v>0.502335326722587</c:v>
                </c:pt>
                <c:pt idx="1831">
                  <c:v>0.498281450052845</c:v>
                </c:pt>
                <c:pt idx="1832">
                  <c:v>0.435758501082143</c:v>
                </c:pt>
                <c:pt idx="1833">
                  <c:v>0.436610786306823</c:v>
                </c:pt>
                <c:pt idx="1834">
                  <c:v>0.470270410005628</c:v>
                </c:pt>
                <c:pt idx="1835">
                  <c:v>0.468115110612195</c:v>
                </c:pt>
                <c:pt idx="1836">
                  <c:v>0.475789097180191</c:v>
                </c:pt>
                <c:pt idx="1837">
                  <c:v>0.49250439405978</c:v>
                </c:pt>
                <c:pt idx="1838">
                  <c:v>0.541858138713891</c:v>
                </c:pt>
                <c:pt idx="1839">
                  <c:v>0.541185327563889</c:v>
                </c:pt>
                <c:pt idx="1840">
                  <c:v>0.540146022201146</c:v>
                </c:pt>
                <c:pt idx="1841">
                  <c:v>0.52466803706183</c:v>
                </c:pt>
                <c:pt idx="1842">
                  <c:v>0.53209531519033</c:v>
                </c:pt>
                <c:pt idx="1843">
                  <c:v>0.542268925921278</c:v>
                </c:pt>
                <c:pt idx="1844">
                  <c:v>0.548906227361688</c:v>
                </c:pt>
                <c:pt idx="1845">
                  <c:v>0.57798358751237</c:v>
                </c:pt>
                <c:pt idx="1846">
                  <c:v>0.541191384416674</c:v>
                </c:pt>
                <c:pt idx="1847">
                  <c:v>0.540107661830199</c:v>
                </c:pt>
                <c:pt idx="1848">
                  <c:v>0.534772416282843</c:v>
                </c:pt>
                <c:pt idx="1849">
                  <c:v>0.533074223508487</c:v>
                </c:pt>
                <c:pt idx="1850">
                  <c:v>0.56393051021417</c:v>
                </c:pt>
                <c:pt idx="1851">
                  <c:v>0.566382035956424</c:v>
                </c:pt>
                <c:pt idx="1852">
                  <c:v>0.566381057293182</c:v>
                </c:pt>
                <c:pt idx="1853">
                  <c:v>0.577105404555928</c:v>
                </c:pt>
                <c:pt idx="1854">
                  <c:v>0.55050918561111</c:v>
                </c:pt>
                <c:pt idx="1855">
                  <c:v>0.556319263450892</c:v>
                </c:pt>
                <c:pt idx="1856">
                  <c:v>0.643720347975609</c:v>
                </c:pt>
                <c:pt idx="1857">
                  <c:v>0.641345968598425</c:v>
                </c:pt>
                <c:pt idx="1858">
                  <c:v>0.629777086327834</c:v>
                </c:pt>
                <c:pt idx="1859">
                  <c:v>0.626697624258986</c:v>
                </c:pt>
                <c:pt idx="1860">
                  <c:v>1.71263411895481</c:v>
                </c:pt>
                <c:pt idx="1861">
                  <c:v>1.77872312084427</c:v>
                </c:pt>
                <c:pt idx="1862">
                  <c:v>1.78876508927062</c:v>
                </c:pt>
                <c:pt idx="1863">
                  <c:v>1.79296201377189</c:v>
                </c:pt>
                <c:pt idx="1864">
                  <c:v>1.79321984450991</c:v>
                </c:pt>
                <c:pt idx="1865">
                  <c:v>1.81184826408346</c:v>
                </c:pt>
                <c:pt idx="1866">
                  <c:v>1.81539623633721</c:v>
                </c:pt>
                <c:pt idx="1867">
                  <c:v>1.88163164898118</c:v>
                </c:pt>
                <c:pt idx="1868">
                  <c:v>1.87550976669071</c:v>
                </c:pt>
                <c:pt idx="1869">
                  <c:v>1.87475907494735</c:v>
                </c:pt>
                <c:pt idx="1870">
                  <c:v>1.88009881647716</c:v>
                </c:pt>
                <c:pt idx="1871">
                  <c:v>1.94698624957137</c:v>
                </c:pt>
                <c:pt idx="1872">
                  <c:v>1.94535851178352</c:v>
                </c:pt>
                <c:pt idx="1873">
                  <c:v>1.94498798033972</c:v>
                </c:pt>
                <c:pt idx="1874">
                  <c:v>1.94319775513519</c:v>
                </c:pt>
                <c:pt idx="1875">
                  <c:v>1.94693370547528</c:v>
                </c:pt>
                <c:pt idx="1876">
                  <c:v>1.94615995495287</c:v>
                </c:pt>
                <c:pt idx="1877">
                  <c:v>1.95391502011636</c:v>
                </c:pt>
                <c:pt idx="1878">
                  <c:v>1.98157718052806</c:v>
                </c:pt>
                <c:pt idx="1879">
                  <c:v>1.98224455937965</c:v>
                </c:pt>
                <c:pt idx="1880">
                  <c:v>1.97994473638793</c:v>
                </c:pt>
                <c:pt idx="1881">
                  <c:v>1.9809193424432</c:v>
                </c:pt>
                <c:pt idx="1882">
                  <c:v>1.98070955844291</c:v>
                </c:pt>
                <c:pt idx="1883">
                  <c:v>1.97888757095073</c:v>
                </c:pt>
                <c:pt idx="1884">
                  <c:v>1.97758805121436</c:v>
                </c:pt>
                <c:pt idx="1885">
                  <c:v>1.99881991737243</c:v>
                </c:pt>
                <c:pt idx="1886">
                  <c:v>1.97270322483059</c:v>
                </c:pt>
                <c:pt idx="1887">
                  <c:v>1.97382002217778</c:v>
                </c:pt>
                <c:pt idx="1888">
                  <c:v>1.97380207582204</c:v>
                </c:pt>
                <c:pt idx="1889">
                  <c:v>1.9822434033258</c:v>
                </c:pt>
                <c:pt idx="1890">
                  <c:v>1.06283788227643</c:v>
                </c:pt>
                <c:pt idx="1891">
                  <c:v>0.993543910835841</c:v>
                </c:pt>
                <c:pt idx="1892">
                  <c:v>0.947789437701055</c:v>
                </c:pt>
                <c:pt idx="1893">
                  <c:v>0.946122402799541</c:v>
                </c:pt>
                <c:pt idx="1894">
                  <c:v>0.942031801023334</c:v>
                </c:pt>
                <c:pt idx="1895">
                  <c:v>0.961118935299153</c:v>
                </c:pt>
                <c:pt idx="1896">
                  <c:v>0.963352328927457</c:v>
                </c:pt>
                <c:pt idx="1897">
                  <c:v>0.850821831474108</c:v>
                </c:pt>
                <c:pt idx="1898">
                  <c:v>0.855271480903044</c:v>
                </c:pt>
                <c:pt idx="1899">
                  <c:v>0.869697628572629</c:v>
                </c:pt>
                <c:pt idx="1900">
                  <c:v>0.836076123528033</c:v>
                </c:pt>
                <c:pt idx="1901">
                  <c:v>0.724104774295362</c:v>
                </c:pt>
                <c:pt idx="1902">
                  <c:v>0.736142568247178</c:v>
                </c:pt>
                <c:pt idx="1903">
                  <c:v>0.736123573719327</c:v>
                </c:pt>
                <c:pt idx="1904">
                  <c:v>0.736124411751173</c:v>
                </c:pt>
                <c:pt idx="1905">
                  <c:v>0.69302130201917</c:v>
                </c:pt>
                <c:pt idx="1906">
                  <c:v>0.691295966050716</c:v>
                </c:pt>
                <c:pt idx="1907">
                  <c:v>0.646594772088599</c:v>
                </c:pt>
                <c:pt idx="1908">
                  <c:v>0.716118161099937</c:v>
                </c:pt>
                <c:pt idx="1909">
                  <c:v>0.721773480573575</c:v>
                </c:pt>
                <c:pt idx="1910">
                  <c:v>0.712448351785908</c:v>
                </c:pt>
                <c:pt idx="1911">
                  <c:v>0.713464879845569</c:v>
                </c:pt>
                <c:pt idx="1912">
                  <c:v>0.71319465800448</c:v>
                </c:pt>
                <c:pt idx="1913">
                  <c:v>0.712036511297632</c:v>
                </c:pt>
                <c:pt idx="1914">
                  <c:v>0.706327304512113</c:v>
                </c:pt>
                <c:pt idx="1915">
                  <c:v>0.663626462644749</c:v>
                </c:pt>
                <c:pt idx="1916">
                  <c:v>0.719638127028376</c:v>
                </c:pt>
                <c:pt idx="1917">
                  <c:v>0.727986155223334</c:v>
                </c:pt>
                <c:pt idx="1918">
                  <c:v>0.735511111406812</c:v>
                </c:pt>
                <c:pt idx="1919">
                  <c:v>0.773404996208088</c:v>
                </c:pt>
                <c:pt idx="1920">
                  <c:v>0.781525586056281</c:v>
                </c:pt>
                <c:pt idx="1921">
                  <c:v>0.783949308135584</c:v>
                </c:pt>
                <c:pt idx="1922">
                  <c:v>0.80235682962746</c:v>
                </c:pt>
                <c:pt idx="1923">
                  <c:v>0.813120498868834</c:v>
                </c:pt>
                <c:pt idx="1924">
                  <c:v>0.819958694191938</c:v>
                </c:pt>
                <c:pt idx="1925">
                  <c:v>0.782571475612046</c:v>
                </c:pt>
                <c:pt idx="1926">
                  <c:v>0.785210853385173</c:v>
                </c:pt>
                <c:pt idx="1927">
                  <c:v>0.782357997133147</c:v>
                </c:pt>
                <c:pt idx="1928">
                  <c:v>0.775058900132705</c:v>
                </c:pt>
                <c:pt idx="1929">
                  <c:v>0.765719737240014</c:v>
                </c:pt>
                <c:pt idx="1930">
                  <c:v>0.793846887084479</c:v>
                </c:pt>
                <c:pt idx="1931">
                  <c:v>0.78493719299538</c:v>
                </c:pt>
                <c:pt idx="1932">
                  <c:v>0.773666846314478</c:v>
                </c:pt>
                <c:pt idx="1933">
                  <c:v>0.803350950700821</c:v>
                </c:pt>
                <c:pt idx="1934">
                  <c:v>0.80635990921773</c:v>
                </c:pt>
                <c:pt idx="1935">
                  <c:v>0.802384272111585</c:v>
                </c:pt>
                <c:pt idx="1936">
                  <c:v>0.811983213793106</c:v>
                </c:pt>
                <c:pt idx="1937">
                  <c:v>0.821454027968884</c:v>
                </c:pt>
                <c:pt idx="1938">
                  <c:v>0.711149185760492</c:v>
                </c:pt>
                <c:pt idx="1939">
                  <c:v>0.713107117425178</c:v>
                </c:pt>
                <c:pt idx="1940">
                  <c:v>0.718412642592125</c:v>
                </c:pt>
                <c:pt idx="1941">
                  <c:v>0.764829319012437</c:v>
                </c:pt>
                <c:pt idx="1942">
                  <c:v>0.808200957679094</c:v>
                </c:pt>
                <c:pt idx="1943">
                  <c:v>0.809701750944324</c:v>
                </c:pt>
                <c:pt idx="1944">
                  <c:v>0.809295168575858</c:v>
                </c:pt>
                <c:pt idx="1945">
                  <c:v>0.813981857548087</c:v>
                </c:pt>
                <c:pt idx="1946">
                  <c:v>0.747526214397353</c:v>
                </c:pt>
                <c:pt idx="1947">
                  <c:v>0.744668120610112</c:v>
                </c:pt>
                <c:pt idx="1948">
                  <c:v>0.739849275262523</c:v>
                </c:pt>
                <c:pt idx="1949">
                  <c:v>0.672063710533732</c:v>
                </c:pt>
                <c:pt idx="1950">
                  <c:v>0.664629026012789</c:v>
                </c:pt>
                <c:pt idx="1951">
                  <c:v>0.703791173207695</c:v>
                </c:pt>
                <c:pt idx="1952">
                  <c:v>0.678271969576078</c:v>
                </c:pt>
                <c:pt idx="1953">
                  <c:v>0.654275152814328</c:v>
                </c:pt>
                <c:pt idx="1954">
                  <c:v>0.63254724802379</c:v>
                </c:pt>
                <c:pt idx="1955">
                  <c:v>0.634135197479141</c:v>
                </c:pt>
                <c:pt idx="1956">
                  <c:v>0.621819900348568</c:v>
                </c:pt>
                <c:pt idx="1957">
                  <c:v>0.622150347346086</c:v>
                </c:pt>
                <c:pt idx="1958">
                  <c:v>0.622487680879699</c:v>
                </c:pt>
                <c:pt idx="1959">
                  <c:v>0.614789023625011</c:v>
                </c:pt>
                <c:pt idx="1960">
                  <c:v>0.589638659610931</c:v>
                </c:pt>
                <c:pt idx="1961">
                  <c:v>0.588541715848941</c:v>
                </c:pt>
                <c:pt idx="1962">
                  <c:v>0.60818053740461</c:v>
                </c:pt>
                <c:pt idx="1963">
                  <c:v>0.573700335325425</c:v>
                </c:pt>
                <c:pt idx="1964">
                  <c:v>0.584230508393528</c:v>
                </c:pt>
                <c:pt idx="1965">
                  <c:v>0.584113586568686</c:v>
                </c:pt>
                <c:pt idx="1966">
                  <c:v>0.567815487675282</c:v>
                </c:pt>
                <c:pt idx="1967">
                  <c:v>0.549846963474118</c:v>
                </c:pt>
                <c:pt idx="1968">
                  <c:v>0.549514850505884</c:v>
                </c:pt>
                <c:pt idx="1969">
                  <c:v>0.541126302371739</c:v>
                </c:pt>
                <c:pt idx="1970">
                  <c:v>0.534370704569104</c:v>
                </c:pt>
                <c:pt idx="1971">
                  <c:v>0.452619467427373</c:v>
                </c:pt>
                <c:pt idx="1972">
                  <c:v>0.384162942794913</c:v>
                </c:pt>
                <c:pt idx="1973">
                  <c:v>0.378365347977287</c:v>
                </c:pt>
                <c:pt idx="1974">
                  <c:v>0.376847596167841</c:v>
                </c:pt>
                <c:pt idx="1975">
                  <c:v>0.369032752085903</c:v>
                </c:pt>
                <c:pt idx="1976">
                  <c:v>0.37985582873854</c:v>
                </c:pt>
                <c:pt idx="1977">
                  <c:v>0.378186585878072</c:v>
                </c:pt>
                <c:pt idx="1978">
                  <c:v>0.383551046073023</c:v>
                </c:pt>
                <c:pt idx="1979">
                  <c:v>0.390044031594951</c:v>
                </c:pt>
                <c:pt idx="1980">
                  <c:v>0.38815686097537</c:v>
                </c:pt>
                <c:pt idx="1981">
                  <c:v>0.310777144143084</c:v>
                </c:pt>
                <c:pt idx="1982">
                  <c:v>0.301935855676923</c:v>
                </c:pt>
                <c:pt idx="1983">
                  <c:v>0.30330310072538</c:v>
                </c:pt>
                <c:pt idx="1984">
                  <c:v>0.297775368888955</c:v>
                </c:pt>
                <c:pt idx="1985">
                  <c:v>0.294770508234329</c:v>
                </c:pt>
                <c:pt idx="1986">
                  <c:v>0.292683001860186</c:v>
                </c:pt>
                <c:pt idx="1987">
                  <c:v>0.291971502711334</c:v>
                </c:pt>
                <c:pt idx="1988">
                  <c:v>0.290578776169742</c:v>
                </c:pt>
                <c:pt idx="1989">
                  <c:v>0.289726883980255</c:v>
                </c:pt>
                <c:pt idx="1990">
                  <c:v>0.288910284967023</c:v>
                </c:pt>
                <c:pt idx="1991">
                  <c:v>0.301218825735432</c:v>
                </c:pt>
                <c:pt idx="1992">
                  <c:v>0.262734121835661</c:v>
                </c:pt>
                <c:pt idx="1993">
                  <c:v>0.262539174548509</c:v>
                </c:pt>
                <c:pt idx="1994">
                  <c:v>0.22979908821815</c:v>
                </c:pt>
                <c:pt idx="1995">
                  <c:v>0.234498503037707</c:v>
                </c:pt>
                <c:pt idx="1996">
                  <c:v>0.244085563277063</c:v>
                </c:pt>
                <c:pt idx="1997">
                  <c:v>0.440828673665225</c:v>
                </c:pt>
                <c:pt idx="1998">
                  <c:v>0.446221355044052</c:v>
                </c:pt>
                <c:pt idx="1999">
                  <c:v>0.446925973176814</c:v>
                </c:pt>
                <c:pt idx="2000">
                  <c:v>0.444592860512678</c:v>
                </c:pt>
                <c:pt idx="2001">
                  <c:v>0.446956422857491</c:v>
                </c:pt>
                <c:pt idx="2002">
                  <c:v>0.450951316112314</c:v>
                </c:pt>
                <c:pt idx="2003">
                  <c:v>0.519809983597915</c:v>
                </c:pt>
                <c:pt idx="2004">
                  <c:v>0.520884437587531</c:v>
                </c:pt>
                <c:pt idx="2005">
                  <c:v>0.520304644242299</c:v>
                </c:pt>
                <c:pt idx="2006">
                  <c:v>0.534805776832083</c:v>
                </c:pt>
                <c:pt idx="2007">
                  <c:v>0.532439792621397</c:v>
                </c:pt>
                <c:pt idx="2008">
                  <c:v>0.536593888957908</c:v>
                </c:pt>
                <c:pt idx="2009">
                  <c:v>0.527033510909536</c:v>
                </c:pt>
                <c:pt idx="2010">
                  <c:v>0.529828070674212</c:v>
                </c:pt>
                <c:pt idx="2011">
                  <c:v>0.528211654194536</c:v>
                </c:pt>
                <c:pt idx="2012">
                  <c:v>0.558694061037731</c:v>
                </c:pt>
                <c:pt idx="2013">
                  <c:v>0.556526783041943</c:v>
                </c:pt>
                <c:pt idx="2014">
                  <c:v>0.558660119951988</c:v>
                </c:pt>
                <c:pt idx="2015">
                  <c:v>0.557589300268478</c:v>
                </c:pt>
                <c:pt idx="2016">
                  <c:v>0.554975795145736</c:v>
                </c:pt>
                <c:pt idx="2017">
                  <c:v>0.55452560153416</c:v>
                </c:pt>
                <c:pt idx="2018">
                  <c:v>0.560429695444063</c:v>
                </c:pt>
                <c:pt idx="2019">
                  <c:v>0.575725956511014</c:v>
                </c:pt>
                <c:pt idx="2020">
                  <c:v>0.581141822026212</c:v>
                </c:pt>
                <c:pt idx="2021">
                  <c:v>0.577877799323758</c:v>
                </c:pt>
                <c:pt idx="2022">
                  <c:v>0.59042310626524</c:v>
                </c:pt>
                <c:pt idx="2023">
                  <c:v>0.590870883626639</c:v>
                </c:pt>
                <c:pt idx="2024">
                  <c:v>0.589977682394331</c:v>
                </c:pt>
                <c:pt idx="2025">
                  <c:v>0.589084940446442</c:v>
                </c:pt>
                <c:pt idx="2026">
                  <c:v>0.605164178562418</c:v>
                </c:pt>
                <c:pt idx="2027">
                  <c:v>0.469574393273889</c:v>
                </c:pt>
                <c:pt idx="2028">
                  <c:v>0.468238445929233</c:v>
                </c:pt>
                <c:pt idx="2029">
                  <c:v>0.469735911497654</c:v>
                </c:pt>
                <c:pt idx="2030">
                  <c:v>0.470380494519405</c:v>
                </c:pt>
                <c:pt idx="2031">
                  <c:v>0.471147269553885</c:v>
                </c:pt>
                <c:pt idx="2032">
                  <c:v>0.452827835014837</c:v>
                </c:pt>
                <c:pt idx="2033">
                  <c:v>0.391316574699064</c:v>
                </c:pt>
                <c:pt idx="2034">
                  <c:v>0.420912489073717</c:v>
                </c:pt>
                <c:pt idx="2035">
                  <c:v>0.565676570587098</c:v>
                </c:pt>
                <c:pt idx="2036">
                  <c:v>0.545518266831541</c:v>
                </c:pt>
                <c:pt idx="2037">
                  <c:v>0.547475235206368</c:v>
                </c:pt>
                <c:pt idx="2038">
                  <c:v>0.549668130446481</c:v>
                </c:pt>
                <c:pt idx="2039">
                  <c:v>0.550636129009071</c:v>
                </c:pt>
                <c:pt idx="2040">
                  <c:v>0.553434735348094</c:v>
                </c:pt>
                <c:pt idx="2041">
                  <c:v>0.550614102213868</c:v>
                </c:pt>
                <c:pt idx="2042">
                  <c:v>0.532294367092562</c:v>
                </c:pt>
                <c:pt idx="2043">
                  <c:v>0.528778620015631</c:v>
                </c:pt>
                <c:pt idx="2044">
                  <c:v>0.520771472709903</c:v>
                </c:pt>
                <c:pt idx="2045">
                  <c:v>0.537116227322802</c:v>
                </c:pt>
                <c:pt idx="2046">
                  <c:v>0.538319207844541</c:v>
                </c:pt>
                <c:pt idx="2047">
                  <c:v>0.541267286820865</c:v>
                </c:pt>
                <c:pt idx="2048">
                  <c:v>0.525213697281799</c:v>
                </c:pt>
                <c:pt idx="2049">
                  <c:v>0.517663488205472</c:v>
                </c:pt>
                <c:pt idx="2050">
                  <c:v>0.517047244301411</c:v>
                </c:pt>
                <c:pt idx="2051">
                  <c:v>0.517817091789183</c:v>
                </c:pt>
                <c:pt idx="2052">
                  <c:v>0.532416919240494</c:v>
                </c:pt>
                <c:pt idx="2053">
                  <c:v>0.531327716474401</c:v>
                </c:pt>
                <c:pt idx="2054">
                  <c:v>0.538923749768579</c:v>
                </c:pt>
                <c:pt idx="2055">
                  <c:v>0.569061027198257</c:v>
                </c:pt>
                <c:pt idx="2056">
                  <c:v>0.554414286912733</c:v>
                </c:pt>
                <c:pt idx="2057">
                  <c:v>0.552524789178584</c:v>
                </c:pt>
                <c:pt idx="2058">
                  <c:v>0.552309820252661</c:v>
                </c:pt>
                <c:pt idx="2059">
                  <c:v>0.548749314187987</c:v>
                </c:pt>
                <c:pt idx="2060">
                  <c:v>0.552116800635182</c:v>
                </c:pt>
                <c:pt idx="2061">
                  <c:v>0.545275202310183</c:v>
                </c:pt>
                <c:pt idx="2062">
                  <c:v>0.547696226439186</c:v>
                </c:pt>
                <c:pt idx="2063">
                  <c:v>0.540646356845034</c:v>
                </c:pt>
                <c:pt idx="2064">
                  <c:v>0.519313955841225</c:v>
                </c:pt>
                <c:pt idx="2065">
                  <c:v>0.347602229962922</c:v>
                </c:pt>
                <c:pt idx="2066">
                  <c:v>0.34375902728395</c:v>
                </c:pt>
                <c:pt idx="2067">
                  <c:v>0.350322401530705</c:v>
                </c:pt>
                <c:pt idx="2068">
                  <c:v>0.348410120515554</c:v>
                </c:pt>
                <c:pt idx="2069">
                  <c:v>0.343190022914211</c:v>
                </c:pt>
                <c:pt idx="2070">
                  <c:v>0.343544332841335</c:v>
                </c:pt>
                <c:pt idx="2071">
                  <c:v>0.348992630564392</c:v>
                </c:pt>
                <c:pt idx="2072">
                  <c:v>0.349057184713121</c:v>
                </c:pt>
                <c:pt idx="2073">
                  <c:v>0.351294792002263</c:v>
                </c:pt>
                <c:pt idx="2074">
                  <c:v>0.350545313076545</c:v>
                </c:pt>
                <c:pt idx="2075">
                  <c:v>0.334404409582979</c:v>
                </c:pt>
                <c:pt idx="2076">
                  <c:v>0.333639295711224</c:v>
                </c:pt>
                <c:pt idx="2077">
                  <c:v>0.335947106436548</c:v>
                </c:pt>
                <c:pt idx="2078">
                  <c:v>0.335971373986735</c:v>
                </c:pt>
                <c:pt idx="2079">
                  <c:v>0.338445800728552</c:v>
                </c:pt>
                <c:pt idx="2080">
                  <c:v>0.343524329534569</c:v>
                </c:pt>
                <c:pt idx="2081">
                  <c:v>0.339952212924131</c:v>
                </c:pt>
                <c:pt idx="2082">
                  <c:v>0.379525214371481</c:v>
                </c:pt>
                <c:pt idx="2083">
                  <c:v>0.379644498351738</c:v>
                </c:pt>
                <c:pt idx="2084">
                  <c:v>0.359024800893177</c:v>
                </c:pt>
                <c:pt idx="2085">
                  <c:v>0.328268757489171</c:v>
                </c:pt>
                <c:pt idx="2086">
                  <c:v>0.328685998055747</c:v>
                </c:pt>
                <c:pt idx="2087">
                  <c:v>0.328949978161741</c:v>
                </c:pt>
                <c:pt idx="2088">
                  <c:v>0.35744899600148</c:v>
                </c:pt>
                <c:pt idx="2089">
                  <c:v>0.377453542580438</c:v>
                </c:pt>
                <c:pt idx="2090">
                  <c:v>0.37700986405312</c:v>
                </c:pt>
                <c:pt idx="2091">
                  <c:v>0.374118026930691</c:v>
                </c:pt>
                <c:pt idx="2092">
                  <c:v>0.36329683705689</c:v>
                </c:pt>
                <c:pt idx="2093">
                  <c:v>0.361908145775634</c:v>
                </c:pt>
                <c:pt idx="2094">
                  <c:v>0.369470795198459</c:v>
                </c:pt>
                <c:pt idx="2095">
                  <c:v>0.380476790258414</c:v>
                </c:pt>
                <c:pt idx="2096">
                  <c:v>0.380279205389483</c:v>
                </c:pt>
                <c:pt idx="2097">
                  <c:v>0.480610378722765</c:v>
                </c:pt>
                <c:pt idx="2098">
                  <c:v>0.483299634130626</c:v>
                </c:pt>
                <c:pt idx="2099">
                  <c:v>0.530428981760364</c:v>
                </c:pt>
                <c:pt idx="2100">
                  <c:v>0.543758511126522</c:v>
                </c:pt>
                <c:pt idx="2101">
                  <c:v>0.547247064103556</c:v>
                </c:pt>
                <c:pt idx="2102">
                  <c:v>0.548352130579098</c:v>
                </c:pt>
                <c:pt idx="2103">
                  <c:v>0.550912340086896</c:v>
                </c:pt>
                <c:pt idx="2104">
                  <c:v>0.554190529350228</c:v>
                </c:pt>
                <c:pt idx="2105">
                  <c:v>0.553696745140624</c:v>
                </c:pt>
                <c:pt idx="2106">
                  <c:v>0.561548797291566</c:v>
                </c:pt>
                <c:pt idx="2107">
                  <c:v>0.558025180059764</c:v>
                </c:pt>
                <c:pt idx="2108">
                  <c:v>0.570730208717038</c:v>
                </c:pt>
                <c:pt idx="2109">
                  <c:v>0.589428924102068</c:v>
                </c:pt>
                <c:pt idx="2110">
                  <c:v>0.589244384571645</c:v>
                </c:pt>
                <c:pt idx="2111">
                  <c:v>0.591182849463721</c:v>
                </c:pt>
                <c:pt idx="2112">
                  <c:v>0.564551063587223</c:v>
                </c:pt>
                <c:pt idx="2113">
                  <c:v>0.566125213121281</c:v>
                </c:pt>
                <c:pt idx="2114">
                  <c:v>0.57041843377801</c:v>
                </c:pt>
                <c:pt idx="2115">
                  <c:v>0.573273301070718</c:v>
                </c:pt>
                <c:pt idx="2116">
                  <c:v>0.57991388518004</c:v>
                </c:pt>
                <c:pt idx="2117">
                  <c:v>0.593913583920081</c:v>
                </c:pt>
                <c:pt idx="2118">
                  <c:v>0.670612565495874</c:v>
                </c:pt>
                <c:pt idx="2119">
                  <c:v>0.656924723637924</c:v>
                </c:pt>
                <c:pt idx="2120">
                  <c:v>0.661921326904946</c:v>
                </c:pt>
                <c:pt idx="2121">
                  <c:v>0.665504761588964</c:v>
                </c:pt>
                <c:pt idx="2122">
                  <c:v>0.707292908606238</c:v>
                </c:pt>
                <c:pt idx="2123">
                  <c:v>0.739328452095145</c:v>
                </c:pt>
                <c:pt idx="2124">
                  <c:v>0.735175022661705</c:v>
                </c:pt>
                <c:pt idx="2125">
                  <c:v>0.730540756859375</c:v>
                </c:pt>
                <c:pt idx="2126">
                  <c:v>0.750682536521761</c:v>
                </c:pt>
                <c:pt idx="2127">
                  <c:v>0.679943810989869</c:v>
                </c:pt>
                <c:pt idx="2128">
                  <c:v>0.679365421504424</c:v>
                </c:pt>
                <c:pt idx="2129">
                  <c:v>0.649034791887911</c:v>
                </c:pt>
                <c:pt idx="2130">
                  <c:v>0.664285313241583</c:v>
                </c:pt>
                <c:pt idx="2131">
                  <c:v>0.662339057773338</c:v>
                </c:pt>
                <c:pt idx="2132">
                  <c:v>0.665858921318332</c:v>
                </c:pt>
                <c:pt idx="2133">
                  <c:v>0.665105559266986</c:v>
                </c:pt>
                <c:pt idx="2134">
                  <c:v>0.668423003852914</c:v>
                </c:pt>
                <c:pt idx="2135">
                  <c:v>0.669456425768321</c:v>
                </c:pt>
                <c:pt idx="2136">
                  <c:v>0.665418871297682</c:v>
                </c:pt>
                <c:pt idx="2137">
                  <c:v>0.6631885341187</c:v>
                </c:pt>
                <c:pt idx="2138">
                  <c:v>0.718383447757365</c:v>
                </c:pt>
                <c:pt idx="2139">
                  <c:v>0.72772309631158</c:v>
                </c:pt>
                <c:pt idx="2140">
                  <c:v>0.728037383771698</c:v>
                </c:pt>
                <c:pt idx="2141">
                  <c:v>0.730188730406912</c:v>
                </c:pt>
                <c:pt idx="2142">
                  <c:v>0.720875289261377</c:v>
                </c:pt>
                <c:pt idx="2143">
                  <c:v>0.731862381183697</c:v>
                </c:pt>
                <c:pt idx="2144">
                  <c:v>0.740821644911185</c:v>
                </c:pt>
                <c:pt idx="2145">
                  <c:v>0.750064055798095</c:v>
                </c:pt>
                <c:pt idx="2146">
                  <c:v>0.741913665395729</c:v>
                </c:pt>
                <c:pt idx="2147">
                  <c:v>0.741586775770895</c:v>
                </c:pt>
                <c:pt idx="2148">
                  <c:v>0.687316596795888</c:v>
                </c:pt>
                <c:pt idx="2149">
                  <c:v>0.68956221090117</c:v>
                </c:pt>
                <c:pt idx="2150">
                  <c:v>0.68813238379959</c:v>
                </c:pt>
                <c:pt idx="2151">
                  <c:v>0.686045624936049</c:v>
                </c:pt>
                <c:pt idx="2152">
                  <c:v>0.661978937576313</c:v>
                </c:pt>
                <c:pt idx="2153">
                  <c:v>0.62326707286719</c:v>
                </c:pt>
                <c:pt idx="2154">
                  <c:v>0.622068382105936</c:v>
                </c:pt>
                <c:pt idx="2155">
                  <c:v>0.679311315096245</c:v>
                </c:pt>
                <c:pt idx="2156">
                  <c:v>0.649679095918153</c:v>
                </c:pt>
                <c:pt idx="2157">
                  <c:v>0.67216599671389</c:v>
                </c:pt>
                <c:pt idx="2158">
                  <c:v>0.688562925106825</c:v>
                </c:pt>
                <c:pt idx="2159">
                  <c:v>0.712406648483813</c:v>
                </c:pt>
                <c:pt idx="2160">
                  <c:v>0.684075422054459</c:v>
                </c:pt>
                <c:pt idx="2161">
                  <c:v>0.682535421805367</c:v>
                </c:pt>
                <c:pt idx="2162">
                  <c:v>0.678124092070404</c:v>
                </c:pt>
                <c:pt idx="2163">
                  <c:v>0.721075617002516</c:v>
                </c:pt>
                <c:pt idx="2164">
                  <c:v>0.797941638656179</c:v>
                </c:pt>
                <c:pt idx="2165">
                  <c:v>0.829016741637365</c:v>
                </c:pt>
                <c:pt idx="2166">
                  <c:v>0.873751050429926</c:v>
                </c:pt>
                <c:pt idx="2167">
                  <c:v>0.875232882687872</c:v>
                </c:pt>
                <c:pt idx="2168">
                  <c:v>0.883369835656575</c:v>
                </c:pt>
                <c:pt idx="2169">
                  <c:v>0.880231731342806</c:v>
                </c:pt>
                <c:pt idx="2170">
                  <c:v>0.881462345610393</c:v>
                </c:pt>
                <c:pt idx="2171">
                  <c:v>0.880773439281176</c:v>
                </c:pt>
                <c:pt idx="2172">
                  <c:v>0.888568847558068</c:v>
                </c:pt>
                <c:pt idx="2173">
                  <c:v>0.877152308430272</c:v>
                </c:pt>
                <c:pt idx="2174">
                  <c:v>1.03895841222534</c:v>
                </c:pt>
                <c:pt idx="2175">
                  <c:v>1.05257321757464</c:v>
                </c:pt>
                <c:pt idx="2176">
                  <c:v>1.06001284804305</c:v>
                </c:pt>
                <c:pt idx="2177">
                  <c:v>1.05405890145712</c:v>
                </c:pt>
                <c:pt idx="2178">
                  <c:v>1.03237510571888</c:v>
                </c:pt>
                <c:pt idx="2179">
                  <c:v>1.03201279472729</c:v>
                </c:pt>
                <c:pt idx="2180">
                  <c:v>1.05859012573125</c:v>
                </c:pt>
                <c:pt idx="2181">
                  <c:v>1.10160078036507</c:v>
                </c:pt>
                <c:pt idx="2182">
                  <c:v>1.09037793835303</c:v>
                </c:pt>
                <c:pt idx="2183">
                  <c:v>1.0907653586911</c:v>
                </c:pt>
                <c:pt idx="2184">
                  <c:v>1.09915563639362</c:v>
                </c:pt>
                <c:pt idx="2185">
                  <c:v>1.05214505742438</c:v>
                </c:pt>
                <c:pt idx="2186">
                  <c:v>1.0681322322469</c:v>
                </c:pt>
                <c:pt idx="2187">
                  <c:v>1.08064739150462</c:v>
                </c:pt>
                <c:pt idx="2188">
                  <c:v>1.0650001241657</c:v>
                </c:pt>
                <c:pt idx="2189">
                  <c:v>1.0347594676111</c:v>
                </c:pt>
                <c:pt idx="2190">
                  <c:v>1.00826647038623</c:v>
                </c:pt>
                <c:pt idx="2191">
                  <c:v>1.00329457755091</c:v>
                </c:pt>
                <c:pt idx="2192">
                  <c:v>1.19033920377688</c:v>
                </c:pt>
                <c:pt idx="2193">
                  <c:v>1.17190498174188</c:v>
                </c:pt>
                <c:pt idx="2194">
                  <c:v>1.14587095731066</c:v>
                </c:pt>
                <c:pt idx="2195">
                  <c:v>1.1500392571601</c:v>
                </c:pt>
                <c:pt idx="2196">
                  <c:v>1.10792608716666</c:v>
                </c:pt>
                <c:pt idx="2197">
                  <c:v>1.1014215788252</c:v>
                </c:pt>
                <c:pt idx="2198">
                  <c:v>1.07722359759175</c:v>
                </c:pt>
                <c:pt idx="2199">
                  <c:v>1.07315027406243</c:v>
                </c:pt>
                <c:pt idx="2200">
                  <c:v>1.07455780501706</c:v>
                </c:pt>
                <c:pt idx="2201">
                  <c:v>1.08729001976994</c:v>
                </c:pt>
                <c:pt idx="2202">
                  <c:v>1.08031040996339</c:v>
                </c:pt>
                <c:pt idx="2203">
                  <c:v>1.10516370015583</c:v>
                </c:pt>
                <c:pt idx="2204">
                  <c:v>0.936273206288595</c:v>
                </c:pt>
                <c:pt idx="2205">
                  <c:v>0.919023147282987</c:v>
                </c:pt>
                <c:pt idx="2206">
                  <c:v>0.947768886904853</c:v>
                </c:pt>
                <c:pt idx="2207">
                  <c:v>1.03260593763108</c:v>
                </c:pt>
                <c:pt idx="2208">
                  <c:v>1.02946869686076</c:v>
                </c:pt>
                <c:pt idx="2209">
                  <c:v>1.06109906817576</c:v>
                </c:pt>
                <c:pt idx="2210">
                  <c:v>1.02894673521133</c:v>
                </c:pt>
                <c:pt idx="2211">
                  <c:v>0.992308131792962</c:v>
                </c:pt>
                <c:pt idx="2212">
                  <c:v>0.994388446729197</c:v>
                </c:pt>
                <c:pt idx="2213">
                  <c:v>1.03269066757524</c:v>
                </c:pt>
                <c:pt idx="2214">
                  <c:v>1.0284754178622</c:v>
                </c:pt>
                <c:pt idx="2215">
                  <c:v>1.03179981597018</c:v>
                </c:pt>
                <c:pt idx="2216">
                  <c:v>1.03269747547943</c:v>
                </c:pt>
                <c:pt idx="2217">
                  <c:v>1.01598817257551</c:v>
                </c:pt>
                <c:pt idx="2218">
                  <c:v>1.01158718634254</c:v>
                </c:pt>
                <c:pt idx="2219">
                  <c:v>1.01254052433717</c:v>
                </c:pt>
                <c:pt idx="2220">
                  <c:v>1.01518775806375</c:v>
                </c:pt>
                <c:pt idx="2221">
                  <c:v>1.02221545392544</c:v>
                </c:pt>
                <c:pt idx="2222">
                  <c:v>0.81645139547426</c:v>
                </c:pt>
                <c:pt idx="2223">
                  <c:v>0.821131755361349</c:v>
                </c:pt>
                <c:pt idx="2224">
                  <c:v>0.808720415938673</c:v>
                </c:pt>
                <c:pt idx="2225">
                  <c:v>0.806212407430071</c:v>
                </c:pt>
                <c:pt idx="2226">
                  <c:v>0.815394160943382</c:v>
                </c:pt>
                <c:pt idx="2227">
                  <c:v>0.853468338127827</c:v>
                </c:pt>
                <c:pt idx="2228">
                  <c:v>0.853600444088462</c:v>
                </c:pt>
                <c:pt idx="2229">
                  <c:v>0.856395436025453</c:v>
                </c:pt>
                <c:pt idx="2230">
                  <c:v>0.861727627853448</c:v>
                </c:pt>
                <c:pt idx="2231">
                  <c:v>0.839398867818707</c:v>
                </c:pt>
                <c:pt idx="2232">
                  <c:v>0.837602831668037</c:v>
                </c:pt>
                <c:pt idx="2233">
                  <c:v>0.790605889267122</c:v>
                </c:pt>
                <c:pt idx="2234">
                  <c:v>0.81580384468778</c:v>
                </c:pt>
                <c:pt idx="2235">
                  <c:v>0.809185904720657</c:v>
                </c:pt>
                <c:pt idx="2236">
                  <c:v>0.791250069620679</c:v>
                </c:pt>
                <c:pt idx="2237">
                  <c:v>0.709398238667254</c:v>
                </c:pt>
                <c:pt idx="2238">
                  <c:v>0.751270469042874</c:v>
                </c:pt>
                <c:pt idx="2239">
                  <c:v>0.716631904089664</c:v>
                </c:pt>
                <c:pt idx="2240">
                  <c:v>0.714284834757678</c:v>
                </c:pt>
                <c:pt idx="2241">
                  <c:v>0.717752322402605</c:v>
                </c:pt>
                <c:pt idx="2242">
                  <c:v>0.714878587633414</c:v>
                </c:pt>
                <c:pt idx="2243">
                  <c:v>0.651144822838027</c:v>
                </c:pt>
                <c:pt idx="2244">
                  <c:v>0.641513836649919</c:v>
                </c:pt>
                <c:pt idx="2245">
                  <c:v>0.632343533054061</c:v>
                </c:pt>
                <c:pt idx="2246">
                  <c:v>0.634289898286867</c:v>
                </c:pt>
                <c:pt idx="2247">
                  <c:v>0.638299867001342</c:v>
                </c:pt>
                <c:pt idx="2248">
                  <c:v>0.639053968469547</c:v>
                </c:pt>
                <c:pt idx="2249">
                  <c:v>0.6352805465642</c:v>
                </c:pt>
                <c:pt idx="2250">
                  <c:v>0.642821730399858</c:v>
                </c:pt>
                <c:pt idx="2251">
                  <c:v>0.635349798157842</c:v>
                </c:pt>
                <c:pt idx="2252">
                  <c:v>0.632386062987414</c:v>
                </c:pt>
                <c:pt idx="2253">
                  <c:v>0.632170529232494</c:v>
                </c:pt>
                <c:pt idx="2254">
                  <c:v>0.630150193339239</c:v>
                </c:pt>
                <c:pt idx="2255">
                  <c:v>0.584682165301035</c:v>
                </c:pt>
                <c:pt idx="2256">
                  <c:v>0.611020064252016</c:v>
                </c:pt>
                <c:pt idx="2257">
                  <c:v>0.560672866251042</c:v>
                </c:pt>
                <c:pt idx="2258">
                  <c:v>0.553004197384832</c:v>
                </c:pt>
                <c:pt idx="2259">
                  <c:v>0.551879615973712</c:v>
                </c:pt>
                <c:pt idx="2260">
                  <c:v>0.547532595367376</c:v>
                </c:pt>
                <c:pt idx="2261">
                  <c:v>0.595381888868442</c:v>
                </c:pt>
                <c:pt idx="2262">
                  <c:v>0.596145786657842</c:v>
                </c:pt>
                <c:pt idx="2263">
                  <c:v>0.597000631665748</c:v>
                </c:pt>
                <c:pt idx="2264">
                  <c:v>0.58621656748036</c:v>
                </c:pt>
                <c:pt idx="2265">
                  <c:v>0.604846141338465</c:v>
                </c:pt>
                <c:pt idx="2266">
                  <c:v>0.591818026018288</c:v>
                </c:pt>
                <c:pt idx="2267">
                  <c:v>0.593181431379905</c:v>
                </c:pt>
                <c:pt idx="2268">
                  <c:v>0.53130778180887</c:v>
                </c:pt>
                <c:pt idx="2269">
                  <c:v>0.624651215390322</c:v>
                </c:pt>
                <c:pt idx="2270">
                  <c:v>0.629455245973604</c:v>
                </c:pt>
                <c:pt idx="2271">
                  <c:v>0.6185768965944</c:v>
                </c:pt>
                <c:pt idx="2272">
                  <c:v>0.619066904119925</c:v>
                </c:pt>
                <c:pt idx="2273">
                  <c:v>0.674131982603447</c:v>
                </c:pt>
                <c:pt idx="2274">
                  <c:v>0.674323103174532</c:v>
                </c:pt>
                <c:pt idx="2275">
                  <c:v>0.678046528256623</c:v>
                </c:pt>
                <c:pt idx="2276">
                  <c:v>0.664877075075806</c:v>
                </c:pt>
                <c:pt idx="2277">
                  <c:v>0.706110690099888</c:v>
                </c:pt>
                <c:pt idx="2278">
                  <c:v>0.760229365274849</c:v>
                </c:pt>
                <c:pt idx="2279">
                  <c:v>0.759610028866959</c:v>
                </c:pt>
                <c:pt idx="2280">
                  <c:v>0.750814903679622</c:v>
                </c:pt>
                <c:pt idx="2281">
                  <c:v>0.745936793433528</c:v>
                </c:pt>
                <c:pt idx="2282">
                  <c:v>0.746986310514242</c:v>
                </c:pt>
                <c:pt idx="2283">
                  <c:v>0.752504438514961</c:v>
                </c:pt>
                <c:pt idx="2284">
                  <c:v>0.754537984142162</c:v>
                </c:pt>
                <c:pt idx="2285">
                  <c:v>0.903433242548579</c:v>
                </c:pt>
                <c:pt idx="2286">
                  <c:v>0.87276941671174</c:v>
                </c:pt>
                <c:pt idx="2287">
                  <c:v>0.874127055747546</c:v>
                </c:pt>
                <c:pt idx="2288">
                  <c:v>0.892500010793169</c:v>
                </c:pt>
                <c:pt idx="2289">
                  <c:v>0.889622083529833</c:v>
                </c:pt>
                <c:pt idx="2290">
                  <c:v>0.907018682965924</c:v>
                </c:pt>
                <c:pt idx="2291">
                  <c:v>0.885276110233575</c:v>
                </c:pt>
                <c:pt idx="2292">
                  <c:v>1.00219120015566</c:v>
                </c:pt>
                <c:pt idx="2293">
                  <c:v>1.06225529454228</c:v>
                </c:pt>
                <c:pt idx="2294">
                  <c:v>1.0865902663125</c:v>
                </c:pt>
                <c:pt idx="2295">
                  <c:v>1.08146644602828</c:v>
                </c:pt>
                <c:pt idx="2296">
                  <c:v>1.09960580429236</c:v>
                </c:pt>
                <c:pt idx="2297">
                  <c:v>1.17095077670049</c:v>
                </c:pt>
                <c:pt idx="2298">
                  <c:v>1.17046567706642</c:v>
                </c:pt>
                <c:pt idx="2299">
                  <c:v>1.12026790746572</c:v>
                </c:pt>
                <c:pt idx="2300">
                  <c:v>1.11494512241831</c:v>
                </c:pt>
                <c:pt idx="2301">
                  <c:v>1.13248981265344</c:v>
                </c:pt>
                <c:pt idx="2302">
                  <c:v>1.13360840840293</c:v>
                </c:pt>
                <c:pt idx="2303">
                  <c:v>1.09904515459411</c:v>
                </c:pt>
                <c:pt idx="2304">
                  <c:v>1.11714732408494</c:v>
                </c:pt>
                <c:pt idx="2305">
                  <c:v>1.11696186112878</c:v>
                </c:pt>
                <c:pt idx="2306">
                  <c:v>1.1201316620844</c:v>
                </c:pt>
                <c:pt idx="2307">
                  <c:v>1.1166684786675</c:v>
                </c:pt>
                <c:pt idx="2308">
                  <c:v>1.08185197517736</c:v>
                </c:pt>
                <c:pt idx="2309">
                  <c:v>1.08451448996144</c:v>
                </c:pt>
                <c:pt idx="2310">
                  <c:v>1.08227657723545</c:v>
                </c:pt>
                <c:pt idx="2311">
                  <c:v>1.08029161980532</c:v>
                </c:pt>
                <c:pt idx="2312">
                  <c:v>1.08023886709614</c:v>
                </c:pt>
                <c:pt idx="2313">
                  <c:v>1.16647558962346</c:v>
                </c:pt>
                <c:pt idx="2314">
                  <c:v>1.16233824461136</c:v>
                </c:pt>
                <c:pt idx="2315">
                  <c:v>1.06737375322478</c:v>
                </c:pt>
                <c:pt idx="2316">
                  <c:v>1.07229371827382</c:v>
                </c:pt>
                <c:pt idx="2317">
                  <c:v>1.13229586782958</c:v>
                </c:pt>
                <c:pt idx="2318">
                  <c:v>1.12536495670649</c:v>
                </c:pt>
                <c:pt idx="2319">
                  <c:v>1.1253722849033</c:v>
                </c:pt>
                <c:pt idx="2320">
                  <c:v>1.115916588841</c:v>
                </c:pt>
                <c:pt idx="2321">
                  <c:v>1.11501590797537</c:v>
                </c:pt>
                <c:pt idx="2322">
                  <c:v>1.01780901298745</c:v>
                </c:pt>
                <c:pt idx="2323">
                  <c:v>0.962852719429042</c:v>
                </c:pt>
                <c:pt idx="2324">
                  <c:v>0.918070521869656</c:v>
                </c:pt>
                <c:pt idx="2325">
                  <c:v>1.00016442917332</c:v>
                </c:pt>
                <c:pt idx="2326">
                  <c:v>0.979674788975748</c:v>
                </c:pt>
                <c:pt idx="2327">
                  <c:v>0.914164301022935</c:v>
                </c:pt>
                <c:pt idx="2328">
                  <c:v>0.921650801668167</c:v>
                </c:pt>
                <c:pt idx="2329">
                  <c:v>0.964905658088705</c:v>
                </c:pt>
                <c:pt idx="2330">
                  <c:v>0.967111951841336</c:v>
                </c:pt>
                <c:pt idx="2331">
                  <c:v>0.973028892042609</c:v>
                </c:pt>
                <c:pt idx="2332">
                  <c:v>0.966374784244485</c:v>
                </c:pt>
                <c:pt idx="2333">
                  <c:v>0.971913557338119</c:v>
                </c:pt>
                <c:pt idx="2334">
                  <c:v>0.962923684452518</c:v>
                </c:pt>
                <c:pt idx="2335">
                  <c:v>0.972913956890176</c:v>
                </c:pt>
                <c:pt idx="2336">
                  <c:v>0.970389913771987</c:v>
                </c:pt>
                <c:pt idx="2337">
                  <c:v>0.959894344913351</c:v>
                </c:pt>
                <c:pt idx="2338">
                  <c:v>0.939458541943634</c:v>
                </c:pt>
                <c:pt idx="2339">
                  <c:v>0.942256050517876</c:v>
                </c:pt>
                <c:pt idx="2340">
                  <c:v>0.943483097346632</c:v>
                </c:pt>
                <c:pt idx="2341">
                  <c:v>0.92140724792948</c:v>
                </c:pt>
                <c:pt idx="2342">
                  <c:v>0.925565926042255</c:v>
                </c:pt>
                <c:pt idx="2343">
                  <c:v>0.840467077759467</c:v>
                </c:pt>
                <c:pt idx="2344">
                  <c:v>0.839065350591862</c:v>
                </c:pt>
                <c:pt idx="2345">
                  <c:v>0.840639712627047</c:v>
                </c:pt>
                <c:pt idx="2346">
                  <c:v>0.833894287990834</c:v>
                </c:pt>
                <c:pt idx="2347">
                  <c:v>0.757843502873147</c:v>
                </c:pt>
                <c:pt idx="2348">
                  <c:v>0.744288126701864</c:v>
                </c:pt>
                <c:pt idx="2349">
                  <c:v>0.748055983124449</c:v>
                </c:pt>
                <c:pt idx="2350">
                  <c:v>0.737536280604688</c:v>
                </c:pt>
                <c:pt idx="2351">
                  <c:v>0.738223876294239</c:v>
                </c:pt>
                <c:pt idx="2352">
                  <c:v>0.712610929422828</c:v>
                </c:pt>
                <c:pt idx="2353">
                  <c:v>0.717795827620698</c:v>
                </c:pt>
                <c:pt idx="2354">
                  <c:v>0.725046062232497</c:v>
                </c:pt>
                <c:pt idx="2355">
                  <c:v>0.663635101467454</c:v>
                </c:pt>
                <c:pt idx="2356">
                  <c:v>0.657972321031389</c:v>
                </c:pt>
                <c:pt idx="2357">
                  <c:v>0.662331174716501</c:v>
                </c:pt>
                <c:pt idx="2358">
                  <c:v>0.656741844376377</c:v>
                </c:pt>
                <c:pt idx="2359">
                  <c:v>0.580091350806569</c:v>
                </c:pt>
                <c:pt idx="2360">
                  <c:v>0.60283774325696</c:v>
                </c:pt>
                <c:pt idx="2361">
                  <c:v>0.584908267002748</c:v>
                </c:pt>
                <c:pt idx="2362">
                  <c:v>0.585976444582717</c:v>
                </c:pt>
                <c:pt idx="2363">
                  <c:v>0.572799735539724</c:v>
                </c:pt>
                <c:pt idx="2364">
                  <c:v>0.586954039221578</c:v>
                </c:pt>
                <c:pt idx="2365">
                  <c:v>0.566728406647402</c:v>
                </c:pt>
                <c:pt idx="2366">
                  <c:v>0.590677505339113</c:v>
                </c:pt>
                <c:pt idx="2367">
                  <c:v>0.591997525925279</c:v>
                </c:pt>
                <c:pt idx="2368">
                  <c:v>0.59891766343251</c:v>
                </c:pt>
                <c:pt idx="2369">
                  <c:v>0.589007113150993</c:v>
                </c:pt>
                <c:pt idx="2370">
                  <c:v>0.593719393571513</c:v>
                </c:pt>
                <c:pt idx="2371">
                  <c:v>0.606199783532358</c:v>
                </c:pt>
                <c:pt idx="2372">
                  <c:v>0.60121223368127</c:v>
                </c:pt>
                <c:pt idx="2373">
                  <c:v>0.603160735561529</c:v>
                </c:pt>
                <c:pt idx="2374">
                  <c:v>0.617574740805326</c:v>
                </c:pt>
                <c:pt idx="2375">
                  <c:v>0.622412204392286</c:v>
                </c:pt>
                <c:pt idx="2376">
                  <c:v>0.604076502847505</c:v>
                </c:pt>
                <c:pt idx="2377">
                  <c:v>0.611240831512326</c:v>
                </c:pt>
                <c:pt idx="2378">
                  <c:v>0.646885244329717</c:v>
                </c:pt>
                <c:pt idx="2379">
                  <c:v>0.636745147213405</c:v>
                </c:pt>
                <c:pt idx="2380">
                  <c:v>0.630683627933032</c:v>
                </c:pt>
                <c:pt idx="2381">
                  <c:v>0.643922473340928</c:v>
                </c:pt>
                <c:pt idx="2382">
                  <c:v>0.658262647072157</c:v>
                </c:pt>
                <c:pt idx="2383">
                  <c:v>0.643488201056627</c:v>
                </c:pt>
                <c:pt idx="2384">
                  <c:v>0.628964870418951</c:v>
                </c:pt>
                <c:pt idx="2385">
                  <c:v>0.608893741932072</c:v>
                </c:pt>
                <c:pt idx="2386">
                  <c:v>0.614045133050357</c:v>
                </c:pt>
                <c:pt idx="2387">
                  <c:v>0.605976840496513</c:v>
                </c:pt>
                <c:pt idx="2388">
                  <c:v>0.606747624467228</c:v>
                </c:pt>
                <c:pt idx="2389">
                  <c:v>0.624159529825221</c:v>
                </c:pt>
                <c:pt idx="2390">
                  <c:v>0.607935739205006</c:v>
                </c:pt>
                <c:pt idx="2391">
                  <c:v>0.614164463460971</c:v>
                </c:pt>
                <c:pt idx="2392">
                  <c:v>0.630943707714353</c:v>
                </c:pt>
                <c:pt idx="2393">
                  <c:v>0.631305606906145</c:v>
                </c:pt>
                <c:pt idx="2394">
                  <c:v>0.609978976924509</c:v>
                </c:pt>
                <c:pt idx="2395">
                  <c:v>0.624140274763854</c:v>
                </c:pt>
                <c:pt idx="2396">
                  <c:v>0.602857680920746</c:v>
                </c:pt>
                <c:pt idx="2397">
                  <c:v>0.6074638128097</c:v>
                </c:pt>
                <c:pt idx="2398">
                  <c:v>0.596603321686994</c:v>
                </c:pt>
                <c:pt idx="2399">
                  <c:v>0.586620780827823</c:v>
                </c:pt>
                <c:pt idx="2400">
                  <c:v>0.581995357122344</c:v>
                </c:pt>
                <c:pt idx="2401">
                  <c:v>0.574338529439443</c:v>
                </c:pt>
                <c:pt idx="2402">
                  <c:v>0.564410580180139</c:v>
                </c:pt>
                <c:pt idx="2403">
                  <c:v>0.703302714781177</c:v>
                </c:pt>
                <c:pt idx="2404">
                  <c:v>0.685075227031809</c:v>
                </c:pt>
                <c:pt idx="2405">
                  <c:v>0.683833601899771</c:v>
                </c:pt>
                <c:pt idx="2406">
                  <c:v>0.693940943242232</c:v>
                </c:pt>
                <c:pt idx="2407">
                  <c:v>0.689399721531759</c:v>
                </c:pt>
                <c:pt idx="2408">
                  <c:v>0.643852917859636</c:v>
                </c:pt>
                <c:pt idx="2409">
                  <c:v>0.646974067417234</c:v>
                </c:pt>
                <c:pt idx="2410">
                  <c:v>0.668120646689562</c:v>
                </c:pt>
                <c:pt idx="2411">
                  <c:v>0.665834242195664</c:v>
                </c:pt>
                <c:pt idx="2412">
                  <c:v>0.65879439794968</c:v>
                </c:pt>
                <c:pt idx="2413">
                  <c:v>0.659962573029123</c:v>
                </c:pt>
                <c:pt idx="2414">
                  <c:v>0.646082048258195</c:v>
                </c:pt>
                <c:pt idx="2415">
                  <c:v>0.621010170575847</c:v>
                </c:pt>
                <c:pt idx="2416">
                  <c:v>0.701249627253374</c:v>
                </c:pt>
                <c:pt idx="2417">
                  <c:v>0.722009450234886</c:v>
                </c:pt>
                <c:pt idx="2418">
                  <c:v>0.767684974696368</c:v>
                </c:pt>
                <c:pt idx="2419">
                  <c:v>0.76873947511511</c:v>
                </c:pt>
                <c:pt idx="2420">
                  <c:v>0.777985797521914</c:v>
                </c:pt>
                <c:pt idx="2421">
                  <c:v>0.763243594769976</c:v>
                </c:pt>
                <c:pt idx="2422">
                  <c:v>0.742447021200271</c:v>
                </c:pt>
                <c:pt idx="2423">
                  <c:v>0.744883909942482</c:v>
                </c:pt>
                <c:pt idx="2424">
                  <c:v>0.749589108976881</c:v>
                </c:pt>
                <c:pt idx="2425">
                  <c:v>0.74259237441632</c:v>
                </c:pt>
                <c:pt idx="2426">
                  <c:v>0.769689022277296</c:v>
                </c:pt>
                <c:pt idx="2427">
                  <c:v>0.828874014297445</c:v>
                </c:pt>
                <c:pt idx="2428">
                  <c:v>0.82887643049656</c:v>
                </c:pt>
                <c:pt idx="2429">
                  <c:v>0.828322407407854</c:v>
                </c:pt>
                <c:pt idx="2430">
                  <c:v>0.832236345335693</c:v>
                </c:pt>
                <c:pt idx="2431">
                  <c:v>0.836787059240068</c:v>
                </c:pt>
                <c:pt idx="2432">
                  <c:v>0.872119372382245</c:v>
                </c:pt>
                <c:pt idx="2433">
                  <c:v>0.771014917035293</c:v>
                </c:pt>
                <c:pt idx="2434">
                  <c:v>0.766038477770758</c:v>
                </c:pt>
                <c:pt idx="2435">
                  <c:v>0.767206255690214</c:v>
                </c:pt>
                <c:pt idx="2436">
                  <c:v>0.755520530415802</c:v>
                </c:pt>
                <c:pt idx="2437">
                  <c:v>0.770308088259376</c:v>
                </c:pt>
                <c:pt idx="2438">
                  <c:v>0.777631464382225</c:v>
                </c:pt>
                <c:pt idx="2439">
                  <c:v>0.77243071327388</c:v>
                </c:pt>
                <c:pt idx="2440">
                  <c:v>0.760556948940744</c:v>
                </c:pt>
                <c:pt idx="2441">
                  <c:v>0.794074650208895</c:v>
                </c:pt>
                <c:pt idx="2442">
                  <c:v>0.79583720702747</c:v>
                </c:pt>
                <c:pt idx="2443">
                  <c:v>0.793439857352473</c:v>
                </c:pt>
                <c:pt idx="2444">
                  <c:v>0.792378001098719</c:v>
                </c:pt>
                <c:pt idx="2445">
                  <c:v>0.790755865793217</c:v>
                </c:pt>
                <c:pt idx="2446">
                  <c:v>0.694867939445811</c:v>
                </c:pt>
                <c:pt idx="2447">
                  <c:v>0.700475454524115</c:v>
                </c:pt>
                <c:pt idx="2448">
                  <c:v>0.684196312019313</c:v>
                </c:pt>
                <c:pt idx="2449">
                  <c:v>0.680589275927716</c:v>
                </c:pt>
                <c:pt idx="2450">
                  <c:v>0.651382353266758</c:v>
                </c:pt>
                <c:pt idx="2451">
                  <c:v>0.654300508936755</c:v>
                </c:pt>
                <c:pt idx="2452">
                  <c:v>0.684671265825088</c:v>
                </c:pt>
                <c:pt idx="2453">
                  <c:v>0.69077454547791</c:v>
                </c:pt>
                <c:pt idx="2454">
                  <c:v>0.68006111836482</c:v>
                </c:pt>
                <c:pt idx="2455">
                  <c:v>0.682142837641475</c:v>
                </c:pt>
                <c:pt idx="2456">
                  <c:v>0.668586831788285</c:v>
                </c:pt>
                <c:pt idx="2457">
                  <c:v>0.603437438154922</c:v>
                </c:pt>
                <c:pt idx="2458">
                  <c:v>0.602379486051465</c:v>
                </c:pt>
                <c:pt idx="2459">
                  <c:v>0.611737346281838</c:v>
                </c:pt>
                <c:pt idx="2460">
                  <c:v>0.612294292879046</c:v>
                </c:pt>
                <c:pt idx="2461">
                  <c:v>0.60801691462235</c:v>
                </c:pt>
                <c:pt idx="2462">
                  <c:v>0.560979356285289</c:v>
                </c:pt>
                <c:pt idx="2463">
                  <c:v>0.550965982215317</c:v>
                </c:pt>
                <c:pt idx="2464">
                  <c:v>0.558226417049976</c:v>
                </c:pt>
                <c:pt idx="2465">
                  <c:v>0.591275900594961</c:v>
                </c:pt>
                <c:pt idx="2466">
                  <c:v>0.592042786547061</c:v>
                </c:pt>
                <c:pt idx="2467">
                  <c:v>0.585593667347634</c:v>
                </c:pt>
                <c:pt idx="2468">
                  <c:v>0.576561969835506</c:v>
                </c:pt>
                <c:pt idx="2469">
                  <c:v>0.574555302630157</c:v>
                </c:pt>
                <c:pt idx="2470">
                  <c:v>0.574337938756054</c:v>
                </c:pt>
                <c:pt idx="2471">
                  <c:v>0.520578668979517</c:v>
                </c:pt>
                <c:pt idx="2472">
                  <c:v>0.534233439598095</c:v>
                </c:pt>
                <c:pt idx="2473">
                  <c:v>0.565881534299951</c:v>
                </c:pt>
                <c:pt idx="2474">
                  <c:v>0.565150604952164</c:v>
                </c:pt>
                <c:pt idx="2475">
                  <c:v>0.580030908297032</c:v>
                </c:pt>
                <c:pt idx="2476">
                  <c:v>0.577087383080179</c:v>
                </c:pt>
                <c:pt idx="2477">
                  <c:v>0.550090165134104</c:v>
                </c:pt>
                <c:pt idx="2478">
                  <c:v>0.547065951550293</c:v>
                </c:pt>
                <c:pt idx="2479">
                  <c:v>0.564644563068698</c:v>
                </c:pt>
                <c:pt idx="2480">
                  <c:v>0.571903872574324</c:v>
                </c:pt>
                <c:pt idx="2481">
                  <c:v>0.555704415003319</c:v>
                </c:pt>
                <c:pt idx="2482">
                  <c:v>0.546804890258918</c:v>
                </c:pt>
                <c:pt idx="2483">
                  <c:v>0.625109402397662</c:v>
                </c:pt>
                <c:pt idx="2484">
                  <c:v>0.61408992427286</c:v>
                </c:pt>
                <c:pt idx="2485">
                  <c:v>0.632643293433599</c:v>
                </c:pt>
                <c:pt idx="2486">
                  <c:v>0.633373588964949</c:v>
                </c:pt>
                <c:pt idx="2487">
                  <c:v>0.634475019232614</c:v>
                </c:pt>
                <c:pt idx="2488">
                  <c:v>0.635022645942979</c:v>
                </c:pt>
                <c:pt idx="2489">
                  <c:v>0.618342159617071</c:v>
                </c:pt>
                <c:pt idx="2490">
                  <c:v>0.641129379351133</c:v>
                </c:pt>
                <c:pt idx="2491">
                  <c:v>0.695885343169939</c:v>
                </c:pt>
                <c:pt idx="2492">
                  <c:v>0.69691620885086</c:v>
                </c:pt>
                <c:pt idx="2493">
                  <c:v>0.701930415987753</c:v>
                </c:pt>
                <c:pt idx="2494">
                  <c:v>0.690021279296744</c:v>
                </c:pt>
                <c:pt idx="2495">
                  <c:v>0.642928290855022</c:v>
                </c:pt>
                <c:pt idx="2496">
                  <c:v>0.665442909072925</c:v>
                </c:pt>
                <c:pt idx="2497">
                  <c:v>0.661567854597516</c:v>
                </c:pt>
                <c:pt idx="2498">
                  <c:v>0.688684790410917</c:v>
                </c:pt>
                <c:pt idx="2499">
                  <c:v>0.692830647022798</c:v>
                </c:pt>
                <c:pt idx="2500">
                  <c:v>0.724362898036077</c:v>
                </c:pt>
                <c:pt idx="2501">
                  <c:v>0.735443612241355</c:v>
                </c:pt>
                <c:pt idx="2502">
                  <c:v>0.733415643421484</c:v>
                </c:pt>
                <c:pt idx="2503">
                  <c:v>0.7187023519521</c:v>
                </c:pt>
                <c:pt idx="2504">
                  <c:v>0.721397352261616</c:v>
                </c:pt>
                <c:pt idx="2505">
                  <c:v>0.704174030270779</c:v>
                </c:pt>
                <c:pt idx="2506">
                  <c:v>0.697650794541141</c:v>
                </c:pt>
                <c:pt idx="2507">
                  <c:v>0.688510837684855</c:v>
                </c:pt>
                <c:pt idx="2508">
                  <c:v>0.708805664374404</c:v>
                </c:pt>
                <c:pt idx="2509">
                  <c:v>0.695994588649527</c:v>
                </c:pt>
                <c:pt idx="2510">
                  <c:v>0.710055650430065</c:v>
                </c:pt>
                <c:pt idx="2511">
                  <c:v>0.710136202096615</c:v>
                </c:pt>
                <c:pt idx="2512">
                  <c:v>0.699305582539586</c:v>
                </c:pt>
                <c:pt idx="2513">
                  <c:v>0.626722656224823</c:v>
                </c:pt>
                <c:pt idx="2514">
                  <c:v>0.623671850111805</c:v>
                </c:pt>
                <c:pt idx="2515">
                  <c:v>0.627754668389875</c:v>
                </c:pt>
                <c:pt idx="2516">
                  <c:v>0.628667854174218</c:v>
                </c:pt>
                <c:pt idx="2517">
                  <c:v>0.63137437979617</c:v>
                </c:pt>
                <c:pt idx="2518">
                  <c:v>0.631075472210977</c:v>
                </c:pt>
                <c:pt idx="2519">
                  <c:v>0.64533141599674</c:v>
                </c:pt>
                <c:pt idx="2520">
                  <c:v>0.62333966622859</c:v>
                </c:pt>
                <c:pt idx="2521">
                  <c:v>0.554341598328338</c:v>
                </c:pt>
                <c:pt idx="2522">
                  <c:v>0.555430435087255</c:v>
                </c:pt>
                <c:pt idx="2523">
                  <c:v>0.577688594855057</c:v>
                </c:pt>
                <c:pt idx="2524">
                  <c:v>0.577184805865266</c:v>
                </c:pt>
                <c:pt idx="2525">
                  <c:v>0.586146589264173</c:v>
                </c:pt>
                <c:pt idx="2526">
                  <c:v>0.554946153190477</c:v>
                </c:pt>
                <c:pt idx="2527">
                  <c:v>0.555597542357139</c:v>
                </c:pt>
                <c:pt idx="2528">
                  <c:v>0.527413869534171</c:v>
                </c:pt>
                <c:pt idx="2529">
                  <c:v>0.531940054082884</c:v>
                </c:pt>
                <c:pt idx="2530">
                  <c:v>0.486713674258392</c:v>
                </c:pt>
                <c:pt idx="2531">
                  <c:v>0.475796082957124</c:v>
                </c:pt>
                <c:pt idx="2532">
                  <c:v>0.476411841432582</c:v>
                </c:pt>
                <c:pt idx="2533">
                  <c:v>0.469545755981974</c:v>
                </c:pt>
                <c:pt idx="2534">
                  <c:v>0.460428194883687</c:v>
                </c:pt>
                <c:pt idx="2535">
                  <c:v>0.461279551651185</c:v>
                </c:pt>
                <c:pt idx="2536">
                  <c:v>0.461812382199483</c:v>
                </c:pt>
                <c:pt idx="2537">
                  <c:v>0.462796428233343</c:v>
                </c:pt>
                <c:pt idx="2538">
                  <c:v>0.438019646011207</c:v>
                </c:pt>
                <c:pt idx="2539">
                  <c:v>0.56497957128888</c:v>
                </c:pt>
                <c:pt idx="2540">
                  <c:v>0.539558524065047</c:v>
                </c:pt>
                <c:pt idx="2541">
                  <c:v>0.55960542364666</c:v>
                </c:pt>
                <c:pt idx="2542">
                  <c:v>0.565049355987911</c:v>
                </c:pt>
                <c:pt idx="2543">
                  <c:v>0.56514798846557</c:v>
                </c:pt>
                <c:pt idx="2544">
                  <c:v>0.565114417873426</c:v>
                </c:pt>
                <c:pt idx="2545">
                  <c:v>0.536504430708572</c:v>
                </c:pt>
                <c:pt idx="2546">
                  <c:v>0.539474689636644</c:v>
                </c:pt>
                <c:pt idx="2547">
                  <c:v>0.539712743006413</c:v>
                </c:pt>
                <c:pt idx="2548">
                  <c:v>0.538177770495827</c:v>
                </c:pt>
                <c:pt idx="2549">
                  <c:v>0.525125754925352</c:v>
                </c:pt>
                <c:pt idx="2550">
                  <c:v>0.527709333695637</c:v>
                </c:pt>
                <c:pt idx="2551">
                  <c:v>0.546979071795123</c:v>
                </c:pt>
                <c:pt idx="2552">
                  <c:v>0.549574327631584</c:v>
                </c:pt>
                <c:pt idx="2553">
                  <c:v>0.657169685619272</c:v>
                </c:pt>
                <c:pt idx="2554">
                  <c:v>0.656910579155046</c:v>
                </c:pt>
                <c:pt idx="2555">
                  <c:v>0.651622519688294</c:v>
                </c:pt>
                <c:pt idx="2556">
                  <c:v>0.660973187413353</c:v>
                </c:pt>
                <c:pt idx="2557">
                  <c:v>0.661066391576143</c:v>
                </c:pt>
                <c:pt idx="2558">
                  <c:v>0.661199873235375</c:v>
                </c:pt>
                <c:pt idx="2559">
                  <c:v>0.66213787023728</c:v>
                </c:pt>
                <c:pt idx="2560">
                  <c:v>0.661649561222514</c:v>
                </c:pt>
                <c:pt idx="2561">
                  <c:v>0.653959176207104</c:v>
                </c:pt>
                <c:pt idx="2562">
                  <c:v>0.652333526799232</c:v>
                </c:pt>
                <c:pt idx="2563">
                  <c:v>0.653671384995596</c:v>
                </c:pt>
                <c:pt idx="2564">
                  <c:v>0.671462239105158</c:v>
                </c:pt>
                <c:pt idx="2565">
                  <c:v>0.6691523462351</c:v>
                </c:pt>
                <c:pt idx="2566">
                  <c:v>0.725526820026223</c:v>
                </c:pt>
                <c:pt idx="2567">
                  <c:v>0.724948375452849</c:v>
                </c:pt>
                <c:pt idx="2568">
                  <c:v>0.720040794185355</c:v>
                </c:pt>
                <c:pt idx="2569">
                  <c:v>0.626090850636034</c:v>
                </c:pt>
                <c:pt idx="2570">
                  <c:v>0.623359542510704</c:v>
                </c:pt>
                <c:pt idx="2571">
                  <c:v>0.623330531804403</c:v>
                </c:pt>
                <c:pt idx="2572">
                  <c:v>0.630537221291366</c:v>
                </c:pt>
                <c:pt idx="2573">
                  <c:v>0.63842178480499</c:v>
                </c:pt>
                <c:pt idx="2574">
                  <c:v>0.642120541711323</c:v>
                </c:pt>
                <c:pt idx="2575">
                  <c:v>0.641884562174186</c:v>
                </c:pt>
                <c:pt idx="2576">
                  <c:v>0.654374239304984</c:v>
                </c:pt>
                <c:pt idx="2577">
                  <c:v>0.808425691993423</c:v>
                </c:pt>
                <c:pt idx="2578">
                  <c:v>0.811498011183811</c:v>
                </c:pt>
                <c:pt idx="2579">
                  <c:v>0.813244542426437</c:v>
                </c:pt>
                <c:pt idx="2580">
                  <c:v>0.823552493886137</c:v>
                </c:pt>
                <c:pt idx="2581">
                  <c:v>0.853881421364557</c:v>
                </c:pt>
                <c:pt idx="2582">
                  <c:v>0.853574540270555</c:v>
                </c:pt>
                <c:pt idx="2583">
                  <c:v>0.764356809794489</c:v>
                </c:pt>
                <c:pt idx="2584">
                  <c:v>0.764941878857323</c:v>
                </c:pt>
                <c:pt idx="2585">
                  <c:v>0.762383538210129</c:v>
                </c:pt>
                <c:pt idx="2586">
                  <c:v>0.80813547799399</c:v>
                </c:pt>
                <c:pt idx="2587">
                  <c:v>0.834785785379819</c:v>
                </c:pt>
                <c:pt idx="2588">
                  <c:v>0.83594464764447</c:v>
                </c:pt>
                <c:pt idx="2589">
                  <c:v>0.834145162762727</c:v>
                </c:pt>
                <c:pt idx="2590">
                  <c:v>0.834315947064592</c:v>
                </c:pt>
                <c:pt idx="2591">
                  <c:v>0.853809327933981</c:v>
                </c:pt>
                <c:pt idx="2592">
                  <c:v>0.853990831415677</c:v>
                </c:pt>
                <c:pt idx="2593">
                  <c:v>0.867681927250836</c:v>
                </c:pt>
                <c:pt idx="2594">
                  <c:v>0.852519918279312</c:v>
                </c:pt>
                <c:pt idx="2595">
                  <c:v>0.855404001129689</c:v>
                </c:pt>
                <c:pt idx="2596">
                  <c:v>0.808866159799344</c:v>
                </c:pt>
                <c:pt idx="2597">
                  <c:v>0.811533389502042</c:v>
                </c:pt>
                <c:pt idx="2598">
                  <c:v>0.811923587502565</c:v>
                </c:pt>
                <c:pt idx="2599">
                  <c:v>0.803782703686936</c:v>
                </c:pt>
                <c:pt idx="2600">
                  <c:v>0.79196665261789</c:v>
                </c:pt>
                <c:pt idx="2601">
                  <c:v>0.789200557690127</c:v>
                </c:pt>
                <c:pt idx="2602">
                  <c:v>0.780710798147617</c:v>
                </c:pt>
                <c:pt idx="2603">
                  <c:v>0.775737217367273</c:v>
                </c:pt>
                <c:pt idx="2604">
                  <c:v>0.789359756847109</c:v>
                </c:pt>
                <c:pt idx="2605">
                  <c:v>0.788878947805745</c:v>
                </c:pt>
                <c:pt idx="2606">
                  <c:v>0.773033046208389</c:v>
                </c:pt>
                <c:pt idx="2607">
                  <c:v>0.619468146761436</c:v>
                </c:pt>
                <c:pt idx="2608">
                  <c:v>0.625343598944327</c:v>
                </c:pt>
                <c:pt idx="2609">
                  <c:v>0.625719351052438</c:v>
                </c:pt>
                <c:pt idx="2610">
                  <c:v>0.614017469824251</c:v>
                </c:pt>
                <c:pt idx="2611">
                  <c:v>0.538961273790202</c:v>
                </c:pt>
                <c:pt idx="2612">
                  <c:v>0.538965143810631</c:v>
                </c:pt>
                <c:pt idx="2613">
                  <c:v>0.538750997509608</c:v>
                </c:pt>
                <c:pt idx="2614">
                  <c:v>0.570806844359445</c:v>
                </c:pt>
                <c:pt idx="2615">
                  <c:v>0.568432838228864</c:v>
                </c:pt>
                <c:pt idx="2616">
                  <c:v>0.505353106488856</c:v>
                </c:pt>
                <c:pt idx="2617">
                  <c:v>0.453535452837719</c:v>
                </c:pt>
                <c:pt idx="2618">
                  <c:v>0.450197598356241</c:v>
                </c:pt>
                <c:pt idx="2619">
                  <c:v>0.50496623312911</c:v>
                </c:pt>
                <c:pt idx="2620">
                  <c:v>0.497199679754305</c:v>
                </c:pt>
                <c:pt idx="2621">
                  <c:v>0.475936384249554</c:v>
                </c:pt>
                <c:pt idx="2622">
                  <c:v>0.48704772929695</c:v>
                </c:pt>
                <c:pt idx="2623">
                  <c:v>0.465614351188908</c:v>
                </c:pt>
                <c:pt idx="2624">
                  <c:v>0.465722747787194</c:v>
                </c:pt>
                <c:pt idx="2625">
                  <c:v>0.463200776582267</c:v>
                </c:pt>
                <c:pt idx="2626">
                  <c:v>0.473530409538068</c:v>
                </c:pt>
                <c:pt idx="2627">
                  <c:v>0.470602908356774</c:v>
                </c:pt>
                <c:pt idx="2628">
                  <c:v>0.470176593862102</c:v>
                </c:pt>
                <c:pt idx="2629">
                  <c:v>0.461427466350283</c:v>
                </c:pt>
                <c:pt idx="2630">
                  <c:v>0.461925447499711</c:v>
                </c:pt>
                <c:pt idx="2631">
                  <c:v>0.451990719483218</c:v>
                </c:pt>
                <c:pt idx="2632">
                  <c:v>0.45015530926499</c:v>
                </c:pt>
                <c:pt idx="2633">
                  <c:v>0.460565197186683</c:v>
                </c:pt>
                <c:pt idx="2634">
                  <c:v>0.462069422296154</c:v>
                </c:pt>
                <c:pt idx="2635">
                  <c:v>0.475368268319318</c:v>
                </c:pt>
                <c:pt idx="2636">
                  <c:v>0.478998464502556</c:v>
                </c:pt>
                <c:pt idx="2637">
                  <c:v>0.485753781952967</c:v>
                </c:pt>
                <c:pt idx="2638">
                  <c:v>0.480553492494069</c:v>
                </c:pt>
                <c:pt idx="2639">
                  <c:v>0.484335454659826</c:v>
                </c:pt>
                <c:pt idx="2640">
                  <c:v>0.484731608584667</c:v>
                </c:pt>
                <c:pt idx="2641">
                  <c:v>0.483597497252027</c:v>
                </c:pt>
                <c:pt idx="2642">
                  <c:v>0.52263489975856</c:v>
                </c:pt>
                <c:pt idx="2643">
                  <c:v>0.585505224453574</c:v>
                </c:pt>
                <c:pt idx="2644">
                  <c:v>0.564956349515259</c:v>
                </c:pt>
                <c:pt idx="2645">
                  <c:v>0.564445331286957</c:v>
                </c:pt>
                <c:pt idx="2646">
                  <c:v>0.571433194347489</c:v>
                </c:pt>
                <c:pt idx="2647">
                  <c:v>0.693080028227965</c:v>
                </c:pt>
                <c:pt idx="2648">
                  <c:v>0.705086939109379</c:v>
                </c:pt>
                <c:pt idx="2649">
                  <c:v>0.706827641695465</c:v>
                </c:pt>
                <c:pt idx="2650">
                  <c:v>0.70275456143227</c:v>
                </c:pt>
                <c:pt idx="2651">
                  <c:v>0.69590066177552</c:v>
                </c:pt>
                <c:pt idx="2652">
                  <c:v>0.703470868011268</c:v>
                </c:pt>
                <c:pt idx="2653">
                  <c:v>0.719671992599231</c:v>
                </c:pt>
                <c:pt idx="2654">
                  <c:v>0.731088196195408</c:v>
                </c:pt>
                <c:pt idx="2655">
                  <c:v>0.736891821582071</c:v>
                </c:pt>
                <c:pt idx="2656">
                  <c:v>0.741170898628553</c:v>
                </c:pt>
                <c:pt idx="2657">
                  <c:v>0.766864416608758</c:v>
                </c:pt>
                <c:pt idx="2658">
                  <c:v>0.77215512119145</c:v>
                </c:pt>
                <c:pt idx="2659">
                  <c:v>0.774842025153364</c:v>
                </c:pt>
                <c:pt idx="2660">
                  <c:v>0.784937976120788</c:v>
                </c:pt>
                <c:pt idx="2661">
                  <c:v>0.791240426727935</c:v>
                </c:pt>
                <c:pt idx="2662">
                  <c:v>0.796268939149476</c:v>
                </c:pt>
                <c:pt idx="2663">
                  <c:v>0.786763090523647</c:v>
                </c:pt>
                <c:pt idx="2664">
                  <c:v>0.765662233338855</c:v>
                </c:pt>
                <c:pt idx="2665">
                  <c:v>0.754570151469923</c:v>
                </c:pt>
                <c:pt idx="2666">
                  <c:v>0.754086956209745</c:v>
                </c:pt>
                <c:pt idx="2667">
                  <c:v>0.756499400685612</c:v>
                </c:pt>
                <c:pt idx="2668">
                  <c:v>0.806983335999532</c:v>
                </c:pt>
                <c:pt idx="2669">
                  <c:v>0.801543286257682</c:v>
                </c:pt>
                <c:pt idx="2670">
                  <c:v>0.82742861735972</c:v>
                </c:pt>
                <c:pt idx="2671">
                  <c:v>0.832790170758659</c:v>
                </c:pt>
                <c:pt idx="2672">
                  <c:v>0.80798912366427</c:v>
                </c:pt>
                <c:pt idx="2673">
                  <c:v>0.764759102146127</c:v>
                </c:pt>
                <c:pt idx="2674">
                  <c:v>0.764908295173502</c:v>
                </c:pt>
                <c:pt idx="2675">
                  <c:v>0.785852556761006</c:v>
                </c:pt>
                <c:pt idx="2676">
                  <c:v>0.775914502484643</c:v>
                </c:pt>
                <c:pt idx="2677">
                  <c:v>0.65489508693846</c:v>
                </c:pt>
                <c:pt idx="2678">
                  <c:v>0.648415336251582</c:v>
                </c:pt>
                <c:pt idx="2679">
                  <c:v>0.61894534024686</c:v>
                </c:pt>
                <c:pt idx="2680">
                  <c:v>0.624434645257115</c:v>
                </c:pt>
                <c:pt idx="2681">
                  <c:v>0.659935763886224</c:v>
                </c:pt>
                <c:pt idx="2682">
                  <c:v>0.886312325141266</c:v>
                </c:pt>
                <c:pt idx="2683">
                  <c:v>0.867384696507767</c:v>
                </c:pt>
                <c:pt idx="2684">
                  <c:v>0.864464096647358</c:v>
                </c:pt>
                <c:pt idx="2685">
                  <c:v>0.917796907645276</c:v>
                </c:pt>
                <c:pt idx="2686">
                  <c:v>0.907137936543327</c:v>
                </c:pt>
                <c:pt idx="2687">
                  <c:v>0.902894603383545</c:v>
                </c:pt>
                <c:pt idx="2688">
                  <c:v>0.955230057756871</c:v>
                </c:pt>
                <c:pt idx="2689">
                  <c:v>0.953161568298572</c:v>
                </c:pt>
                <c:pt idx="2690">
                  <c:v>0.945529457086508</c:v>
                </c:pt>
                <c:pt idx="2691">
                  <c:v>0.944111618587474</c:v>
                </c:pt>
                <c:pt idx="2692">
                  <c:v>0.967659842647229</c:v>
                </c:pt>
                <c:pt idx="2693">
                  <c:v>0.968816444584341</c:v>
                </c:pt>
                <c:pt idx="2694">
                  <c:v>0.972296267635409</c:v>
                </c:pt>
                <c:pt idx="2695">
                  <c:v>0.972556652904559</c:v>
                </c:pt>
                <c:pt idx="2696">
                  <c:v>0.969101047622036</c:v>
                </c:pt>
                <c:pt idx="2697">
                  <c:v>0.964853893824929</c:v>
                </c:pt>
                <c:pt idx="2698">
                  <c:v>0.913823250589365</c:v>
                </c:pt>
                <c:pt idx="2699">
                  <c:v>0.911377382382594</c:v>
                </c:pt>
                <c:pt idx="2700">
                  <c:v>0.894830962619396</c:v>
                </c:pt>
                <c:pt idx="2701">
                  <c:v>0.886399995348376</c:v>
                </c:pt>
                <c:pt idx="2702">
                  <c:v>0.888163967372414</c:v>
                </c:pt>
                <c:pt idx="2703">
                  <c:v>0.911277581522098</c:v>
                </c:pt>
                <c:pt idx="2704">
                  <c:v>0.910583514567991</c:v>
                </c:pt>
                <c:pt idx="2705">
                  <c:v>0.892556488045726</c:v>
                </c:pt>
                <c:pt idx="2706">
                  <c:v>0.921865303593582</c:v>
                </c:pt>
                <c:pt idx="2707">
                  <c:v>0.920330176319153</c:v>
                </c:pt>
                <c:pt idx="2708">
                  <c:v>0.920779237732402</c:v>
                </c:pt>
                <c:pt idx="2709">
                  <c:v>0.921452220387394</c:v>
                </c:pt>
                <c:pt idx="2710">
                  <c:v>0.926959994976584</c:v>
                </c:pt>
                <c:pt idx="2711">
                  <c:v>0.911344550895696</c:v>
                </c:pt>
                <c:pt idx="2712">
                  <c:v>0.711251797741778</c:v>
                </c:pt>
                <c:pt idx="2713">
                  <c:v>0.714889663749588</c:v>
                </c:pt>
                <c:pt idx="2714">
                  <c:v>0.712793914758319</c:v>
                </c:pt>
                <c:pt idx="2715">
                  <c:v>0.616384821360883</c:v>
                </c:pt>
                <c:pt idx="2716">
                  <c:v>0.621033053501174</c:v>
                </c:pt>
                <c:pt idx="2717">
                  <c:v>0.614763978479197</c:v>
                </c:pt>
                <c:pt idx="2718">
                  <c:v>0.576475605477639</c:v>
                </c:pt>
                <c:pt idx="2719">
                  <c:v>0.577831410067565</c:v>
                </c:pt>
                <c:pt idx="2720">
                  <c:v>0.578452079410141</c:v>
                </c:pt>
                <c:pt idx="2721">
                  <c:v>0.568942989144385</c:v>
                </c:pt>
                <c:pt idx="2722">
                  <c:v>0.541077571575139</c:v>
                </c:pt>
                <c:pt idx="2723">
                  <c:v>0.541213745409926</c:v>
                </c:pt>
                <c:pt idx="2724">
                  <c:v>0.583014302033453</c:v>
                </c:pt>
                <c:pt idx="2725">
                  <c:v>0.578172587810603</c:v>
                </c:pt>
                <c:pt idx="2726">
                  <c:v>0.634242138733645</c:v>
                </c:pt>
                <c:pt idx="2727">
                  <c:v>0.637952205698691</c:v>
                </c:pt>
                <c:pt idx="2728">
                  <c:v>0.636825321765763</c:v>
                </c:pt>
                <c:pt idx="2729">
                  <c:v>0.63509133027217</c:v>
                </c:pt>
                <c:pt idx="2730">
                  <c:v>0.627153559715736</c:v>
                </c:pt>
                <c:pt idx="2731">
                  <c:v>0.626951597707517</c:v>
                </c:pt>
                <c:pt idx="2732">
                  <c:v>0.629694325622946</c:v>
                </c:pt>
                <c:pt idx="2733">
                  <c:v>0.613747254150942</c:v>
                </c:pt>
                <c:pt idx="2734">
                  <c:v>0.615267494123753</c:v>
                </c:pt>
                <c:pt idx="2735">
                  <c:v>0.619708564205134</c:v>
                </c:pt>
                <c:pt idx="2736">
                  <c:v>0.597806902754198</c:v>
                </c:pt>
                <c:pt idx="2737">
                  <c:v>0.598093933067082</c:v>
                </c:pt>
                <c:pt idx="2738">
                  <c:v>0.60414914362362</c:v>
                </c:pt>
                <c:pt idx="2739">
                  <c:v>0.598891359329937</c:v>
                </c:pt>
                <c:pt idx="2740">
                  <c:v>0.585352004901111</c:v>
                </c:pt>
                <c:pt idx="2741">
                  <c:v>0.569172156768312</c:v>
                </c:pt>
                <c:pt idx="2742">
                  <c:v>0.55359450170132</c:v>
                </c:pt>
                <c:pt idx="2743">
                  <c:v>0.552007482204733</c:v>
                </c:pt>
                <c:pt idx="2744">
                  <c:v>0.552947198512996</c:v>
                </c:pt>
                <c:pt idx="2745">
                  <c:v>0.553259175364211</c:v>
                </c:pt>
                <c:pt idx="2746">
                  <c:v>0.548320141644547</c:v>
                </c:pt>
                <c:pt idx="2747">
                  <c:v>0.49376604101703</c:v>
                </c:pt>
                <c:pt idx="2748">
                  <c:v>0.468207183154368</c:v>
                </c:pt>
                <c:pt idx="2749">
                  <c:v>0.595318036830919</c:v>
                </c:pt>
                <c:pt idx="2750">
                  <c:v>0.598597354331347</c:v>
                </c:pt>
                <c:pt idx="2751">
                  <c:v>0.599664293586951</c:v>
                </c:pt>
                <c:pt idx="2752">
                  <c:v>0.598872270635263</c:v>
                </c:pt>
                <c:pt idx="2753">
                  <c:v>0.598847310115012</c:v>
                </c:pt>
                <c:pt idx="2754">
                  <c:v>0.559489404464624</c:v>
                </c:pt>
                <c:pt idx="2755">
                  <c:v>0.560054696807436</c:v>
                </c:pt>
                <c:pt idx="2756">
                  <c:v>0.528837538487062</c:v>
                </c:pt>
                <c:pt idx="2757">
                  <c:v>0.506720203448621</c:v>
                </c:pt>
                <c:pt idx="2758">
                  <c:v>0.509636626313651</c:v>
                </c:pt>
                <c:pt idx="2759">
                  <c:v>0.530291069670544</c:v>
                </c:pt>
                <c:pt idx="2760">
                  <c:v>0.532821053165754</c:v>
                </c:pt>
                <c:pt idx="2761">
                  <c:v>0.53524401764864</c:v>
                </c:pt>
                <c:pt idx="2762">
                  <c:v>0.535805507387341</c:v>
                </c:pt>
                <c:pt idx="2763">
                  <c:v>0.53582341832346</c:v>
                </c:pt>
                <c:pt idx="2764">
                  <c:v>0.535530072796595</c:v>
                </c:pt>
                <c:pt idx="2765">
                  <c:v>0.523522027719114</c:v>
                </c:pt>
                <c:pt idx="2766">
                  <c:v>0.522833979088787</c:v>
                </c:pt>
                <c:pt idx="2767">
                  <c:v>0.54640215993182</c:v>
                </c:pt>
                <c:pt idx="2768">
                  <c:v>0.546117859061551</c:v>
                </c:pt>
                <c:pt idx="2769">
                  <c:v>0.540952072346942</c:v>
                </c:pt>
                <c:pt idx="2770">
                  <c:v>0.640916609135317</c:v>
                </c:pt>
                <c:pt idx="2771">
                  <c:v>0.643953896739393</c:v>
                </c:pt>
                <c:pt idx="2772">
                  <c:v>0.640428430529453</c:v>
                </c:pt>
                <c:pt idx="2773">
                  <c:v>0.649052726924218</c:v>
                </c:pt>
                <c:pt idx="2774">
                  <c:v>0.74165121837964</c:v>
                </c:pt>
                <c:pt idx="2775">
                  <c:v>0.742225509121985</c:v>
                </c:pt>
                <c:pt idx="2776">
                  <c:v>0.745585189889634</c:v>
                </c:pt>
                <c:pt idx="2777">
                  <c:v>0.744556271565532</c:v>
                </c:pt>
                <c:pt idx="2778">
                  <c:v>0.74850803028939</c:v>
                </c:pt>
                <c:pt idx="2779">
                  <c:v>0.664246051061332</c:v>
                </c:pt>
                <c:pt idx="2780">
                  <c:v>0.662333573843309</c:v>
                </c:pt>
                <c:pt idx="2781">
                  <c:v>0.668115474379289</c:v>
                </c:pt>
                <c:pt idx="2782">
                  <c:v>0.670446932956801</c:v>
                </c:pt>
                <c:pt idx="2783">
                  <c:v>0.694849917796259</c:v>
                </c:pt>
                <c:pt idx="2784">
                  <c:v>0.694687613055718</c:v>
                </c:pt>
                <c:pt idx="2785">
                  <c:v>0.695586856047248</c:v>
                </c:pt>
                <c:pt idx="2786">
                  <c:v>0.664268211329217</c:v>
                </c:pt>
                <c:pt idx="2787">
                  <c:v>0.669398700060467</c:v>
                </c:pt>
                <c:pt idx="2788">
                  <c:v>0.66572419187236</c:v>
                </c:pt>
                <c:pt idx="2789">
                  <c:v>0.656178769045363</c:v>
                </c:pt>
                <c:pt idx="2790">
                  <c:v>0.652859690661305</c:v>
                </c:pt>
                <c:pt idx="2791">
                  <c:v>0.65268112722453</c:v>
                </c:pt>
                <c:pt idx="2792">
                  <c:v>0.652567139204078</c:v>
                </c:pt>
                <c:pt idx="2793">
                  <c:v>0.653260012007211</c:v>
                </c:pt>
                <c:pt idx="2794">
                  <c:v>0.661851183772731</c:v>
                </c:pt>
                <c:pt idx="2795">
                  <c:v>0.672816876679359</c:v>
                </c:pt>
                <c:pt idx="2796">
                  <c:v>0.672720098012893</c:v>
                </c:pt>
                <c:pt idx="2797">
                  <c:v>0.645207190172447</c:v>
                </c:pt>
                <c:pt idx="2798">
                  <c:v>0.644191807606127</c:v>
                </c:pt>
                <c:pt idx="2799">
                  <c:v>0.64454174828956</c:v>
                </c:pt>
                <c:pt idx="2800">
                  <c:v>0.534283905753668</c:v>
                </c:pt>
                <c:pt idx="2801">
                  <c:v>0.53270882154014</c:v>
                </c:pt>
                <c:pt idx="2802">
                  <c:v>0.531193787610598</c:v>
                </c:pt>
                <c:pt idx="2803">
                  <c:v>0.520198651145146</c:v>
                </c:pt>
                <c:pt idx="2804">
                  <c:v>0.375939932942384</c:v>
                </c:pt>
                <c:pt idx="2805">
                  <c:v>0.376884235009694</c:v>
                </c:pt>
                <c:pt idx="2806">
                  <c:v>0.366687884805778</c:v>
                </c:pt>
                <c:pt idx="2807">
                  <c:v>0.368283605957021</c:v>
                </c:pt>
                <c:pt idx="2808">
                  <c:v>0.367424001433255</c:v>
                </c:pt>
                <c:pt idx="2809">
                  <c:v>0.348806280908173</c:v>
                </c:pt>
                <c:pt idx="2810">
                  <c:v>0.349945531004627</c:v>
                </c:pt>
                <c:pt idx="2811">
                  <c:v>0.326920500476587</c:v>
                </c:pt>
                <c:pt idx="2812">
                  <c:v>0.318869004903055</c:v>
                </c:pt>
                <c:pt idx="2813">
                  <c:v>0.270085455183655</c:v>
                </c:pt>
                <c:pt idx="2814">
                  <c:v>0.277057567478676</c:v>
                </c:pt>
                <c:pt idx="2815">
                  <c:v>0.271973841101109</c:v>
                </c:pt>
                <c:pt idx="2816">
                  <c:v>0.301818966215336</c:v>
                </c:pt>
                <c:pt idx="2817">
                  <c:v>0.310717043270041</c:v>
                </c:pt>
                <c:pt idx="2818">
                  <c:v>0.321450271715406</c:v>
                </c:pt>
                <c:pt idx="2819">
                  <c:v>0.320124534734074</c:v>
                </c:pt>
                <c:pt idx="2820">
                  <c:v>0.320491740289165</c:v>
                </c:pt>
                <c:pt idx="2821">
                  <c:v>0.320252511273033</c:v>
                </c:pt>
                <c:pt idx="2822">
                  <c:v>0.321058811114806</c:v>
                </c:pt>
                <c:pt idx="2823">
                  <c:v>0.316986672745545</c:v>
                </c:pt>
                <c:pt idx="2824">
                  <c:v>0.307918045888179</c:v>
                </c:pt>
                <c:pt idx="2825">
                  <c:v>0.282095594806856</c:v>
                </c:pt>
                <c:pt idx="2826">
                  <c:v>0.322776186504298</c:v>
                </c:pt>
                <c:pt idx="2827">
                  <c:v>0.320736995979412</c:v>
                </c:pt>
                <c:pt idx="2828">
                  <c:v>0.317530407570456</c:v>
                </c:pt>
                <c:pt idx="2829">
                  <c:v>0.322782217720482</c:v>
                </c:pt>
                <c:pt idx="2830">
                  <c:v>0.488531333715293</c:v>
                </c:pt>
                <c:pt idx="2831">
                  <c:v>0.73139083371043</c:v>
                </c:pt>
                <c:pt idx="2832">
                  <c:v>0.825025509592553</c:v>
                </c:pt>
                <c:pt idx="2833">
                  <c:v>0.831371815692645</c:v>
                </c:pt>
                <c:pt idx="2834">
                  <c:v>0.829970782159284</c:v>
                </c:pt>
                <c:pt idx="2835">
                  <c:v>0.834260432367049</c:v>
                </c:pt>
                <c:pt idx="2836">
                  <c:v>0.838052697041885</c:v>
                </c:pt>
                <c:pt idx="2837">
                  <c:v>0.84005907475474</c:v>
                </c:pt>
                <c:pt idx="2838">
                  <c:v>0.837455854582801</c:v>
                </c:pt>
                <c:pt idx="2839">
                  <c:v>0.837398973967538</c:v>
                </c:pt>
                <c:pt idx="2840">
                  <c:v>0.837251495457701</c:v>
                </c:pt>
                <c:pt idx="2841">
                  <c:v>0.83738099821144</c:v>
                </c:pt>
                <c:pt idx="2842">
                  <c:v>0.83929943931718</c:v>
                </c:pt>
                <c:pt idx="2843">
                  <c:v>0.843690748955103</c:v>
                </c:pt>
                <c:pt idx="2844">
                  <c:v>0.848098274375396</c:v>
                </c:pt>
                <c:pt idx="2845">
                  <c:v>0.854260504957957</c:v>
                </c:pt>
                <c:pt idx="2846">
                  <c:v>0.839115371788257</c:v>
                </c:pt>
                <c:pt idx="2847">
                  <c:v>0.827869391226957</c:v>
                </c:pt>
                <c:pt idx="2848">
                  <c:v>0.826096767929609</c:v>
                </c:pt>
                <c:pt idx="2849">
                  <c:v>0.822569402933284</c:v>
                </c:pt>
                <c:pt idx="2850">
                  <c:v>0.81999881488842</c:v>
                </c:pt>
                <c:pt idx="2851">
                  <c:v>0.824090262671914</c:v>
                </c:pt>
                <c:pt idx="2852">
                  <c:v>0.843424496632986</c:v>
                </c:pt>
                <c:pt idx="2853">
                  <c:v>0.843357092434594</c:v>
                </c:pt>
                <c:pt idx="2854">
                  <c:v>0.843771989946179</c:v>
                </c:pt>
                <c:pt idx="2855">
                  <c:v>0.843589145580002</c:v>
                </c:pt>
                <c:pt idx="2856">
                  <c:v>0.82555866965296</c:v>
                </c:pt>
                <c:pt idx="2857">
                  <c:v>0.824010498391784</c:v>
                </c:pt>
                <c:pt idx="2858">
                  <c:v>0.824541278822026</c:v>
                </c:pt>
                <c:pt idx="2859">
                  <c:v>0.824333380960946</c:v>
                </c:pt>
                <c:pt idx="2860">
                  <c:v>0.752639135258382</c:v>
                </c:pt>
                <c:pt idx="2861">
                  <c:v>0.502934176380762</c:v>
                </c:pt>
                <c:pt idx="2862">
                  <c:v>0.34819993430307</c:v>
                </c:pt>
                <c:pt idx="2863">
                  <c:v>0.328033784907862</c:v>
                </c:pt>
                <c:pt idx="2864">
                  <c:v>0.325363451945626</c:v>
                </c:pt>
                <c:pt idx="2865">
                  <c:v>0.323572706688978</c:v>
                </c:pt>
                <c:pt idx="2866">
                  <c:v>0.319314065503696</c:v>
                </c:pt>
                <c:pt idx="2867">
                  <c:v>0.329354318396032</c:v>
                </c:pt>
                <c:pt idx="2868">
                  <c:v>0.360753857273055</c:v>
                </c:pt>
                <c:pt idx="2869">
                  <c:v>0.362281532218679</c:v>
                </c:pt>
                <c:pt idx="2870">
                  <c:v>0.362351345938009</c:v>
                </c:pt>
                <c:pt idx="2871">
                  <c:v>0.36795080174912</c:v>
                </c:pt>
                <c:pt idx="2872">
                  <c:v>0.368699593101915</c:v>
                </c:pt>
                <c:pt idx="2873">
                  <c:v>0.349903309414384</c:v>
                </c:pt>
                <c:pt idx="2874">
                  <c:v>0.33711127490304</c:v>
                </c:pt>
                <c:pt idx="2875">
                  <c:v>0.327254728052257</c:v>
                </c:pt>
                <c:pt idx="2876">
                  <c:v>0.327377125257011</c:v>
                </c:pt>
                <c:pt idx="2877">
                  <c:v>0.326933449606717</c:v>
                </c:pt>
                <c:pt idx="2878">
                  <c:v>0.327213218872659</c:v>
                </c:pt>
                <c:pt idx="2879">
                  <c:v>0.331691665562626</c:v>
                </c:pt>
                <c:pt idx="2880">
                  <c:v>0.32926613748654</c:v>
                </c:pt>
                <c:pt idx="2881">
                  <c:v>0.325570979871432</c:v>
                </c:pt>
                <c:pt idx="2882">
                  <c:v>0.285146269922773</c:v>
                </c:pt>
                <c:pt idx="2883">
                  <c:v>0.282910043831779</c:v>
                </c:pt>
                <c:pt idx="2884">
                  <c:v>0.282325796999757</c:v>
                </c:pt>
                <c:pt idx="2885">
                  <c:v>0.279371216681753</c:v>
                </c:pt>
                <c:pt idx="2886">
                  <c:v>0.275259298966815</c:v>
                </c:pt>
                <c:pt idx="2887">
                  <c:v>0.276988208269741</c:v>
                </c:pt>
                <c:pt idx="2888">
                  <c:v>0.275778524288943</c:v>
                </c:pt>
                <c:pt idx="2889">
                  <c:v>0.272382526549137</c:v>
                </c:pt>
                <c:pt idx="2890">
                  <c:v>0.260180650645661</c:v>
                </c:pt>
                <c:pt idx="2891">
                  <c:v>0.262559528254312</c:v>
                </c:pt>
                <c:pt idx="2892">
                  <c:v>0.262730797583531</c:v>
                </c:pt>
                <c:pt idx="2893">
                  <c:v>0.267745045113511</c:v>
                </c:pt>
                <c:pt idx="2894">
                  <c:v>0.283636551844869</c:v>
                </c:pt>
                <c:pt idx="2895">
                  <c:v>0.314006791534922</c:v>
                </c:pt>
                <c:pt idx="2896">
                  <c:v>0.362559964962233</c:v>
                </c:pt>
                <c:pt idx="2897">
                  <c:v>0.383495496302428</c:v>
                </c:pt>
                <c:pt idx="2898">
                  <c:v>0.34262891475386</c:v>
                </c:pt>
                <c:pt idx="2899">
                  <c:v>0.343556974346067</c:v>
                </c:pt>
                <c:pt idx="2900">
                  <c:v>0.343459823957735</c:v>
                </c:pt>
                <c:pt idx="2901">
                  <c:v>0.346434800248869</c:v>
                </c:pt>
                <c:pt idx="2902">
                  <c:v>0.341957135835433</c:v>
                </c:pt>
                <c:pt idx="2903">
                  <c:v>0.40866763894112</c:v>
                </c:pt>
                <c:pt idx="2904">
                  <c:v>0.40757928695369</c:v>
                </c:pt>
                <c:pt idx="2905">
                  <c:v>0.407959965431207</c:v>
                </c:pt>
                <c:pt idx="2906">
                  <c:v>0.407262209249618</c:v>
                </c:pt>
                <c:pt idx="2907">
                  <c:v>0.414036543186708</c:v>
                </c:pt>
                <c:pt idx="2908">
                  <c:v>0.415382078853647</c:v>
                </c:pt>
                <c:pt idx="2909">
                  <c:v>0.408015125172559</c:v>
                </c:pt>
                <c:pt idx="2910">
                  <c:v>0.402936324246608</c:v>
                </c:pt>
                <c:pt idx="2911">
                  <c:v>0.404908750327172</c:v>
                </c:pt>
                <c:pt idx="2912">
                  <c:v>0.4078331261058</c:v>
                </c:pt>
                <c:pt idx="2913">
                  <c:v>0.441401311209027</c:v>
                </c:pt>
                <c:pt idx="2914">
                  <c:v>0.440990957492145</c:v>
                </c:pt>
                <c:pt idx="2915">
                  <c:v>0.442875480778608</c:v>
                </c:pt>
                <c:pt idx="2916">
                  <c:v>0.446649422624449</c:v>
                </c:pt>
                <c:pt idx="2917">
                  <c:v>0.450450582509574</c:v>
                </c:pt>
                <c:pt idx="2918">
                  <c:v>0.451655461388783</c:v>
                </c:pt>
                <c:pt idx="2919">
                  <c:v>0.461539424594173</c:v>
                </c:pt>
                <c:pt idx="2920">
                  <c:v>0.464562767998172</c:v>
                </c:pt>
                <c:pt idx="2921">
                  <c:v>0.466527267130355</c:v>
                </c:pt>
                <c:pt idx="2922">
                  <c:v>0.472528117815664</c:v>
                </c:pt>
                <c:pt idx="2923">
                  <c:v>0.518886067477875</c:v>
                </c:pt>
                <c:pt idx="2924">
                  <c:v>0.516066077194444</c:v>
                </c:pt>
                <c:pt idx="2925">
                  <c:v>0.491617227614988</c:v>
                </c:pt>
                <c:pt idx="2926">
                  <c:v>0.459253936671556</c:v>
                </c:pt>
                <c:pt idx="2927">
                  <c:v>0.423949123183859</c:v>
                </c:pt>
                <c:pt idx="2928">
                  <c:v>0.427544300249368</c:v>
                </c:pt>
                <c:pt idx="2929">
                  <c:v>0.52989700351472</c:v>
                </c:pt>
                <c:pt idx="2930">
                  <c:v>0.54871370494073</c:v>
                </c:pt>
                <c:pt idx="2931">
                  <c:v>0.560271827288696</c:v>
                </c:pt>
                <c:pt idx="2932">
                  <c:v>0.558568439723179</c:v>
                </c:pt>
                <c:pt idx="2933">
                  <c:v>0.504862916434055</c:v>
                </c:pt>
                <c:pt idx="2934">
                  <c:v>0.509096625726817</c:v>
                </c:pt>
                <c:pt idx="2935">
                  <c:v>0.512803738733692</c:v>
                </c:pt>
                <c:pt idx="2936">
                  <c:v>0.514219954764871</c:v>
                </c:pt>
                <c:pt idx="2937">
                  <c:v>0.513229123766924</c:v>
                </c:pt>
                <c:pt idx="2938">
                  <c:v>0.522157317460436</c:v>
                </c:pt>
                <c:pt idx="2939">
                  <c:v>0.522123130410305</c:v>
                </c:pt>
                <c:pt idx="2940">
                  <c:v>0.525345671426071</c:v>
                </c:pt>
                <c:pt idx="2941">
                  <c:v>0.52544642627148</c:v>
                </c:pt>
                <c:pt idx="2942">
                  <c:v>0.516921673832033</c:v>
                </c:pt>
                <c:pt idx="2943">
                  <c:v>0.503444930352159</c:v>
                </c:pt>
                <c:pt idx="2944">
                  <c:v>0.502306631806805</c:v>
                </c:pt>
                <c:pt idx="2945">
                  <c:v>0.522361526150537</c:v>
                </c:pt>
                <c:pt idx="2946">
                  <c:v>0.52194519873837</c:v>
                </c:pt>
                <c:pt idx="2947">
                  <c:v>0.522134391868577</c:v>
                </c:pt>
                <c:pt idx="2948">
                  <c:v>0.522020019806824</c:v>
                </c:pt>
                <c:pt idx="2949">
                  <c:v>0.520113752817486</c:v>
                </c:pt>
                <c:pt idx="2950">
                  <c:v>0.524776367005014</c:v>
                </c:pt>
                <c:pt idx="2951">
                  <c:v>0.560789376722159</c:v>
                </c:pt>
                <c:pt idx="2952">
                  <c:v>0.560122040282318</c:v>
                </c:pt>
                <c:pt idx="2953">
                  <c:v>0.537807598679136</c:v>
                </c:pt>
                <c:pt idx="2954">
                  <c:v>0.605297902729953</c:v>
                </c:pt>
                <c:pt idx="2955">
                  <c:v>0.670771392841433</c:v>
                </c:pt>
                <c:pt idx="2956">
                  <c:v>0.673463191703582</c:v>
                </c:pt>
                <c:pt idx="2957">
                  <c:v>0.67773343124924</c:v>
                </c:pt>
                <c:pt idx="2958">
                  <c:v>0.681103881683368</c:v>
                </c:pt>
                <c:pt idx="2959">
                  <c:v>0.679916219826798</c:v>
                </c:pt>
                <c:pt idx="2960">
                  <c:v>0.668431658176495</c:v>
                </c:pt>
                <c:pt idx="2961">
                  <c:v>0.663417524988054</c:v>
                </c:pt>
                <c:pt idx="2962">
                  <c:v>0.664884026390977</c:v>
                </c:pt>
                <c:pt idx="2963">
                  <c:v>0.662852627985874</c:v>
                </c:pt>
                <c:pt idx="2964">
                  <c:v>0.671953258496704</c:v>
                </c:pt>
                <c:pt idx="2965">
                  <c:v>0.67856613104308</c:v>
                </c:pt>
                <c:pt idx="2966">
                  <c:v>0.688242219704308</c:v>
                </c:pt>
                <c:pt idx="2967">
                  <c:v>0.686430158027416</c:v>
                </c:pt>
                <c:pt idx="2968">
                  <c:v>0.674852905277493</c:v>
                </c:pt>
                <c:pt idx="2969">
                  <c:v>0.686758616729278</c:v>
                </c:pt>
                <c:pt idx="2970">
                  <c:v>0.685484323926373</c:v>
                </c:pt>
                <c:pt idx="2971">
                  <c:v>0.695166914914532</c:v>
                </c:pt>
                <c:pt idx="2972">
                  <c:v>0.694264841662007</c:v>
                </c:pt>
                <c:pt idx="2973">
                  <c:v>0.693223128159</c:v>
                </c:pt>
                <c:pt idx="2974">
                  <c:v>0.69205611017683</c:v>
                </c:pt>
                <c:pt idx="2975">
                  <c:v>0.665551408677103</c:v>
                </c:pt>
                <c:pt idx="2976">
                  <c:v>0.669101535312349</c:v>
                </c:pt>
                <c:pt idx="2977">
                  <c:v>0.66926591602158</c:v>
                </c:pt>
                <c:pt idx="2978">
                  <c:v>0.669122335274532</c:v>
                </c:pt>
                <c:pt idx="2979">
                  <c:v>0.667676042587302</c:v>
                </c:pt>
                <c:pt idx="2980">
                  <c:v>0.660513297575569</c:v>
                </c:pt>
                <c:pt idx="2981">
                  <c:v>0.607429658554162</c:v>
                </c:pt>
                <c:pt idx="2982">
                  <c:v>0.604257048542733</c:v>
                </c:pt>
                <c:pt idx="2983">
                  <c:v>0.616077803640607</c:v>
                </c:pt>
                <c:pt idx="2984">
                  <c:v>0.568963724158346</c:v>
                </c:pt>
                <c:pt idx="2985">
                  <c:v>0.506727453772259</c:v>
                </c:pt>
                <c:pt idx="2986">
                  <c:v>0.504936112865575</c:v>
                </c:pt>
                <c:pt idx="2987">
                  <c:v>0.497394992089466</c:v>
                </c:pt>
                <c:pt idx="2988">
                  <c:v>0.49383833079099</c:v>
                </c:pt>
                <c:pt idx="2989">
                  <c:v>0.38652518990461</c:v>
                </c:pt>
                <c:pt idx="2990">
                  <c:v>0.397253354036387</c:v>
                </c:pt>
                <c:pt idx="2991">
                  <c:v>0.389766481931374</c:v>
                </c:pt>
                <c:pt idx="2992">
                  <c:v>0.434211555355525</c:v>
                </c:pt>
                <c:pt idx="2993">
                  <c:v>0.438135511510528</c:v>
                </c:pt>
                <c:pt idx="2994">
                  <c:v>0.441744710187021</c:v>
                </c:pt>
                <c:pt idx="2995">
                  <c:v>0.427305244505437</c:v>
                </c:pt>
                <c:pt idx="2996">
                  <c:v>0.41391667089495</c:v>
                </c:pt>
                <c:pt idx="2997">
                  <c:v>0.414002268998972</c:v>
                </c:pt>
                <c:pt idx="2998">
                  <c:v>0.421459523608343</c:v>
                </c:pt>
                <c:pt idx="2999">
                  <c:v>0.406233221445254</c:v>
                </c:pt>
                <c:pt idx="3000">
                  <c:v>0.425520112577039</c:v>
                </c:pt>
                <c:pt idx="3001">
                  <c:v>0.405079025288585</c:v>
                </c:pt>
                <c:pt idx="3002">
                  <c:v>0.402776259218978</c:v>
                </c:pt>
                <c:pt idx="3003">
                  <c:v>0.399260941061438</c:v>
                </c:pt>
                <c:pt idx="3004">
                  <c:v>0.42688076557727</c:v>
                </c:pt>
                <c:pt idx="3005">
                  <c:v>0.432410038331939</c:v>
                </c:pt>
                <c:pt idx="3006">
                  <c:v>0.431399253639959</c:v>
                </c:pt>
                <c:pt idx="3007">
                  <c:v>0.430169286793018</c:v>
                </c:pt>
                <c:pt idx="3008">
                  <c:v>0.436699415340468</c:v>
                </c:pt>
                <c:pt idx="3009">
                  <c:v>0.443137304833648</c:v>
                </c:pt>
                <c:pt idx="3010">
                  <c:v>0.447134227887636</c:v>
                </c:pt>
                <c:pt idx="3011">
                  <c:v>0.456962274930692</c:v>
                </c:pt>
                <c:pt idx="3012">
                  <c:v>0.454266100406463</c:v>
                </c:pt>
                <c:pt idx="3013">
                  <c:v>0.421335292359624</c:v>
                </c:pt>
                <c:pt idx="3014">
                  <c:v>0.419717533257879</c:v>
                </c:pt>
                <c:pt idx="3015">
                  <c:v>0.419113370536104</c:v>
                </c:pt>
                <c:pt idx="3016">
                  <c:v>0.412903938605307</c:v>
                </c:pt>
                <c:pt idx="3017">
                  <c:v>0.413544729010823</c:v>
                </c:pt>
                <c:pt idx="3018">
                  <c:v>0.416065881914383</c:v>
                </c:pt>
                <c:pt idx="3019">
                  <c:v>0.415849402736471</c:v>
                </c:pt>
                <c:pt idx="3020">
                  <c:v>0.409686091973143</c:v>
                </c:pt>
                <c:pt idx="3021">
                  <c:v>0.396460720960647</c:v>
                </c:pt>
                <c:pt idx="3022">
                  <c:v>0.355453815535619</c:v>
                </c:pt>
                <c:pt idx="3023">
                  <c:v>0.351403765420894</c:v>
                </c:pt>
                <c:pt idx="3024">
                  <c:v>0.332823200439987</c:v>
                </c:pt>
                <c:pt idx="3025">
                  <c:v>0.32483399993563</c:v>
                </c:pt>
                <c:pt idx="3026">
                  <c:v>0.327780625635448</c:v>
                </c:pt>
                <c:pt idx="3027">
                  <c:v>0.347718347989404</c:v>
                </c:pt>
                <c:pt idx="3028">
                  <c:v>0.331595124306995</c:v>
                </c:pt>
                <c:pt idx="3029">
                  <c:v>0.333447324128696</c:v>
                </c:pt>
                <c:pt idx="3030">
                  <c:v>0.302453844527921</c:v>
                </c:pt>
                <c:pt idx="3031">
                  <c:v>0.344338611999923</c:v>
                </c:pt>
                <c:pt idx="3032">
                  <c:v>0.346385766348696</c:v>
                </c:pt>
                <c:pt idx="3033">
                  <c:v>0.346271294720939</c:v>
                </c:pt>
                <c:pt idx="3034">
                  <c:v>0.319281633665204</c:v>
                </c:pt>
                <c:pt idx="3035">
                  <c:v>0.31127984750864</c:v>
                </c:pt>
                <c:pt idx="3036">
                  <c:v>0.313005516909936</c:v>
                </c:pt>
                <c:pt idx="3037">
                  <c:v>0.313021088176954</c:v>
                </c:pt>
                <c:pt idx="3038">
                  <c:v>0.300621391372558</c:v>
                </c:pt>
                <c:pt idx="3039">
                  <c:v>0.339894028124455</c:v>
                </c:pt>
                <c:pt idx="3040">
                  <c:v>0.396074650206696</c:v>
                </c:pt>
                <c:pt idx="3041">
                  <c:v>0.402406666317306</c:v>
                </c:pt>
                <c:pt idx="3042">
                  <c:v>0.403278084303317</c:v>
                </c:pt>
                <c:pt idx="3043">
                  <c:v>0.403280616871428</c:v>
                </c:pt>
                <c:pt idx="3044">
                  <c:v>0.405023087650974</c:v>
                </c:pt>
                <c:pt idx="3045">
                  <c:v>0.404976911549206</c:v>
                </c:pt>
                <c:pt idx="3046">
                  <c:v>0.404978205190589</c:v>
                </c:pt>
                <c:pt idx="3047">
                  <c:v>0.404409572812358</c:v>
                </c:pt>
                <c:pt idx="3048">
                  <c:v>0.416827521660116</c:v>
                </c:pt>
                <c:pt idx="3049">
                  <c:v>0.422467332980078</c:v>
                </c:pt>
                <c:pt idx="3050">
                  <c:v>0.434407920048709</c:v>
                </c:pt>
                <c:pt idx="3051">
                  <c:v>0.428874724106847</c:v>
                </c:pt>
                <c:pt idx="3052">
                  <c:v>0.429403773777031</c:v>
                </c:pt>
                <c:pt idx="3053">
                  <c:v>0.433495751111519</c:v>
                </c:pt>
                <c:pt idx="3054">
                  <c:v>0.470320152046953</c:v>
                </c:pt>
                <c:pt idx="3055">
                  <c:v>0.509110976348368</c:v>
                </c:pt>
                <c:pt idx="3056">
                  <c:v>0.508446249491395</c:v>
                </c:pt>
                <c:pt idx="3057">
                  <c:v>0.49689819198306</c:v>
                </c:pt>
                <c:pt idx="3058">
                  <c:v>0.497983871249868</c:v>
                </c:pt>
                <c:pt idx="3059">
                  <c:v>0.498322605374284</c:v>
                </c:pt>
                <c:pt idx="3060">
                  <c:v>0.499824545424082</c:v>
                </c:pt>
                <c:pt idx="3061">
                  <c:v>0.479858256509032</c:v>
                </c:pt>
                <c:pt idx="3062">
                  <c:v>0.483502148952111</c:v>
                </c:pt>
                <c:pt idx="3063">
                  <c:v>0.484059581003064</c:v>
                </c:pt>
                <c:pt idx="3064">
                  <c:v>0.478522719738326</c:v>
                </c:pt>
                <c:pt idx="3065">
                  <c:v>0.474085022330412</c:v>
                </c:pt>
                <c:pt idx="3066">
                  <c:v>0.472555418837677</c:v>
                </c:pt>
                <c:pt idx="3067">
                  <c:v>0.473404528894396</c:v>
                </c:pt>
                <c:pt idx="3068">
                  <c:v>0.477209922897212</c:v>
                </c:pt>
                <c:pt idx="3069">
                  <c:v>0.436250645017198</c:v>
                </c:pt>
                <c:pt idx="3070">
                  <c:v>0.404048750470142</c:v>
                </c:pt>
                <c:pt idx="3071">
                  <c:v>0.38334080271192</c:v>
                </c:pt>
                <c:pt idx="3072">
                  <c:v>0.383855103150671</c:v>
                </c:pt>
                <c:pt idx="3073">
                  <c:v>0.384653285744526</c:v>
                </c:pt>
                <c:pt idx="3074">
                  <c:v>0.370019114675545</c:v>
                </c:pt>
                <c:pt idx="3075">
                  <c:v>0.370031472000813</c:v>
                </c:pt>
                <c:pt idx="3076">
                  <c:v>0.372464034565502</c:v>
                </c:pt>
                <c:pt idx="3077">
                  <c:v>0.386455311996677</c:v>
                </c:pt>
                <c:pt idx="3078">
                  <c:v>0.393154069900126</c:v>
                </c:pt>
                <c:pt idx="3079">
                  <c:v>0.391750909652434</c:v>
                </c:pt>
                <c:pt idx="3080">
                  <c:v>0.38190471084607</c:v>
                </c:pt>
                <c:pt idx="3081">
                  <c:v>0.382712843245445</c:v>
                </c:pt>
                <c:pt idx="3082">
                  <c:v>0.383808557341996</c:v>
                </c:pt>
                <c:pt idx="3083">
                  <c:v>0.380294109705968</c:v>
                </c:pt>
                <c:pt idx="3084">
                  <c:v>0.334325680171462</c:v>
                </c:pt>
                <c:pt idx="3085">
                  <c:v>0.266545440538023</c:v>
                </c:pt>
                <c:pt idx="3086">
                  <c:v>0.266481756890547</c:v>
                </c:pt>
                <c:pt idx="3087">
                  <c:v>0.250974033287404</c:v>
                </c:pt>
                <c:pt idx="3088">
                  <c:v>0.2718870328904</c:v>
                </c:pt>
                <c:pt idx="3089">
                  <c:v>0.272112073301497</c:v>
                </c:pt>
                <c:pt idx="3090">
                  <c:v>0.272118431546158</c:v>
                </c:pt>
                <c:pt idx="3091">
                  <c:v>0.266996475467053</c:v>
                </c:pt>
                <c:pt idx="3092">
                  <c:v>0.259370817476257</c:v>
                </c:pt>
                <c:pt idx="3093">
                  <c:v>0.255881235410531</c:v>
                </c:pt>
                <c:pt idx="3094">
                  <c:v>0.255791499222881</c:v>
                </c:pt>
                <c:pt idx="3095">
                  <c:v>0.255179537600831</c:v>
                </c:pt>
                <c:pt idx="3096">
                  <c:v>0.263275531262707</c:v>
                </c:pt>
                <c:pt idx="3097">
                  <c:v>0.261983766288514</c:v>
                </c:pt>
                <c:pt idx="3098">
                  <c:v>0.259309786935255</c:v>
                </c:pt>
                <c:pt idx="3099">
                  <c:v>0.258083759196192</c:v>
                </c:pt>
                <c:pt idx="3100">
                  <c:v>0.250077839356207</c:v>
                </c:pt>
                <c:pt idx="3101">
                  <c:v>0.244085384497757</c:v>
                </c:pt>
                <c:pt idx="3102">
                  <c:v>0.245047587745526</c:v>
                </c:pt>
                <c:pt idx="3103">
                  <c:v>0.255879303643755</c:v>
                </c:pt>
                <c:pt idx="3104">
                  <c:v>0.254842170605506</c:v>
                </c:pt>
                <c:pt idx="3105">
                  <c:v>0.253600844324508</c:v>
                </c:pt>
                <c:pt idx="3106">
                  <c:v>0.252317194084687</c:v>
                </c:pt>
                <c:pt idx="3107">
                  <c:v>0.215626129245556</c:v>
                </c:pt>
                <c:pt idx="3108">
                  <c:v>0.174657706777201</c:v>
                </c:pt>
                <c:pt idx="3109">
                  <c:v>0.175732847669586</c:v>
                </c:pt>
                <c:pt idx="3110">
                  <c:v>0.17734221129803</c:v>
                </c:pt>
                <c:pt idx="3111">
                  <c:v>0.184961677649894</c:v>
                </c:pt>
                <c:pt idx="3112">
                  <c:v>0.317306616499222</c:v>
                </c:pt>
                <c:pt idx="3113">
                  <c:v>0.322193905833923</c:v>
                </c:pt>
                <c:pt idx="3114">
                  <c:v>0.322875058357022</c:v>
                </c:pt>
                <c:pt idx="3115">
                  <c:v>0.323106507643576</c:v>
                </c:pt>
                <c:pt idx="3116">
                  <c:v>0.323176303292141</c:v>
                </c:pt>
                <c:pt idx="3117">
                  <c:v>0.31945051006274</c:v>
                </c:pt>
                <c:pt idx="3118">
                  <c:v>0.312392723064362</c:v>
                </c:pt>
                <c:pt idx="3119">
                  <c:v>0.312684644299674</c:v>
                </c:pt>
                <c:pt idx="3120">
                  <c:v>0.311315544741996</c:v>
                </c:pt>
                <c:pt idx="3121">
                  <c:v>0.311383144983846</c:v>
                </c:pt>
                <c:pt idx="3122">
                  <c:v>0.311359103089332</c:v>
                </c:pt>
                <c:pt idx="3123">
                  <c:v>0.311142266229781</c:v>
                </c:pt>
                <c:pt idx="3124">
                  <c:v>0.382619376054894</c:v>
                </c:pt>
                <c:pt idx="3125">
                  <c:v>0.385428362850261</c:v>
                </c:pt>
                <c:pt idx="3126">
                  <c:v>0.415366011816376</c:v>
                </c:pt>
                <c:pt idx="3127">
                  <c:v>0.411878465866469</c:v>
                </c:pt>
                <c:pt idx="3128">
                  <c:v>0.412265079809648</c:v>
                </c:pt>
                <c:pt idx="3129">
                  <c:v>0.413182598439505</c:v>
                </c:pt>
                <c:pt idx="3130">
                  <c:v>0.413133251847951</c:v>
                </c:pt>
                <c:pt idx="3131">
                  <c:v>0.413013962223984</c:v>
                </c:pt>
                <c:pt idx="3132">
                  <c:v>0.411953219691286</c:v>
                </c:pt>
                <c:pt idx="3133">
                  <c:v>0.411779947189141</c:v>
                </c:pt>
                <c:pt idx="3134">
                  <c:v>0.413044599812924</c:v>
                </c:pt>
                <c:pt idx="3135">
                  <c:v>0.413286252565703</c:v>
                </c:pt>
                <c:pt idx="3136">
                  <c:v>0.413133104560348</c:v>
                </c:pt>
                <c:pt idx="3137">
                  <c:v>0.41979402458496</c:v>
                </c:pt>
                <c:pt idx="3138">
                  <c:v>0.434642310017967</c:v>
                </c:pt>
                <c:pt idx="3139">
                  <c:v>0.438270146830531</c:v>
                </c:pt>
                <c:pt idx="3140">
                  <c:v>0.441400967279121</c:v>
                </c:pt>
                <c:pt idx="3141">
                  <c:v>0.439349917972327</c:v>
                </c:pt>
                <c:pt idx="3142">
                  <c:v>0.351014865140063</c:v>
                </c:pt>
                <c:pt idx="3143">
                  <c:v>0.342715623828632</c:v>
                </c:pt>
                <c:pt idx="3144">
                  <c:v>0.343890413659872</c:v>
                </c:pt>
                <c:pt idx="3145">
                  <c:v>0.347788346156711</c:v>
                </c:pt>
                <c:pt idx="3146">
                  <c:v>0.347884120407763</c:v>
                </c:pt>
                <c:pt idx="3147">
                  <c:v>0.355824892122215</c:v>
                </c:pt>
                <c:pt idx="3148">
                  <c:v>0.352098664811438</c:v>
                </c:pt>
                <c:pt idx="3149">
                  <c:v>0.35020195458752</c:v>
                </c:pt>
                <c:pt idx="3150">
                  <c:v>0.353143949553362</c:v>
                </c:pt>
                <c:pt idx="3151">
                  <c:v>0.353147714438904</c:v>
                </c:pt>
                <c:pt idx="3152">
                  <c:v>0.353263088603272</c:v>
                </c:pt>
                <c:pt idx="3153">
                  <c:v>0.353808803235065</c:v>
                </c:pt>
                <c:pt idx="3154">
                  <c:v>0.296773838086603</c:v>
                </c:pt>
                <c:pt idx="3155">
                  <c:v>0.292699211816834</c:v>
                </c:pt>
                <c:pt idx="3156">
                  <c:v>0.227104975724817</c:v>
                </c:pt>
                <c:pt idx="3157">
                  <c:v>0.258914137856054</c:v>
                </c:pt>
                <c:pt idx="3158">
                  <c:v>0.268087646510792</c:v>
                </c:pt>
                <c:pt idx="3159">
                  <c:v>0.268679857753541</c:v>
                </c:pt>
                <c:pt idx="3160">
                  <c:v>0.269889060492678</c:v>
                </c:pt>
                <c:pt idx="3161">
                  <c:v>0.275055088752627</c:v>
                </c:pt>
                <c:pt idx="3162">
                  <c:v>0.281109864168367</c:v>
                </c:pt>
                <c:pt idx="3163">
                  <c:v>0.274181311635382</c:v>
                </c:pt>
                <c:pt idx="3164">
                  <c:v>0.268436766834255</c:v>
                </c:pt>
                <c:pt idx="3165">
                  <c:v>0.273451778664656</c:v>
                </c:pt>
                <c:pt idx="3166">
                  <c:v>0.274913682123971</c:v>
                </c:pt>
                <c:pt idx="3167">
                  <c:v>0.26728559940812</c:v>
                </c:pt>
                <c:pt idx="3168">
                  <c:v>0.252387582729847</c:v>
                </c:pt>
                <c:pt idx="3169">
                  <c:v>0.248406682676962</c:v>
                </c:pt>
                <c:pt idx="3170">
                  <c:v>0.245136967768274</c:v>
                </c:pt>
                <c:pt idx="3171">
                  <c:v>0.247752251303502</c:v>
                </c:pt>
                <c:pt idx="3172">
                  <c:v>0.3004138095466</c:v>
                </c:pt>
                <c:pt idx="3173">
                  <c:v>0.301083467472198</c:v>
                </c:pt>
                <c:pt idx="3174">
                  <c:v>0.300788421319797</c:v>
                </c:pt>
                <c:pt idx="3175">
                  <c:v>0.300163529212213</c:v>
                </c:pt>
                <c:pt idx="3176">
                  <c:v>0.318114640042261</c:v>
                </c:pt>
                <c:pt idx="3177">
                  <c:v>0.306888468901321</c:v>
                </c:pt>
                <c:pt idx="3178">
                  <c:v>0.30673290144945</c:v>
                </c:pt>
                <c:pt idx="3179">
                  <c:v>0.45073267282991</c:v>
                </c:pt>
                <c:pt idx="3180">
                  <c:v>0.448144424447782</c:v>
                </c:pt>
                <c:pt idx="3181">
                  <c:v>0.44846601459208</c:v>
                </c:pt>
                <c:pt idx="3182">
                  <c:v>0.45135763454681</c:v>
                </c:pt>
                <c:pt idx="3183">
                  <c:v>0.454589756183981</c:v>
                </c:pt>
                <c:pt idx="3184">
                  <c:v>0.45043608292886</c:v>
                </c:pt>
                <c:pt idx="3185">
                  <c:v>0.448578713493414</c:v>
                </c:pt>
                <c:pt idx="3186">
                  <c:v>0.44956720683089</c:v>
                </c:pt>
                <c:pt idx="3187">
                  <c:v>0.436849471292391</c:v>
                </c:pt>
                <c:pt idx="3188">
                  <c:v>0.431070747184096</c:v>
                </c:pt>
                <c:pt idx="3189">
                  <c:v>0.437042091507871</c:v>
                </c:pt>
                <c:pt idx="3190">
                  <c:v>0.439249406098959</c:v>
                </c:pt>
                <c:pt idx="3191">
                  <c:v>0.432981561942533</c:v>
                </c:pt>
                <c:pt idx="3192">
                  <c:v>0.432627910316711</c:v>
                </c:pt>
                <c:pt idx="3193">
                  <c:v>0.432538667861652</c:v>
                </c:pt>
                <c:pt idx="3194">
                  <c:v>0.43143677114454</c:v>
                </c:pt>
                <c:pt idx="3195">
                  <c:v>0.425272019077787</c:v>
                </c:pt>
                <c:pt idx="3196">
                  <c:v>0.427899524324363</c:v>
                </c:pt>
                <c:pt idx="3197">
                  <c:v>0.414940584140169</c:v>
                </c:pt>
                <c:pt idx="3198">
                  <c:v>0.414959936780081</c:v>
                </c:pt>
                <c:pt idx="3199">
                  <c:v>0.4166840393456</c:v>
                </c:pt>
                <c:pt idx="3200">
                  <c:v>0.426245263406307</c:v>
                </c:pt>
                <c:pt idx="3201">
                  <c:v>0.444006434410003</c:v>
                </c:pt>
                <c:pt idx="3202">
                  <c:v>0.4620721619142</c:v>
                </c:pt>
                <c:pt idx="3203">
                  <c:v>0.499937562517705</c:v>
                </c:pt>
                <c:pt idx="3204">
                  <c:v>0.498472645888591</c:v>
                </c:pt>
                <c:pt idx="3205">
                  <c:v>0.498987218643727</c:v>
                </c:pt>
                <c:pt idx="3206">
                  <c:v>0.493605849679613</c:v>
                </c:pt>
                <c:pt idx="3207">
                  <c:v>0.493968558082315</c:v>
                </c:pt>
                <c:pt idx="3208">
                  <c:v>0.529895599525115</c:v>
                </c:pt>
                <c:pt idx="3209">
                  <c:v>0.437733054710213</c:v>
                </c:pt>
                <c:pt idx="3210">
                  <c:v>0.432399842566565</c:v>
                </c:pt>
                <c:pt idx="3211">
                  <c:v>0.430854190191395</c:v>
                </c:pt>
                <c:pt idx="3212">
                  <c:v>0.428267675913051</c:v>
                </c:pt>
                <c:pt idx="3213">
                  <c:v>0.428892991679958</c:v>
                </c:pt>
                <c:pt idx="3214">
                  <c:v>0.430089903559981</c:v>
                </c:pt>
                <c:pt idx="3215">
                  <c:v>0.430688860641753</c:v>
                </c:pt>
                <c:pt idx="3216">
                  <c:v>0.430385460292845</c:v>
                </c:pt>
                <c:pt idx="3217">
                  <c:v>0.430869026975139</c:v>
                </c:pt>
                <c:pt idx="3218">
                  <c:v>0.43244540804985</c:v>
                </c:pt>
                <c:pt idx="3219">
                  <c:v>0.430999645173115</c:v>
                </c:pt>
                <c:pt idx="3220">
                  <c:v>0.430884563107601</c:v>
                </c:pt>
                <c:pt idx="3221">
                  <c:v>0.452581310381861</c:v>
                </c:pt>
                <c:pt idx="3222">
                  <c:v>0.478309490944529</c:v>
                </c:pt>
                <c:pt idx="3223">
                  <c:v>0.480362954463012</c:v>
                </c:pt>
                <c:pt idx="3224">
                  <c:v>0.484420607475685</c:v>
                </c:pt>
                <c:pt idx="3225">
                  <c:v>0.48688410162059</c:v>
                </c:pt>
                <c:pt idx="3226">
                  <c:v>0.48374913834495</c:v>
                </c:pt>
                <c:pt idx="3227">
                  <c:v>0.482282871072784</c:v>
                </c:pt>
                <c:pt idx="3228">
                  <c:v>0.533513447917783</c:v>
                </c:pt>
                <c:pt idx="3229">
                  <c:v>0.53325314647456</c:v>
                </c:pt>
                <c:pt idx="3230">
                  <c:v>0.538662909973886</c:v>
                </c:pt>
                <c:pt idx="3231">
                  <c:v>0.527175821353553</c:v>
                </c:pt>
                <c:pt idx="3232">
                  <c:v>0.496702762470658</c:v>
                </c:pt>
                <c:pt idx="3233">
                  <c:v>0.46275512276434</c:v>
                </c:pt>
                <c:pt idx="3234">
                  <c:v>0.470071315305222</c:v>
                </c:pt>
                <c:pt idx="3235">
                  <c:v>0.478101567042171</c:v>
                </c:pt>
                <c:pt idx="3236">
                  <c:v>0.476776498456302</c:v>
                </c:pt>
                <c:pt idx="3237">
                  <c:v>0.486872509274064</c:v>
                </c:pt>
                <c:pt idx="3238">
                  <c:v>0.44827369506328</c:v>
                </c:pt>
                <c:pt idx="3239">
                  <c:v>0.424610435400184</c:v>
                </c:pt>
                <c:pt idx="3240">
                  <c:v>0.425541777618689</c:v>
                </c:pt>
                <c:pt idx="3241">
                  <c:v>0.431382136975111</c:v>
                </c:pt>
                <c:pt idx="3242">
                  <c:v>0.43248671496453</c:v>
                </c:pt>
                <c:pt idx="3243">
                  <c:v>0.442589669604771</c:v>
                </c:pt>
                <c:pt idx="3244">
                  <c:v>0.444974196592549</c:v>
                </c:pt>
                <c:pt idx="3245">
                  <c:v>0.451172435448703</c:v>
                </c:pt>
                <c:pt idx="3246">
                  <c:v>0.454997896636419</c:v>
                </c:pt>
                <c:pt idx="3247">
                  <c:v>0.454369109048832</c:v>
                </c:pt>
                <c:pt idx="3248">
                  <c:v>0.447567156533393</c:v>
                </c:pt>
                <c:pt idx="3249">
                  <c:v>0.467450642274979</c:v>
                </c:pt>
                <c:pt idx="3250">
                  <c:v>0.468699537638907</c:v>
                </c:pt>
                <c:pt idx="3251">
                  <c:v>0.48122855890434</c:v>
                </c:pt>
                <c:pt idx="3252">
                  <c:v>0.459963414900837</c:v>
                </c:pt>
                <c:pt idx="3253">
                  <c:v>0.459392233370245</c:v>
                </c:pt>
                <c:pt idx="3254">
                  <c:v>0.457912211466985</c:v>
                </c:pt>
                <c:pt idx="3255">
                  <c:v>0.451962031018</c:v>
                </c:pt>
                <c:pt idx="3256">
                  <c:v>0.508176356408495</c:v>
                </c:pt>
                <c:pt idx="3257">
                  <c:v>0.513768245384131</c:v>
                </c:pt>
                <c:pt idx="3258">
                  <c:v>0.462754854133217</c:v>
                </c:pt>
                <c:pt idx="3259">
                  <c:v>0.463950655653949</c:v>
                </c:pt>
                <c:pt idx="3260">
                  <c:v>0.532924199233679</c:v>
                </c:pt>
                <c:pt idx="3261">
                  <c:v>0.532856433401913</c:v>
                </c:pt>
                <c:pt idx="3262">
                  <c:v>0.533259661930337</c:v>
                </c:pt>
                <c:pt idx="3263">
                  <c:v>0.536775401836459</c:v>
                </c:pt>
                <c:pt idx="3264">
                  <c:v>0.534064698890151</c:v>
                </c:pt>
                <c:pt idx="3265">
                  <c:v>0.525516226774502</c:v>
                </c:pt>
                <c:pt idx="3266">
                  <c:v>0.538816886812539</c:v>
                </c:pt>
                <c:pt idx="3267">
                  <c:v>0.526807578844243</c:v>
                </c:pt>
                <c:pt idx="3268">
                  <c:v>0.526306481745899</c:v>
                </c:pt>
                <c:pt idx="3269">
                  <c:v>0.526014697611985</c:v>
                </c:pt>
                <c:pt idx="3270">
                  <c:v>0.551766939162419</c:v>
                </c:pt>
                <c:pt idx="3271">
                  <c:v>0.551085532723957</c:v>
                </c:pt>
                <c:pt idx="3272">
                  <c:v>0.548592900051391</c:v>
                </c:pt>
                <c:pt idx="3273">
                  <c:v>0.542648505300397</c:v>
                </c:pt>
                <c:pt idx="3274">
                  <c:v>0.561599167188338</c:v>
                </c:pt>
                <c:pt idx="3275">
                  <c:v>0.558711196611662</c:v>
                </c:pt>
                <c:pt idx="3276">
                  <c:v>0.556953256579421</c:v>
                </c:pt>
                <c:pt idx="3277">
                  <c:v>0.566737046477462</c:v>
                </c:pt>
                <c:pt idx="3278">
                  <c:v>0.567264525164554</c:v>
                </c:pt>
                <c:pt idx="3279">
                  <c:v>0.545261209176843</c:v>
                </c:pt>
                <c:pt idx="3280">
                  <c:v>0.542852993362294</c:v>
                </c:pt>
                <c:pt idx="3281">
                  <c:v>0.513949357917427</c:v>
                </c:pt>
                <c:pt idx="3282">
                  <c:v>0.501195799005728</c:v>
                </c:pt>
                <c:pt idx="3283">
                  <c:v>0.502156415645596</c:v>
                </c:pt>
                <c:pt idx="3284">
                  <c:v>0.502184906782383</c:v>
                </c:pt>
                <c:pt idx="3285">
                  <c:v>0.503708014455708</c:v>
                </c:pt>
                <c:pt idx="3286">
                  <c:v>0.453800465251537</c:v>
                </c:pt>
                <c:pt idx="3287">
                  <c:v>0.456271514190502</c:v>
                </c:pt>
                <c:pt idx="3288">
                  <c:v>0.475498590955569</c:v>
                </c:pt>
                <c:pt idx="3289">
                  <c:v>0.477130211020617</c:v>
                </c:pt>
                <c:pt idx="3290">
                  <c:v>0.379978938866522</c:v>
                </c:pt>
                <c:pt idx="3291">
                  <c:v>0.393398559997338</c:v>
                </c:pt>
                <c:pt idx="3292">
                  <c:v>0.378812374174649</c:v>
                </c:pt>
                <c:pt idx="3293">
                  <c:v>0.397310413543076</c:v>
                </c:pt>
                <c:pt idx="3294">
                  <c:v>0.396380945180598</c:v>
                </c:pt>
                <c:pt idx="3295">
                  <c:v>0.391893250533342</c:v>
                </c:pt>
                <c:pt idx="3296">
                  <c:v>0.36713416384479</c:v>
                </c:pt>
                <c:pt idx="3297">
                  <c:v>0.367112821004903</c:v>
                </c:pt>
                <c:pt idx="3298">
                  <c:v>0.37018667440424</c:v>
                </c:pt>
                <c:pt idx="3299">
                  <c:v>0.368652242049031</c:v>
                </c:pt>
                <c:pt idx="3300">
                  <c:v>0.311513881954044</c:v>
                </c:pt>
                <c:pt idx="3301">
                  <c:v>0.319315761860186</c:v>
                </c:pt>
                <c:pt idx="3302">
                  <c:v>0.325513451899311</c:v>
                </c:pt>
                <c:pt idx="3303">
                  <c:v>0.324304297572541</c:v>
                </c:pt>
                <c:pt idx="3304">
                  <c:v>0.296306447433377</c:v>
                </c:pt>
                <c:pt idx="3305">
                  <c:v>0.337226384971733</c:v>
                </c:pt>
                <c:pt idx="3306">
                  <c:v>0.356969299539529</c:v>
                </c:pt>
                <c:pt idx="3307">
                  <c:v>0.449857766663304</c:v>
                </c:pt>
                <c:pt idx="3308">
                  <c:v>0.459261955656391</c:v>
                </c:pt>
                <c:pt idx="3309">
                  <c:v>0.453793896375755</c:v>
                </c:pt>
                <c:pt idx="3310">
                  <c:v>0.459054543338042</c:v>
                </c:pt>
                <c:pt idx="3311">
                  <c:v>0.458212339502703</c:v>
                </c:pt>
                <c:pt idx="3312">
                  <c:v>0.505599000084666</c:v>
                </c:pt>
                <c:pt idx="3313">
                  <c:v>0.574836853444441</c:v>
                </c:pt>
                <c:pt idx="3314">
                  <c:v>0.577531944677777</c:v>
                </c:pt>
                <c:pt idx="3315">
                  <c:v>0.577377290280342</c:v>
                </c:pt>
                <c:pt idx="3316">
                  <c:v>0.575271196453902</c:v>
                </c:pt>
                <c:pt idx="3317">
                  <c:v>0.576101897857887</c:v>
                </c:pt>
                <c:pt idx="3318">
                  <c:v>0.569134009674227</c:v>
                </c:pt>
                <c:pt idx="3319">
                  <c:v>0.580467335414174</c:v>
                </c:pt>
                <c:pt idx="3320">
                  <c:v>0.586381385836046</c:v>
                </c:pt>
                <c:pt idx="3321">
                  <c:v>0.582774153322564</c:v>
                </c:pt>
                <c:pt idx="3322">
                  <c:v>0.59258301012051</c:v>
                </c:pt>
                <c:pt idx="3323">
                  <c:v>0.598175566440948</c:v>
                </c:pt>
                <c:pt idx="3324">
                  <c:v>0.644016806972083</c:v>
                </c:pt>
                <c:pt idx="3325">
                  <c:v>0.655114665860791</c:v>
                </c:pt>
                <c:pt idx="3326">
                  <c:v>0.655860276812957</c:v>
                </c:pt>
                <c:pt idx="3327">
                  <c:v>0.735231947414272</c:v>
                </c:pt>
                <c:pt idx="3328">
                  <c:v>0.790638756676167</c:v>
                </c:pt>
                <c:pt idx="3329">
                  <c:v>0.805620420873182</c:v>
                </c:pt>
                <c:pt idx="3330">
                  <c:v>0.813161989612632</c:v>
                </c:pt>
                <c:pt idx="3331">
                  <c:v>0.810620679841491</c:v>
                </c:pt>
                <c:pt idx="3332">
                  <c:v>0.821170681439591</c:v>
                </c:pt>
                <c:pt idx="3333">
                  <c:v>0.827050072094913</c:v>
                </c:pt>
                <c:pt idx="3334">
                  <c:v>0.827357606111408</c:v>
                </c:pt>
                <c:pt idx="3335">
                  <c:v>0.814782434465383</c:v>
                </c:pt>
                <c:pt idx="3336">
                  <c:v>0.805158525243635</c:v>
                </c:pt>
                <c:pt idx="3337">
                  <c:v>0.748819042069453</c:v>
                </c:pt>
                <c:pt idx="3338">
                  <c:v>0.744483750971531</c:v>
                </c:pt>
                <c:pt idx="3339">
                  <c:v>0.745124556707097</c:v>
                </c:pt>
                <c:pt idx="3340">
                  <c:v>0.749568987761658</c:v>
                </c:pt>
                <c:pt idx="3341">
                  <c:v>0.782127559708107</c:v>
                </c:pt>
                <c:pt idx="3342">
                  <c:v>0.733221734938129</c:v>
                </c:pt>
                <c:pt idx="3343">
                  <c:v>0.705143718345941</c:v>
                </c:pt>
                <c:pt idx="3344">
                  <c:v>0.696607964469222</c:v>
                </c:pt>
                <c:pt idx="3345">
                  <c:v>0.697371301398661</c:v>
                </c:pt>
                <c:pt idx="3346">
                  <c:v>0.694001537712276</c:v>
                </c:pt>
                <c:pt idx="3347">
                  <c:v>0.702703355387311</c:v>
                </c:pt>
                <c:pt idx="3348">
                  <c:v>0.714107657481605</c:v>
                </c:pt>
                <c:pt idx="3349">
                  <c:v>0.699462951064598</c:v>
                </c:pt>
                <c:pt idx="3350">
                  <c:v>0.699120424992938</c:v>
                </c:pt>
                <c:pt idx="3351">
                  <c:v>0.708480412265811</c:v>
                </c:pt>
                <c:pt idx="3352">
                  <c:v>0.721892775157544</c:v>
                </c:pt>
                <c:pt idx="3353">
                  <c:v>0.723041626275065</c:v>
                </c:pt>
                <c:pt idx="3354">
                  <c:v>0.704187464176283</c:v>
                </c:pt>
                <c:pt idx="3355">
                  <c:v>0.687359472948309</c:v>
                </c:pt>
                <c:pt idx="3356">
                  <c:v>0.69998661205603</c:v>
                </c:pt>
                <c:pt idx="3357">
                  <c:v>0.644455745389486</c:v>
                </c:pt>
                <c:pt idx="3358">
                  <c:v>0.557592650978128</c:v>
                </c:pt>
                <c:pt idx="3359">
                  <c:v>0.547893054876197</c:v>
                </c:pt>
                <c:pt idx="3360">
                  <c:v>0.538870823585937</c:v>
                </c:pt>
                <c:pt idx="3361">
                  <c:v>0.547432391317266</c:v>
                </c:pt>
                <c:pt idx="3362">
                  <c:v>0.519243135582007</c:v>
                </c:pt>
                <c:pt idx="3363">
                  <c:v>0.513376801347155</c:v>
                </c:pt>
                <c:pt idx="3364">
                  <c:v>0.513923939872115</c:v>
                </c:pt>
                <c:pt idx="3365">
                  <c:v>0.514517560873227</c:v>
                </c:pt>
                <c:pt idx="3366">
                  <c:v>0.50792611751231</c:v>
                </c:pt>
                <c:pt idx="3367">
                  <c:v>0.507226892639439</c:v>
                </c:pt>
                <c:pt idx="3368">
                  <c:v>0.510397360178721</c:v>
                </c:pt>
                <c:pt idx="3369">
                  <c:v>0.52758503606087</c:v>
                </c:pt>
                <c:pt idx="3370">
                  <c:v>0.539027378519877</c:v>
                </c:pt>
                <c:pt idx="3371">
                  <c:v>0.502662829785608</c:v>
                </c:pt>
                <c:pt idx="3372">
                  <c:v>0.551298834629848</c:v>
                </c:pt>
                <c:pt idx="3373">
                  <c:v>0.539063484912163</c:v>
                </c:pt>
                <c:pt idx="3374">
                  <c:v>0.538781011846221</c:v>
                </c:pt>
                <c:pt idx="3375">
                  <c:v>0.536638713335456</c:v>
                </c:pt>
                <c:pt idx="3376">
                  <c:v>0.536754883267899</c:v>
                </c:pt>
                <c:pt idx="3377">
                  <c:v>0.523533088716653</c:v>
                </c:pt>
                <c:pt idx="3378">
                  <c:v>0.526534479675721</c:v>
                </c:pt>
                <c:pt idx="3379">
                  <c:v>0.532107438486433</c:v>
                </c:pt>
                <c:pt idx="3380">
                  <c:v>0.532253460650553</c:v>
                </c:pt>
                <c:pt idx="3381">
                  <c:v>0.517370924597147</c:v>
                </c:pt>
                <c:pt idx="3382">
                  <c:v>0.499601003107885</c:v>
                </c:pt>
                <c:pt idx="3383">
                  <c:v>0.496163840603655</c:v>
                </c:pt>
                <c:pt idx="3384">
                  <c:v>0.548079116031152</c:v>
                </c:pt>
                <c:pt idx="3385">
                  <c:v>0.550720473273394</c:v>
                </c:pt>
                <c:pt idx="3386">
                  <c:v>0.535581420872335</c:v>
                </c:pt>
                <c:pt idx="3387">
                  <c:v>0.523000630440543</c:v>
                </c:pt>
                <c:pt idx="3388">
                  <c:v>0.524555991837168</c:v>
                </c:pt>
                <c:pt idx="3389">
                  <c:v>0.583253794767419</c:v>
                </c:pt>
                <c:pt idx="3390">
                  <c:v>0.587895684035935</c:v>
                </c:pt>
                <c:pt idx="3391">
                  <c:v>0.583323078299049</c:v>
                </c:pt>
                <c:pt idx="3392">
                  <c:v>0.586803289481993</c:v>
                </c:pt>
                <c:pt idx="3393">
                  <c:v>0.573283313117815</c:v>
                </c:pt>
                <c:pt idx="3394">
                  <c:v>0.573985827679119</c:v>
                </c:pt>
                <c:pt idx="3395">
                  <c:v>0.574034040463898</c:v>
                </c:pt>
                <c:pt idx="3396">
                  <c:v>0.574575373285616</c:v>
                </c:pt>
                <c:pt idx="3397">
                  <c:v>0.57684838151924</c:v>
                </c:pt>
                <c:pt idx="3398">
                  <c:v>0.577704597071825</c:v>
                </c:pt>
                <c:pt idx="3399">
                  <c:v>0.547133339553432</c:v>
                </c:pt>
                <c:pt idx="3400">
                  <c:v>0.526767905336275</c:v>
                </c:pt>
                <c:pt idx="3401">
                  <c:v>0.525873220422009</c:v>
                </c:pt>
                <c:pt idx="3402">
                  <c:v>0.483222944706067</c:v>
                </c:pt>
                <c:pt idx="3403">
                  <c:v>0.482385487210822</c:v>
                </c:pt>
                <c:pt idx="3404">
                  <c:v>0.489213925372871</c:v>
                </c:pt>
                <c:pt idx="3405">
                  <c:v>0.485295375205066</c:v>
                </c:pt>
                <c:pt idx="3406">
                  <c:v>0.482801506741605</c:v>
                </c:pt>
                <c:pt idx="3407">
                  <c:v>0.484080794898086</c:v>
                </c:pt>
                <c:pt idx="3408">
                  <c:v>0.474329183219598</c:v>
                </c:pt>
                <c:pt idx="3409">
                  <c:v>0.45176398612045</c:v>
                </c:pt>
                <c:pt idx="3410">
                  <c:v>0.452114176013996</c:v>
                </c:pt>
                <c:pt idx="3411">
                  <c:v>0.468541250614487</c:v>
                </c:pt>
                <c:pt idx="3412">
                  <c:v>0.464903892155719</c:v>
                </c:pt>
                <c:pt idx="3413">
                  <c:v>0.465311187980034</c:v>
                </c:pt>
                <c:pt idx="3414">
                  <c:v>0.389513412723696</c:v>
                </c:pt>
                <c:pt idx="3415">
                  <c:v>0.385659565809287</c:v>
                </c:pt>
                <c:pt idx="3416">
                  <c:v>0.376132148188618</c:v>
                </c:pt>
                <c:pt idx="3417">
                  <c:v>0.376146900556886</c:v>
                </c:pt>
                <c:pt idx="3418">
                  <c:v>0.381509062218571</c:v>
                </c:pt>
                <c:pt idx="3419">
                  <c:v>0.264815796163498</c:v>
                </c:pt>
                <c:pt idx="3420">
                  <c:v>0.259454347988532</c:v>
                </c:pt>
                <c:pt idx="3421">
                  <c:v>0.257400497469233</c:v>
                </c:pt>
                <c:pt idx="3422">
                  <c:v>0.251515962559813</c:v>
                </c:pt>
                <c:pt idx="3423">
                  <c:v>0.252884803461424</c:v>
                </c:pt>
                <c:pt idx="3424">
                  <c:v>0.293850489826262</c:v>
                </c:pt>
                <c:pt idx="3425">
                  <c:v>0.31125368580249</c:v>
                </c:pt>
                <c:pt idx="3426">
                  <c:v>0.308871077010688</c:v>
                </c:pt>
                <c:pt idx="3427">
                  <c:v>0.312682954143633</c:v>
                </c:pt>
                <c:pt idx="3428">
                  <c:v>0.317726220481674</c:v>
                </c:pt>
                <c:pt idx="3429">
                  <c:v>0.316513362901563</c:v>
                </c:pt>
                <c:pt idx="3430">
                  <c:v>0.334742179451722</c:v>
                </c:pt>
                <c:pt idx="3431">
                  <c:v>0.334720823310145</c:v>
                </c:pt>
                <c:pt idx="3432">
                  <c:v>0.336584148286095</c:v>
                </c:pt>
                <c:pt idx="3433">
                  <c:v>0.343015450725238</c:v>
                </c:pt>
                <c:pt idx="3434">
                  <c:v>0.362411113748592</c:v>
                </c:pt>
                <c:pt idx="3435">
                  <c:v>0.358395258735036</c:v>
                </c:pt>
                <c:pt idx="3436">
                  <c:v>0.379066671810537</c:v>
                </c:pt>
                <c:pt idx="3437">
                  <c:v>0.394049036904006</c:v>
                </c:pt>
                <c:pt idx="3438">
                  <c:v>0.399958776300147</c:v>
                </c:pt>
                <c:pt idx="3439">
                  <c:v>0.411221209130145</c:v>
                </c:pt>
                <c:pt idx="3440">
                  <c:v>0.411000754805356</c:v>
                </c:pt>
                <c:pt idx="3441">
                  <c:v>0.400523688740187</c:v>
                </c:pt>
                <c:pt idx="3442">
                  <c:v>0.397864642095942</c:v>
                </c:pt>
                <c:pt idx="3443">
                  <c:v>0.404975988377554</c:v>
                </c:pt>
                <c:pt idx="3444">
                  <c:v>0.417040276594391</c:v>
                </c:pt>
                <c:pt idx="3445">
                  <c:v>0.476449760134008</c:v>
                </c:pt>
                <c:pt idx="3446">
                  <c:v>0.475999703190657</c:v>
                </c:pt>
                <c:pt idx="3447">
                  <c:v>0.478142949883835</c:v>
                </c:pt>
                <c:pt idx="3448">
                  <c:v>0.472753394172463</c:v>
                </c:pt>
                <c:pt idx="3449">
                  <c:v>0.495742421938029</c:v>
                </c:pt>
                <c:pt idx="3450">
                  <c:v>0.496084643612602</c:v>
                </c:pt>
                <c:pt idx="3451">
                  <c:v>0.496380770012156</c:v>
                </c:pt>
                <c:pt idx="3452">
                  <c:v>0.498056505007136</c:v>
                </c:pt>
                <c:pt idx="3453">
                  <c:v>0.502807227652562</c:v>
                </c:pt>
                <c:pt idx="3454">
                  <c:v>0.471251017396439</c:v>
                </c:pt>
                <c:pt idx="3455">
                  <c:v>0.463947377467825</c:v>
                </c:pt>
                <c:pt idx="3456">
                  <c:v>0.469861294880482</c:v>
                </c:pt>
                <c:pt idx="3457">
                  <c:v>0.468869248795471</c:v>
                </c:pt>
                <c:pt idx="3458">
                  <c:v>0.460557408708436</c:v>
                </c:pt>
                <c:pt idx="3459">
                  <c:v>0.468596296164023</c:v>
                </c:pt>
                <c:pt idx="3460">
                  <c:v>0.461018912626213</c:v>
                </c:pt>
                <c:pt idx="3461">
                  <c:v>0.469926797129102</c:v>
                </c:pt>
                <c:pt idx="3462">
                  <c:v>0.468507086041992</c:v>
                </c:pt>
                <c:pt idx="3463">
                  <c:v>0.505683109153738</c:v>
                </c:pt>
                <c:pt idx="3464">
                  <c:v>0.472802913830888</c:v>
                </c:pt>
                <c:pt idx="3465">
                  <c:v>0.494910140789624</c:v>
                </c:pt>
                <c:pt idx="3466">
                  <c:v>0.549812285271642</c:v>
                </c:pt>
                <c:pt idx="3467">
                  <c:v>0.549443445251241</c:v>
                </c:pt>
                <c:pt idx="3468">
                  <c:v>0.550665075874747</c:v>
                </c:pt>
                <c:pt idx="3469">
                  <c:v>0.673742930992404</c:v>
                </c:pt>
                <c:pt idx="3470">
                  <c:v>0.675383515773323</c:v>
                </c:pt>
                <c:pt idx="3471">
                  <c:v>0.674982431808008</c:v>
                </c:pt>
                <c:pt idx="3472">
                  <c:v>0.687853484919202</c:v>
                </c:pt>
                <c:pt idx="3473">
                  <c:v>0.684071927646587</c:v>
                </c:pt>
                <c:pt idx="3474">
                  <c:v>0.682004909483251</c:v>
                </c:pt>
                <c:pt idx="3475">
                  <c:v>0.649902791547358</c:v>
                </c:pt>
                <c:pt idx="3476">
                  <c:v>0.652535854685857</c:v>
                </c:pt>
                <c:pt idx="3477">
                  <c:v>0.658603278536773</c:v>
                </c:pt>
                <c:pt idx="3478">
                  <c:v>0.66015384058759</c:v>
                </c:pt>
                <c:pt idx="3479">
                  <c:v>0.641740972056167</c:v>
                </c:pt>
                <c:pt idx="3480">
                  <c:v>0.645135608189839</c:v>
                </c:pt>
                <c:pt idx="3481">
                  <c:v>0.641450306536506</c:v>
                </c:pt>
                <c:pt idx="3482">
                  <c:v>0.656292376582767</c:v>
                </c:pt>
                <c:pt idx="3483">
                  <c:v>0.652751540282334</c:v>
                </c:pt>
                <c:pt idx="3484">
                  <c:v>0.688617191300313</c:v>
                </c:pt>
                <c:pt idx="3485">
                  <c:v>0.688227564153178</c:v>
                </c:pt>
                <c:pt idx="3486">
                  <c:v>0.678330944364049</c:v>
                </c:pt>
                <c:pt idx="3487">
                  <c:v>0.682255577002467</c:v>
                </c:pt>
                <c:pt idx="3488">
                  <c:v>0.706436976832942</c:v>
                </c:pt>
                <c:pt idx="3489">
                  <c:v>0.70388333885132</c:v>
                </c:pt>
                <c:pt idx="3490">
                  <c:v>0.704458374543775</c:v>
                </c:pt>
                <c:pt idx="3491">
                  <c:v>0.700493777205839</c:v>
                </c:pt>
                <c:pt idx="3492">
                  <c:v>0.698604244715945</c:v>
                </c:pt>
                <c:pt idx="3493">
                  <c:v>0.673086530162348</c:v>
                </c:pt>
                <c:pt idx="3494">
                  <c:v>0.681452422520201</c:v>
                </c:pt>
                <c:pt idx="3495">
                  <c:v>0.673376811658161</c:v>
                </c:pt>
                <c:pt idx="3496">
                  <c:v>0.619119290627143</c:v>
                </c:pt>
                <c:pt idx="3497">
                  <c:v>0.617024126991227</c:v>
                </c:pt>
                <c:pt idx="3498">
                  <c:v>0.630077592826732</c:v>
                </c:pt>
                <c:pt idx="3499">
                  <c:v>0.481625549628478</c:v>
                </c:pt>
                <c:pt idx="3500">
                  <c:v>0.518272185687821</c:v>
                </c:pt>
                <c:pt idx="3501">
                  <c:v>0.519913678737964</c:v>
                </c:pt>
                <c:pt idx="3502">
                  <c:v>0.504521957902692</c:v>
                </c:pt>
                <c:pt idx="3503">
                  <c:v>0.505576180740495</c:v>
                </c:pt>
                <c:pt idx="3504">
                  <c:v>0.520514585467906</c:v>
                </c:pt>
                <c:pt idx="3505">
                  <c:v>0.509970485541823</c:v>
                </c:pt>
                <c:pt idx="3506">
                  <c:v>0.506620699623948</c:v>
                </c:pt>
                <c:pt idx="3507">
                  <c:v>0.502924400452347</c:v>
                </c:pt>
                <c:pt idx="3508">
                  <c:v>0.5171945556223</c:v>
                </c:pt>
                <c:pt idx="3509">
                  <c:v>0.519252926263912</c:v>
                </c:pt>
                <c:pt idx="3510">
                  <c:v>0.51995421615301</c:v>
                </c:pt>
                <c:pt idx="3511">
                  <c:v>0.519027192846697</c:v>
                </c:pt>
                <c:pt idx="3512">
                  <c:v>0.505042493204814</c:v>
                </c:pt>
                <c:pt idx="3513">
                  <c:v>0.502333981193365</c:v>
                </c:pt>
                <c:pt idx="3514">
                  <c:v>0.455875493365564</c:v>
                </c:pt>
                <c:pt idx="3515">
                  <c:v>0.458891087697452</c:v>
                </c:pt>
                <c:pt idx="3516">
                  <c:v>0.463075551372002</c:v>
                </c:pt>
                <c:pt idx="3517">
                  <c:v>0.46934962479716</c:v>
                </c:pt>
                <c:pt idx="3518">
                  <c:v>0.421521105137891</c:v>
                </c:pt>
                <c:pt idx="3519">
                  <c:v>0.42015866685862</c:v>
                </c:pt>
                <c:pt idx="3520">
                  <c:v>0.420900003500758</c:v>
                </c:pt>
                <c:pt idx="3521">
                  <c:v>0.441751689330578</c:v>
                </c:pt>
                <c:pt idx="3522">
                  <c:v>0.466101598059621</c:v>
                </c:pt>
                <c:pt idx="3523">
                  <c:v>0.454744004279629</c:v>
                </c:pt>
                <c:pt idx="3524">
                  <c:v>0.442612187852405</c:v>
                </c:pt>
                <c:pt idx="3525">
                  <c:v>0.435280484785297</c:v>
                </c:pt>
                <c:pt idx="3526">
                  <c:v>0.434788448570521</c:v>
                </c:pt>
                <c:pt idx="3527">
                  <c:v>0.417661449118561</c:v>
                </c:pt>
                <c:pt idx="3528">
                  <c:v>0.389693966127882</c:v>
                </c:pt>
                <c:pt idx="3529">
                  <c:v>0.390258867259297</c:v>
                </c:pt>
                <c:pt idx="3530">
                  <c:v>0.364641516122958</c:v>
                </c:pt>
                <c:pt idx="3531">
                  <c:v>0.364144390758137</c:v>
                </c:pt>
                <c:pt idx="3532">
                  <c:v>0.383060905541034</c:v>
                </c:pt>
                <c:pt idx="3533">
                  <c:v>0.382159289393294</c:v>
                </c:pt>
                <c:pt idx="3534">
                  <c:v>0.357840464029575</c:v>
                </c:pt>
                <c:pt idx="3535">
                  <c:v>0.393972264378131</c:v>
                </c:pt>
                <c:pt idx="3536">
                  <c:v>0.390404153335957</c:v>
                </c:pt>
                <c:pt idx="3537">
                  <c:v>0.384005100556638</c:v>
                </c:pt>
                <c:pt idx="3538">
                  <c:v>0.368687141698134</c:v>
                </c:pt>
                <c:pt idx="3539">
                  <c:v>0.363882122365371</c:v>
                </c:pt>
                <c:pt idx="3540">
                  <c:v>0.359695458109349</c:v>
                </c:pt>
                <c:pt idx="3541">
                  <c:v>0.360444194723896</c:v>
                </c:pt>
                <c:pt idx="3542">
                  <c:v>0.372915115626472</c:v>
                </c:pt>
                <c:pt idx="3543">
                  <c:v>0.372918944777404</c:v>
                </c:pt>
                <c:pt idx="3544">
                  <c:v>0.375432493546462</c:v>
                </c:pt>
                <c:pt idx="3545">
                  <c:v>0.380232279223078</c:v>
                </c:pt>
                <c:pt idx="3546">
                  <c:v>0.38448970495904</c:v>
                </c:pt>
                <c:pt idx="3547">
                  <c:v>0.369383813274968</c:v>
                </c:pt>
                <c:pt idx="3548">
                  <c:v>0.37098233746754</c:v>
                </c:pt>
                <c:pt idx="3549">
                  <c:v>0.383331358291925</c:v>
                </c:pt>
                <c:pt idx="3550">
                  <c:v>0.403971744387108</c:v>
                </c:pt>
                <c:pt idx="3551">
                  <c:v>0.380231586468486</c:v>
                </c:pt>
                <c:pt idx="3552">
                  <c:v>0.365934310198903</c:v>
                </c:pt>
                <c:pt idx="3553">
                  <c:v>0.368946068788825</c:v>
                </c:pt>
                <c:pt idx="3554">
                  <c:v>0.36945189885374</c:v>
                </c:pt>
                <c:pt idx="3555">
                  <c:v>0.366751797324404</c:v>
                </c:pt>
                <c:pt idx="3556">
                  <c:v>0.371320809025459</c:v>
                </c:pt>
                <c:pt idx="3557">
                  <c:v>0.376546372276836</c:v>
                </c:pt>
                <c:pt idx="3558">
                  <c:v>0.471974825013767</c:v>
                </c:pt>
                <c:pt idx="3559">
                  <c:v>0.471269474376211</c:v>
                </c:pt>
                <c:pt idx="3560">
                  <c:v>0.457047892359732</c:v>
                </c:pt>
                <c:pt idx="3561">
                  <c:v>0.455256448501042</c:v>
                </c:pt>
                <c:pt idx="3562">
                  <c:v>0.465185388987586</c:v>
                </c:pt>
                <c:pt idx="3563">
                  <c:v>0.561853919671453</c:v>
                </c:pt>
                <c:pt idx="3564">
                  <c:v>0.563027279266466</c:v>
                </c:pt>
                <c:pt idx="3565">
                  <c:v>0.548861366999754</c:v>
                </c:pt>
                <c:pt idx="3566">
                  <c:v>0.571421855989418</c:v>
                </c:pt>
                <c:pt idx="3567">
                  <c:v>0.582797621221836</c:v>
                </c:pt>
                <c:pt idx="3568">
                  <c:v>0.583270502244793</c:v>
                </c:pt>
                <c:pt idx="3569">
                  <c:v>0.586338575201561</c:v>
                </c:pt>
                <c:pt idx="3570">
                  <c:v>0.585286626701572</c:v>
                </c:pt>
                <c:pt idx="3571">
                  <c:v>0.586680413994768</c:v>
                </c:pt>
                <c:pt idx="3572">
                  <c:v>0.574609113693033</c:v>
                </c:pt>
                <c:pt idx="3573">
                  <c:v>0.582987077528884</c:v>
                </c:pt>
                <c:pt idx="3574">
                  <c:v>0.576976027176207</c:v>
                </c:pt>
                <c:pt idx="3575">
                  <c:v>0.582723816054794</c:v>
                </c:pt>
                <c:pt idx="3576">
                  <c:v>0.569558710834215</c:v>
                </c:pt>
                <c:pt idx="3577">
                  <c:v>0.61362011065324</c:v>
                </c:pt>
                <c:pt idx="3578">
                  <c:v>0.618488918662914</c:v>
                </c:pt>
                <c:pt idx="3579">
                  <c:v>0.625740015066396</c:v>
                </c:pt>
                <c:pt idx="3580">
                  <c:v>0.618651223218796</c:v>
                </c:pt>
                <c:pt idx="3581">
                  <c:v>0.617225204399186</c:v>
                </c:pt>
                <c:pt idx="3582">
                  <c:v>0.605143945667855</c:v>
                </c:pt>
                <c:pt idx="3583">
                  <c:v>0.600451439554758</c:v>
                </c:pt>
                <c:pt idx="3584">
                  <c:v>0.605592534402865</c:v>
                </c:pt>
                <c:pt idx="3585">
                  <c:v>0.602557480162</c:v>
                </c:pt>
                <c:pt idx="3586">
                  <c:v>0.598860844533233</c:v>
                </c:pt>
                <c:pt idx="3587">
                  <c:v>0.606508895227627</c:v>
                </c:pt>
                <c:pt idx="3588">
                  <c:v>0.546899005192833</c:v>
                </c:pt>
                <c:pt idx="3589">
                  <c:v>0.547435081340552</c:v>
                </c:pt>
                <c:pt idx="3590">
                  <c:v>0.547543816686205</c:v>
                </c:pt>
                <c:pt idx="3591">
                  <c:v>0.572305475885126</c:v>
                </c:pt>
                <c:pt idx="3592">
                  <c:v>0.556402375719476</c:v>
                </c:pt>
                <c:pt idx="3593">
                  <c:v>0.469592248598034</c:v>
                </c:pt>
                <c:pt idx="3594">
                  <c:v>0.470865239130595</c:v>
                </c:pt>
                <c:pt idx="3595">
                  <c:v>0.464734064859865</c:v>
                </c:pt>
                <c:pt idx="3596">
                  <c:v>0.443010141465884</c:v>
                </c:pt>
                <c:pt idx="3597">
                  <c:v>0.432289278917327</c:v>
                </c:pt>
                <c:pt idx="3598">
                  <c:v>0.432651247288216</c:v>
                </c:pt>
                <c:pt idx="3599">
                  <c:v>0.43028516891203</c:v>
                </c:pt>
                <c:pt idx="3600">
                  <c:v>0.483984741569716</c:v>
                </c:pt>
                <c:pt idx="3601">
                  <c:v>0.49177019569972</c:v>
                </c:pt>
                <c:pt idx="3602">
                  <c:v>0.486964927879366</c:v>
                </c:pt>
                <c:pt idx="3603">
                  <c:v>0.464539183383544</c:v>
                </c:pt>
                <c:pt idx="3604">
                  <c:v>0.470081301356603</c:v>
                </c:pt>
                <c:pt idx="3605">
                  <c:v>0.46838613612546</c:v>
                </c:pt>
                <c:pt idx="3606">
                  <c:v>0.489344569804758</c:v>
                </c:pt>
                <c:pt idx="3607">
                  <c:v>0.451080638335194</c:v>
                </c:pt>
                <c:pt idx="3608">
                  <c:v>0.46994462773516</c:v>
                </c:pt>
                <c:pt idx="3609">
                  <c:v>0.448805976542526</c:v>
                </c:pt>
                <c:pt idx="3610">
                  <c:v>0.450267260355741</c:v>
                </c:pt>
                <c:pt idx="3611">
                  <c:v>0.448356994095127</c:v>
                </c:pt>
                <c:pt idx="3612">
                  <c:v>0.448244743138418</c:v>
                </c:pt>
                <c:pt idx="3613">
                  <c:v>0.448152759810214</c:v>
                </c:pt>
                <c:pt idx="3614">
                  <c:v>0.447562393799313</c:v>
                </c:pt>
                <c:pt idx="3615">
                  <c:v>0.457275464460804</c:v>
                </c:pt>
                <c:pt idx="3616">
                  <c:v>0.447841686965472</c:v>
                </c:pt>
                <c:pt idx="3617">
                  <c:v>0.443532197885729</c:v>
                </c:pt>
                <c:pt idx="3618">
                  <c:v>0.431484088802337</c:v>
                </c:pt>
                <c:pt idx="3619">
                  <c:v>0.45322794305123</c:v>
                </c:pt>
                <c:pt idx="3620">
                  <c:v>0.488976660146526</c:v>
                </c:pt>
                <c:pt idx="3621">
                  <c:v>0.475016769315704</c:v>
                </c:pt>
                <c:pt idx="3622">
                  <c:v>0.483074659120123</c:v>
                </c:pt>
                <c:pt idx="3623">
                  <c:v>0.46090724146766</c:v>
                </c:pt>
                <c:pt idx="3624">
                  <c:v>0.459651726049219</c:v>
                </c:pt>
                <c:pt idx="3625">
                  <c:v>0.456167433706465</c:v>
                </c:pt>
                <c:pt idx="3626">
                  <c:v>0.45618255924984</c:v>
                </c:pt>
                <c:pt idx="3627">
                  <c:v>0.449685218878059</c:v>
                </c:pt>
                <c:pt idx="3628">
                  <c:v>0.470094033682053</c:v>
                </c:pt>
                <c:pt idx="3629">
                  <c:v>0.470178748731548</c:v>
                </c:pt>
                <c:pt idx="3630">
                  <c:v>0.447315284815454</c:v>
                </c:pt>
                <c:pt idx="3631">
                  <c:v>0.434539711622993</c:v>
                </c:pt>
                <c:pt idx="3632">
                  <c:v>0.450054781366442</c:v>
                </c:pt>
                <c:pt idx="3633">
                  <c:v>0.450240184725241</c:v>
                </c:pt>
                <c:pt idx="3634">
                  <c:v>0.45945285375494</c:v>
                </c:pt>
                <c:pt idx="3635">
                  <c:v>0.468786453195629</c:v>
                </c:pt>
                <c:pt idx="3636">
                  <c:v>0.449778944769844</c:v>
                </c:pt>
                <c:pt idx="3637">
                  <c:v>0.450005194816243</c:v>
                </c:pt>
                <c:pt idx="3638">
                  <c:v>0.427085862647092</c:v>
                </c:pt>
                <c:pt idx="3639">
                  <c:v>0.430314238813263</c:v>
                </c:pt>
                <c:pt idx="3640">
                  <c:v>0.430303463698043</c:v>
                </c:pt>
                <c:pt idx="3641">
                  <c:v>0.42643520222482</c:v>
                </c:pt>
                <c:pt idx="3642">
                  <c:v>0.430151283404131</c:v>
                </c:pt>
                <c:pt idx="3643">
                  <c:v>0.430389717595928</c:v>
                </c:pt>
                <c:pt idx="3644">
                  <c:v>0.43916054533586</c:v>
                </c:pt>
                <c:pt idx="3645">
                  <c:v>0.43615161297793</c:v>
                </c:pt>
                <c:pt idx="3646">
                  <c:v>0.447129269471357</c:v>
                </c:pt>
                <c:pt idx="3647">
                  <c:v>0.466542270369072</c:v>
                </c:pt>
                <c:pt idx="3648">
                  <c:v>0.484878614218498</c:v>
                </c:pt>
                <c:pt idx="3649">
                  <c:v>0.464960787781714</c:v>
                </c:pt>
                <c:pt idx="3650">
                  <c:v>0.425894258426786</c:v>
                </c:pt>
                <c:pt idx="3651">
                  <c:v>0.419917846884835</c:v>
                </c:pt>
                <c:pt idx="3652">
                  <c:v>0.408469970300286</c:v>
                </c:pt>
                <c:pt idx="3653">
                  <c:v>0.400957904804807</c:v>
                </c:pt>
                <c:pt idx="3654">
                  <c:v>0.40219941647801</c:v>
                </c:pt>
                <c:pt idx="3655">
                  <c:v>0.407217325755049</c:v>
                </c:pt>
                <c:pt idx="3656">
                  <c:v>0.413818781343941</c:v>
                </c:pt>
                <c:pt idx="3657">
                  <c:v>0.410021189892982</c:v>
                </c:pt>
                <c:pt idx="3658">
                  <c:v>0.385070439654757</c:v>
                </c:pt>
                <c:pt idx="3659">
                  <c:v>0.384812589970494</c:v>
                </c:pt>
                <c:pt idx="3660">
                  <c:v>0.357777353596839</c:v>
                </c:pt>
                <c:pt idx="3661">
                  <c:v>0.357170833484695</c:v>
                </c:pt>
                <c:pt idx="3662">
                  <c:v>0.342075125792253</c:v>
                </c:pt>
                <c:pt idx="3663">
                  <c:v>0.342713189938344</c:v>
                </c:pt>
                <c:pt idx="3664">
                  <c:v>0.318577116695954</c:v>
                </c:pt>
                <c:pt idx="3665">
                  <c:v>0.317570659401797</c:v>
                </c:pt>
                <c:pt idx="3666">
                  <c:v>0.318019967868097</c:v>
                </c:pt>
                <c:pt idx="3667">
                  <c:v>0.315401993244027</c:v>
                </c:pt>
                <c:pt idx="3668">
                  <c:v>0.356624281319467</c:v>
                </c:pt>
                <c:pt idx="3669">
                  <c:v>0.365508246334987</c:v>
                </c:pt>
                <c:pt idx="3670">
                  <c:v>0.400472697586996</c:v>
                </c:pt>
                <c:pt idx="3671">
                  <c:v>0.402815475254326</c:v>
                </c:pt>
                <c:pt idx="3672">
                  <c:v>0.388191307675273</c:v>
                </c:pt>
                <c:pt idx="3673">
                  <c:v>0.395595095015534</c:v>
                </c:pt>
                <c:pt idx="3674">
                  <c:v>0.518649880774437</c:v>
                </c:pt>
                <c:pt idx="3675">
                  <c:v>0.599657773561864</c:v>
                </c:pt>
                <c:pt idx="3676">
                  <c:v>0.595992244905083</c:v>
                </c:pt>
                <c:pt idx="3677">
                  <c:v>0.595739773655763</c:v>
                </c:pt>
                <c:pt idx="3678">
                  <c:v>0.583955508342075</c:v>
                </c:pt>
                <c:pt idx="3679">
                  <c:v>0.594520445445134</c:v>
                </c:pt>
                <c:pt idx="3680">
                  <c:v>0.594505535943214</c:v>
                </c:pt>
                <c:pt idx="3681">
                  <c:v>0.632631484481593</c:v>
                </c:pt>
                <c:pt idx="3682">
                  <c:v>0.636527151988357</c:v>
                </c:pt>
                <c:pt idx="3683">
                  <c:v>0.670950012325524</c:v>
                </c:pt>
                <c:pt idx="3684">
                  <c:v>0.670664890777981</c:v>
                </c:pt>
                <c:pt idx="3685">
                  <c:v>0.675683519700487</c:v>
                </c:pt>
                <c:pt idx="3686">
                  <c:v>0.684210118280857</c:v>
                </c:pt>
                <c:pt idx="3687">
                  <c:v>0.684416803997842</c:v>
                </c:pt>
                <c:pt idx="3688">
                  <c:v>0.685050202924483</c:v>
                </c:pt>
                <c:pt idx="3689">
                  <c:v>0.689406413219884</c:v>
                </c:pt>
                <c:pt idx="3690">
                  <c:v>0.689501801699005</c:v>
                </c:pt>
                <c:pt idx="3691">
                  <c:v>0.715081810695616</c:v>
                </c:pt>
                <c:pt idx="3692">
                  <c:v>0.721799206917485</c:v>
                </c:pt>
                <c:pt idx="3693">
                  <c:v>0.719886260354931</c:v>
                </c:pt>
                <c:pt idx="3694">
                  <c:v>0.715471810976861</c:v>
                </c:pt>
                <c:pt idx="3695">
                  <c:v>0.720978050793302</c:v>
                </c:pt>
                <c:pt idx="3696">
                  <c:v>0.723907350938901</c:v>
                </c:pt>
                <c:pt idx="3697">
                  <c:v>0.723947598369059</c:v>
                </c:pt>
                <c:pt idx="3698">
                  <c:v>0.703562902917325</c:v>
                </c:pt>
                <c:pt idx="3699">
                  <c:v>0.694872201449736</c:v>
                </c:pt>
                <c:pt idx="3700">
                  <c:v>0.680382889805474</c:v>
                </c:pt>
                <c:pt idx="3701">
                  <c:v>0.683988999706342</c:v>
                </c:pt>
                <c:pt idx="3702">
                  <c:v>0.683941046718676</c:v>
                </c:pt>
                <c:pt idx="3703">
                  <c:v>0.679840602036141</c:v>
                </c:pt>
                <c:pt idx="3704">
                  <c:v>0.604593340485775</c:v>
                </c:pt>
                <c:pt idx="3705">
                  <c:v>0.529350438101029</c:v>
                </c:pt>
                <c:pt idx="3706">
                  <c:v>0.528129740863345</c:v>
                </c:pt>
                <c:pt idx="3707">
                  <c:v>0.510209875035269</c:v>
                </c:pt>
                <c:pt idx="3708">
                  <c:v>0.509937713264955</c:v>
                </c:pt>
                <c:pt idx="3709">
                  <c:v>0.540738423955786</c:v>
                </c:pt>
                <c:pt idx="3710">
                  <c:v>0.542545944394426</c:v>
                </c:pt>
                <c:pt idx="3711">
                  <c:v>0.508544194740075</c:v>
                </c:pt>
                <c:pt idx="3712">
                  <c:v>0.574502833384774</c:v>
                </c:pt>
                <c:pt idx="3713">
                  <c:v>0.55787902029173</c:v>
                </c:pt>
                <c:pt idx="3714">
                  <c:v>0.582012064440855</c:v>
                </c:pt>
                <c:pt idx="3715">
                  <c:v>0.575840124806977</c:v>
                </c:pt>
                <c:pt idx="3716">
                  <c:v>0.566750239039478</c:v>
                </c:pt>
                <c:pt idx="3717">
                  <c:v>0.56768615824305</c:v>
                </c:pt>
                <c:pt idx="3718">
                  <c:v>0.563968206453396</c:v>
                </c:pt>
                <c:pt idx="3719">
                  <c:v>0.560897042183046</c:v>
                </c:pt>
                <c:pt idx="3720">
                  <c:v>0.559208187689336</c:v>
                </c:pt>
                <c:pt idx="3721">
                  <c:v>0.531533077671705</c:v>
                </c:pt>
                <c:pt idx="3722">
                  <c:v>0.52054599885544</c:v>
                </c:pt>
                <c:pt idx="3723">
                  <c:v>0.52051298150302</c:v>
                </c:pt>
                <c:pt idx="3724">
                  <c:v>0.528620343570568</c:v>
                </c:pt>
                <c:pt idx="3725">
                  <c:v>0.568642087353508</c:v>
                </c:pt>
                <c:pt idx="3726">
                  <c:v>0.566480369090483</c:v>
                </c:pt>
                <c:pt idx="3727">
                  <c:v>0.566352637515097</c:v>
                </c:pt>
                <c:pt idx="3728">
                  <c:v>0.565807672948013</c:v>
                </c:pt>
                <c:pt idx="3729">
                  <c:v>0.565921044260837</c:v>
                </c:pt>
                <c:pt idx="3730">
                  <c:v>0.552963173852911</c:v>
                </c:pt>
                <c:pt idx="3731">
                  <c:v>0.546659129808241</c:v>
                </c:pt>
                <c:pt idx="3732">
                  <c:v>0.547884578796964</c:v>
                </c:pt>
                <c:pt idx="3733">
                  <c:v>0.548141674919051</c:v>
                </c:pt>
                <c:pt idx="3734">
                  <c:v>0.544386241294647</c:v>
                </c:pt>
                <c:pt idx="3735">
                  <c:v>0.52854746989403</c:v>
                </c:pt>
                <c:pt idx="3736">
                  <c:v>0.531517957202736</c:v>
                </c:pt>
                <c:pt idx="3737">
                  <c:v>0.536550475175008</c:v>
                </c:pt>
                <c:pt idx="3738">
                  <c:v>0.535734295365705</c:v>
                </c:pt>
                <c:pt idx="3739">
                  <c:v>0.480043865719124</c:v>
                </c:pt>
                <c:pt idx="3740">
                  <c:v>0.480223758416612</c:v>
                </c:pt>
                <c:pt idx="3741">
                  <c:v>0.490227972745571</c:v>
                </c:pt>
                <c:pt idx="3742">
                  <c:v>0.422102789192222</c:v>
                </c:pt>
                <c:pt idx="3743">
                  <c:v>0.390985542596113</c:v>
                </c:pt>
                <c:pt idx="3744">
                  <c:v>0.369860015771702</c:v>
                </c:pt>
                <c:pt idx="3745">
                  <c:v>0.372345838830305</c:v>
                </c:pt>
                <c:pt idx="3746">
                  <c:v>0.362321486447907</c:v>
                </c:pt>
                <c:pt idx="3747">
                  <c:v>0.364912923881323</c:v>
                </c:pt>
                <c:pt idx="3748">
                  <c:v>0.359411398593888</c:v>
                </c:pt>
                <c:pt idx="3749">
                  <c:v>0.361008056200037</c:v>
                </c:pt>
                <c:pt idx="3750">
                  <c:v>0.3624167227359</c:v>
                </c:pt>
                <c:pt idx="3751">
                  <c:v>0.369863122685759</c:v>
                </c:pt>
                <c:pt idx="3752">
                  <c:v>0.373952181016745</c:v>
                </c:pt>
                <c:pt idx="3753">
                  <c:v>0.373654631812729</c:v>
                </c:pt>
                <c:pt idx="3754">
                  <c:v>0.372918246969464</c:v>
                </c:pt>
                <c:pt idx="3755">
                  <c:v>0.310811747730697</c:v>
                </c:pt>
                <c:pt idx="3756">
                  <c:v>0.349851611872977</c:v>
                </c:pt>
                <c:pt idx="3757">
                  <c:v>0.349809749426291</c:v>
                </c:pt>
                <c:pt idx="3758">
                  <c:v>0.350550125070174</c:v>
                </c:pt>
                <c:pt idx="3759">
                  <c:v>0.350078231570283</c:v>
                </c:pt>
                <c:pt idx="3760">
                  <c:v>0.347960562609429</c:v>
                </c:pt>
                <c:pt idx="3761">
                  <c:v>0.350793766493437</c:v>
                </c:pt>
                <c:pt idx="3762">
                  <c:v>0.359301451337437</c:v>
                </c:pt>
                <c:pt idx="3763">
                  <c:v>0.364730837667352</c:v>
                </c:pt>
                <c:pt idx="3764">
                  <c:v>0.356763305646673</c:v>
                </c:pt>
                <c:pt idx="3765">
                  <c:v>0.357645788109926</c:v>
                </c:pt>
                <c:pt idx="3766">
                  <c:v>0.354109225993312</c:v>
                </c:pt>
                <c:pt idx="3767">
                  <c:v>0.347869789154253</c:v>
                </c:pt>
                <c:pt idx="3768">
                  <c:v>0.349696264869654</c:v>
                </c:pt>
                <c:pt idx="3769">
                  <c:v>0.362600060104618</c:v>
                </c:pt>
                <c:pt idx="3770">
                  <c:v>0.373671400156625</c:v>
                </c:pt>
                <c:pt idx="3771">
                  <c:v>0.308479947001014</c:v>
                </c:pt>
                <c:pt idx="3772">
                  <c:v>0.308253988857715</c:v>
                </c:pt>
                <c:pt idx="3773">
                  <c:v>0.335131254430151</c:v>
                </c:pt>
                <c:pt idx="3774">
                  <c:v>0.333881530761285</c:v>
                </c:pt>
                <c:pt idx="3775">
                  <c:v>0.335052561375655</c:v>
                </c:pt>
                <c:pt idx="3776">
                  <c:v>0.347702765779744</c:v>
                </c:pt>
                <c:pt idx="3777">
                  <c:v>0.347156619485431</c:v>
                </c:pt>
                <c:pt idx="3778">
                  <c:v>0.347957450516127</c:v>
                </c:pt>
                <c:pt idx="3779">
                  <c:v>0.347760572762596</c:v>
                </c:pt>
                <c:pt idx="3780">
                  <c:v>0.349580740118735</c:v>
                </c:pt>
                <c:pt idx="3781">
                  <c:v>0.340275534330141</c:v>
                </c:pt>
                <c:pt idx="3782">
                  <c:v>0.339412947827199</c:v>
                </c:pt>
                <c:pt idx="3783">
                  <c:v>0.3366221410449</c:v>
                </c:pt>
                <c:pt idx="3784">
                  <c:v>0.324978583071482</c:v>
                </c:pt>
                <c:pt idx="3785">
                  <c:v>0.318048625796826</c:v>
                </c:pt>
                <c:pt idx="3786">
                  <c:v>0.290447756933828</c:v>
                </c:pt>
                <c:pt idx="3787">
                  <c:v>0.329524192577624</c:v>
                </c:pt>
                <c:pt idx="3788">
                  <c:v>0.327701297584073</c:v>
                </c:pt>
                <c:pt idx="3789">
                  <c:v>0.330319629981856</c:v>
                </c:pt>
                <c:pt idx="3790">
                  <c:v>0.330193574068336</c:v>
                </c:pt>
                <c:pt idx="3791">
                  <c:v>0.32819918860043</c:v>
                </c:pt>
                <c:pt idx="3792">
                  <c:v>0.319525950731188</c:v>
                </c:pt>
                <c:pt idx="3793">
                  <c:v>0.316149965967119</c:v>
                </c:pt>
                <c:pt idx="3794">
                  <c:v>0.318712738018179</c:v>
                </c:pt>
                <c:pt idx="3795">
                  <c:v>0.320826908699544</c:v>
                </c:pt>
                <c:pt idx="3796">
                  <c:v>0.337031555635711</c:v>
                </c:pt>
                <c:pt idx="3797">
                  <c:v>0.33707919161978</c:v>
                </c:pt>
                <c:pt idx="3798">
                  <c:v>0.340633150748379</c:v>
                </c:pt>
                <c:pt idx="3799">
                  <c:v>0.320615261433343</c:v>
                </c:pt>
                <c:pt idx="3800">
                  <c:v>0.30846947620728</c:v>
                </c:pt>
                <c:pt idx="3801">
                  <c:v>0.308229373385303</c:v>
                </c:pt>
                <c:pt idx="3802">
                  <c:v>0.308822028491557</c:v>
                </c:pt>
                <c:pt idx="3803">
                  <c:v>0.281623378575585</c:v>
                </c:pt>
                <c:pt idx="3804">
                  <c:v>0.316612321395145</c:v>
                </c:pt>
                <c:pt idx="3805">
                  <c:v>0.313271267821714</c:v>
                </c:pt>
                <c:pt idx="3806">
                  <c:v>0.294233619459938</c:v>
                </c:pt>
                <c:pt idx="3807">
                  <c:v>0.296507986354626</c:v>
                </c:pt>
                <c:pt idx="3808">
                  <c:v>0.294367776397871</c:v>
                </c:pt>
                <c:pt idx="3809">
                  <c:v>0.303918432423555</c:v>
                </c:pt>
                <c:pt idx="3810">
                  <c:v>0.302850175981238</c:v>
                </c:pt>
                <c:pt idx="3811">
                  <c:v>0.289217800082069</c:v>
                </c:pt>
                <c:pt idx="3812">
                  <c:v>0.293853797874828</c:v>
                </c:pt>
                <c:pt idx="3813">
                  <c:v>0.29351889057724</c:v>
                </c:pt>
                <c:pt idx="3814">
                  <c:v>0.28901895526884</c:v>
                </c:pt>
                <c:pt idx="3815">
                  <c:v>0.28385952504459</c:v>
                </c:pt>
                <c:pt idx="3816">
                  <c:v>0.283882923771251</c:v>
                </c:pt>
                <c:pt idx="3817">
                  <c:v>0.255498169628064</c:v>
                </c:pt>
                <c:pt idx="3818">
                  <c:v>0.256585587983012</c:v>
                </c:pt>
                <c:pt idx="3819">
                  <c:v>0.257191518929223</c:v>
                </c:pt>
                <c:pt idx="3820">
                  <c:v>0.256126957884248</c:v>
                </c:pt>
                <c:pt idx="3821">
                  <c:v>0.258007724240333</c:v>
                </c:pt>
                <c:pt idx="3822">
                  <c:v>0.263513632254418</c:v>
                </c:pt>
                <c:pt idx="3823">
                  <c:v>0.262886660546425</c:v>
                </c:pt>
                <c:pt idx="3824">
                  <c:v>0.258348021341055</c:v>
                </c:pt>
                <c:pt idx="3825">
                  <c:v>0.261975874960744</c:v>
                </c:pt>
                <c:pt idx="3826">
                  <c:v>0.257821586396887</c:v>
                </c:pt>
                <c:pt idx="3827">
                  <c:v>0.258348758388755</c:v>
                </c:pt>
                <c:pt idx="3828">
                  <c:v>0.256418844792959</c:v>
                </c:pt>
                <c:pt idx="3829">
                  <c:v>0.257120082529707</c:v>
                </c:pt>
                <c:pt idx="3830">
                  <c:v>0.258272250227168</c:v>
                </c:pt>
                <c:pt idx="3831">
                  <c:v>0.256554113910065</c:v>
                </c:pt>
                <c:pt idx="3832">
                  <c:v>0.264975596897086</c:v>
                </c:pt>
                <c:pt idx="3833">
                  <c:v>0.258249737838423</c:v>
                </c:pt>
                <c:pt idx="3834">
                  <c:v>0.213745997263107</c:v>
                </c:pt>
                <c:pt idx="3835">
                  <c:v>0.22488004154134</c:v>
                </c:pt>
                <c:pt idx="3836">
                  <c:v>0.225680926130023</c:v>
                </c:pt>
                <c:pt idx="3837">
                  <c:v>0.224130866138284</c:v>
                </c:pt>
                <c:pt idx="3838">
                  <c:v>0.241715361416736</c:v>
                </c:pt>
                <c:pt idx="3839">
                  <c:v>0.276100990798544</c:v>
                </c:pt>
                <c:pt idx="3840">
                  <c:v>0.276204160904635</c:v>
                </c:pt>
                <c:pt idx="3841">
                  <c:v>0.275545091948254</c:v>
                </c:pt>
                <c:pt idx="3842">
                  <c:v>0.273162921168942</c:v>
                </c:pt>
                <c:pt idx="3843">
                  <c:v>0.275436929032934</c:v>
                </c:pt>
                <c:pt idx="3844">
                  <c:v>0.293724499254725</c:v>
                </c:pt>
                <c:pt idx="3845">
                  <c:v>0.297569466758449</c:v>
                </c:pt>
                <c:pt idx="3846">
                  <c:v>0.290209238949973</c:v>
                </c:pt>
                <c:pt idx="3847">
                  <c:v>0.321471072260786</c:v>
                </c:pt>
                <c:pt idx="3848">
                  <c:v>0.324330862579237</c:v>
                </c:pt>
                <c:pt idx="3849">
                  <c:v>0.32846776072512</c:v>
                </c:pt>
                <c:pt idx="3850">
                  <c:v>0.343000634874121</c:v>
                </c:pt>
                <c:pt idx="3851">
                  <c:v>0.344388109665373</c:v>
                </c:pt>
                <c:pt idx="3852">
                  <c:v>0.342816926637063</c:v>
                </c:pt>
                <c:pt idx="3853">
                  <c:v>0.346177026598222</c:v>
                </c:pt>
                <c:pt idx="3854">
                  <c:v>0.368738371054517</c:v>
                </c:pt>
                <c:pt idx="3855">
                  <c:v>0.365467809029145</c:v>
                </c:pt>
                <c:pt idx="3856">
                  <c:v>0.358623603004145</c:v>
                </c:pt>
                <c:pt idx="3857">
                  <c:v>0.360070785502737</c:v>
                </c:pt>
                <c:pt idx="3858">
                  <c:v>0.362167040814744</c:v>
                </c:pt>
                <c:pt idx="3859">
                  <c:v>0.361515673328905</c:v>
                </c:pt>
                <c:pt idx="3860">
                  <c:v>0.361817186833533</c:v>
                </c:pt>
                <c:pt idx="3861">
                  <c:v>0.360369254490284</c:v>
                </c:pt>
                <c:pt idx="3862">
                  <c:v>0.351032496540094</c:v>
                </c:pt>
                <c:pt idx="3863">
                  <c:v>0.352394812017232</c:v>
                </c:pt>
                <c:pt idx="3864">
                  <c:v>0.354142607719081</c:v>
                </c:pt>
                <c:pt idx="3865">
                  <c:v>0.342399876081595</c:v>
                </c:pt>
                <c:pt idx="3866">
                  <c:v>0.352114278897447</c:v>
                </c:pt>
                <c:pt idx="3867">
                  <c:v>0.352984355535</c:v>
                </c:pt>
                <c:pt idx="3868">
                  <c:v>0.339120629709537</c:v>
                </c:pt>
                <c:pt idx="3869">
                  <c:v>0.308303817555557</c:v>
                </c:pt>
                <c:pt idx="3870">
                  <c:v>0.30768776004327</c:v>
                </c:pt>
                <c:pt idx="3871">
                  <c:v>0.307704481659915</c:v>
                </c:pt>
                <c:pt idx="3872">
                  <c:v>0.311075842352712</c:v>
                </c:pt>
                <c:pt idx="3873">
                  <c:v>0.30913038516229</c:v>
                </c:pt>
                <c:pt idx="3874">
                  <c:v>0.289949530091233</c:v>
                </c:pt>
                <c:pt idx="3875">
                  <c:v>0.290704483247919</c:v>
                </c:pt>
                <c:pt idx="3876">
                  <c:v>0.284734732339434</c:v>
                </c:pt>
                <c:pt idx="3877">
                  <c:v>0.250554239956143</c:v>
                </c:pt>
                <c:pt idx="3878">
                  <c:v>0.258340923072174</c:v>
                </c:pt>
                <c:pt idx="3879">
                  <c:v>0.252823807078422</c:v>
                </c:pt>
                <c:pt idx="3880">
                  <c:v>0.232581801683733</c:v>
                </c:pt>
                <c:pt idx="3881">
                  <c:v>0.26514295806349</c:v>
                </c:pt>
                <c:pt idx="3882">
                  <c:v>0.265799538865319</c:v>
                </c:pt>
                <c:pt idx="3883">
                  <c:v>0.26209358185667</c:v>
                </c:pt>
                <c:pt idx="3884">
                  <c:v>0.238297884270676</c:v>
                </c:pt>
                <c:pt idx="3885">
                  <c:v>0.246267755664007</c:v>
                </c:pt>
                <c:pt idx="3886">
                  <c:v>0.245471955754905</c:v>
                </c:pt>
                <c:pt idx="3887">
                  <c:v>0.277661537449841</c:v>
                </c:pt>
                <c:pt idx="3888">
                  <c:v>0.276459807778667</c:v>
                </c:pt>
                <c:pt idx="3889">
                  <c:v>0.279193771735574</c:v>
                </c:pt>
                <c:pt idx="3890">
                  <c:v>0.275747464998525</c:v>
                </c:pt>
                <c:pt idx="3891">
                  <c:v>0.275987642801794</c:v>
                </c:pt>
                <c:pt idx="3892">
                  <c:v>0.275274345110478</c:v>
                </c:pt>
                <c:pt idx="3893">
                  <c:v>0.295380150951071</c:v>
                </c:pt>
                <c:pt idx="3894">
                  <c:v>0.29827309062026</c:v>
                </c:pt>
                <c:pt idx="3895">
                  <c:v>0.302616259379364</c:v>
                </c:pt>
                <c:pt idx="3896">
                  <c:v>0.398319277418869</c:v>
                </c:pt>
                <c:pt idx="3897">
                  <c:v>0.400685753957488</c:v>
                </c:pt>
                <c:pt idx="3898">
                  <c:v>0.423330924710328</c:v>
                </c:pt>
                <c:pt idx="3899">
                  <c:v>0.423379672151584</c:v>
                </c:pt>
                <c:pt idx="3900">
                  <c:v>0.42825181076598</c:v>
                </c:pt>
                <c:pt idx="3901">
                  <c:v>0.433611555541562</c:v>
                </c:pt>
                <c:pt idx="3902">
                  <c:v>0.437488374640801</c:v>
                </c:pt>
                <c:pt idx="3903">
                  <c:v>0.440056820750948</c:v>
                </c:pt>
                <c:pt idx="3904">
                  <c:v>0.440464536162538</c:v>
                </c:pt>
                <c:pt idx="3905">
                  <c:v>0.442810989320523</c:v>
                </c:pt>
                <c:pt idx="3906">
                  <c:v>0.447866699381184</c:v>
                </c:pt>
                <c:pt idx="3907">
                  <c:v>0.452504412572217</c:v>
                </c:pt>
                <c:pt idx="3908">
                  <c:v>0.447018393782089</c:v>
                </c:pt>
                <c:pt idx="3909">
                  <c:v>0.454867553283895</c:v>
                </c:pt>
                <c:pt idx="3910">
                  <c:v>0.453846896366889</c:v>
                </c:pt>
                <c:pt idx="3911">
                  <c:v>0.432867685860005</c:v>
                </c:pt>
                <c:pt idx="3912">
                  <c:v>0.441065201445713</c:v>
                </c:pt>
                <c:pt idx="3913">
                  <c:v>0.441449536548455</c:v>
                </c:pt>
                <c:pt idx="3914">
                  <c:v>0.436344193084072</c:v>
                </c:pt>
                <c:pt idx="3915">
                  <c:v>0.439943927340334</c:v>
                </c:pt>
                <c:pt idx="3916">
                  <c:v>0.442835980452077</c:v>
                </c:pt>
                <c:pt idx="3917">
                  <c:v>0.420235805761679</c:v>
                </c:pt>
                <c:pt idx="3918">
                  <c:v>0.415474617337331</c:v>
                </c:pt>
                <c:pt idx="3919">
                  <c:v>0.41185964481039</c:v>
                </c:pt>
                <c:pt idx="3920">
                  <c:v>0.427443816113585</c:v>
                </c:pt>
                <c:pt idx="3921">
                  <c:v>0.451452444400314</c:v>
                </c:pt>
                <c:pt idx="3922">
                  <c:v>0.447924239098346</c:v>
                </c:pt>
                <c:pt idx="3923">
                  <c:v>0.461449153743502</c:v>
                </c:pt>
                <c:pt idx="3924">
                  <c:v>0.45753260234509</c:v>
                </c:pt>
                <c:pt idx="3925">
                  <c:v>0.462342845657855</c:v>
                </c:pt>
                <c:pt idx="3926">
                  <c:v>0.390653911108406</c:v>
                </c:pt>
                <c:pt idx="3927">
                  <c:v>0.420406763532834</c:v>
                </c:pt>
                <c:pt idx="3928">
                  <c:v>0.395681036307912</c:v>
                </c:pt>
                <c:pt idx="3929">
                  <c:v>0.408158672905756</c:v>
                </c:pt>
                <c:pt idx="3930">
                  <c:v>0.404608944770017</c:v>
                </c:pt>
                <c:pt idx="3931">
                  <c:v>0.411306504149029</c:v>
                </c:pt>
                <c:pt idx="3932">
                  <c:v>0.427156593663445</c:v>
                </c:pt>
                <c:pt idx="3933">
                  <c:v>0.42570124618017</c:v>
                </c:pt>
                <c:pt idx="3934">
                  <c:v>0.424322350321056</c:v>
                </c:pt>
                <c:pt idx="3935">
                  <c:v>0.433426156233797</c:v>
                </c:pt>
                <c:pt idx="3936">
                  <c:v>0.426923500135445</c:v>
                </c:pt>
                <c:pt idx="3937">
                  <c:v>0.423906639581348</c:v>
                </c:pt>
                <c:pt idx="3938">
                  <c:v>0.452714890098543</c:v>
                </c:pt>
                <c:pt idx="3939">
                  <c:v>0.444719507248519</c:v>
                </c:pt>
                <c:pt idx="3940">
                  <c:v>0.44272798565595</c:v>
                </c:pt>
                <c:pt idx="3941">
                  <c:v>0.448387819255558</c:v>
                </c:pt>
                <c:pt idx="3942">
                  <c:v>0.441204203479034</c:v>
                </c:pt>
                <c:pt idx="3943">
                  <c:v>0.440921568394191</c:v>
                </c:pt>
                <c:pt idx="3944">
                  <c:v>0.468680351309264</c:v>
                </c:pt>
                <c:pt idx="3945">
                  <c:v>0.465721279449306</c:v>
                </c:pt>
                <c:pt idx="3946">
                  <c:v>0.46467437501524</c:v>
                </c:pt>
                <c:pt idx="3947">
                  <c:v>0.461068319098555</c:v>
                </c:pt>
                <c:pt idx="3948">
                  <c:v>0.473358529867565</c:v>
                </c:pt>
                <c:pt idx="3949">
                  <c:v>0.471379947363815</c:v>
                </c:pt>
                <c:pt idx="3950">
                  <c:v>0.508615668210621</c:v>
                </c:pt>
                <c:pt idx="3951">
                  <c:v>0.488899561478822</c:v>
                </c:pt>
                <c:pt idx="3952">
                  <c:v>0.488320151902184</c:v>
                </c:pt>
                <c:pt idx="3953">
                  <c:v>0.483518010264635</c:v>
                </c:pt>
                <c:pt idx="3954">
                  <c:v>0.480970556743877</c:v>
                </c:pt>
                <c:pt idx="3955">
                  <c:v>0.479484263659896</c:v>
                </c:pt>
                <c:pt idx="3956">
                  <c:v>0.479127571137948</c:v>
                </c:pt>
                <c:pt idx="3957">
                  <c:v>0.455227804188468</c:v>
                </c:pt>
                <c:pt idx="3958">
                  <c:v>0.455803607106251</c:v>
                </c:pt>
                <c:pt idx="3959">
                  <c:v>0.446851947429905</c:v>
                </c:pt>
                <c:pt idx="3960">
                  <c:v>0.448624317804051</c:v>
                </c:pt>
                <c:pt idx="3961">
                  <c:v>0.43863273215158</c:v>
                </c:pt>
                <c:pt idx="3962">
                  <c:v>0.420721242282412</c:v>
                </c:pt>
                <c:pt idx="3963">
                  <c:v>0.430203056297433</c:v>
                </c:pt>
                <c:pt idx="3964">
                  <c:v>0.437032025291875</c:v>
                </c:pt>
                <c:pt idx="3965">
                  <c:v>0.424240375716583</c:v>
                </c:pt>
                <c:pt idx="3966">
                  <c:v>0.424239929226954</c:v>
                </c:pt>
                <c:pt idx="3967">
                  <c:v>0.439748776631835</c:v>
                </c:pt>
                <c:pt idx="3968">
                  <c:v>0.401715242909698</c:v>
                </c:pt>
                <c:pt idx="3969">
                  <c:v>0.388775449089343</c:v>
                </c:pt>
                <c:pt idx="3970">
                  <c:v>0.388699588223208</c:v>
                </c:pt>
                <c:pt idx="3971">
                  <c:v>0.388710336904357</c:v>
                </c:pt>
                <c:pt idx="3972">
                  <c:v>0.384094945974029</c:v>
                </c:pt>
                <c:pt idx="3973">
                  <c:v>0.383573889565995</c:v>
                </c:pt>
                <c:pt idx="3974">
                  <c:v>0.359959367021672</c:v>
                </c:pt>
                <c:pt idx="3975">
                  <c:v>0.360299690467257</c:v>
                </c:pt>
                <c:pt idx="3976">
                  <c:v>0.360473257972434</c:v>
                </c:pt>
                <c:pt idx="3977">
                  <c:v>0.362124622032471</c:v>
                </c:pt>
                <c:pt idx="3978">
                  <c:v>0.338552785374657</c:v>
                </c:pt>
                <c:pt idx="3979">
                  <c:v>0.337432677137812</c:v>
                </c:pt>
                <c:pt idx="3980">
                  <c:v>0.277077924408151</c:v>
                </c:pt>
                <c:pt idx="3981">
                  <c:v>0.27619292449236</c:v>
                </c:pt>
                <c:pt idx="3982">
                  <c:v>0.279492431171231</c:v>
                </c:pt>
                <c:pt idx="3983">
                  <c:v>0.255980385016342</c:v>
                </c:pt>
                <c:pt idx="3984">
                  <c:v>0.261266325002406</c:v>
                </c:pt>
                <c:pt idx="3985">
                  <c:v>0.263348996828982</c:v>
                </c:pt>
                <c:pt idx="3986">
                  <c:v>0.269149771142566</c:v>
                </c:pt>
                <c:pt idx="3987">
                  <c:v>0.258825942125754</c:v>
                </c:pt>
                <c:pt idx="3988">
                  <c:v>0.257437611249747</c:v>
                </c:pt>
                <c:pt idx="3989">
                  <c:v>0.256314971798905</c:v>
                </c:pt>
                <c:pt idx="3990">
                  <c:v>0.253357703768951</c:v>
                </c:pt>
                <c:pt idx="3991">
                  <c:v>0.253580137702397</c:v>
                </c:pt>
                <c:pt idx="3992">
                  <c:v>0.280949481461122</c:v>
                </c:pt>
                <c:pt idx="3993">
                  <c:v>0.261579374704515</c:v>
                </c:pt>
                <c:pt idx="3994">
                  <c:v>0.262514985437369</c:v>
                </c:pt>
                <c:pt idx="3995">
                  <c:v>0.252314541487554</c:v>
                </c:pt>
                <c:pt idx="3996">
                  <c:v>0.250524303790398</c:v>
                </c:pt>
                <c:pt idx="3997">
                  <c:v>0.25056387218906</c:v>
                </c:pt>
                <c:pt idx="3998">
                  <c:v>0.250600512746383</c:v>
                </c:pt>
                <c:pt idx="3999">
                  <c:v>0.289679055712885</c:v>
                </c:pt>
                <c:pt idx="4000">
                  <c:v>0.292348906252146</c:v>
                </c:pt>
                <c:pt idx="4001">
                  <c:v>0.288271970328949</c:v>
                </c:pt>
                <c:pt idx="4002">
                  <c:v>0.288347359064948</c:v>
                </c:pt>
                <c:pt idx="4003">
                  <c:v>0.288050512342046</c:v>
                </c:pt>
                <c:pt idx="4004">
                  <c:v>0.301405405001549</c:v>
                </c:pt>
                <c:pt idx="4005">
                  <c:v>0.304176707327761</c:v>
                </c:pt>
                <c:pt idx="4006">
                  <c:v>0.307468648991323</c:v>
                </c:pt>
                <c:pt idx="4007">
                  <c:v>0.305026296991821</c:v>
                </c:pt>
                <c:pt idx="4008">
                  <c:v>0.364122576191058</c:v>
                </c:pt>
                <c:pt idx="4009">
                  <c:v>0.363915122050336</c:v>
                </c:pt>
                <c:pt idx="4010">
                  <c:v>0.422475048501361</c:v>
                </c:pt>
                <c:pt idx="4011">
                  <c:v>0.416691322106326</c:v>
                </c:pt>
                <c:pt idx="4012">
                  <c:v>0.416948750526554</c:v>
                </c:pt>
                <c:pt idx="4013">
                  <c:v>0.424538204799905</c:v>
                </c:pt>
                <c:pt idx="4014">
                  <c:v>0.438638895666115</c:v>
                </c:pt>
                <c:pt idx="4015">
                  <c:v>0.615020780889591</c:v>
                </c:pt>
                <c:pt idx="4016">
                  <c:v>0.713036030336707</c:v>
                </c:pt>
                <c:pt idx="4017">
                  <c:v>0.712542677136058</c:v>
                </c:pt>
                <c:pt idx="4018">
                  <c:v>0.718985271789816</c:v>
                </c:pt>
                <c:pt idx="4019">
                  <c:v>0.718322074059783</c:v>
                </c:pt>
                <c:pt idx="4020">
                  <c:v>0.71476274968913</c:v>
                </c:pt>
                <c:pt idx="4021">
                  <c:v>0.716513173923796</c:v>
                </c:pt>
                <c:pt idx="4022">
                  <c:v>0.692228988232859</c:v>
                </c:pt>
                <c:pt idx="4023">
                  <c:v>0.712679037251202</c:v>
                </c:pt>
                <c:pt idx="4024">
                  <c:v>0.717232759898297</c:v>
                </c:pt>
                <c:pt idx="4025">
                  <c:v>0.716463757972381</c:v>
                </c:pt>
                <c:pt idx="4026">
                  <c:v>0.716901824174662</c:v>
                </c:pt>
                <c:pt idx="4027">
                  <c:v>0.716492134697528</c:v>
                </c:pt>
                <c:pt idx="4028">
                  <c:v>0.715570986445123</c:v>
                </c:pt>
                <c:pt idx="4029">
                  <c:v>0.711216964342698</c:v>
                </c:pt>
                <c:pt idx="4030">
                  <c:v>0.710693286883215</c:v>
                </c:pt>
                <c:pt idx="4031">
                  <c:v>0.711479817082418</c:v>
                </c:pt>
                <c:pt idx="4032">
                  <c:v>0.713258724090952</c:v>
                </c:pt>
                <c:pt idx="4033">
                  <c:v>0.714078423618639</c:v>
                </c:pt>
                <c:pt idx="4034">
                  <c:v>0.712361410230047</c:v>
                </c:pt>
                <c:pt idx="4035">
                  <c:v>0.752471987607016</c:v>
                </c:pt>
                <c:pt idx="4036">
                  <c:v>0.749480241340548</c:v>
                </c:pt>
                <c:pt idx="4037">
                  <c:v>0.749593428726944</c:v>
                </c:pt>
                <c:pt idx="4038">
                  <c:v>0.732331059610512</c:v>
                </c:pt>
                <c:pt idx="4039">
                  <c:v>0.731933087625289</c:v>
                </c:pt>
                <c:pt idx="4040">
                  <c:v>0.718684387299204</c:v>
                </c:pt>
                <c:pt idx="4041">
                  <c:v>0.718700195473879</c:v>
                </c:pt>
                <c:pt idx="4042">
                  <c:v>0.755701193445796</c:v>
                </c:pt>
                <c:pt idx="4043">
                  <c:v>0.751883388652266</c:v>
                </c:pt>
                <c:pt idx="4044">
                  <c:v>0.745895508578695</c:v>
                </c:pt>
                <c:pt idx="4045">
                  <c:v>0.58429221132643</c:v>
                </c:pt>
                <c:pt idx="4046">
                  <c:v>0.490229551238455</c:v>
                </c:pt>
                <c:pt idx="4047">
                  <c:v>0.506560082097451</c:v>
                </c:pt>
                <c:pt idx="4048">
                  <c:v>0.507267791112796</c:v>
                </c:pt>
                <c:pt idx="4049">
                  <c:v>0.507023123293941</c:v>
                </c:pt>
                <c:pt idx="4050">
                  <c:v>0.505586308119899</c:v>
                </c:pt>
                <c:pt idx="4051">
                  <c:v>0.496890282795199</c:v>
                </c:pt>
                <c:pt idx="4052">
                  <c:v>0.489470434205882</c:v>
                </c:pt>
                <c:pt idx="4053">
                  <c:v>0.473717386527699</c:v>
                </c:pt>
                <c:pt idx="4054">
                  <c:v>0.479030204449024</c:v>
                </c:pt>
                <c:pt idx="4055">
                  <c:v>0.478831773983596</c:v>
                </c:pt>
                <c:pt idx="4056">
                  <c:v>0.497444245067255</c:v>
                </c:pt>
                <c:pt idx="4057">
                  <c:v>0.494727631786138</c:v>
                </c:pt>
                <c:pt idx="4058">
                  <c:v>0.493944885613075</c:v>
                </c:pt>
                <c:pt idx="4059">
                  <c:v>0.506152223510545</c:v>
                </c:pt>
                <c:pt idx="4060">
                  <c:v>0.505524454418546</c:v>
                </c:pt>
                <c:pt idx="4061">
                  <c:v>0.526472758536868</c:v>
                </c:pt>
                <c:pt idx="4062">
                  <c:v>0.517869914192072</c:v>
                </c:pt>
                <c:pt idx="4063">
                  <c:v>0.51061748946923</c:v>
                </c:pt>
                <c:pt idx="4064">
                  <c:v>0.52757315547111</c:v>
                </c:pt>
                <c:pt idx="4065">
                  <c:v>0.495896765775725</c:v>
                </c:pt>
                <c:pt idx="4066">
                  <c:v>0.490963329494932</c:v>
                </c:pt>
                <c:pt idx="4067">
                  <c:v>0.488192166513939</c:v>
                </c:pt>
                <c:pt idx="4068">
                  <c:v>0.488607336939396</c:v>
                </c:pt>
                <c:pt idx="4069">
                  <c:v>0.494152869951662</c:v>
                </c:pt>
                <c:pt idx="4070">
                  <c:v>0.476063551632059</c:v>
                </c:pt>
                <c:pt idx="4071">
                  <c:v>0.477985846073351</c:v>
                </c:pt>
                <c:pt idx="4072">
                  <c:v>0.416065761233795</c:v>
                </c:pt>
                <c:pt idx="4073">
                  <c:v>0.40889281984888</c:v>
                </c:pt>
                <c:pt idx="4074">
                  <c:v>0.401783436024544</c:v>
                </c:pt>
                <c:pt idx="4075">
                  <c:v>0.397413924653614</c:v>
                </c:pt>
                <c:pt idx="4076">
                  <c:v>0.416949156289576</c:v>
                </c:pt>
                <c:pt idx="4077">
                  <c:v>0.40214625772124</c:v>
                </c:pt>
                <c:pt idx="4078">
                  <c:v>0.398183700199721</c:v>
                </c:pt>
                <c:pt idx="4079">
                  <c:v>0.401098274052371</c:v>
                </c:pt>
                <c:pt idx="4080">
                  <c:v>0.400965315283635</c:v>
                </c:pt>
                <c:pt idx="4081">
                  <c:v>0.417508085618461</c:v>
                </c:pt>
                <c:pt idx="4082">
                  <c:v>0.456647558818302</c:v>
                </c:pt>
                <c:pt idx="4083">
                  <c:v>0.448489392923625</c:v>
                </c:pt>
                <c:pt idx="4084">
                  <c:v>0.440500835103232</c:v>
                </c:pt>
                <c:pt idx="4085">
                  <c:v>0.43860492542435</c:v>
                </c:pt>
                <c:pt idx="4086">
                  <c:v>0.418382091443743</c:v>
                </c:pt>
                <c:pt idx="4087">
                  <c:v>0.423110238228151</c:v>
                </c:pt>
                <c:pt idx="4088">
                  <c:v>0.422266521480357</c:v>
                </c:pt>
                <c:pt idx="4089">
                  <c:v>0.41085121950515</c:v>
                </c:pt>
                <c:pt idx="4090">
                  <c:v>0.409599117764071</c:v>
                </c:pt>
                <c:pt idx="4091">
                  <c:v>0.393891220016506</c:v>
                </c:pt>
                <c:pt idx="4092">
                  <c:v>0.393193870492263</c:v>
                </c:pt>
                <c:pt idx="4093">
                  <c:v>0.395214657072065</c:v>
                </c:pt>
                <c:pt idx="4094">
                  <c:v>0.369773607465778</c:v>
                </c:pt>
                <c:pt idx="4095">
                  <c:v>0.343322634033196</c:v>
                </c:pt>
                <c:pt idx="4096">
                  <c:v>0.353919979893572</c:v>
                </c:pt>
                <c:pt idx="4097">
                  <c:v>0.356191584985938</c:v>
                </c:pt>
                <c:pt idx="4098">
                  <c:v>0.357686494991759</c:v>
                </c:pt>
                <c:pt idx="4099">
                  <c:v>0.352635455701731</c:v>
                </c:pt>
                <c:pt idx="4100">
                  <c:v>0.35902309581598</c:v>
                </c:pt>
                <c:pt idx="4101">
                  <c:v>0.350511294753143</c:v>
                </c:pt>
                <c:pt idx="4102">
                  <c:v>0.350999580723679</c:v>
                </c:pt>
                <c:pt idx="4103">
                  <c:v>0.353799236923822</c:v>
                </c:pt>
                <c:pt idx="4104">
                  <c:v>0.344864225585202</c:v>
                </c:pt>
                <c:pt idx="4105">
                  <c:v>0.342746052969029</c:v>
                </c:pt>
                <c:pt idx="4106">
                  <c:v>0.325599773082627</c:v>
                </c:pt>
                <c:pt idx="4107">
                  <c:v>0.32086700961773</c:v>
                </c:pt>
                <c:pt idx="4108">
                  <c:v>0.319998058758052</c:v>
                </c:pt>
                <c:pt idx="4109">
                  <c:v>0.32130584447674</c:v>
                </c:pt>
                <c:pt idx="4110">
                  <c:v>0.322545618972449</c:v>
                </c:pt>
                <c:pt idx="4111">
                  <c:v>0.303963970857064</c:v>
                </c:pt>
                <c:pt idx="4112">
                  <c:v>0.254085639880699</c:v>
                </c:pt>
                <c:pt idx="4113">
                  <c:v>0.254363012232556</c:v>
                </c:pt>
                <c:pt idx="4114">
                  <c:v>0.254490432930217</c:v>
                </c:pt>
                <c:pt idx="4115">
                  <c:v>0.257872995985738</c:v>
                </c:pt>
                <c:pt idx="4116">
                  <c:v>0.260599261552131</c:v>
                </c:pt>
                <c:pt idx="4117">
                  <c:v>0.243570297572636</c:v>
                </c:pt>
                <c:pt idx="4118">
                  <c:v>0.243461758213017</c:v>
                </c:pt>
                <c:pt idx="4119">
                  <c:v>0.233430146626903</c:v>
                </c:pt>
                <c:pt idx="4120">
                  <c:v>0.232128397006335</c:v>
                </c:pt>
                <c:pt idx="4121">
                  <c:v>0.231237956849845</c:v>
                </c:pt>
                <c:pt idx="4122">
                  <c:v>0.238180020678708</c:v>
                </c:pt>
                <c:pt idx="4123">
                  <c:v>0.236732659576975</c:v>
                </c:pt>
                <c:pt idx="4124">
                  <c:v>0.236676477070114</c:v>
                </c:pt>
                <c:pt idx="4125">
                  <c:v>0.237887141844098</c:v>
                </c:pt>
                <c:pt idx="4126">
                  <c:v>0.237294106954976</c:v>
                </c:pt>
                <c:pt idx="4127">
                  <c:v>0.234484908696363</c:v>
                </c:pt>
                <c:pt idx="4128">
                  <c:v>0.233357819557879</c:v>
                </c:pt>
                <c:pt idx="4129">
                  <c:v>0.230917592490975</c:v>
                </c:pt>
                <c:pt idx="4130">
                  <c:v>0.212578701608822</c:v>
                </c:pt>
                <c:pt idx="4131">
                  <c:v>0.237312407617184</c:v>
                </c:pt>
                <c:pt idx="4132">
                  <c:v>0.324447664205339</c:v>
                </c:pt>
                <c:pt idx="4133">
                  <c:v>0.33071271942353</c:v>
                </c:pt>
                <c:pt idx="4134">
                  <c:v>0.321941705175363</c:v>
                </c:pt>
                <c:pt idx="4135">
                  <c:v>0.336165181522557</c:v>
                </c:pt>
                <c:pt idx="4136">
                  <c:v>0.335005362108005</c:v>
                </c:pt>
                <c:pt idx="4137">
                  <c:v>0.371256230409044</c:v>
                </c:pt>
                <c:pt idx="4138">
                  <c:v>0.368314240017895</c:v>
                </c:pt>
                <c:pt idx="4139">
                  <c:v>0.358376206007419</c:v>
                </c:pt>
                <c:pt idx="4140">
                  <c:v>0.358690594125466</c:v>
                </c:pt>
                <c:pt idx="4141">
                  <c:v>0.383828146191919</c:v>
                </c:pt>
                <c:pt idx="4142">
                  <c:v>0.384611458907246</c:v>
                </c:pt>
                <c:pt idx="4143">
                  <c:v>0.390779023324448</c:v>
                </c:pt>
                <c:pt idx="4144">
                  <c:v>0.400699452284901</c:v>
                </c:pt>
                <c:pt idx="4145">
                  <c:v>0.404029853645971</c:v>
                </c:pt>
                <c:pt idx="4146">
                  <c:v>0.403544597392947</c:v>
                </c:pt>
                <c:pt idx="4147">
                  <c:v>0.405750861236469</c:v>
                </c:pt>
                <c:pt idx="4148">
                  <c:v>0.411664963760666</c:v>
                </c:pt>
                <c:pt idx="4149">
                  <c:v>0.412464693518584</c:v>
                </c:pt>
                <c:pt idx="4150">
                  <c:v>0.416194844238286</c:v>
                </c:pt>
                <c:pt idx="4151">
                  <c:v>0.411102735099738</c:v>
                </c:pt>
                <c:pt idx="4152">
                  <c:v>0.408007316816739</c:v>
                </c:pt>
                <c:pt idx="4153">
                  <c:v>0.408341274634654</c:v>
                </c:pt>
                <c:pt idx="4154">
                  <c:v>0.413725218266169</c:v>
                </c:pt>
                <c:pt idx="4155">
                  <c:v>0.414245399223166</c:v>
                </c:pt>
                <c:pt idx="4156">
                  <c:v>0.414226745509473</c:v>
                </c:pt>
                <c:pt idx="4157">
                  <c:v>0.414838265981753</c:v>
                </c:pt>
                <c:pt idx="4158">
                  <c:v>0.414514060825207</c:v>
                </c:pt>
                <c:pt idx="4159">
                  <c:v>0.42001879585051</c:v>
                </c:pt>
                <c:pt idx="4160">
                  <c:v>0.424672169363902</c:v>
                </c:pt>
                <c:pt idx="4161">
                  <c:v>0.426200685341438</c:v>
                </c:pt>
                <c:pt idx="4162">
                  <c:v>0.378884582673587</c:v>
                </c:pt>
                <c:pt idx="4163">
                  <c:v>0.36490673533668</c:v>
                </c:pt>
                <c:pt idx="4164">
                  <c:v>0.365188126757769</c:v>
                </c:pt>
                <c:pt idx="4165">
                  <c:v>0.337832147760335</c:v>
                </c:pt>
                <c:pt idx="4166">
                  <c:v>0.337129375707429</c:v>
                </c:pt>
                <c:pt idx="4167">
                  <c:v>0.313082125596722</c:v>
                </c:pt>
                <c:pt idx="4168">
                  <c:v>0.32007623160086</c:v>
                </c:pt>
                <c:pt idx="4169">
                  <c:v>0.316230579312057</c:v>
                </c:pt>
                <c:pt idx="4170">
                  <c:v>0.319329101143956</c:v>
                </c:pt>
                <c:pt idx="4171">
                  <c:v>0.301652082607674</c:v>
                </c:pt>
                <c:pt idx="4172">
                  <c:v>0.301637271998727</c:v>
                </c:pt>
                <c:pt idx="4173">
                  <c:v>0.310353313598606</c:v>
                </c:pt>
                <c:pt idx="4174">
                  <c:v>0.339876001364548</c:v>
                </c:pt>
                <c:pt idx="4175">
                  <c:v>0.33814016744435</c:v>
                </c:pt>
                <c:pt idx="4176">
                  <c:v>0.341169219164143</c:v>
                </c:pt>
                <c:pt idx="4177">
                  <c:v>0.335978160379623</c:v>
                </c:pt>
                <c:pt idx="4178">
                  <c:v>0.325931792902583</c:v>
                </c:pt>
                <c:pt idx="4179">
                  <c:v>0.32440860876147</c:v>
                </c:pt>
                <c:pt idx="4180">
                  <c:v>0.323932115740197</c:v>
                </c:pt>
                <c:pt idx="4181">
                  <c:v>0.327736357778201</c:v>
                </c:pt>
                <c:pt idx="4182">
                  <c:v>0.327908903557729</c:v>
                </c:pt>
                <c:pt idx="4183">
                  <c:v>0.325398339402186</c:v>
                </c:pt>
                <c:pt idx="4184">
                  <c:v>0.312725715766307</c:v>
                </c:pt>
                <c:pt idx="4185">
                  <c:v>0.303342889900563</c:v>
                </c:pt>
                <c:pt idx="4186">
                  <c:v>0.306118378439084</c:v>
                </c:pt>
                <c:pt idx="4187">
                  <c:v>0.32001669010865</c:v>
                </c:pt>
                <c:pt idx="4188">
                  <c:v>0.317106063077505</c:v>
                </c:pt>
                <c:pt idx="4189">
                  <c:v>0.31509895592583</c:v>
                </c:pt>
                <c:pt idx="4190">
                  <c:v>0.301056195002987</c:v>
                </c:pt>
                <c:pt idx="4191">
                  <c:v>0.315283644018826</c:v>
                </c:pt>
                <c:pt idx="4192">
                  <c:v>0.303450845983621</c:v>
                </c:pt>
                <c:pt idx="4193">
                  <c:v>0.29883910465199</c:v>
                </c:pt>
                <c:pt idx="4194">
                  <c:v>0.297682544945883</c:v>
                </c:pt>
                <c:pt idx="4195">
                  <c:v>0.297499984105196</c:v>
                </c:pt>
                <c:pt idx="4196">
                  <c:v>0.298081917486398</c:v>
                </c:pt>
                <c:pt idx="4197">
                  <c:v>0.296389095610667</c:v>
                </c:pt>
                <c:pt idx="4198">
                  <c:v>0.289151335701306</c:v>
                </c:pt>
                <c:pt idx="4199">
                  <c:v>0.284486575897587</c:v>
                </c:pt>
                <c:pt idx="4200">
                  <c:v>0.280477030957605</c:v>
                </c:pt>
                <c:pt idx="4201">
                  <c:v>0.285460332871739</c:v>
                </c:pt>
                <c:pt idx="4202">
                  <c:v>0.286100202602746</c:v>
                </c:pt>
                <c:pt idx="4203">
                  <c:v>0.271835710113078</c:v>
                </c:pt>
                <c:pt idx="4204">
                  <c:v>0.224752432283811</c:v>
                </c:pt>
                <c:pt idx="4205">
                  <c:v>0.225520002759579</c:v>
                </c:pt>
                <c:pt idx="4206">
                  <c:v>0.219156641092632</c:v>
                </c:pt>
                <c:pt idx="4207">
                  <c:v>0.219007079143261</c:v>
                </c:pt>
                <c:pt idx="4208">
                  <c:v>0.230743552267603</c:v>
                </c:pt>
                <c:pt idx="4209">
                  <c:v>0.230715667890413</c:v>
                </c:pt>
                <c:pt idx="4210">
                  <c:v>0.341631313592445</c:v>
                </c:pt>
                <c:pt idx="4211">
                  <c:v>0.375721391165834</c:v>
                </c:pt>
                <c:pt idx="4212">
                  <c:v>0.433958341986669</c:v>
                </c:pt>
                <c:pt idx="4213">
                  <c:v>0.432063693717443</c:v>
                </c:pt>
                <c:pt idx="4214">
                  <c:v>0.426282564156166</c:v>
                </c:pt>
                <c:pt idx="4215">
                  <c:v>0.427759065124035</c:v>
                </c:pt>
                <c:pt idx="4216">
                  <c:v>0.429165872609644</c:v>
                </c:pt>
                <c:pt idx="4217">
                  <c:v>0.415109693253434</c:v>
                </c:pt>
                <c:pt idx="4218">
                  <c:v>0.415983179174278</c:v>
                </c:pt>
                <c:pt idx="4219">
                  <c:v>0.435391498919602</c:v>
                </c:pt>
                <c:pt idx="4220">
                  <c:v>0.434525754330959</c:v>
                </c:pt>
                <c:pt idx="4221">
                  <c:v>0.416698585646657</c:v>
                </c:pt>
                <c:pt idx="4222">
                  <c:v>0.415898380548657</c:v>
                </c:pt>
                <c:pt idx="4223">
                  <c:v>0.423430507608374</c:v>
                </c:pt>
                <c:pt idx="4224">
                  <c:v>0.423767914772157</c:v>
                </c:pt>
                <c:pt idx="4225">
                  <c:v>0.447711931252626</c:v>
                </c:pt>
                <c:pt idx="4226">
                  <c:v>0.456923181090539</c:v>
                </c:pt>
                <c:pt idx="4227">
                  <c:v>0.455450178886367</c:v>
                </c:pt>
                <c:pt idx="4228">
                  <c:v>0.455445924719122</c:v>
                </c:pt>
                <c:pt idx="4229">
                  <c:v>0.4617970794747</c:v>
                </c:pt>
                <c:pt idx="4230">
                  <c:v>0.463387209904826</c:v>
                </c:pt>
                <c:pt idx="4231">
                  <c:v>0.458185228675416</c:v>
                </c:pt>
                <c:pt idx="4232">
                  <c:v>0.466654280409301</c:v>
                </c:pt>
                <c:pt idx="4233">
                  <c:v>0.465729186667862</c:v>
                </c:pt>
                <c:pt idx="4234">
                  <c:v>0.465700557415823</c:v>
                </c:pt>
                <c:pt idx="4235">
                  <c:v>0.465493414671149</c:v>
                </c:pt>
                <c:pt idx="4236">
                  <c:v>0.466597053458753</c:v>
                </c:pt>
                <c:pt idx="4237">
                  <c:v>0.486434416164342</c:v>
                </c:pt>
                <c:pt idx="4238">
                  <c:v>0.481916656023257</c:v>
                </c:pt>
                <c:pt idx="4239">
                  <c:v>0.481998912466337</c:v>
                </c:pt>
                <c:pt idx="4240">
                  <c:v>0.45720049145295</c:v>
                </c:pt>
                <c:pt idx="4241">
                  <c:v>0.426773946285064</c:v>
                </c:pt>
                <c:pt idx="4242">
                  <c:v>0.360790363978033</c:v>
                </c:pt>
                <c:pt idx="4243">
                  <c:v>0.41314477235082</c:v>
                </c:pt>
                <c:pt idx="4244">
                  <c:v>0.413436333167173</c:v>
                </c:pt>
                <c:pt idx="4245">
                  <c:v>0.419003351906684</c:v>
                </c:pt>
                <c:pt idx="4246">
                  <c:v>0.41803289822835</c:v>
                </c:pt>
                <c:pt idx="4247">
                  <c:v>0.418648450058742</c:v>
                </c:pt>
                <c:pt idx="4248">
                  <c:v>0.415812396501828</c:v>
                </c:pt>
                <c:pt idx="4249">
                  <c:v>0.399793376975467</c:v>
                </c:pt>
                <c:pt idx="4250">
                  <c:v>0.403310211216536</c:v>
                </c:pt>
                <c:pt idx="4251">
                  <c:v>0.4022734331522</c:v>
                </c:pt>
                <c:pt idx="4252">
                  <c:v>0.401376319865643</c:v>
                </c:pt>
                <c:pt idx="4253">
                  <c:v>0.398780935121122</c:v>
                </c:pt>
                <c:pt idx="4254">
                  <c:v>0.399181875350157</c:v>
                </c:pt>
                <c:pt idx="4255">
                  <c:v>0.364756940442195</c:v>
                </c:pt>
                <c:pt idx="4256">
                  <c:v>0.362389731295587</c:v>
                </c:pt>
                <c:pt idx="4257">
                  <c:v>0.363971378596303</c:v>
                </c:pt>
                <c:pt idx="4258">
                  <c:v>0.364423102574353</c:v>
                </c:pt>
                <c:pt idx="4259">
                  <c:v>0.373245813859256</c:v>
                </c:pt>
                <c:pt idx="4260">
                  <c:v>0.379317095850557</c:v>
                </c:pt>
                <c:pt idx="4261">
                  <c:v>0.380381216250265</c:v>
                </c:pt>
                <c:pt idx="4262">
                  <c:v>0.371362783118576</c:v>
                </c:pt>
                <c:pt idx="4263">
                  <c:v>0.371590902825464</c:v>
                </c:pt>
                <c:pt idx="4264">
                  <c:v>0.382144493603406</c:v>
                </c:pt>
                <c:pt idx="4265">
                  <c:v>0.384426418061295</c:v>
                </c:pt>
                <c:pt idx="4266">
                  <c:v>0.38669591372752</c:v>
                </c:pt>
                <c:pt idx="4267">
                  <c:v>0.366198959339008</c:v>
                </c:pt>
                <c:pt idx="4268">
                  <c:v>0.367737500672593</c:v>
                </c:pt>
                <c:pt idx="4269">
                  <c:v>0.368036391038863</c:v>
                </c:pt>
                <c:pt idx="4270">
                  <c:v>0.311447048416223</c:v>
                </c:pt>
                <c:pt idx="4271">
                  <c:v>0.311269337731228</c:v>
                </c:pt>
                <c:pt idx="4272">
                  <c:v>0.314287789944218</c:v>
                </c:pt>
                <c:pt idx="4273">
                  <c:v>0.23280576813298</c:v>
                </c:pt>
                <c:pt idx="4274">
                  <c:v>0.261761268405072</c:v>
                </c:pt>
                <c:pt idx="4275">
                  <c:v>0.252599821373042</c:v>
                </c:pt>
                <c:pt idx="4276">
                  <c:v>0.252728065684163</c:v>
                </c:pt>
                <c:pt idx="4277">
                  <c:v>0.254007749442067</c:v>
                </c:pt>
                <c:pt idx="4278">
                  <c:v>0.253652552130798</c:v>
                </c:pt>
              </c:numCache>
            </c:numRef>
          </c:yVal>
          <c:smooth val="0"/>
        </c:ser>
        <c:axId val="24606421"/>
        <c:axId val="39934655"/>
      </c:scatterChart>
      <c:valAx>
        <c:axId val="24606421"/>
        <c:scaling>
          <c:orientation val="minMax"/>
          <c:max val="46388"/>
          <c:min val="41822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9934655"/>
        <c:crosses val="autoZero"/>
        <c:crossBetween val="midCat"/>
        <c:majorUnit val="365.25"/>
      </c:valAx>
      <c:valAx>
        <c:axId val="39934655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Annualised volatility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460642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50" spc="-1" strike="noStrike">
                <a:solidFill>
                  <a:srgbClr val="000000"/>
                </a:solidFill>
                <a:latin typeface="Arial"/>
              </a:defRPr>
            </a:pPr>
            <a:r>
              <a:rPr b="1" sz="1050" spc="-1" strike="noStrike">
                <a:solidFill>
                  <a:srgbClr val="000000"/>
                </a:solidFill>
                <a:latin typeface="Arial"/>
              </a:rPr>
              <a:t>Figure 6: Distribution of Bitcoin daily log returns vs normal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Obj2_Volatility!D72</c:f>
              <c:strCache>
                <c:ptCount val="1"/>
                <c:pt idx="0">
                  <c:v>Observed frequency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Obj2_Volatility!$A$73:$A$104</c:f>
              <c:strCache>
                <c:ptCount val="32"/>
                <c:pt idx="0">
                  <c:v>&lt;-15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&gt;15</c:v>
                </c:pt>
              </c:strCache>
            </c:strRef>
          </c:cat>
          <c:val>
            <c:numRef>
              <c:f>Obj2_Volatility!$D$73:$D$104</c:f>
              <c:numCache>
                <c:formatCode>#,##0</c:formatCode>
                <c:ptCount val="32"/>
                <c:pt idx="0">
                  <c:v>8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  <c:pt idx="4">
                  <c:v>12</c:v>
                </c:pt>
                <c:pt idx="5">
                  <c:v>16</c:v>
                </c:pt>
                <c:pt idx="6">
                  <c:v>11</c:v>
                </c:pt>
                <c:pt idx="7">
                  <c:v>18</c:v>
                </c:pt>
                <c:pt idx="8">
                  <c:v>32</c:v>
                </c:pt>
                <c:pt idx="9">
                  <c:v>68</c:v>
                </c:pt>
                <c:pt idx="10">
                  <c:v>60</c:v>
                </c:pt>
                <c:pt idx="11">
                  <c:v>86</c:v>
                </c:pt>
                <c:pt idx="12">
                  <c:v>169</c:v>
                </c:pt>
                <c:pt idx="13">
                  <c:v>264</c:v>
                </c:pt>
                <c:pt idx="14">
                  <c:v>434</c:v>
                </c:pt>
                <c:pt idx="15">
                  <c:v>864</c:v>
                </c:pt>
                <c:pt idx="16">
                  <c:v>823</c:v>
                </c:pt>
                <c:pt idx="17">
                  <c:v>529</c:v>
                </c:pt>
                <c:pt idx="18">
                  <c:v>301</c:v>
                </c:pt>
                <c:pt idx="19">
                  <c:v>181</c:v>
                </c:pt>
                <c:pt idx="20">
                  <c:v>150</c:v>
                </c:pt>
                <c:pt idx="21">
                  <c:v>72</c:v>
                </c:pt>
                <c:pt idx="22">
                  <c:v>58</c:v>
                </c:pt>
                <c:pt idx="23">
                  <c:v>36</c:v>
                </c:pt>
                <c:pt idx="24">
                  <c:v>16</c:v>
                </c:pt>
                <c:pt idx="25">
                  <c:v>31</c:v>
                </c:pt>
                <c:pt idx="26">
                  <c:v>18</c:v>
                </c:pt>
                <c:pt idx="27">
                  <c:v>7</c:v>
                </c:pt>
                <c:pt idx="28">
                  <c:v>6</c:v>
                </c:pt>
                <c:pt idx="29">
                  <c:v>3</c:v>
                </c:pt>
                <c:pt idx="30">
                  <c:v>1</c:v>
                </c:pt>
                <c:pt idx="31">
                  <c:v>7</c:v>
                </c:pt>
              </c:numCache>
            </c:numRef>
          </c:val>
        </c:ser>
        <c:gapWidth val="15"/>
        <c:overlap val="0"/>
        <c:axId val="51804913"/>
        <c:axId val="32966788"/>
      </c:barChart>
      <c:lineChart>
        <c:grouping val="standard"/>
        <c:varyColors val="0"/>
        <c:ser>
          <c:idx val="1"/>
          <c:order val="1"/>
          <c:tx>
            <c:strRef>
              <c:f>Obj2_Volatility!F72</c:f>
              <c:strCache>
                <c:ptCount val="1"/>
                <c:pt idx="0">
                  <c:v>Expected frequency (normal)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Obj2_Volatility!$A$73:$A$104</c:f>
              <c:strCache>
                <c:ptCount val="32"/>
                <c:pt idx="0">
                  <c:v>&lt;-15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&gt;15</c:v>
                </c:pt>
              </c:strCache>
            </c:strRef>
          </c:cat>
          <c:val>
            <c:numRef>
              <c:f>Obj2_Volatility!$F$73:$F$104</c:f>
              <c:numCache>
                <c:formatCode>#,##0.0</c:formatCode>
                <c:ptCount val="32"/>
                <c:pt idx="0">
                  <c:v>0.025520220198149</c:v>
                </c:pt>
                <c:pt idx="1">
                  <c:v>0.0669721485859287</c:v>
                </c:pt>
                <c:pt idx="2">
                  <c:v>0.216971649159833</c:v>
                </c:pt>
                <c:pt idx="3">
                  <c:v>0.646829668867632</c:v>
                </c:pt>
                <c:pt idx="4">
                  <c:v>1.77442303310776</c:v>
                </c:pt>
                <c:pt idx="5">
                  <c:v>4.47926407719225</c:v>
                </c:pt>
                <c:pt idx="6">
                  <c:v>10.4049565164355</c:v>
                </c:pt>
                <c:pt idx="7">
                  <c:v>22.2412741111055</c:v>
                </c:pt>
                <c:pt idx="8">
                  <c:v>43.7488241544695</c:v>
                </c:pt>
                <c:pt idx="9">
                  <c:v>79.1884458984298</c:v>
                </c:pt>
                <c:pt idx="10">
                  <c:v>131.900727509057</c:v>
                </c:pt>
                <c:pt idx="11">
                  <c:v>202.173187290782</c:v>
                </c:pt>
                <c:pt idx="12">
                  <c:v>285.16210585409</c:v>
                </c:pt>
                <c:pt idx="13">
                  <c:v>370.12862980726</c:v>
                </c:pt>
                <c:pt idx="14">
                  <c:v>442.085943900367</c:v>
                </c:pt>
                <c:pt idx="15">
                  <c:v>485.908247760318</c:v>
                </c:pt>
                <c:pt idx="16">
                  <c:v>491.468369145709</c:v>
                </c:pt>
                <c:pt idx="17">
                  <c:v>457.436309512965</c:v>
                </c:pt>
                <c:pt idx="18">
                  <c:v>391.795375588864</c:v>
                </c:pt>
                <c:pt idx="19">
                  <c:v>308.802820438803</c:v>
                </c:pt>
                <c:pt idx="20">
                  <c:v>223.973166297892</c:v>
                </c:pt>
                <c:pt idx="21">
                  <c:v>149.486792755987</c:v>
                </c:pt>
                <c:pt idx="22">
                  <c:v>91.8123102639992</c:v>
                </c:pt>
                <c:pt idx="23">
                  <c:v>51.8906665884804</c:v>
                </c:pt>
                <c:pt idx="24">
                  <c:v>26.987748065596</c:v>
                </c:pt>
                <c:pt idx="25">
                  <c:v>12.9161109962446</c:v>
                </c:pt>
                <c:pt idx="26">
                  <c:v>5.68830817021979</c:v>
                </c:pt>
                <c:pt idx="27">
                  <c:v>2.30525537514289</c:v>
                </c:pt>
                <c:pt idx="28">
                  <c:v>0.859681840359877</c:v>
                </c:pt>
                <c:pt idx="29">
                  <c:v>0.295010388035483</c:v>
                </c:pt>
                <c:pt idx="30">
                  <c:v>0.0931570310110228</c:v>
                </c:pt>
                <c:pt idx="31">
                  <c:v>0.0365939412651715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804913"/>
        <c:axId val="32966788"/>
      </c:lineChart>
      <c:catAx>
        <c:axId val="518049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Daily log return, % (bin lower bound; 1-point bins)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2966788"/>
        <c:crosses val="autoZero"/>
        <c:auto val="1"/>
        <c:lblAlgn val="ctr"/>
        <c:lblOffset val="100"/>
        <c:noMultiLvlLbl val="0"/>
      </c:catAx>
      <c:valAx>
        <c:axId val="329667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Number of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18049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50" spc="-1" strike="noStrike">
                <a:solidFill>
                  <a:srgbClr val="000000"/>
                </a:solidFill>
                <a:latin typeface="Arial"/>
              </a:defRPr>
            </a:pPr>
            <a:r>
              <a:rPr b="1" sz="1050" spc="-1" strike="noStrike">
                <a:solidFill>
                  <a:srgbClr val="000000"/>
                </a:solidFill>
                <a:latin typeface="Arial"/>
              </a:rPr>
              <a:t>Figure 7: Bitcoin drawdown from running all-time high, Dec 2014 - Oct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"Drawdown from running peak"</c:f>
              <c:strCache>
                <c:ptCount val="1"/>
                <c:pt idx="0">
                  <c:v>Drawdown from running peak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Clean_Data!$A$2:$A$4314</c:f>
              <c:numCache>
                <c:formatCode>dd\-mmm\-yyyy</c:formatCode>
                <c:ptCount val="4313"/>
                <c:pt idx="0">
                  <c:v>41974</c:v>
                </c:pt>
                <c:pt idx="1">
                  <c:v>41975</c:v>
                </c:pt>
                <c:pt idx="2">
                  <c:v>41976</c:v>
                </c:pt>
                <c:pt idx="3">
                  <c:v>41977</c:v>
                </c:pt>
                <c:pt idx="4">
                  <c:v>41979</c:v>
                </c:pt>
                <c:pt idx="5">
                  <c:v>41981</c:v>
                </c:pt>
                <c:pt idx="6">
                  <c:v>41983</c:v>
                </c:pt>
                <c:pt idx="7">
                  <c:v>41985</c:v>
                </c:pt>
                <c:pt idx="8">
                  <c:v>41991</c:v>
                </c:pt>
                <c:pt idx="9">
                  <c:v>42012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42023</c:v>
                </c:pt>
                <c:pt idx="16">
                  <c:v>42024</c:v>
                </c:pt>
                <c:pt idx="17">
                  <c:v>42025</c:v>
                </c:pt>
                <c:pt idx="18">
                  <c:v>42026</c:v>
                </c:pt>
                <c:pt idx="19">
                  <c:v>42027</c:v>
                </c:pt>
                <c:pt idx="20">
                  <c:v>42028</c:v>
                </c:pt>
                <c:pt idx="21">
                  <c:v>42029</c:v>
                </c:pt>
                <c:pt idx="22">
                  <c:v>42030</c:v>
                </c:pt>
                <c:pt idx="23">
                  <c:v>42031</c:v>
                </c:pt>
                <c:pt idx="24">
                  <c:v>42032</c:v>
                </c:pt>
                <c:pt idx="25">
                  <c:v>42033</c:v>
                </c:pt>
                <c:pt idx="26">
                  <c:v>42034</c:v>
                </c:pt>
                <c:pt idx="27">
                  <c:v>42035</c:v>
                </c:pt>
                <c:pt idx="28">
                  <c:v>42036</c:v>
                </c:pt>
                <c:pt idx="29">
                  <c:v>42037</c:v>
                </c:pt>
                <c:pt idx="30">
                  <c:v>42038</c:v>
                </c:pt>
                <c:pt idx="31">
                  <c:v>42039</c:v>
                </c:pt>
                <c:pt idx="32">
                  <c:v>42040</c:v>
                </c:pt>
                <c:pt idx="33">
                  <c:v>42041</c:v>
                </c:pt>
                <c:pt idx="34">
                  <c:v>42042</c:v>
                </c:pt>
                <c:pt idx="35">
                  <c:v>42043</c:v>
                </c:pt>
                <c:pt idx="36">
                  <c:v>42044</c:v>
                </c:pt>
                <c:pt idx="37">
                  <c:v>42045</c:v>
                </c:pt>
                <c:pt idx="38">
                  <c:v>42046</c:v>
                </c:pt>
                <c:pt idx="39">
                  <c:v>42047</c:v>
                </c:pt>
                <c:pt idx="40">
                  <c:v>42048</c:v>
                </c:pt>
                <c:pt idx="41">
                  <c:v>42049</c:v>
                </c:pt>
                <c:pt idx="42">
                  <c:v>42050</c:v>
                </c:pt>
                <c:pt idx="43">
                  <c:v>42051</c:v>
                </c:pt>
                <c:pt idx="44">
                  <c:v>42052</c:v>
                </c:pt>
                <c:pt idx="45">
                  <c:v>42053</c:v>
                </c:pt>
                <c:pt idx="46">
                  <c:v>42054</c:v>
                </c:pt>
                <c:pt idx="47">
                  <c:v>42055</c:v>
                </c:pt>
                <c:pt idx="48">
                  <c:v>42056</c:v>
                </c:pt>
                <c:pt idx="49">
                  <c:v>42057</c:v>
                </c:pt>
                <c:pt idx="50">
                  <c:v>42058</c:v>
                </c:pt>
                <c:pt idx="51">
                  <c:v>42059</c:v>
                </c:pt>
                <c:pt idx="52">
                  <c:v>42060</c:v>
                </c:pt>
                <c:pt idx="53">
                  <c:v>42061</c:v>
                </c:pt>
                <c:pt idx="54">
                  <c:v>42062</c:v>
                </c:pt>
                <c:pt idx="55">
                  <c:v>42063</c:v>
                </c:pt>
                <c:pt idx="56">
                  <c:v>42064</c:v>
                </c:pt>
                <c:pt idx="57">
                  <c:v>42065</c:v>
                </c:pt>
                <c:pt idx="58">
                  <c:v>42066</c:v>
                </c:pt>
                <c:pt idx="59">
                  <c:v>42067</c:v>
                </c:pt>
                <c:pt idx="60">
                  <c:v>42068</c:v>
                </c:pt>
                <c:pt idx="61">
                  <c:v>42069</c:v>
                </c:pt>
                <c:pt idx="62">
                  <c:v>42070</c:v>
                </c:pt>
                <c:pt idx="63">
                  <c:v>42071</c:v>
                </c:pt>
                <c:pt idx="64">
                  <c:v>42072</c:v>
                </c:pt>
                <c:pt idx="65">
                  <c:v>42073</c:v>
                </c:pt>
                <c:pt idx="66">
                  <c:v>42074</c:v>
                </c:pt>
                <c:pt idx="67">
                  <c:v>42075</c:v>
                </c:pt>
                <c:pt idx="68">
                  <c:v>42076</c:v>
                </c:pt>
                <c:pt idx="69">
                  <c:v>42077</c:v>
                </c:pt>
                <c:pt idx="70">
                  <c:v>42078</c:v>
                </c:pt>
                <c:pt idx="71">
                  <c:v>42079</c:v>
                </c:pt>
                <c:pt idx="72">
                  <c:v>42080</c:v>
                </c:pt>
                <c:pt idx="73">
                  <c:v>42081</c:v>
                </c:pt>
                <c:pt idx="74">
                  <c:v>42082</c:v>
                </c:pt>
                <c:pt idx="75">
                  <c:v>42083</c:v>
                </c:pt>
                <c:pt idx="76">
                  <c:v>42084</c:v>
                </c:pt>
                <c:pt idx="77">
                  <c:v>42085</c:v>
                </c:pt>
                <c:pt idx="78">
                  <c:v>42086</c:v>
                </c:pt>
                <c:pt idx="79">
                  <c:v>42087</c:v>
                </c:pt>
                <c:pt idx="80">
                  <c:v>42088</c:v>
                </c:pt>
                <c:pt idx="81">
                  <c:v>42089</c:v>
                </c:pt>
                <c:pt idx="82">
                  <c:v>42090</c:v>
                </c:pt>
                <c:pt idx="83">
                  <c:v>42091</c:v>
                </c:pt>
                <c:pt idx="84">
                  <c:v>42092</c:v>
                </c:pt>
                <c:pt idx="85">
                  <c:v>42093</c:v>
                </c:pt>
                <c:pt idx="86">
                  <c:v>42094</c:v>
                </c:pt>
                <c:pt idx="87">
                  <c:v>42095</c:v>
                </c:pt>
                <c:pt idx="88">
                  <c:v>42096</c:v>
                </c:pt>
                <c:pt idx="89">
                  <c:v>42097</c:v>
                </c:pt>
                <c:pt idx="90">
                  <c:v>42098</c:v>
                </c:pt>
                <c:pt idx="91">
                  <c:v>42099</c:v>
                </c:pt>
                <c:pt idx="92">
                  <c:v>42100</c:v>
                </c:pt>
                <c:pt idx="93">
                  <c:v>42101</c:v>
                </c:pt>
                <c:pt idx="94">
                  <c:v>42102</c:v>
                </c:pt>
                <c:pt idx="95">
                  <c:v>42103</c:v>
                </c:pt>
                <c:pt idx="96">
                  <c:v>42104</c:v>
                </c:pt>
                <c:pt idx="97">
                  <c:v>42105</c:v>
                </c:pt>
                <c:pt idx="98">
                  <c:v>42106</c:v>
                </c:pt>
                <c:pt idx="99">
                  <c:v>42107</c:v>
                </c:pt>
                <c:pt idx="100">
                  <c:v>42108</c:v>
                </c:pt>
                <c:pt idx="101">
                  <c:v>42109</c:v>
                </c:pt>
                <c:pt idx="102">
                  <c:v>42110</c:v>
                </c:pt>
                <c:pt idx="103">
                  <c:v>42111</c:v>
                </c:pt>
                <c:pt idx="104">
                  <c:v>42112</c:v>
                </c:pt>
                <c:pt idx="105">
                  <c:v>42113</c:v>
                </c:pt>
                <c:pt idx="106">
                  <c:v>42114</c:v>
                </c:pt>
                <c:pt idx="107">
                  <c:v>42115</c:v>
                </c:pt>
                <c:pt idx="108">
                  <c:v>42116</c:v>
                </c:pt>
                <c:pt idx="109">
                  <c:v>42117</c:v>
                </c:pt>
                <c:pt idx="110">
                  <c:v>42118</c:v>
                </c:pt>
                <c:pt idx="111">
                  <c:v>42119</c:v>
                </c:pt>
                <c:pt idx="112">
                  <c:v>42120</c:v>
                </c:pt>
                <c:pt idx="113">
                  <c:v>42121</c:v>
                </c:pt>
                <c:pt idx="114">
                  <c:v>42122</c:v>
                </c:pt>
                <c:pt idx="115">
                  <c:v>42123</c:v>
                </c:pt>
                <c:pt idx="116">
                  <c:v>42124</c:v>
                </c:pt>
                <c:pt idx="117">
                  <c:v>42125</c:v>
                </c:pt>
                <c:pt idx="118">
                  <c:v>42126</c:v>
                </c:pt>
                <c:pt idx="119">
                  <c:v>42127</c:v>
                </c:pt>
                <c:pt idx="120">
                  <c:v>42128</c:v>
                </c:pt>
                <c:pt idx="121">
                  <c:v>42129</c:v>
                </c:pt>
                <c:pt idx="122">
                  <c:v>42130</c:v>
                </c:pt>
                <c:pt idx="123">
                  <c:v>42131</c:v>
                </c:pt>
                <c:pt idx="124">
                  <c:v>42132</c:v>
                </c:pt>
                <c:pt idx="125">
                  <c:v>42133</c:v>
                </c:pt>
                <c:pt idx="126">
                  <c:v>42134</c:v>
                </c:pt>
                <c:pt idx="127">
                  <c:v>42135</c:v>
                </c:pt>
                <c:pt idx="128">
                  <c:v>42136</c:v>
                </c:pt>
                <c:pt idx="129">
                  <c:v>42137</c:v>
                </c:pt>
                <c:pt idx="130">
                  <c:v>42138</c:v>
                </c:pt>
                <c:pt idx="131">
                  <c:v>42139</c:v>
                </c:pt>
                <c:pt idx="132">
                  <c:v>42140</c:v>
                </c:pt>
                <c:pt idx="133">
                  <c:v>42141</c:v>
                </c:pt>
                <c:pt idx="134">
                  <c:v>42142</c:v>
                </c:pt>
                <c:pt idx="135">
                  <c:v>42143</c:v>
                </c:pt>
                <c:pt idx="136">
                  <c:v>42144</c:v>
                </c:pt>
                <c:pt idx="137">
                  <c:v>42145</c:v>
                </c:pt>
                <c:pt idx="138">
                  <c:v>42146</c:v>
                </c:pt>
                <c:pt idx="139">
                  <c:v>42147</c:v>
                </c:pt>
                <c:pt idx="140">
                  <c:v>42148</c:v>
                </c:pt>
                <c:pt idx="141">
                  <c:v>42149</c:v>
                </c:pt>
                <c:pt idx="142">
                  <c:v>42150</c:v>
                </c:pt>
                <c:pt idx="143">
                  <c:v>42151</c:v>
                </c:pt>
                <c:pt idx="144">
                  <c:v>42152</c:v>
                </c:pt>
                <c:pt idx="145">
                  <c:v>42153</c:v>
                </c:pt>
                <c:pt idx="146">
                  <c:v>42154</c:v>
                </c:pt>
                <c:pt idx="147">
                  <c:v>42155</c:v>
                </c:pt>
                <c:pt idx="148">
                  <c:v>42156</c:v>
                </c:pt>
                <c:pt idx="149">
                  <c:v>42157</c:v>
                </c:pt>
                <c:pt idx="150">
                  <c:v>42158</c:v>
                </c:pt>
                <c:pt idx="151">
                  <c:v>42159</c:v>
                </c:pt>
                <c:pt idx="152">
                  <c:v>42160</c:v>
                </c:pt>
                <c:pt idx="153">
                  <c:v>42161</c:v>
                </c:pt>
                <c:pt idx="154">
                  <c:v>42162</c:v>
                </c:pt>
                <c:pt idx="155">
                  <c:v>42163</c:v>
                </c:pt>
                <c:pt idx="156">
                  <c:v>42164</c:v>
                </c:pt>
                <c:pt idx="157">
                  <c:v>42165</c:v>
                </c:pt>
                <c:pt idx="158">
                  <c:v>42166</c:v>
                </c:pt>
                <c:pt idx="159">
                  <c:v>42167</c:v>
                </c:pt>
                <c:pt idx="160">
                  <c:v>42168</c:v>
                </c:pt>
                <c:pt idx="161">
                  <c:v>42169</c:v>
                </c:pt>
                <c:pt idx="162">
                  <c:v>42170</c:v>
                </c:pt>
                <c:pt idx="163">
                  <c:v>42171</c:v>
                </c:pt>
                <c:pt idx="164">
                  <c:v>42172</c:v>
                </c:pt>
                <c:pt idx="165">
                  <c:v>42173</c:v>
                </c:pt>
                <c:pt idx="166">
                  <c:v>42174</c:v>
                </c:pt>
                <c:pt idx="167">
                  <c:v>42175</c:v>
                </c:pt>
                <c:pt idx="168">
                  <c:v>42176</c:v>
                </c:pt>
                <c:pt idx="169">
                  <c:v>42177</c:v>
                </c:pt>
                <c:pt idx="170">
                  <c:v>42178</c:v>
                </c:pt>
                <c:pt idx="171">
                  <c:v>42179</c:v>
                </c:pt>
                <c:pt idx="172">
                  <c:v>42180</c:v>
                </c:pt>
                <c:pt idx="173">
                  <c:v>42181</c:v>
                </c:pt>
                <c:pt idx="174">
                  <c:v>42182</c:v>
                </c:pt>
                <c:pt idx="175">
                  <c:v>42183</c:v>
                </c:pt>
                <c:pt idx="176">
                  <c:v>42184</c:v>
                </c:pt>
                <c:pt idx="177">
                  <c:v>42185</c:v>
                </c:pt>
                <c:pt idx="178">
                  <c:v>42186</c:v>
                </c:pt>
                <c:pt idx="179">
                  <c:v>42187</c:v>
                </c:pt>
                <c:pt idx="180">
                  <c:v>42188</c:v>
                </c:pt>
                <c:pt idx="181">
                  <c:v>42189</c:v>
                </c:pt>
                <c:pt idx="182">
                  <c:v>42190</c:v>
                </c:pt>
                <c:pt idx="183">
                  <c:v>42191</c:v>
                </c:pt>
                <c:pt idx="184">
                  <c:v>42192</c:v>
                </c:pt>
                <c:pt idx="185">
                  <c:v>42193</c:v>
                </c:pt>
                <c:pt idx="186">
                  <c:v>42194</c:v>
                </c:pt>
                <c:pt idx="187">
                  <c:v>42195</c:v>
                </c:pt>
                <c:pt idx="188">
                  <c:v>42196</c:v>
                </c:pt>
                <c:pt idx="189">
                  <c:v>42197</c:v>
                </c:pt>
                <c:pt idx="190">
                  <c:v>42198</c:v>
                </c:pt>
                <c:pt idx="191">
                  <c:v>42199</c:v>
                </c:pt>
                <c:pt idx="192">
                  <c:v>42200</c:v>
                </c:pt>
                <c:pt idx="193">
                  <c:v>42201</c:v>
                </c:pt>
                <c:pt idx="194">
                  <c:v>42202</c:v>
                </c:pt>
                <c:pt idx="195">
                  <c:v>42203</c:v>
                </c:pt>
                <c:pt idx="196">
                  <c:v>42204</c:v>
                </c:pt>
                <c:pt idx="197">
                  <c:v>42205</c:v>
                </c:pt>
                <c:pt idx="198">
                  <c:v>42206</c:v>
                </c:pt>
                <c:pt idx="199">
                  <c:v>42207</c:v>
                </c:pt>
                <c:pt idx="200">
                  <c:v>42208</c:v>
                </c:pt>
                <c:pt idx="201">
                  <c:v>42209</c:v>
                </c:pt>
                <c:pt idx="202">
                  <c:v>42210</c:v>
                </c:pt>
                <c:pt idx="203">
                  <c:v>42211</c:v>
                </c:pt>
                <c:pt idx="204">
                  <c:v>42212</c:v>
                </c:pt>
                <c:pt idx="205">
                  <c:v>42213</c:v>
                </c:pt>
                <c:pt idx="206">
                  <c:v>42214</c:v>
                </c:pt>
                <c:pt idx="207">
                  <c:v>42215</c:v>
                </c:pt>
                <c:pt idx="208">
                  <c:v>42216</c:v>
                </c:pt>
                <c:pt idx="209">
                  <c:v>42217</c:v>
                </c:pt>
                <c:pt idx="210">
                  <c:v>42218</c:v>
                </c:pt>
                <c:pt idx="211">
                  <c:v>42219</c:v>
                </c:pt>
                <c:pt idx="212">
                  <c:v>42220</c:v>
                </c:pt>
                <c:pt idx="213">
                  <c:v>42221</c:v>
                </c:pt>
                <c:pt idx="214">
                  <c:v>42222</c:v>
                </c:pt>
                <c:pt idx="215">
                  <c:v>42223</c:v>
                </c:pt>
                <c:pt idx="216">
                  <c:v>42224</c:v>
                </c:pt>
                <c:pt idx="217">
                  <c:v>42225</c:v>
                </c:pt>
                <c:pt idx="218">
                  <c:v>42226</c:v>
                </c:pt>
                <c:pt idx="219">
                  <c:v>42227</c:v>
                </c:pt>
                <c:pt idx="220">
                  <c:v>42228</c:v>
                </c:pt>
                <c:pt idx="221">
                  <c:v>42229</c:v>
                </c:pt>
                <c:pt idx="222">
                  <c:v>42230</c:v>
                </c:pt>
                <c:pt idx="223">
                  <c:v>42231</c:v>
                </c:pt>
                <c:pt idx="224">
                  <c:v>42232</c:v>
                </c:pt>
                <c:pt idx="225">
                  <c:v>42233</c:v>
                </c:pt>
                <c:pt idx="226">
                  <c:v>42234</c:v>
                </c:pt>
                <c:pt idx="227">
                  <c:v>42235</c:v>
                </c:pt>
                <c:pt idx="228">
                  <c:v>42236</c:v>
                </c:pt>
                <c:pt idx="229">
                  <c:v>42237</c:v>
                </c:pt>
                <c:pt idx="230">
                  <c:v>42238</c:v>
                </c:pt>
                <c:pt idx="231">
                  <c:v>42239</c:v>
                </c:pt>
                <c:pt idx="232">
                  <c:v>42240</c:v>
                </c:pt>
                <c:pt idx="233">
                  <c:v>42241</c:v>
                </c:pt>
                <c:pt idx="234">
                  <c:v>42242</c:v>
                </c:pt>
                <c:pt idx="235">
                  <c:v>42243</c:v>
                </c:pt>
                <c:pt idx="236">
                  <c:v>42244</c:v>
                </c:pt>
                <c:pt idx="237">
                  <c:v>42245</c:v>
                </c:pt>
                <c:pt idx="238">
                  <c:v>42246</c:v>
                </c:pt>
                <c:pt idx="239">
                  <c:v>42247</c:v>
                </c:pt>
                <c:pt idx="240">
                  <c:v>42248</c:v>
                </c:pt>
                <c:pt idx="241">
                  <c:v>42249</c:v>
                </c:pt>
                <c:pt idx="242">
                  <c:v>42250</c:v>
                </c:pt>
                <c:pt idx="243">
                  <c:v>42251</c:v>
                </c:pt>
                <c:pt idx="244">
                  <c:v>42252</c:v>
                </c:pt>
                <c:pt idx="245">
                  <c:v>42253</c:v>
                </c:pt>
                <c:pt idx="246">
                  <c:v>42254</c:v>
                </c:pt>
                <c:pt idx="247">
                  <c:v>42255</c:v>
                </c:pt>
                <c:pt idx="248">
                  <c:v>42256</c:v>
                </c:pt>
                <c:pt idx="249">
                  <c:v>42257</c:v>
                </c:pt>
                <c:pt idx="250">
                  <c:v>42258</c:v>
                </c:pt>
                <c:pt idx="251">
                  <c:v>42259</c:v>
                </c:pt>
                <c:pt idx="252">
                  <c:v>42260</c:v>
                </c:pt>
                <c:pt idx="253">
                  <c:v>42261</c:v>
                </c:pt>
                <c:pt idx="254">
                  <c:v>42262</c:v>
                </c:pt>
                <c:pt idx="255">
                  <c:v>42263</c:v>
                </c:pt>
                <c:pt idx="256">
                  <c:v>42264</c:v>
                </c:pt>
                <c:pt idx="257">
                  <c:v>42265</c:v>
                </c:pt>
                <c:pt idx="258">
                  <c:v>42266</c:v>
                </c:pt>
                <c:pt idx="259">
                  <c:v>42267</c:v>
                </c:pt>
                <c:pt idx="260">
                  <c:v>42268</c:v>
                </c:pt>
                <c:pt idx="261">
                  <c:v>42269</c:v>
                </c:pt>
                <c:pt idx="262">
                  <c:v>42270</c:v>
                </c:pt>
                <c:pt idx="263">
                  <c:v>42271</c:v>
                </c:pt>
                <c:pt idx="264">
                  <c:v>42272</c:v>
                </c:pt>
                <c:pt idx="265">
                  <c:v>42273</c:v>
                </c:pt>
                <c:pt idx="266">
                  <c:v>42274</c:v>
                </c:pt>
                <c:pt idx="267">
                  <c:v>42275</c:v>
                </c:pt>
                <c:pt idx="268">
                  <c:v>42276</c:v>
                </c:pt>
                <c:pt idx="269">
                  <c:v>42277</c:v>
                </c:pt>
                <c:pt idx="270">
                  <c:v>42278</c:v>
                </c:pt>
                <c:pt idx="271">
                  <c:v>42279</c:v>
                </c:pt>
                <c:pt idx="272">
                  <c:v>42280</c:v>
                </c:pt>
                <c:pt idx="273">
                  <c:v>42281</c:v>
                </c:pt>
                <c:pt idx="274">
                  <c:v>42282</c:v>
                </c:pt>
                <c:pt idx="275">
                  <c:v>42283</c:v>
                </c:pt>
                <c:pt idx="276">
                  <c:v>42284</c:v>
                </c:pt>
                <c:pt idx="277">
                  <c:v>42285</c:v>
                </c:pt>
                <c:pt idx="278">
                  <c:v>42286</c:v>
                </c:pt>
                <c:pt idx="279">
                  <c:v>42287</c:v>
                </c:pt>
                <c:pt idx="280">
                  <c:v>42288</c:v>
                </c:pt>
                <c:pt idx="281">
                  <c:v>42289</c:v>
                </c:pt>
                <c:pt idx="282">
                  <c:v>42290</c:v>
                </c:pt>
                <c:pt idx="283">
                  <c:v>42291</c:v>
                </c:pt>
                <c:pt idx="284">
                  <c:v>42292</c:v>
                </c:pt>
                <c:pt idx="285">
                  <c:v>42293</c:v>
                </c:pt>
                <c:pt idx="286">
                  <c:v>42294</c:v>
                </c:pt>
                <c:pt idx="287">
                  <c:v>42295</c:v>
                </c:pt>
                <c:pt idx="288">
                  <c:v>42296</c:v>
                </c:pt>
                <c:pt idx="289">
                  <c:v>42297</c:v>
                </c:pt>
                <c:pt idx="290">
                  <c:v>42298</c:v>
                </c:pt>
                <c:pt idx="291">
                  <c:v>42299</c:v>
                </c:pt>
                <c:pt idx="292">
                  <c:v>42300</c:v>
                </c:pt>
                <c:pt idx="293">
                  <c:v>42301</c:v>
                </c:pt>
                <c:pt idx="294">
                  <c:v>42302</c:v>
                </c:pt>
                <c:pt idx="295">
                  <c:v>42303</c:v>
                </c:pt>
                <c:pt idx="296">
                  <c:v>42304</c:v>
                </c:pt>
                <c:pt idx="297">
                  <c:v>42305</c:v>
                </c:pt>
                <c:pt idx="298">
                  <c:v>42306</c:v>
                </c:pt>
                <c:pt idx="299">
                  <c:v>42307</c:v>
                </c:pt>
                <c:pt idx="300">
                  <c:v>42308</c:v>
                </c:pt>
                <c:pt idx="301">
                  <c:v>42309</c:v>
                </c:pt>
                <c:pt idx="302">
                  <c:v>42310</c:v>
                </c:pt>
                <c:pt idx="303">
                  <c:v>42311</c:v>
                </c:pt>
                <c:pt idx="304">
                  <c:v>42312</c:v>
                </c:pt>
                <c:pt idx="305">
                  <c:v>42313</c:v>
                </c:pt>
                <c:pt idx="306">
                  <c:v>42314</c:v>
                </c:pt>
                <c:pt idx="307">
                  <c:v>42315</c:v>
                </c:pt>
                <c:pt idx="308">
                  <c:v>42316</c:v>
                </c:pt>
                <c:pt idx="309">
                  <c:v>42317</c:v>
                </c:pt>
                <c:pt idx="310">
                  <c:v>42318</c:v>
                </c:pt>
                <c:pt idx="311">
                  <c:v>42319</c:v>
                </c:pt>
                <c:pt idx="312">
                  <c:v>42320</c:v>
                </c:pt>
                <c:pt idx="313">
                  <c:v>42321</c:v>
                </c:pt>
                <c:pt idx="314">
                  <c:v>42322</c:v>
                </c:pt>
                <c:pt idx="315">
                  <c:v>42323</c:v>
                </c:pt>
                <c:pt idx="316">
                  <c:v>42324</c:v>
                </c:pt>
                <c:pt idx="317">
                  <c:v>42325</c:v>
                </c:pt>
                <c:pt idx="318">
                  <c:v>42326</c:v>
                </c:pt>
                <c:pt idx="319">
                  <c:v>42327</c:v>
                </c:pt>
                <c:pt idx="320">
                  <c:v>42328</c:v>
                </c:pt>
                <c:pt idx="321">
                  <c:v>42329</c:v>
                </c:pt>
                <c:pt idx="322">
                  <c:v>42330</c:v>
                </c:pt>
                <c:pt idx="323">
                  <c:v>42331</c:v>
                </c:pt>
                <c:pt idx="324">
                  <c:v>42332</c:v>
                </c:pt>
                <c:pt idx="325">
                  <c:v>42333</c:v>
                </c:pt>
                <c:pt idx="326">
                  <c:v>42334</c:v>
                </c:pt>
                <c:pt idx="327">
                  <c:v>42335</c:v>
                </c:pt>
                <c:pt idx="328">
                  <c:v>42336</c:v>
                </c:pt>
                <c:pt idx="329">
                  <c:v>42337</c:v>
                </c:pt>
                <c:pt idx="330">
                  <c:v>42338</c:v>
                </c:pt>
                <c:pt idx="331">
                  <c:v>42339</c:v>
                </c:pt>
                <c:pt idx="332">
                  <c:v>42340</c:v>
                </c:pt>
                <c:pt idx="333">
                  <c:v>42341</c:v>
                </c:pt>
                <c:pt idx="334">
                  <c:v>42342</c:v>
                </c:pt>
                <c:pt idx="335">
                  <c:v>42343</c:v>
                </c:pt>
                <c:pt idx="336">
                  <c:v>42344</c:v>
                </c:pt>
                <c:pt idx="337">
                  <c:v>42345</c:v>
                </c:pt>
                <c:pt idx="338">
                  <c:v>42346</c:v>
                </c:pt>
                <c:pt idx="339">
                  <c:v>42347</c:v>
                </c:pt>
                <c:pt idx="340">
                  <c:v>42348</c:v>
                </c:pt>
                <c:pt idx="341">
                  <c:v>42349</c:v>
                </c:pt>
                <c:pt idx="342">
                  <c:v>42350</c:v>
                </c:pt>
                <c:pt idx="343">
                  <c:v>42351</c:v>
                </c:pt>
                <c:pt idx="344">
                  <c:v>42352</c:v>
                </c:pt>
                <c:pt idx="345">
                  <c:v>42353</c:v>
                </c:pt>
                <c:pt idx="346">
                  <c:v>42354</c:v>
                </c:pt>
                <c:pt idx="347">
                  <c:v>42355</c:v>
                </c:pt>
                <c:pt idx="348">
                  <c:v>42356</c:v>
                </c:pt>
                <c:pt idx="349">
                  <c:v>42357</c:v>
                </c:pt>
                <c:pt idx="350">
                  <c:v>42358</c:v>
                </c:pt>
                <c:pt idx="351">
                  <c:v>42359</c:v>
                </c:pt>
                <c:pt idx="352">
                  <c:v>42360</c:v>
                </c:pt>
                <c:pt idx="353">
                  <c:v>42361</c:v>
                </c:pt>
                <c:pt idx="354">
                  <c:v>42362</c:v>
                </c:pt>
                <c:pt idx="355">
                  <c:v>42363</c:v>
                </c:pt>
                <c:pt idx="356">
                  <c:v>42364</c:v>
                </c:pt>
                <c:pt idx="357">
                  <c:v>42365</c:v>
                </c:pt>
                <c:pt idx="358">
                  <c:v>42366</c:v>
                </c:pt>
                <c:pt idx="359">
                  <c:v>42367</c:v>
                </c:pt>
                <c:pt idx="360">
                  <c:v>42368</c:v>
                </c:pt>
                <c:pt idx="361">
                  <c:v>42369</c:v>
                </c:pt>
                <c:pt idx="362">
                  <c:v>42370</c:v>
                </c:pt>
                <c:pt idx="363">
                  <c:v>42371</c:v>
                </c:pt>
                <c:pt idx="364">
                  <c:v>42372</c:v>
                </c:pt>
                <c:pt idx="365">
                  <c:v>42373</c:v>
                </c:pt>
                <c:pt idx="366">
                  <c:v>42374</c:v>
                </c:pt>
                <c:pt idx="367">
                  <c:v>42375</c:v>
                </c:pt>
                <c:pt idx="368">
                  <c:v>42376</c:v>
                </c:pt>
                <c:pt idx="369">
                  <c:v>42377</c:v>
                </c:pt>
                <c:pt idx="370">
                  <c:v>42378</c:v>
                </c:pt>
                <c:pt idx="371">
                  <c:v>42379</c:v>
                </c:pt>
                <c:pt idx="372">
                  <c:v>42380</c:v>
                </c:pt>
                <c:pt idx="373">
                  <c:v>42381</c:v>
                </c:pt>
                <c:pt idx="374">
                  <c:v>42382</c:v>
                </c:pt>
                <c:pt idx="375">
                  <c:v>42383</c:v>
                </c:pt>
                <c:pt idx="376">
                  <c:v>42384</c:v>
                </c:pt>
                <c:pt idx="377">
                  <c:v>42385</c:v>
                </c:pt>
                <c:pt idx="378">
                  <c:v>42386</c:v>
                </c:pt>
                <c:pt idx="379">
                  <c:v>42387</c:v>
                </c:pt>
                <c:pt idx="380">
                  <c:v>42388</c:v>
                </c:pt>
                <c:pt idx="381">
                  <c:v>42389</c:v>
                </c:pt>
                <c:pt idx="382">
                  <c:v>42390</c:v>
                </c:pt>
                <c:pt idx="383">
                  <c:v>42391</c:v>
                </c:pt>
                <c:pt idx="384">
                  <c:v>42392</c:v>
                </c:pt>
                <c:pt idx="385">
                  <c:v>42393</c:v>
                </c:pt>
                <c:pt idx="386">
                  <c:v>42394</c:v>
                </c:pt>
                <c:pt idx="387">
                  <c:v>42395</c:v>
                </c:pt>
                <c:pt idx="388">
                  <c:v>42396</c:v>
                </c:pt>
                <c:pt idx="389">
                  <c:v>42397</c:v>
                </c:pt>
                <c:pt idx="390">
                  <c:v>42398</c:v>
                </c:pt>
                <c:pt idx="391">
                  <c:v>42399</c:v>
                </c:pt>
                <c:pt idx="392">
                  <c:v>42400</c:v>
                </c:pt>
                <c:pt idx="393">
                  <c:v>42401</c:v>
                </c:pt>
                <c:pt idx="394">
                  <c:v>42402</c:v>
                </c:pt>
                <c:pt idx="395">
                  <c:v>42403</c:v>
                </c:pt>
                <c:pt idx="396">
                  <c:v>42404</c:v>
                </c:pt>
                <c:pt idx="397">
                  <c:v>42405</c:v>
                </c:pt>
                <c:pt idx="398">
                  <c:v>42406</c:v>
                </c:pt>
                <c:pt idx="399">
                  <c:v>42407</c:v>
                </c:pt>
                <c:pt idx="400">
                  <c:v>42408</c:v>
                </c:pt>
                <c:pt idx="401">
                  <c:v>42409</c:v>
                </c:pt>
                <c:pt idx="402">
                  <c:v>42410</c:v>
                </c:pt>
                <c:pt idx="403">
                  <c:v>42411</c:v>
                </c:pt>
                <c:pt idx="404">
                  <c:v>42412</c:v>
                </c:pt>
                <c:pt idx="405">
                  <c:v>42413</c:v>
                </c:pt>
                <c:pt idx="406">
                  <c:v>42414</c:v>
                </c:pt>
                <c:pt idx="407">
                  <c:v>42415</c:v>
                </c:pt>
                <c:pt idx="408">
                  <c:v>42416</c:v>
                </c:pt>
                <c:pt idx="409">
                  <c:v>42417</c:v>
                </c:pt>
                <c:pt idx="410">
                  <c:v>42418</c:v>
                </c:pt>
                <c:pt idx="411">
                  <c:v>42419</c:v>
                </c:pt>
                <c:pt idx="412">
                  <c:v>42420</c:v>
                </c:pt>
                <c:pt idx="413">
                  <c:v>42421</c:v>
                </c:pt>
                <c:pt idx="414">
                  <c:v>42422</c:v>
                </c:pt>
                <c:pt idx="415">
                  <c:v>42423</c:v>
                </c:pt>
                <c:pt idx="416">
                  <c:v>42424</c:v>
                </c:pt>
                <c:pt idx="417">
                  <c:v>42425</c:v>
                </c:pt>
                <c:pt idx="418">
                  <c:v>42426</c:v>
                </c:pt>
                <c:pt idx="419">
                  <c:v>42427</c:v>
                </c:pt>
                <c:pt idx="420">
                  <c:v>42428</c:v>
                </c:pt>
                <c:pt idx="421">
                  <c:v>42429</c:v>
                </c:pt>
                <c:pt idx="422">
                  <c:v>42430</c:v>
                </c:pt>
                <c:pt idx="423">
                  <c:v>42431</c:v>
                </c:pt>
                <c:pt idx="424">
                  <c:v>42432</c:v>
                </c:pt>
                <c:pt idx="425">
                  <c:v>42433</c:v>
                </c:pt>
                <c:pt idx="426">
                  <c:v>42434</c:v>
                </c:pt>
                <c:pt idx="427">
                  <c:v>42435</c:v>
                </c:pt>
                <c:pt idx="428">
                  <c:v>42436</c:v>
                </c:pt>
                <c:pt idx="429">
                  <c:v>42437</c:v>
                </c:pt>
                <c:pt idx="430">
                  <c:v>42438</c:v>
                </c:pt>
                <c:pt idx="431">
                  <c:v>42439</c:v>
                </c:pt>
                <c:pt idx="432">
                  <c:v>42440</c:v>
                </c:pt>
                <c:pt idx="433">
                  <c:v>42441</c:v>
                </c:pt>
                <c:pt idx="434">
                  <c:v>42442</c:v>
                </c:pt>
                <c:pt idx="435">
                  <c:v>42443</c:v>
                </c:pt>
                <c:pt idx="436">
                  <c:v>42444</c:v>
                </c:pt>
                <c:pt idx="437">
                  <c:v>42445</c:v>
                </c:pt>
                <c:pt idx="438">
                  <c:v>42446</c:v>
                </c:pt>
                <c:pt idx="439">
                  <c:v>42447</c:v>
                </c:pt>
                <c:pt idx="440">
                  <c:v>42448</c:v>
                </c:pt>
                <c:pt idx="441">
                  <c:v>42449</c:v>
                </c:pt>
                <c:pt idx="442">
                  <c:v>42450</c:v>
                </c:pt>
                <c:pt idx="443">
                  <c:v>42451</c:v>
                </c:pt>
                <c:pt idx="444">
                  <c:v>42452</c:v>
                </c:pt>
                <c:pt idx="445">
                  <c:v>42453</c:v>
                </c:pt>
                <c:pt idx="446">
                  <c:v>42454</c:v>
                </c:pt>
                <c:pt idx="447">
                  <c:v>42455</c:v>
                </c:pt>
                <c:pt idx="448">
                  <c:v>42456</c:v>
                </c:pt>
                <c:pt idx="449">
                  <c:v>42457</c:v>
                </c:pt>
                <c:pt idx="450">
                  <c:v>42458</c:v>
                </c:pt>
                <c:pt idx="451">
                  <c:v>42459</c:v>
                </c:pt>
                <c:pt idx="452">
                  <c:v>42460</c:v>
                </c:pt>
                <c:pt idx="453">
                  <c:v>42461</c:v>
                </c:pt>
                <c:pt idx="454">
                  <c:v>42462</c:v>
                </c:pt>
                <c:pt idx="455">
                  <c:v>42463</c:v>
                </c:pt>
                <c:pt idx="456">
                  <c:v>42464</c:v>
                </c:pt>
                <c:pt idx="457">
                  <c:v>42465</c:v>
                </c:pt>
                <c:pt idx="458">
                  <c:v>42466</c:v>
                </c:pt>
                <c:pt idx="459">
                  <c:v>42467</c:v>
                </c:pt>
                <c:pt idx="460">
                  <c:v>42468</c:v>
                </c:pt>
                <c:pt idx="461">
                  <c:v>42469</c:v>
                </c:pt>
                <c:pt idx="462">
                  <c:v>42470</c:v>
                </c:pt>
                <c:pt idx="463">
                  <c:v>42471</c:v>
                </c:pt>
                <c:pt idx="464">
                  <c:v>42472</c:v>
                </c:pt>
                <c:pt idx="465">
                  <c:v>42473</c:v>
                </c:pt>
                <c:pt idx="466">
                  <c:v>42474</c:v>
                </c:pt>
                <c:pt idx="467">
                  <c:v>42475</c:v>
                </c:pt>
                <c:pt idx="468">
                  <c:v>42476</c:v>
                </c:pt>
                <c:pt idx="469">
                  <c:v>42477</c:v>
                </c:pt>
                <c:pt idx="470">
                  <c:v>42478</c:v>
                </c:pt>
                <c:pt idx="471">
                  <c:v>42479</c:v>
                </c:pt>
                <c:pt idx="472">
                  <c:v>42480</c:v>
                </c:pt>
                <c:pt idx="473">
                  <c:v>42481</c:v>
                </c:pt>
                <c:pt idx="474">
                  <c:v>42482</c:v>
                </c:pt>
                <c:pt idx="475">
                  <c:v>42483</c:v>
                </c:pt>
                <c:pt idx="476">
                  <c:v>42484</c:v>
                </c:pt>
                <c:pt idx="477">
                  <c:v>42485</c:v>
                </c:pt>
                <c:pt idx="478">
                  <c:v>42486</c:v>
                </c:pt>
                <c:pt idx="479">
                  <c:v>42487</c:v>
                </c:pt>
                <c:pt idx="480">
                  <c:v>42488</c:v>
                </c:pt>
                <c:pt idx="481">
                  <c:v>42489</c:v>
                </c:pt>
                <c:pt idx="482">
                  <c:v>42490</c:v>
                </c:pt>
                <c:pt idx="483">
                  <c:v>42491</c:v>
                </c:pt>
                <c:pt idx="484">
                  <c:v>42492</c:v>
                </c:pt>
                <c:pt idx="485">
                  <c:v>42493</c:v>
                </c:pt>
                <c:pt idx="486">
                  <c:v>42494</c:v>
                </c:pt>
                <c:pt idx="487">
                  <c:v>42495</c:v>
                </c:pt>
                <c:pt idx="488">
                  <c:v>42496</c:v>
                </c:pt>
                <c:pt idx="489">
                  <c:v>42497</c:v>
                </c:pt>
                <c:pt idx="490">
                  <c:v>42498</c:v>
                </c:pt>
                <c:pt idx="491">
                  <c:v>42499</c:v>
                </c:pt>
                <c:pt idx="492">
                  <c:v>42500</c:v>
                </c:pt>
                <c:pt idx="493">
                  <c:v>42501</c:v>
                </c:pt>
                <c:pt idx="494">
                  <c:v>42502</c:v>
                </c:pt>
                <c:pt idx="495">
                  <c:v>42503</c:v>
                </c:pt>
                <c:pt idx="496">
                  <c:v>42504</c:v>
                </c:pt>
                <c:pt idx="497">
                  <c:v>42505</c:v>
                </c:pt>
                <c:pt idx="498">
                  <c:v>42506</c:v>
                </c:pt>
                <c:pt idx="499">
                  <c:v>42507</c:v>
                </c:pt>
                <c:pt idx="500">
                  <c:v>42508</c:v>
                </c:pt>
                <c:pt idx="501">
                  <c:v>42509</c:v>
                </c:pt>
                <c:pt idx="502">
                  <c:v>42510</c:v>
                </c:pt>
                <c:pt idx="503">
                  <c:v>42511</c:v>
                </c:pt>
                <c:pt idx="504">
                  <c:v>42512</c:v>
                </c:pt>
                <c:pt idx="505">
                  <c:v>42513</c:v>
                </c:pt>
                <c:pt idx="506">
                  <c:v>42514</c:v>
                </c:pt>
                <c:pt idx="507">
                  <c:v>42515</c:v>
                </c:pt>
                <c:pt idx="508">
                  <c:v>42516</c:v>
                </c:pt>
                <c:pt idx="509">
                  <c:v>42517</c:v>
                </c:pt>
                <c:pt idx="510">
                  <c:v>42518</c:v>
                </c:pt>
                <c:pt idx="511">
                  <c:v>42519</c:v>
                </c:pt>
                <c:pt idx="512">
                  <c:v>42520</c:v>
                </c:pt>
                <c:pt idx="513">
                  <c:v>42521</c:v>
                </c:pt>
                <c:pt idx="514">
                  <c:v>42522</c:v>
                </c:pt>
                <c:pt idx="515">
                  <c:v>42523</c:v>
                </c:pt>
                <c:pt idx="516">
                  <c:v>42524</c:v>
                </c:pt>
                <c:pt idx="517">
                  <c:v>42525</c:v>
                </c:pt>
                <c:pt idx="518">
                  <c:v>42526</c:v>
                </c:pt>
                <c:pt idx="519">
                  <c:v>42527</c:v>
                </c:pt>
                <c:pt idx="520">
                  <c:v>42528</c:v>
                </c:pt>
                <c:pt idx="521">
                  <c:v>42529</c:v>
                </c:pt>
                <c:pt idx="522">
                  <c:v>42530</c:v>
                </c:pt>
                <c:pt idx="523">
                  <c:v>42531</c:v>
                </c:pt>
                <c:pt idx="524">
                  <c:v>42532</c:v>
                </c:pt>
                <c:pt idx="525">
                  <c:v>42533</c:v>
                </c:pt>
                <c:pt idx="526">
                  <c:v>42534</c:v>
                </c:pt>
                <c:pt idx="527">
                  <c:v>42535</c:v>
                </c:pt>
                <c:pt idx="528">
                  <c:v>42536</c:v>
                </c:pt>
                <c:pt idx="529">
                  <c:v>42537</c:v>
                </c:pt>
                <c:pt idx="530">
                  <c:v>42538</c:v>
                </c:pt>
                <c:pt idx="531">
                  <c:v>42539</c:v>
                </c:pt>
                <c:pt idx="532">
                  <c:v>42540</c:v>
                </c:pt>
                <c:pt idx="533">
                  <c:v>42541</c:v>
                </c:pt>
                <c:pt idx="534">
                  <c:v>42542</c:v>
                </c:pt>
                <c:pt idx="535">
                  <c:v>42543</c:v>
                </c:pt>
                <c:pt idx="536">
                  <c:v>42544</c:v>
                </c:pt>
                <c:pt idx="537">
                  <c:v>42545</c:v>
                </c:pt>
                <c:pt idx="538">
                  <c:v>42546</c:v>
                </c:pt>
                <c:pt idx="539">
                  <c:v>42547</c:v>
                </c:pt>
                <c:pt idx="540">
                  <c:v>42548</c:v>
                </c:pt>
                <c:pt idx="541">
                  <c:v>42549</c:v>
                </c:pt>
                <c:pt idx="542">
                  <c:v>42550</c:v>
                </c:pt>
                <c:pt idx="543">
                  <c:v>42551</c:v>
                </c:pt>
                <c:pt idx="544">
                  <c:v>42552</c:v>
                </c:pt>
                <c:pt idx="545">
                  <c:v>42553</c:v>
                </c:pt>
                <c:pt idx="546">
                  <c:v>42554</c:v>
                </c:pt>
                <c:pt idx="547">
                  <c:v>42555</c:v>
                </c:pt>
                <c:pt idx="548">
                  <c:v>42556</c:v>
                </c:pt>
                <c:pt idx="549">
                  <c:v>42557</c:v>
                </c:pt>
                <c:pt idx="550">
                  <c:v>42558</c:v>
                </c:pt>
                <c:pt idx="551">
                  <c:v>42559</c:v>
                </c:pt>
                <c:pt idx="552">
                  <c:v>42560</c:v>
                </c:pt>
                <c:pt idx="553">
                  <c:v>42561</c:v>
                </c:pt>
                <c:pt idx="554">
                  <c:v>42562</c:v>
                </c:pt>
                <c:pt idx="555">
                  <c:v>42563</c:v>
                </c:pt>
                <c:pt idx="556">
                  <c:v>42564</c:v>
                </c:pt>
                <c:pt idx="557">
                  <c:v>42565</c:v>
                </c:pt>
                <c:pt idx="558">
                  <c:v>42566</c:v>
                </c:pt>
                <c:pt idx="559">
                  <c:v>42567</c:v>
                </c:pt>
                <c:pt idx="560">
                  <c:v>42568</c:v>
                </c:pt>
                <c:pt idx="561">
                  <c:v>42569</c:v>
                </c:pt>
                <c:pt idx="562">
                  <c:v>42570</c:v>
                </c:pt>
                <c:pt idx="563">
                  <c:v>42571</c:v>
                </c:pt>
                <c:pt idx="564">
                  <c:v>42572</c:v>
                </c:pt>
                <c:pt idx="565">
                  <c:v>42573</c:v>
                </c:pt>
                <c:pt idx="566">
                  <c:v>42574</c:v>
                </c:pt>
                <c:pt idx="567">
                  <c:v>42575</c:v>
                </c:pt>
                <c:pt idx="568">
                  <c:v>42576</c:v>
                </c:pt>
                <c:pt idx="569">
                  <c:v>42577</c:v>
                </c:pt>
                <c:pt idx="570">
                  <c:v>42578</c:v>
                </c:pt>
                <c:pt idx="571">
                  <c:v>42579</c:v>
                </c:pt>
                <c:pt idx="572">
                  <c:v>42580</c:v>
                </c:pt>
                <c:pt idx="573">
                  <c:v>42581</c:v>
                </c:pt>
                <c:pt idx="574">
                  <c:v>42582</c:v>
                </c:pt>
                <c:pt idx="575">
                  <c:v>42583</c:v>
                </c:pt>
                <c:pt idx="576">
                  <c:v>42584</c:v>
                </c:pt>
                <c:pt idx="577">
                  <c:v>42585</c:v>
                </c:pt>
                <c:pt idx="578">
                  <c:v>42586</c:v>
                </c:pt>
                <c:pt idx="579">
                  <c:v>42587</c:v>
                </c:pt>
                <c:pt idx="580">
                  <c:v>42588</c:v>
                </c:pt>
                <c:pt idx="581">
                  <c:v>42589</c:v>
                </c:pt>
                <c:pt idx="582">
                  <c:v>42590</c:v>
                </c:pt>
                <c:pt idx="583">
                  <c:v>42591</c:v>
                </c:pt>
                <c:pt idx="584">
                  <c:v>42592</c:v>
                </c:pt>
                <c:pt idx="585">
                  <c:v>42593</c:v>
                </c:pt>
                <c:pt idx="586">
                  <c:v>42594</c:v>
                </c:pt>
                <c:pt idx="587">
                  <c:v>42595</c:v>
                </c:pt>
                <c:pt idx="588">
                  <c:v>42596</c:v>
                </c:pt>
                <c:pt idx="589">
                  <c:v>42597</c:v>
                </c:pt>
                <c:pt idx="590">
                  <c:v>42598</c:v>
                </c:pt>
                <c:pt idx="591">
                  <c:v>42599</c:v>
                </c:pt>
                <c:pt idx="592">
                  <c:v>42600</c:v>
                </c:pt>
                <c:pt idx="593">
                  <c:v>42601</c:v>
                </c:pt>
                <c:pt idx="594">
                  <c:v>42602</c:v>
                </c:pt>
                <c:pt idx="595">
                  <c:v>42603</c:v>
                </c:pt>
                <c:pt idx="596">
                  <c:v>42604</c:v>
                </c:pt>
                <c:pt idx="597">
                  <c:v>42605</c:v>
                </c:pt>
                <c:pt idx="598">
                  <c:v>42606</c:v>
                </c:pt>
                <c:pt idx="599">
                  <c:v>42607</c:v>
                </c:pt>
                <c:pt idx="600">
                  <c:v>42608</c:v>
                </c:pt>
                <c:pt idx="601">
                  <c:v>42609</c:v>
                </c:pt>
                <c:pt idx="602">
                  <c:v>42610</c:v>
                </c:pt>
                <c:pt idx="603">
                  <c:v>42611</c:v>
                </c:pt>
                <c:pt idx="604">
                  <c:v>42612</c:v>
                </c:pt>
                <c:pt idx="605">
                  <c:v>42613</c:v>
                </c:pt>
                <c:pt idx="606">
                  <c:v>42614</c:v>
                </c:pt>
                <c:pt idx="607">
                  <c:v>42615</c:v>
                </c:pt>
                <c:pt idx="608">
                  <c:v>42616</c:v>
                </c:pt>
                <c:pt idx="609">
                  <c:v>42617</c:v>
                </c:pt>
                <c:pt idx="610">
                  <c:v>42618</c:v>
                </c:pt>
                <c:pt idx="611">
                  <c:v>42619</c:v>
                </c:pt>
                <c:pt idx="612">
                  <c:v>42620</c:v>
                </c:pt>
                <c:pt idx="613">
                  <c:v>42621</c:v>
                </c:pt>
                <c:pt idx="614">
                  <c:v>42622</c:v>
                </c:pt>
                <c:pt idx="615">
                  <c:v>42623</c:v>
                </c:pt>
                <c:pt idx="616">
                  <c:v>42624</c:v>
                </c:pt>
                <c:pt idx="617">
                  <c:v>42625</c:v>
                </c:pt>
                <c:pt idx="618">
                  <c:v>42626</c:v>
                </c:pt>
                <c:pt idx="619">
                  <c:v>42627</c:v>
                </c:pt>
                <c:pt idx="620">
                  <c:v>42628</c:v>
                </c:pt>
                <c:pt idx="621">
                  <c:v>42629</c:v>
                </c:pt>
                <c:pt idx="622">
                  <c:v>42630</c:v>
                </c:pt>
                <c:pt idx="623">
                  <c:v>42631</c:v>
                </c:pt>
                <c:pt idx="624">
                  <c:v>42632</c:v>
                </c:pt>
                <c:pt idx="625">
                  <c:v>42633</c:v>
                </c:pt>
                <c:pt idx="626">
                  <c:v>42634</c:v>
                </c:pt>
                <c:pt idx="627">
                  <c:v>42635</c:v>
                </c:pt>
                <c:pt idx="628">
                  <c:v>42636</c:v>
                </c:pt>
                <c:pt idx="629">
                  <c:v>42637</c:v>
                </c:pt>
                <c:pt idx="630">
                  <c:v>42638</c:v>
                </c:pt>
                <c:pt idx="631">
                  <c:v>42639</c:v>
                </c:pt>
                <c:pt idx="632">
                  <c:v>42640</c:v>
                </c:pt>
                <c:pt idx="633">
                  <c:v>42641</c:v>
                </c:pt>
                <c:pt idx="634">
                  <c:v>42642</c:v>
                </c:pt>
                <c:pt idx="635">
                  <c:v>42643</c:v>
                </c:pt>
                <c:pt idx="636">
                  <c:v>42644</c:v>
                </c:pt>
                <c:pt idx="637">
                  <c:v>42645</c:v>
                </c:pt>
                <c:pt idx="638">
                  <c:v>42646</c:v>
                </c:pt>
                <c:pt idx="639">
                  <c:v>42647</c:v>
                </c:pt>
                <c:pt idx="640">
                  <c:v>42648</c:v>
                </c:pt>
                <c:pt idx="641">
                  <c:v>42649</c:v>
                </c:pt>
                <c:pt idx="642">
                  <c:v>42650</c:v>
                </c:pt>
                <c:pt idx="643">
                  <c:v>42651</c:v>
                </c:pt>
                <c:pt idx="644">
                  <c:v>42652</c:v>
                </c:pt>
                <c:pt idx="645">
                  <c:v>42653</c:v>
                </c:pt>
                <c:pt idx="646">
                  <c:v>42654</c:v>
                </c:pt>
                <c:pt idx="647">
                  <c:v>42655</c:v>
                </c:pt>
                <c:pt idx="648">
                  <c:v>42656</c:v>
                </c:pt>
                <c:pt idx="649">
                  <c:v>42657</c:v>
                </c:pt>
                <c:pt idx="650">
                  <c:v>42658</c:v>
                </c:pt>
                <c:pt idx="651">
                  <c:v>42659</c:v>
                </c:pt>
                <c:pt idx="652">
                  <c:v>42660</c:v>
                </c:pt>
                <c:pt idx="653">
                  <c:v>42661</c:v>
                </c:pt>
                <c:pt idx="654">
                  <c:v>42662</c:v>
                </c:pt>
                <c:pt idx="655">
                  <c:v>42663</c:v>
                </c:pt>
                <c:pt idx="656">
                  <c:v>42664</c:v>
                </c:pt>
                <c:pt idx="657">
                  <c:v>42665</c:v>
                </c:pt>
                <c:pt idx="658">
                  <c:v>42666</c:v>
                </c:pt>
                <c:pt idx="659">
                  <c:v>42667</c:v>
                </c:pt>
                <c:pt idx="660">
                  <c:v>42668</c:v>
                </c:pt>
                <c:pt idx="661">
                  <c:v>42669</c:v>
                </c:pt>
                <c:pt idx="662">
                  <c:v>42670</c:v>
                </c:pt>
                <c:pt idx="663">
                  <c:v>42671</c:v>
                </c:pt>
                <c:pt idx="664">
                  <c:v>42672</c:v>
                </c:pt>
                <c:pt idx="665">
                  <c:v>42673</c:v>
                </c:pt>
                <c:pt idx="666">
                  <c:v>42674</c:v>
                </c:pt>
                <c:pt idx="667">
                  <c:v>42675</c:v>
                </c:pt>
                <c:pt idx="668">
                  <c:v>42676</c:v>
                </c:pt>
                <c:pt idx="669">
                  <c:v>42677</c:v>
                </c:pt>
                <c:pt idx="670">
                  <c:v>42678</c:v>
                </c:pt>
                <c:pt idx="671">
                  <c:v>42679</c:v>
                </c:pt>
                <c:pt idx="672">
                  <c:v>42680</c:v>
                </c:pt>
                <c:pt idx="673">
                  <c:v>42681</c:v>
                </c:pt>
                <c:pt idx="674">
                  <c:v>42682</c:v>
                </c:pt>
                <c:pt idx="675">
                  <c:v>42683</c:v>
                </c:pt>
                <c:pt idx="676">
                  <c:v>42684</c:v>
                </c:pt>
                <c:pt idx="677">
                  <c:v>42685</c:v>
                </c:pt>
                <c:pt idx="678">
                  <c:v>42686</c:v>
                </c:pt>
                <c:pt idx="679">
                  <c:v>42687</c:v>
                </c:pt>
                <c:pt idx="680">
                  <c:v>42688</c:v>
                </c:pt>
                <c:pt idx="681">
                  <c:v>42689</c:v>
                </c:pt>
                <c:pt idx="682">
                  <c:v>42690</c:v>
                </c:pt>
                <c:pt idx="683">
                  <c:v>42691</c:v>
                </c:pt>
                <c:pt idx="684">
                  <c:v>42692</c:v>
                </c:pt>
                <c:pt idx="685">
                  <c:v>42693</c:v>
                </c:pt>
                <c:pt idx="686">
                  <c:v>42694</c:v>
                </c:pt>
                <c:pt idx="687">
                  <c:v>42695</c:v>
                </c:pt>
                <c:pt idx="688">
                  <c:v>42696</c:v>
                </c:pt>
                <c:pt idx="689">
                  <c:v>42697</c:v>
                </c:pt>
                <c:pt idx="690">
                  <c:v>42698</c:v>
                </c:pt>
                <c:pt idx="691">
                  <c:v>42699</c:v>
                </c:pt>
                <c:pt idx="692">
                  <c:v>42700</c:v>
                </c:pt>
                <c:pt idx="693">
                  <c:v>42701</c:v>
                </c:pt>
                <c:pt idx="694">
                  <c:v>42702</c:v>
                </c:pt>
                <c:pt idx="695">
                  <c:v>42703</c:v>
                </c:pt>
                <c:pt idx="696">
                  <c:v>42704</c:v>
                </c:pt>
                <c:pt idx="697">
                  <c:v>42705</c:v>
                </c:pt>
                <c:pt idx="698">
                  <c:v>42706</c:v>
                </c:pt>
                <c:pt idx="699">
                  <c:v>42707</c:v>
                </c:pt>
                <c:pt idx="700">
                  <c:v>42708</c:v>
                </c:pt>
                <c:pt idx="701">
                  <c:v>42709</c:v>
                </c:pt>
                <c:pt idx="702">
                  <c:v>42710</c:v>
                </c:pt>
                <c:pt idx="703">
                  <c:v>42711</c:v>
                </c:pt>
                <c:pt idx="704">
                  <c:v>42712</c:v>
                </c:pt>
                <c:pt idx="705">
                  <c:v>42713</c:v>
                </c:pt>
                <c:pt idx="706">
                  <c:v>42714</c:v>
                </c:pt>
                <c:pt idx="707">
                  <c:v>42715</c:v>
                </c:pt>
                <c:pt idx="708">
                  <c:v>42716</c:v>
                </c:pt>
                <c:pt idx="709">
                  <c:v>42717</c:v>
                </c:pt>
                <c:pt idx="710">
                  <c:v>42718</c:v>
                </c:pt>
                <c:pt idx="711">
                  <c:v>42719</c:v>
                </c:pt>
                <c:pt idx="712">
                  <c:v>42720</c:v>
                </c:pt>
                <c:pt idx="713">
                  <c:v>42721</c:v>
                </c:pt>
                <c:pt idx="714">
                  <c:v>42722</c:v>
                </c:pt>
                <c:pt idx="715">
                  <c:v>42723</c:v>
                </c:pt>
                <c:pt idx="716">
                  <c:v>42724</c:v>
                </c:pt>
                <c:pt idx="717">
                  <c:v>42725</c:v>
                </c:pt>
                <c:pt idx="718">
                  <c:v>42726</c:v>
                </c:pt>
                <c:pt idx="719">
                  <c:v>42727</c:v>
                </c:pt>
                <c:pt idx="720">
                  <c:v>42728</c:v>
                </c:pt>
                <c:pt idx="721">
                  <c:v>42729</c:v>
                </c:pt>
                <c:pt idx="722">
                  <c:v>42730</c:v>
                </c:pt>
                <c:pt idx="723">
                  <c:v>42731</c:v>
                </c:pt>
                <c:pt idx="724">
                  <c:v>42732</c:v>
                </c:pt>
                <c:pt idx="725">
                  <c:v>42733</c:v>
                </c:pt>
                <c:pt idx="726">
                  <c:v>42734</c:v>
                </c:pt>
                <c:pt idx="727">
                  <c:v>42735</c:v>
                </c:pt>
                <c:pt idx="728">
                  <c:v>42736</c:v>
                </c:pt>
                <c:pt idx="729">
                  <c:v>42737</c:v>
                </c:pt>
                <c:pt idx="730">
                  <c:v>42738</c:v>
                </c:pt>
                <c:pt idx="731">
                  <c:v>42739</c:v>
                </c:pt>
                <c:pt idx="732">
                  <c:v>42740</c:v>
                </c:pt>
                <c:pt idx="733">
                  <c:v>42741</c:v>
                </c:pt>
                <c:pt idx="734">
                  <c:v>42742</c:v>
                </c:pt>
                <c:pt idx="735">
                  <c:v>42743</c:v>
                </c:pt>
                <c:pt idx="736">
                  <c:v>42744</c:v>
                </c:pt>
                <c:pt idx="737">
                  <c:v>42745</c:v>
                </c:pt>
                <c:pt idx="738">
                  <c:v>42746</c:v>
                </c:pt>
                <c:pt idx="739">
                  <c:v>42747</c:v>
                </c:pt>
                <c:pt idx="740">
                  <c:v>42748</c:v>
                </c:pt>
                <c:pt idx="741">
                  <c:v>42749</c:v>
                </c:pt>
                <c:pt idx="742">
                  <c:v>42750</c:v>
                </c:pt>
                <c:pt idx="743">
                  <c:v>42751</c:v>
                </c:pt>
                <c:pt idx="744">
                  <c:v>42752</c:v>
                </c:pt>
                <c:pt idx="745">
                  <c:v>42753</c:v>
                </c:pt>
                <c:pt idx="746">
                  <c:v>42754</c:v>
                </c:pt>
                <c:pt idx="747">
                  <c:v>42755</c:v>
                </c:pt>
                <c:pt idx="748">
                  <c:v>42756</c:v>
                </c:pt>
                <c:pt idx="749">
                  <c:v>42757</c:v>
                </c:pt>
                <c:pt idx="750">
                  <c:v>42758</c:v>
                </c:pt>
                <c:pt idx="751">
                  <c:v>42759</c:v>
                </c:pt>
                <c:pt idx="752">
                  <c:v>42760</c:v>
                </c:pt>
                <c:pt idx="753">
                  <c:v>42761</c:v>
                </c:pt>
                <c:pt idx="754">
                  <c:v>42762</c:v>
                </c:pt>
                <c:pt idx="755">
                  <c:v>42763</c:v>
                </c:pt>
                <c:pt idx="756">
                  <c:v>42764</c:v>
                </c:pt>
                <c:pt idx="757">
                  <c:v>42765</c:v>
                </c:pt>
                <c:pt idx="758">
                  <c:v>42766</c:v>
                </c:pt>
                <c:pt idx="759">
                  <c:v>42767</c:v>
                </c:pt>
                <c:pt idx="760">
                  <c:v>42768</c:v>
                </c:pt>
                <c:pt idx="761">
                  <c:v>42769</c:v>
                </c:pt>
                <c:pt idx="762">
                  <c:v>42770</c:v>
                </c:pt>
                <c:pt idx="763">
                  <c:v>42771</c:v>
                </c:pt>
                <c:pt idx="764">
                  <c:v>42772</c:v>
                </c:pt>
                <c:pt idx="765">
                  <c:v>42773</c:v>
                </c:pt>
                <c:pt idx="766">
                  <c:v>42774</c:v>
                </c:pt>
                <c:pt idx="767">
                  <c:v>42775</c:v>
                </c:pt>
                <c:pt idx="768">
                  <c:v>42776</c:v>
                </c:pt>
                <c:pt idx="769">
                  <c:v>42777</c:v>
                </c:pt>
                <c:pt idx="770">
                  <c:v>42778</c:v>
                </c:pt>
                <c:pt idx="771">
                  <c:v>42779</c:v>
                </c:pt>
                <c:pt idx="772">
                  <c:v>42780</c:v>
                </c:pt>
                <c:pt idx="773">
                  <c:v>42781</c:v>
                </c:pt>
                <c:pt idx="774">
                  <c:v>42782</c:v>
                </c:pt>
                <c:pt idx="775">
                  <c:v>42783</c:v>
                </c:pt>
                <c:pt idx="776">
                  <c:v>42784</c:v>
                </c:pt>
                <c:pt idx="777">
                  <c:v>42785</c:v>
                </c:pt>
                <c:pt idx="778">
                  <c:v>42786</c:v>
                </c:pt>
                <c:pt idx="779">
                  <c:v>42787</c:v>
                </c:pt>
                <c:pt idx="780">
                  <c:v>42788</c:v>
                </c:pt>
                <c:pt idx="781">
                  <c:v>42789</c:v>
                </c:pt>
                <c:pt idx="782">
                  <c:v>42790</c:v>
                </c:pt>
                <c:pt idx="783">
                  <c:v>42791</c:v>
                </c:pt>
                <c:pt idx="784">
                  <c:v>42792</c:v>
                </c:pt>
                <c:pt idx="785">
                  <c:v>42793</c:v>
                </c:pt>
                <c:pt idx="786">
                  <c:v>42794</c:v>
                </c:pt>
                <c:pt idx="787">
                  <c:v>42795</c:v>
                </c:pt>
                <c:pt idx="788">
                  <c:v>42796</c:v>
                </c:pt>
                <c:pt idx="789">
                  <c:v>42797</c:v>
                </c:pt>
                <c:pt idx="790">
                  <c:v>42798</c:v>
                </c:pt>
                <c:pt idx="791">
                  <c:v>42799</c:v>
                </c:pt>
                <c:pt idx="792">
                  <c:v>42800</c:v>
                </c:pt>
                <c:pt idx="793">
                  <c:v>42801</c:v>
                </c:pt>
                <c:pt idx="794">
                  <c:v>42802</c:v>
                </c:pt>
                <c:pt idx="795">
                  <c:v>42803</c:v>
                </c:pt>
                <c:pt idx="796">
                  <c:v>42804</c:v>
                </c:pt>
                <c:pt idx="797">
                  <c:v>42805</c:v>
                </c:pt>
                <c:pt idx="798">
                  <c:v>42806</c:v>
                </c:pt>
                <c:pt idx="799">
                  <c:v>42807</c:v>
                </c:pt>
                <c:pt idx="800">
                  <c:v>42808</c:v>
                </c:pt>
                <c:pt idx="801">
                  <c:v>42809</c:v>
                </c:pt>
                <c:pt idx="802">
                  <c:v>42810</c:v>
                </c:pt>
                <c:pt idx="803">
                  <c:v>42811</c:v>
                </c:pt>
                <c:pt idx="804">
                  <c:v>42812</c:v>
                </c:pt>
                <c:pt idx="805">
                  <c:v>42813</c:v>
                </c:pt>
                <c:pt idx="806">
                  <c:v>42814</c:v>
                </c:pt>
                <c:pt idx="807">
                  <c:v>42815</c:v>
                </c:pt>
                <c:pt idx="808">
                  <c:v>42816</c:v>
                </c:pt>
                <c:pt idx="809">
                  <c:v>42817</c:v>
                </c:pt>
                <c:pt idx="810">
                  <c:v>42818</c:v>
                </c:pt>
                <c:pt idx="811">
                  <c:v>42819</c:v>
                </c:pt>
                <c:pt idx="812">
                  <c:v>42820</c:v>
                </c:pt>
                <c:pt idx="813">
                  <c:v>42821</c:v>
                </c:pt>
                <c:pt idx="814">
                  <c:v>42822</c:v>
                </c:pt>
                <c:pt idx="815">
                  <c:v>42823</c:v>
                </c:pt>
                <c:pt idx="816">
                  <c:v>42824</c:v>
                </c:pt>
                <c:pt idx="817">
                  <c:v>42825</c:v>
                </c:pt>
                <c:pt idx="818">
                  <c:v>42826</c:v>
                </c:pt>
                <c:pt idx="819">
                  <c:v>42827</c:v>
                </c:pt>
                <c:pt idx="820">
                  <c:v>42828</c:v>
                </c:pt>
                <c:pt idx="821">
                  <c:v>42829</c:v>
                </c:pt>
                <c:pt idx="822">
                  <c:v>42830</c:v>
                </c:pt>
                <c:pt idx="823">
                  <c:v>42831</c:v>
                </c:pt>
                <c:pt idx="824">
                  <c:v>42832</c:v>
                </c:pt>
                <c:pt idx="825">
                  <c:v>42833</c:v>
                </c:pt>
                <c:pt idx="826">
                  <c:v>42834</c:v>
                </c:pt>
                <c:pt idx="827">
                  <c:v>42835</c:v>
                </c:pt>
                <c:pt idx="828">
                  <c:v>42836</c:v>
                </c:pt>
                <c:pt idx="829">
                  <c:v>42837</c:v>
                </c:pt>
                <c:pt idx="830">
                  <c:v>42838</c:v>
                </c:pt>
                <c:pt idx="831">
                  <c:v>42839</c:v>
                </c:pt>
                <c:pt idx="832">
                  <c:v>42840</c:v>
                </c:pt>
                <c:pt idx="833">
                  <c:v>42841</c:v>
                </c:pt>
                <c:pt idx="834">
                  <c:v>42842</c:v>
                </c:pt>
                <c:pt idx="835">
                  <c:v>42843</c:v>
                </c:pt>
                <c:pt idx="836">
                  <c:v>42844</c:v>
                </c:pt>
                <c:pt idx="837">
                  <c:v>42845</c:v>
                </c:pt>
                <c:pt idx="838">
                  <c:v>42846</c:v>
                </c:pt>
                <c:pt idx="839">
                  <c:v>42847</c:v>
                </c:pt>
                <c:pt idx="840">
                  <c:v>42848</c:v>
                </c:pt>
                <c:pt idx="841">
                  <c:v>42849</c:v>
                </c:pt>
                <c:pt idx="842">
                  <c:v>42850</c:v>
                </c:pt>
                <c:pt idx="843">
                  <c:v>42851</c:v>
                </c:pt>
                <c:pt idx="844">
                  <c:v>42852</c:v>
                </c:pt>
                <c:pt idx="845">
                  <c:v>42853</c:v>
                </c:pt>
                <c:pt idx="846">
                  <c:v>42854</c:v>
                </c:pt>
                <c:pt idx="847">
                  <c:v>42855</c:v>
                </c:pt>
                <c:pt idx="848">
                  <c:v>42856</c:v>
                </c:pt>
                <c:pt idx="849">
                  <c:v>42857</c:v>
                </c:pt>
                <c:pt idx="850">
                  <c:v>42858</c:v>
                </c:pt>
                <c:pt idx="851">
                  <c:v>42859</c:v>
                </c:pt>
                <c:pt idx="852">
                  <c:v>42860</c:v>
                </c:pt>
                <c:pt idx="853">
                  <c:v>42861</c:v>
                </c:pt>
                <c:pt idx="854">
                  <c:v>42862</c:v>
                </c:pt>
                <c:pt idx="855">
                  <c:v>42863</c:v>
                </c:pt>
                <c:pt idx="856">
                  <c:v>42864</c:v>
                </c:pt>
                <c:pt idx="857">
                  <c:v>42865</c:v>
                </c:pt>
                <c:pt idx="858">
                  <c:v>42866</c:v>
                </c:pt>
                <c:pt idx="859">
                  <c:v>42867</c:v>
                </c:pt>
                <c:pt idx="860">
                  <c:v>42868</c:v>
                </c:pt>
                <c:pt idx="861">
                  <c:v>42869</c:v>
                </c:pt>
                <c:pt idx="862">
                  <c:v>42870</c:v>
                </c:pt>
                <c:pt idx="863">
                  <c:v>42871</c:v>
                </c:pt>
                <c:pt idx="864">
                  <c:v>42872</c:v>
                </c:pt>
                <c:pt idx="865">
                  <c:v>42873</c:v>
                </c:pt>
                <c:pt idx="866">
                  <c:v>42874</c:v>
                </c:pt>
                <c:pt idx="867">
                  <c:v>42875</c:v>
                </c:pt>
                <c:pt idx="868">
                  <c:v>42876</c:v>
                </c:pt>
                <c:pt idx="869">
                  <c:v>42877</c:v>
                </c:pt>
                <c:pt idx="870">
                  <c:v>42878</c:v>
                </c:pt>
                <c:pt idx="871">
                  <c:v>42879</c:v>
                </c:pt>
                <c:pt idx="872">
                  <c:v>42880</c:v>
                </c:pt>
                <c:pt idx="873">
                  <c:v>42881</c:v>
                </c:pt>
                <c:pt idx="874">
                  <c:v>42882</c:v>
                </c:pt>
                <c:pt idx="875">
                  <c:v>42883</c:v>
                </c:pt>
                <c:pt idx="876">
                  <c:v>42884</c:v>
                </c:pt>
                <c:pt idx="877">
                  <c:v>42885</c:v>
                </c:pt>
                <c:pt idx="878">
                  <c:v>42886</c:v>
                </c:pt>
                <c:pt idx="879">
                  <c:v>42887</c:v>
                </c:pt>
                <c:pt idx="880">
                  <c:v>42888</c:v>
                </c:pt>
                <c:pt idx="881">
                  <c:v>42889</c:v>
                </c:pt>
                <c:pt idx="882">
                  <c:v>42890</c:v>
                </c:pt>
                <c:pt idx="883">
                  <c:v>42891</c:v>
                </c:pt>
                <c:pt idx="884">
                  <c:v>42892</c:v>
                </c:pt>
                <c:pt idx="885">
                  <c:v>42893</c:v>
                </c:pt>
                <c:pt idx="886">
                  <c:v>42894</c:v>
                </c:pt>
                <c:pt idx="887">
                  <c:v>42895</c:v>
                </c:pt>
                <c:pt idx="888">
                  <c:v>42896</c:v>
                </c:pt>
                <c:pt idx="889">
                  <c:v>42897</c:v>
                </c:pt>
                <c:pt idx="890">
                  <c:v>42898</c:v>
                </c:pt>
                <c:pt idx="891">
                  <c:v>42899</c:v>
                </c:pt>
                <c:pt idx="892">
                  <c:v>42900</c:v>
                </c:pt>
                <c:pt idx="893">
                  <c:v>42901</c:v>
                </c:pt>
                <c:pt idx="894">
                  <c:v>42902</c:v>
                </c:pt>
                <c:pt idx="895">
                  <c:v>42903</c:v>
                </c:pt>
                <c:pt idx="896">
                  <c:v>42904</c:v>
                </c:pt>
                <c:pt idx="897">
                  <c:v>42905</c:v>
                </c:pt>
                <c:pt idx="898">
                  <c:v>42906</c:v>
                </c:pt>
                <c:pt idx="899">
                  <c:v>42907</c:v>
                </c:pt>
                <c:pt idx="900">
                  <c:v>42908</c:v>
                </c:pt>
                <c:pt idx="901">
                  <c:v>42909</c:v>
                </c:pt>
                <c:pt idx="902">
                  <c:v>42910</c:v>
                </c:pt>
                <c:pt idx="903">
                  <c:v>42911</c:v>
                </c:pt>
                <c:pt idx="904">
                  <c:v>42912</c:v>
                </c:pt>
                <c:pt idx="905">
                  <c:v>42913</c:v>
                </c:pt>
                <c:pt idx="906">
                  <c:v>42914</c:v>
                </c:pt>
                <c:pt idx="907">
                  <c:v>42915</c:v>
                </c:pt>
                <c:pt idx="908">
                  <c:v>42916</c:v>
                </c:pt>
                <c:pt idx="909">
                  <c:v>42917</c:v>
                </c:pt>
                <c:pt idx="910">
                  <c:v>42918</c:v>
                </c:pt>
                <c:pt idx="911">
                  <c:v>42919</c:v>
                </c:pt>
                <c:pt idx="912">
                  <c:v>42920</c:v>
                </c:pt>
                <c:pt idx="913">
                  <c:v>42921</c:v>
                </c:pt>
                <c:pt idx="914">
                  <c:v>42922</c:v>
                </c:pt>
                <c:pt idx="915">
                  <c:v>42923</c:v>
                </c:pt>
                <c:pt idx="916">
                  <c:v>42924</c:v>
                </c:pt>
                <c:pt idx="917">
                  <c:v>42925</c:v>
                </c:pt>
                <c:pt idx="918">
                  <c:v>42926</c:v>
                </c:pt>
                <c:pt idx="919">
                  <c:v>42927</c:v>
                </c:pt>
                <c:pt idx="920">
                  <c:v>42928</c:v>
                </c:pt>
                <c:pt idx="921">
                  <c:v>42929</c:v>
                </c:pt>
                <c:pt idx="922">
                  <c:v>42930</c:v>
                </c:pt>
                <c:pt idx="923">
                  <c:v>42931</c:v>
                </c:pt>
                <c:pt idx="924">
                  <c:v>42932</c:v>
                </c:pt>
                <c:pt idx="925">
                  <c:v>42933</c:v>
                </c:pt>
                <c:pt idx="926">
                  <c:v>42934</c:v>
                </c:pt>
                <c:pt idx="927">
                  <c:v>42935</c:v>
                </c:pt>
                <c:pt idx="928">
                  <c:v>42936</c:v>
                </c:pt>
                <c:pt idx="929">
                  <c:v>42937</c:v>
                </c:pt>
                <c:pt idx="930">
                  <c:v>42938</c:v>
                </c:pt>
                <c:pt idx="931">
                  <c:v>42939</c:v>
                </c:pt>
                <c:pt idx="932">
                  <c:v>42940</c:v>
                </c:pt>
                <c:pt idx="933">
                  <c:v>42941</c:v>
                </c:pt>
                <c:pt idx="934">
                  <c:v>42942</c:v>
                </c:pt>
                <c:pt idx="935">
                  <c:v>42943</c:v>
                </c:pt>
                <c:pt idx="936">
                  <c:v>42944</c:v>
                </c:pt>
                <c:pt idx="937">
                  <c:v>42945</c:v>
                </c:pt>
                <c:pt idx="938">
                  <c:v>42946</c:v>
                </c:pt>
                <c:pt idx="939">
                  <c:v>42947</c:v>
                </c:pt>
                <c:pt idx="940">
                  <c:v>42948</c:v>
                </c:pt>
                <c:pt idx="941">
                  <c:v>42949</c:v>
                </c:pt>
                <c:pt idx="942">
                  <c:v>42950</c:v>
                </c:pt>
                <c:pt idx="943">
                  <c:v>42951</c:v>
                </c:pt>
                <c:pt idx="944">
                  <c:v>42952</c:v>
                </c:pt>
                <c:pt idx="945">
                  <c:v>42953</c:v>
                </c:pt>
                <c:pt idx="946">
                  <c:v>42954</c:v>
                </c:pt>
                <c:pt idx="947">
                  <c:v>42955</c:v>
                </c:pt>
                <c:pt idx="948">
                  <c:v>42956</c:v>
                </c:pt>
                <c:pt idx="949">
                  <c:v>42957</c:v>
                </c:pt>
                <c:pt idx="950">
                  <c:v>42958</c:v>
                </c:pt>
                <c:pt idx="951">
                  <c:v>42959</c:v>
                </c:pt>
                <c:pt idx="952">
                  <c:v>42960</c:v>
                </c:pt>
                <c:pt idx="953">
                  <c:v>42961</c:v>
                </c:pt>
                <c:pt idx="954">
                  <c:v>42962</c:v>
                </c:pt>
                <c:pt idx="955">
                  <c:v>42963</c:v>
                </c:pt>
                <c:pt idx="956">
                  <c:v>42964</c:v>
                </c:pt>
                <c:pt idx="957">
                  <c:v>42965</c:v>
                </c:pt>
                <c:pt idx="958">
                  <c:v>42966</c:v>
                </c:pt>
                <c:pt idx="959">
                  <c:v>42967</c:v>
                </c:pt>
                <c:pt idx="960">
                  <c:v>42968</c:v>
                </c:pt>
                <c:pt idx="961">
                  <c:v>42969</c:v>
                </c:pt>
                <c:pt idx="962">
                  <c:v>42970</c:v>
                </c:pt>
                <c:pt idx="963">
                  <c:v>42971</c:v>
                </c:pt>
                <c:pt idx="964">
                  <c:v>42972</c:v>
                </c:pt>
                <c:pt idx="965">
                  <c:v>42973</c:v>
                </c:pt>
                <c:pt idx="966">
                  <c:v>42974</c:v>
                </c:pt>
                <c:pt idx="967">
                  <c:v>42975</c:v>
                </c:pt>
                <c:pt idx="968">
                  <c:v>42976</c:v>
                </c:pt>
                <c:pt idx="969">
                  <c:v>42977</c:v>
                </c:pt>
                <c:pt idx="970">
                  <c:v>42978</c:v>
                </c:pt>
                <c:pt idx="971">
                  <c:v>42979</c:v>
                </c:pt>
                <c:pt idx="972">
                  <c:v>42980</c:v>
                </c:pt>
                <c:pt idx="973">
                  <c:v>42981</c:v>
                </c:pt>
                <c:pt idx="974">
                  <c:v>42982</c:v>
                </c:pt>
                <c:pt idx="975">
                  <c:v>42983</c:v>
                </c:pt>
                <c:pt idx="976">
                  <c:v>42984</c:v>
                </c:pt>
                <c:pt idx="977">
                  <c:v>42985</c:v>
                </c:pt>
                <c:pt idx="978">
                  <c:v>42986</c:v>
                </c:pt>
                <c:pt idx="979">
                  <c:v>42987</c:v>
                </c:pt>
                <c:pt idx="980">
                  <c:v>42988</c:v>
                </c:pt>
                <c:pt idx="981">
                  <c:v>42989</c:v>
                </c:pt>
                <c:pt idx="982">
                  <c:v>42990</c:v>
                </c:pt>
                <c:pt idx="983">
                  <c:v>42991</c:v>
                </c:pt>
                <c:pt idx="984">
                  <c:v>42992</c:v>
                </c:pt>
                <c:pt idx="985">
                  <c:v>42993</c:v>
                </c:pt>
                <c:pt idx="986">
                  <c:v>42994</c:v>
                </c:pt>
                <c:pt idx="987">
                  <c:v>42995</c:v>
                </c:pt>
                <c:pt idx="988">
                  <c:v>42996</c:v>
                </c:pt>
                <c:pt idx="989">
                  <c:v>42997</c:v>
                </c:pt>
                <c:pt idx="990">
                  <c:v>42998</c:v>
                </c:pt>
                <c:pt idx="991">
                  <c:v>42999</c:v>
                </c:pt>
                <c:pt idx="992">
                  <c:v>43000</c:v>
                </c:pt>
                <c:pt idx="993">
                  <c:v>43001</c:v>
                </c:pt>
                <c:pt idx="994">
                  <c:v>43002</c:v>
                </c:pt>
                <c:pt idx="995">
                  <c:v>43003</c:v>
                </c:pt>
                <c:pt idx="996">
                  <c:v>43004</c:v>
                </c:pt>
                <c:pt idx="997">
                  <c:v>43005</c:v>
                </c:pt>
                <c:pt idx="998">
                  <c:v>43006</c:v>
                </c:pt>
                <c:pt idx="999">
                  <c:v>43007</c:v>
                </c:pt>
                <c:pt idx="1000">
                  <c:v>43008</c:v>
                </c:pt>
                <c:pt idx="1001">
                  <c:v>43009</c:v>
                </c:pt>
                <c:pt idx="1002">
                  <c:v>43010</c:v>
                </c:pt>
                <c:pt idx="1003">
                  <c:v>43011</c:v>
                </c:pt>
                <c:pt idx="1004">
                  <c:v>43012</c:v>
                </c:pt>
                <c:pt idx="1005">
                  <c:v>43013</c:v>
                </c:pt>
                <c:pt idx="1006">
                  <c:v>43014</c:v>
                </c:pt>
                <c:pt idx="1007">
                  <c:v>43015</c:v>
                </c:pt>
                <c:pt idx="1008">
                  <c:v>43016</c:v>
                </c:pt>
                <c:pt idx="1009">
                  <c:v>43017</c:v>
                </c:pt>
                <c:pt idx="1010">
                  <c:v>43018</c:v>
                </c:pt>
                <c:pt idx="1011">
                  <c:v>43019</c:v>
                </c:pt>
                <c:pt idx="1012">
                  <c:v>43020</c:v>
                </c:pt>
                <c:pt idx="1013">
                  <c:v>43021</c:v>
                </c:pt>
                <c:pt idx="1014">
                  <c:v>43022</c:v>
                </c:pt>
                <c:pt idx="1015">
                  <c:v>43023</c:v>
                </c:pt>
                <c:pt idx="1016">
                  <c:v>43024</c:v>
                </c:pt>
                <c:pt idx="1017">
                  <c:v>43025</c:v>
                </c:pt>
                <c:pt idx="1018">
                  <c:v>43026</c:v>
                </c:pt>
                <c:pt idx="1019">
                  <c:v>43027</c:v>
                </c:pt>
                <c:pt idx="1020">
                  <c:v>43028</c:v>
                </c:pt>
                <c:pt idx="1021">
                  <c:v>43029</c:v>
                </c:pt>
                <c:pt idx="1022">
                  <c:v>43030</c:v>
                </c:pt>
                <c:pt idx="1023">
                  <c:v>43031</c:v>
                </c:pt>
                <c:pt idx="1024">
                  <c:v>43032</c:v>
                </c:pt>
                <c:pt idx="1025">
                  <c:v>43033</c:v>
                </c:pt>
                <c:pt idx="1026">
                  <c:v>43034</c:v>
                </c:pt>
                <c:pt idx="1027">
                  <c:v>43035</c:v>
                </c:pt>
                <c:pt idx="1028">
                  <c:v>43036</c:v>
                </c:pt>
                <c:pt idx="1029">
                  <c:v>43037</c:v>
                </c:pt>
                <c:pt idx="1030">
                  <c:v>43038</c:v>
                </c:pt>
                <c:pt idx="1031">
                  <c:v>43039</c:v>
                </c:pt>
                <c:pt idx="1032">
                  <c:v>43040</c:v>
                </c:pt>
                <c:pt idx="1033">
                  <c:v>43041</c:v>
                </c:pt>
                <c:pt idx="1034">
                  <c:v>43042</c:v>
                </c:pt>
                <c:pt idx="1035">
                  <c:v>43043</c:v>
                </c:pt>
                <c:pt idx="1036">
                  <c:v>43044</c:v>
                </c:pt>
                <c:pt idx="1037">
                  <c:v>43045</c:v>
                </c:pt>
                <c:pt idx="1038">
                  <c:v>43046</c:v>
                </c:pt>
                <c:pt idx="1039">
                  <c:v>43047</c:v>
                </c:pt>
                <c:pt idx="1040">
                  <c:v>43048</c:v>
                </c:pt>
                <c:pt idx="1041">
                  <c:v>43049</c:v>
                </c:pt>
                <c:pt idx="1042">
                  <c:v>43050</c:v>
                </c:pt>
                <c:pt idx="1043">
                  <c:v>43051</c:v>
                </c:pt>
                <c:pt idx="1044">
                  <c:v>43052</c:v>
                </c:pt>
                <c:pt idx="1045">
                  <c:v>43053</c:v>
                </c:pt>
                <c:pt idx="1046">
                  <c:v>43054</c:v>
                </c:pt>
                <c:pt idx="1047">
                  <c:v>43055</c:v>
                </c:pt>
                <c:pt idx="1048">
                  <c:v>43056</c:v>
                </c:pt>
                <c:pt idx="1049">
                  <c:v>43057</c:v>
                </c:pt>
                <c:pt idx="1050">
                  <c:v>43058</c:v>
                </c:pt>
                <c:pt idx="1051">
                  <c:v>43059</c:v>
                </c:pt>
                <c:pt idx="1052">
                  <c:v>43060</c:v>
                </c:pt>
                <c:pt idx="1053">
                  <c:v>43061</c:v>
                </c:pt>
                <c:pt idx="1054">
                  <c:v>43062</c:v>
                </c:pt>
                <c:pt idx="1055">
                  <c:v>43063</c:v>
                </c:pt>
                <c:pt idx="1056">
                  <c:v>43064</c:v>
                </c:pt>
                <c:pt idx="1057">
                  <c:v>43065</c:v>
                </c:pt>
                <c:pt idx="1058">
                  <c:v>43066</c:v>
                </c:pt>
                <c:pt idx="1059">
                  <c:v>43067</c:v>
                </c:pt>
                <c:pt idx="1060">
                  <c:v>43068</c:v>
                </c:pt>
                <c:pt idx="1061">
                  <c:v>43069</c:v>
                </c:pt>
                <c:pt idx="1062">
                  <c:v>43070</c:v>
                </c:pt>
                <c:pt idx="1063">
                  <c:v>43071</c:v>
                </c:pt>
                <c:pt idx="1064">
                  <c:v>43072</c:v>
                </c:pt>
                <c:pt idx="1065">
                  <c:v>43073</c:v>
                </c:pt>
                <c:pt idx="1066">
                  <c:v>43074</c:v>
                </c:pt>
                <c:pt idx="1067">
                  <c:v>43075</c:v>
                </c:pt>
                <c:pt idx="1068">
                  <c:v>43076</c:v>
                </c:pt>
                <c:pt idx="1069">
                  <c:v>43077</c:v>
                </c:pt>
                <c:pt idx="1070">
                  <c:v>43078</c:v>
                </c:pt>
                <c:pt idx="1071">
                  <c:v>43079</c:v>
                </c:pt>
                <c:pt idx="1072">
                  <c:v>43080</c:v>
                </c:pt>
                <c:pt idx="1073">
                  <c:v>43081</c:v>
                </c:pt>
                <c:pt idx="1074">
                  <c:v>43082</c:v>
                </c:pt>
                <c:pt idx="1075">
                  <c:v>43083</c:v>
                </c:pt>
                <c:pt idx="1076">
                  <c:v>43084</c:v>
                </c:pt>
                <c:pt idx="1077">
                  <c:v>43085</c:v>
                </c:pt>
                <c:pt idx="1078">
                  <c:v>43086</c:v>
                </c:pt>
                <c:pt idx="1079">
                  <c:v>43087</c:v>
                </c:pt>
                <c:pt idx="1080">
                  <c:v>43088</c:v>
                </c:pt>
                <c:pt idx="1081">
                  <c:v>43089</c:v>
                </c:pt>
                <c:pt idx="1082">
                  <c:v>43090</c:v>
                </c:pt>
                <c:pt idx="1083">
                  <c:v>43091</c:v>
                </c:pt>
                <c:pt idx="1084">
                  <c:v>43092</c:v>
                </c:pt>
                <c:pt idx="1085">
                  <c:v>43093</c:v>
                </c:pt>
                <c:pt idx="1086">
                  <c:v>43094</c:v>
                </c:pt>
                <c:pt idx="1087">
                  <c:v>43095</c:v>
                </c:pt>
                <c:pt idx="1088">
                  <c:v>43096</c:v>
                </c:pt>
                <c:pt idx="1089">
                  <c:v>43097</c:v>
                </c:pt>
                <c:pt idx="1090">
                  <c:v>43098</c:v>
                </c:pt>
                <c:pt idx="1091">
                  <c:v>43099</c:v>
                </c:pt>
                <c:pt idx="1092">
                  <c:v>43100</c:v>
                </c:pt>
                <c:pt idx="1093">
                  <c:v>43101</c:v>
                </c:pt>
                <c:pt idx="1094">
                  <c:v>43102</c:v>
                </c:pt>
                <c:pt idx="1095">
                  <c:v>43103</c:v>
                </c:pt>
                <c:pt idx="1096">
                  <c:v>43104</c:v>
                </c:pt>
                <c:pt idx="1097">
                  <c:v>43105</c:v>
                </c:pt>
                <c:pt idx="1098">
                  <c:v>43106</c:v>
                </c:pt>
                <c:pt idx="1099">
                  <c:v>43107</c:v>
                </c:pt>
                <c:pt idx="1100">
                  <c:v>43108</c:v>
                </c:pt>
                <c:pt idx="1101">
                  <c:v>43109</c:v>
                </c:pt>
                <c:pt idx="1102">
                  <c:v>43110</c:v>
                </c:pt>
                <c:pt idx="1103">
                  <c:v>43111</c:v>
                </c:pt>
                <c:pt idx="1104">
                  <c:v>43112</c:v>
                </c:pt>
                <c:pt idx="1105">
                  <c:v>43113</c:v>
                </c:pt>
                <c:pt idx="1106">
                  <c:v>43114</c:v>
                </c:pt>
                <c:pt idx="1107">
                  <c:v>43115</c:v>
                </c:pt>
                <c:pt idx="1108">
                  <c:v>43116</c:v>
                </c:pt>
                <c:pt idx="1109">
                  <c:v>43117</c:v>
                </c:pt>
                <c:pt idx="1110">
                  <c:v>43118</c:v>
                </c:pt>
                <c:pt idx="1111">
                  <c:v>43119</c:v>
                </c:pt>
                <c:pt idx="1112">
                  <c:v>43120</c:v>
                </c:pt>
                <c:pt idx="1113">
                  <c:v>43121</c:v>
                </c:pt>
                <c:pt idx="1114">
                  <c:v>43122</c:v>
                </c:pt>
                <c:pt idx="1115">
                  <c:v>43123</c:v>
                </c:pt>
                <c:pt idx="1116">
                  <c:v>43124</c:v>
                </c:pt>
                <c:pt idx="1117">
                  <c:v>43125</c:v>
                </c:pt>
                <c:pt idx="1118">
                  <c:v>43126</c:v>
                </c:pt>
                <c:pt idx="1119">
                  <c:v>43127</c:v>
                </c:pt>
                <c:pt idx="1120">
                  <c:v>43128</c:v>
                </c:pt>
                <c:pt idx="1121">
                  <c:v>43129</c:v>
                </c:pt>
                <c:pt idx="1122">
                  <c:v>43130</c:v>
                </c:pt>
                <c:pt idx="1123">
                  <c:v>43131</c:v>
                </c:pt>
                <c:pt idx="1124">
                  <c:v>43132</c:v>
                </c:pt>
                <c:pt idx="1125">
                  <c:v>43133</c:v>
                </c:pt>
                <c:pt idx="1126">
                  <c:v>43134</c:v>
                </c:pt>
                <c:pt idx="1127">
                  <c:v>43135</c:v>
                </c:pt>
                <c:pt idx="1128">
                  <c:v>43136</c:v>
                </c:pt>
                <c:pt idx="1129">
                  <c:v>43137</c:v>
                </c:pt>
                <c:pt idx="1130">
                  <c:v>43138</c:v>
                </c:pt>
                <c:pt idx="1131">
                  <c:v>43139</c:v>
                </c:pt>
                <c:pt idx="1132">
                  <c:v>43140</c:v>
                </c:pt>
                <c:pt idx="1133">
                  <c:v>43141</c:v>
                </c:pt>
                <c:pt idx="1134">
                  <c:v>43142</c:v>
                </c:pt>
                <c:pt idx="1135">
                  <c:v>43143</c:v>
                </c:pt>
                <c:pt idx="1136">
                  <c:v>43144</c:v>
                </c:pt>
                <c:pt idx="1137">
                  <c:v>43145</c:v>
                </c:pt>
                <c:pt idx="1138">
                  <c:v>43146</c:v>
                </c:pt>
                <c:pt idx="1139">
                  <c:v>43147</c:v>
                </c:pt>
                <c:pt idx="1140">
                  <c:v>43148</c:v>
                </c:pt>
                <c:pt idx="1141">
                  <c:v>43149</c:v>
                </c:pt>
                <c:pt idx="1142">
                  <c:v>43150</c:v>
                </c:pt>
                <c:pt idx="1143">
                  <c:v>43151</c:v>
                </c:pt>
                <c:pt idx="1144">
                  <c:v>43152</c:v>
                </c:pt>
                <c:pt idx="1145">
                  <c:v>43153</c:v>
                </c:pt>
                <c:pt idx="1146">
                  <c:v>43154</c:v>
                </c:pt>
                <c:pt idx="1147">
                  <c:v>43155</c:v>
                </c:pt>
                <c:pt idx="1148">
                  <c:v>43156</c:v>
                </c:pt>
                <c:pt idx="1149">
                  <c:v>43157</c:v>
                </c:pt>
                <c:pt idx="1150">
                  <c:v>43158</c:v>
                </c:pt>
                <c:pt idx="1151">
                  <c:v>43159</c:v>
                </c:pt>
                <c:pt idx="1152">
                  <c:v>43160</c:v>
                </c:pt>
                <c:pt idx="1153">
                  <c:v>43161</c:v>
                </c:pt>
                <c:pt idx="1154">
                  <c:v>43162</c:v>
                </c:pt>
                <c:pt idx="1155">
                  <c:v>43163</c:v>
                </c:pt>
                <c:pt idx="1156">
                  <c:v>43164</c:v>
                </c:pt>
                <c:pt idx="1157">
                  <c:v>43165</c:v>
                </c:pt>
                <c:pt idx="1158">
                  <c:v>43166</c:v>
                </c:pt>
                <c:pt idx="1159">
                  <c:v>43167</c:v>
                </c:pt>
                <c:pt idx="1160">
                  <c:v>43168</c:v>
                </c:pt>
                <c:pt idx="1161">
                  <c:v>43169</c:v>
                </c:pt>
                <c:pt idx="1162">
                  <c:v>43170</c:v>
                </c:pt>
                <c:pt idx="1163">
                  <c:v>43171</c:v>
                </c:pt>
                <c:pt idx="1164">
                  <c:v>43172</c:v>
                </c:pt>
                <c:pt idx="1165">
                  <c:v>43173</c:v>
                </c:pt>
                <c:pt idx="1166">
                  <c:v>43174</c:v>
                </c:pt>
                <c:pt idx="1167">
                  <c:v>43175</c:v>
                </c:pt>
                <c:pt idx="1168">
                  <c:v>43176</c:v>
                </c:pt>
                <c:pt idx="1169">
                  <c:v>43177</c:v>
                </c:pt>
                <c:pt idx="1170">
                  <c:v>43178</c:v>
                </c:pt>
                <c:pt idx="1171">
                  <c:v>43179</c:v>
                </c:pt>
                <c:pt idx="1172">
                  <c:v>43180</c:v>
                </c:pt>
                <c:pt idx="1173">
                  <c:v>43181</c:v>
                </c:pt>
                <c:pt idx="1174">
                  <c:v>43182</c:v>
                </c:pt>
                <c:pt idx="1175">
                  <c:v>43183</c:v>
                </c:pt>
                <c:pt idx="1176">
                  <c:v>43184</c:v>
                </c:pt>
                <c:pt idx="1177">
                  <c:v>43185</c:v>
                </c:pt>
                <c:pt idx="1178">
                  <c:v>43186</c:v>
                </c:pt>
                <c:pt idx="1179">
                  <c:v>43187</c:v>
                </c:pt>
                <c:pt idx="1180">
                  <c:v>43188</c:v>
                </c:pt>
                <c:pt idx="1181">
                  <c:v>43189</c:v>
                </c:pt>
                <c:pt idx="1182">
                  <c:v>43190</c:v>
                </c:pt>
                <c:pt idx="1183">
                  <c:v>43191</c:v>
                </c:pt>
                <c:pt idx="1184">
                  <c:v>43192</c:v>
                </c:pt>
                <c:pt idx="1185">
                  <c:v>43193</c:v>
                </c:pt>
                <c:pt idx="1186">
                  <c:v>43194</c:v>
                </c:pt>
                <c:pt idx="1187">
                  <c:v>43195</c:v>
                </c:pt>
                <c:pt idx="1188">
                  <c:v>43196</c:v>
                </c:pt>
                <c:pt idx="1189">
                  <c:v>43197</c:v>
                </c:pt>
                <c:pt idx="1190">
                  <c:v>43198</c:v>
                </c:pt>
                <c:pt idx="1191">
                  <c:v>43199</c:v>
                </c:pt>
                <c:pt idx="1192">
                  <c:v>43200</c:v>
                </c:pt>
                <c:pt idx="1193">
                  <c:v>43201</c:v>
                </c:pt>
                <c:pt idx="1194">
                  <c:v>43202</c:v>
                </c:pt>
                <c:pt idx="1195">
                  <c:v>43203</c:v>
                </c:pt>
                <c:pt idx="1196">
                  <c:v>43204</c:v>
                </c:pt>
                <c:pt idx="1197">
                  <c:v>43205</c:v>
                </c:pt>
                <c:pt idx="1198">
                  <c:v>43206</c:v>
                </c:pt>
                <c:pt idx="1199">
                  <c:v>43207</c:v>
                </c:pt>
                <c:pt idx="1200">
                  <c:v>43208</c:v>
                </c:pt>
                <c:pt idx="1201">
                  <c:v>43209</c:v>
                </c:pt>
                <c:pt idx="1202">
                  <c:v>43210</c:v>
                </c:pt>
                <c:pt idx="1203">
                  <c:v>43211</c:v>
                </c:pt>
                <c:pt idx="1204">
                  <c:v>43212</c:v>
                </c:pt>
                <c:pt idx="1205">
                  <c:v>43213</c:v>
                </c:pt>
                <c:pt idx="1206">
                  <c:v>43214</c:v>
                </c:pt>
                <c:pt idx="1207">
                  <c:v>43215</c:v>
                </c:pt>
                <c:pt idx="1208">
                  <c:v>43216</c:v>
                </c:pt>
                <c:pt idx="1209">
                  <c:v>43217</c:v>
                </c:pt>
                <c:pt idx="1210">
                  <c:v>43218</c:v>
                </c:pt>
                <c:pt idx="1211">
                  <c:v>43219</c:v>
                </c:pt>
                <c:pt idx="1212">
                  <c:v>43220</c:v>
                </c:pt>
                <c:pt idx="1213">
                  <c:v>43221</c:v>
                </c:pt>
                <c:pt idx="1214">
                  <c:v>43222</c:v>
                </c:pt>
                <c:pt idx="1215">
                  <c:v>43223</c:v>
                </c:pt>
                <c:pt idx="1216">
                  <c:v>43224</c:v>
                </c:pt>
                <c:pt idx="1217">
                  <c:v>43225</c:v>
                </c:pt>
                <c:pt idx="1218">
                  <c:v>43226</c:v>
                </c:pt>
                <c:pt idx="1219">
                  <c:v>43227</c:v>
                </c:pt>
                <c:pt idx="1220">
                  <c:v>43228</c:v>
                </c:pt>
                <c:pt idx="1221">
                  <c:v>43229</c:v>
                </c:pt>
                <c:pt idx="1222">
                  <c:v>43230</c:v>
                </c:pt>
                <c:pt idx="1223">
                  <c:v>43231</c:v>
                </c:pt>
                <c:pt idx="1224">
                  <c:v>43232</c:v>
                </c:pt>
                <c:pt idx="1225">
                  <c:v>43233</c:v>
                </c:pt>
                <c:pt idx="1226">
                  <c:v>43234</c:v>
                </c:pt>
                <c:pt idx="1227">
                  <c:v>43235</c:v>
                </c:pt>
                <c:pt idx="1228">
                  <c:v>43236</c:v>
                </c:pt>
                <c:pt idx="1229">
                  <c:v>43237</c:v>
                </c:pt>
                <c:pt idx="1230">
                  <c:v>43238</c:v>
                </c:pt>
                <c:pt idx="1231">
                  <c:v>43239</c:v>
                </c:pt>
                <c:pt idx="1232">
                  <c:v>43240</c:v>
                </c:pt>
                <c:pt idx="1233">
                  <c:v>43241</c:v>
                </c:pt>
                <c:pt idx="1234">
                  <c:v>43242</c:v>
                </c:pt>
                <c:pt idx="1235">
                  <c:v>43243</c:v>
                </c:pt>
                <c:pt idx="1236">
                  <c:v>43244</c:v>
                </c:pt>
                <c:pt idx="1237">
                  <c:v>43245</c:v>
                </c:pt>
                <c:pt idx="1238">
                  <c:v>43246</c:v>
                </c:pt>
                <c:pt idx="1239">
                  <c:v>43247</c:v>
                </c:pt>
                <c:pt idx="1240">
                  <c:v>43248</c:v>
                </c:pt>
                <c:pt idx="1241">
                  <c:v>43249</c:v>
                </c:pt>
                <c:pt idx="1242">
                  <c:v>43250</c:v>
                </c:pt>
                <c:pt idx="1243">
                  <c:v>43251</c:v>
                </c:pt>
                <c:pt idx="1244">
                  <c:v>43252</c:v>
                </c:pt>
                <c:pt idx="1245">
                  <c:v>43253</c:v>
                </c:pt>
                <c:pt idx="1246">
                  <c:v>43254</c:v>
                </c:pt>
                <c:pt idx="1247">
                  <c:v>43255</c:v>
                </c:pt>
                <c:pt idx="1248">
                  <c:v>43256</c:v>
                </c:pt>
                <c:pt idx="1249">
                  <c:v>43257</c:v>
                </c:pt>
                <c:pt idx="1250">
                  <c:v>43258</c:v>
                </c:pt>
                <c:pt idx="1251">
                  <c:v>43259</c:v>
                </c:pt>
                <c:pt idx="1252">
                  <c:v>43260</c:v>
                </c:pt>
                <c:pt idx="1253">
                  <c:v>43261</c:v>
                </c:pt>
                <c:pt idx="1254">
                  <c:v>43262</c:v>
                </c:pt>
                <c:pt idx="1255">
                  <c:v>43263</c:v>
                </c:pt>
                <c:pt idx="1256">
                  <c:v>43264</c:v>
                </c:pt>
                <c:pt idx="1257">
                  <c:v>43265</c:v>
                </c:pt>
                <c:pt idx="1258">
                  <c:v>43266</c:v>
                </c:pt>
                <c:pt idx="1259">
                  <c:v>43267</c:v>
                </c:pt>
                <c:pt idx="1260">
                  <c:v>43268</c:v>
                </c:pt>
                <c:pt idx="1261">
                  <c:v>43269</c:v>
                </c:pt>
                <c:pt idx="1262">
                  <c:v>43270</c:v>
                </c:pt>
                <c:pt idx="1263">
                  <c:v>43271</c:v>
                </c:pt>
                <c:pt idx="1264">
                  <c:v>43272</c:v>
                </c:pt>
                <c:pt idx="1265">
                  <c:v>43273</c:v>
                </c:pt>
                <c:pt idx="1266">
                  <c:v>43274</c:v>
                </c:pt>
                <c:pt idx="1267">
                  <c:v>43275</c:v>
                </c:pt>
                <c:pt idx="1268">
                  <c:v>43276</c:v>
                </c:pt>
                <c:pt idx="1269">
                  <c:v>43277</c:v>
                </c:pt>
                <c:pt idx="1270">
                  <c:v>43278</c:v>
                </c:pt>
                <c:pt idx="1271">
                  <c:v>43279</c:v>
                </c:pt>
                <c:pt idx="1272">
                  <c:v>43280</c:v>
                </c:pt>
                <c:pt idx="1273">
                  <c:v>43281</c:v>
                </c:pt>
                <c:pt idx="1274">
                  <c:v>43282</c:v>
                </c:pt>
                <c:pt idx="1275">
                  <c:v>43283</c:v>
                </c:pt>
                <c:pt idx="1276">
                  <c:v>43284</c:v>
                </c:pt>
                <c:pt idx="1277">
                  <c:v>43285</c:v>
                </c:pt>
                <c:pt idx="1278">
                  <c:v>43286</c:v>
                </c:pt>
                <c:pt idx="1279">
                  <c:v>43287</c:v>
                </c:pt>
                <c:pt idx="1280">
                  <c:v>43288</c:v>
                </c:pt>
                <c:pt idx="1281">
                  <c:v>43289</c:v>
                </c:pt>
                <c:pt idx="1282">
                  <c:v>43290</c:v>
                </c:pt>
                <c:pt idx="1283">
                  <c:v>43291</c:v>
                </c:pt>
                <c:pt idx="1284">
                  <c:v>43292</c:v>
                </c:pt>
                <c:pt idx="1285">
                  <c:v>43293</c:v>
                </c:pt>
                <c:pt idx="1286">
                  <c:v>43294</c:v>
                </c:pt>
                <c:pt idx="1287">
                  <c:v>43295</c:v>
                </c:pt>
                <c:pt idx="1288">
                  <c:v>43296</c:v>
                </c:pt>
                <c:pt idx="1289">
                  <c:v>43297</c:v>
                </c:pt>
                <c:pt idx="1290">
                  <c:v>43298</c:v>
                </c:pt>
                <c:pt idx="1291">
                  <c:v>43299</c:v>
                </c:pt>
                <c:pt idx="1292">
                  <c:v>43300</c:v>
                </c:pt>
                <c:pt idx="1293">
                  <c:v>43301</c:v>
                </c:pt>
                <c:pt idx="1294">
                  <c:v>43302</c:v>
                </c:pt>
                <c:pt idx="1295">
                  <c:v>43303</c:v>
                </c:pt>
                <c:pt idx="1296">
                  <c:v>43304</c:v>
                </c:pt>
                <c:pt idx="1297">
                  <c:v>43305</c:v>
                </c:pt>
                <c:pt idx="1298">
                  <c:v>43306</c:v>
                </c:pt>
                <c:pt idx="1299">
                  <c:v>43307</c:v>
                </c:pt>
                <c:pt idx="1300">
                  <c:v>43308</c:v>
                </c:pt>
                <c:pt idx="1301">
                  <c:v>43309</c:v>
                </c:pt>
                <c:pt idx="1302">
                  <c:v>43310</c:v>
                </c:pt>
                <c:pt idx="1303">
                  <c:v>43311</c:v>
                </c:pt>
                <c:pt idx="1304">
                  <c:v>43312</c:v>
                </c:pt>
                <c:pt idx="1305">
                  <c:v>43313</c:v>
                </c:pt>
                <c:pt idx="1306">
                  <c:v>43314</c:v>
                </c:pt>
                <c:pt idx="1307">
                  <c:v>43315</c:v>
                </c:pt>
                <c:pt idx="1308">
                  <c:v>43316</c:v>
                </c:pt>
                <c:pt idx="1309">
                  <c:v>43317</c:v>
                </c:pt>
                <c:pt idx="1310">
                  <c:v>43318</c:v>
                </c:pt>
                <c:pt idx="1311">
                  <c:v>43319</c:v>
                </c:pt>
                <c:pt idx="1312">
                  <c:v>43320</c:v>
                </c:pt>
                <c:pt idx="1313">
                  <c:v>43321</c:v>
                </c:pt>
                <c:pt idx="1314">
                  <c:v>43322</c:v>
                </c:pt>
                <c:pt idx="1315">
                  <c:v>43323</c:v>
                </c:pt>
                <c:pt idx="1316">
                  <c:v>43324</c:v>
                </c:pt>
                <c:pt idx="1317">
                  <c:v>43325</c:v>
                </c:pt>
                <c:pt idx="1318">
                  <c:v>43326</c:v>
                </c:pt>
                <c:pt idx="1319">
                  <c:v>43327</c:v>
                </c:pt>
                <c:pt idx="1320">
                  <c:v>43328</c:v>
                </c:pt>
                <c:pt idx="1321">
                  <c:v>43329</c:v>
                </c:pt>
                <c:pt idx="1322">
                  <c:v>43330</c:v>
                </c:pt>
                <c:pt idx="1323">
                  <c:v>43331</c:v>
                </c:pt>
                <c:pt idx="1324">
                  <c:v>43332</c:v>
                </c:pt>
                <c:pt idx="1325">
                  <c:v>43333</c:v>
                </c:pt>
                <c:pt idx="1326">
                  <c:v>43334</c:v>
                </c:pt>
                <c:pt idx="1327">
                  <c:v>43335</c:v>
                </c:pt>
                <c:pt idx="1328">
                  <c:v>43336</c:v>
                </c:pt>
                <c:pt idx="1329">
                  <c:v>43337</c:v>
                </c:pt>
                <c:pt idx="1330">
                  <c:v>43338</c:v>
                </c:pt>
                <c:pt idx="1331">
                  <c:v>43339</c:v>
                </c:pt>
                <c:pt idx="1332">
                  <c:v>43340</c:v>
                </c:pt>
                <c:pt idx="1333">
                  <c:v>43341</c:v>
                </c:pt>
                <c:pt idx="1334">
                  <c:v>43342</c:v>
                </c:pt>
                <c:pt idx="1335">
                  <c:v>43343</c:v>
                </c:pt>
                <c:pt idx="1336">
                  <c:v>43344</c:v>
                </c:pt>
                <c:pt idx="1337">
                  <c:v>43345</c:v>
                </c:pt>
                <c:pt idx="1338">
                  <c:v>43346</c:v>
                </c:pt>
                <c:pt idx="1339">
                  <c:v>43347</c:v>
                </c:pt>
                <c:pt idx="1340">
                  <c:v>43348</c:v>
                </c:pt>
                <c:pt idx="1341">
                  <c:v>43349</c:v>
                </c:pt>
                <c:pt idx="1342">
                  <c:v>43350</c:v>
                </c:pt>
                <c:pt idx="1343">
                  <c:v>43351</c:v>
                </c:pt>
                <c:pt idx="1344">
                  <c:v>43352</c:v>
                </c:pt>
                <c:pt idx="1345">
                  <c:v>43353</c:v>
                </c:pt>
                <c:pt idx="1346">
                  <c:v>43354</c:v>
                </c:pt>
                <c:pt idx="1347">
                  <c:v>43355</c:v>
                </c:pt>
                <c:pt idx="1348">
                  <c:v>43356</c:v>
                </c:pt>
                <c:pt idx="1349">
                  <c:v>43357</c:v>
                </c:pt>
                <c:pt idx="1350">
                  <c:v>43358</c:v>
                </c:pt>
                <c:pt idx="1351">
                  <c:v>43359</c:v>
                </c:pt>
                <c:pt idx="1352">
                  <c:v>43360</c:v>
                </c:pt>
                <c:pt idx="1353">
                  <c:v>43361</c:v>
                </c:pt>
                <c:pt idx="1354">
                  <c:v>43362</c:v>
                </c:pt>
                <c:pt idx="1355">
                  <c:v>43363</c:v>
                </c:pt>
                <c:pt idx="1356">
                  <c:v>43364</c:v>
                </c:pt>
                <c:pt idx="1357">
                  <c:v>43365</c:v>
                </c:pt>
                <c:pt idx="1358">
                  <c:v>43366</c:v>
                </c:pt>
                <c:pt idx="1359">
                  <c:v>43367</c:v>
                </c:pt>
                <c:pt idx="1360">
                  <c:v>43368</c:v>
                </c:pt>
                <c:pt idx="1361">
                  <c:v>43369</c:v>
                </c:pt>
                <c:pt idx="1362">
                  <c:v>43370</c:v>
                </c:pt>
                <c:pt idx="1363">
                  <c:v>43371</c:v>
                </c:pt>
                <c:pt idx="1364">
                  <c:v>43372</c:v>
                </c:pt>
                <c:pt idx="1365">
                  <c:v>43373</c:v>
                </c:pt>
                <c:pt idx="1366">
                  <c:v>43374</c:v>
                </c:pt>
                <c:pt idx="1367">
                  <c:v>43375</c:v>
                </c:pt>
                <c:pt idx="1368">
                  <c:v>43376</c:v>
                </c:pt>
                <c:pt idx="1369">
                  <c:v>43377</c:v>
                </c:pt>
                <c:pt idx="1370">
                  <c:v>43378</c:v>
                </c:pt>
                <c:pt idx="1371">
                  <c:v>43379</c:v>
                </c:pt>
                <c:pt idx="1372">
                  <c:v>43380</c:v>
                </c:pt>
                <c:pt idx="1373">
                  <c:v>43381</c:v>
                </c:pt>
                <c:pt idx="1374">
                  <c:v>43382</c:v>
                </c:pt>
                <c:pt idx="1375">
                  <c:v>43383</c:v>
                </c:pt>
                <c:pt idx="1376">
                  <c:v>43384</c:v>
                </c:pt>
                <c:pt idx="1377">
                  <c:v>43385</c:v>
                </c:pt>
                <c:pt idx="1378">
                  <c:v>43386</c:v>
                </c:pt>
                <c:pt idx="1379">
                  <c:v>43387</c:v>
                </c:pt>
                <c:pt idx="1380">
                  <c:v>43388</c:v>
                </c:pt>
                <c:pt idx="1381">
                  <c:v>43389</c:v>
                </c:pt>
                <c:pt idx="1382">
                  <c:v>43390</c:v>
                </c:pt>
                <c:pt idx="1383">
                  <c:v>43391</c:v>
                </c:pt>
                <c:pt idx="1384">
                  <c:v>43392</c:v>
                </c:pt>
                <c:pt idx="1385">
                  <c:v>43393</c:v>
                </c:pt>
                <c:pt idx="1386">
                  <c:v>43394</c:v>
                </c:pt>
                <c:pt idx="1387">
                  <c:v>43395</c:v>
                </c:pt>
                <c:pt idx="1388">
                  <c:v>43396</c:v>
                </c:pt>
                <c:pt idx="1389">
                  <c:v>43397</c:v>
                </c:pt>
                <c:pt idx="1390">
                  <c:v>43398</c:v>
                </c:pt>
                <c:pt idx="1391">
                  <c:v>43399</c:v>
                </c:pt>
                <c:pt idx="1392">
                  <c:v>43400</c:v>
                </c:pt>
                <c:pt idx="1393">
                  <c:v>43401</c:v>
                </c:pt>
                <c:pt idx="1394">
                  <c:v>43402</c:v>
                </c:pt>
                <c:pt idx="1395">
                  <c:v>43403</c:v>
                </c:pt>
                <c:pt idx="1396">
                  <c:v>43404</c:v>
                </c:pt>
                <c:pt idx="1397">
                  <c:v>43405</c:v>
                </c:pt>
                <c:pt idx="1398">
                  <c:v>43406</c:v>
                </c:pt>
                <c:pt idx="1399">
                  <c:v>43407</c:v>
                </c:pt>
                <c:pt idx="1400">
                  <c:v>43408</c:v>
                </c:pt>
                <c:pt idx="1401">
                  <c:v>43409</c:v>
                </c:pt>
                <c:pt idx="1402">
                  <c:v>43410</c:v>
                </c:pt>
                <c:pt idx="1403">
                  <c:v>43411</c:v>
                </c:pt>
                <c:pt idx="1404">
                  <c:v>43412</c:v>
                </c:pt>
                <c:pt idx="1405">
                  <c:v>43413</c:v>
                </c:pt>
                <c:pt idx="1406">
                  <c:v>43414</c:v>
                </c:pt>
                <c:pt idx="1407">
                  <c:v>43415</c:v>
                </c:pt>
                <c:pt idx="1408">
                  <c:v>43416</c:v>
                </c:pt>
                <c:pt idx="1409">
                  <c:v>43417</c:v>
                </c:pt>
                <c:pt idx="1410">
                  <c:v>43418</c:v>
                </c:pt>
                <c:pt idx="1411">
                  <c:v>43419</c:v>
                </c:pt>
                <c:pt idx="1412">
                  <c:v>43420</c:v>
                </c:pt>
                <c:pt idx="1413">
                  <c:v>43421</c:v>
                </c:pt>
                <c:pt idx="1414">
                  <c:v>43422</c:v>
                </c:pt>
                <c:pt idx="1415">
                  <c:v>43423</c:v>
                </c:pt>
                <c:pt idx="1416">
                  <c:v>43424</c:v>
                </c:pt>
                <c:pt idx="1417">
                  <c:v>43425</c:v>
                </c:pt>
                <c:pt idx="1418">
                  <c:v>43426</c:v>
                </c:pt>
                <c:pt idx="1419">
                  <c:v>43427</c:v>
                </c:pt>
                <c:pt idx="1420">
                  <c:v>43428</c:v>
                </c:pt>
                <c:pt idx="1421">
                  <c:v>43429</c:v>
                </c:pt>
                <c:pt idx="1422">
                  <c:v>43430</c:v>
                </c:pt>
                <c:pt idx="1423">
                  <c:v>43431</c:v>
                </c:pt>
                <c:pt idx="1424">
                  <c:v>43432</c:v>
                </c:pt>
                <c:pt idx="1425">
                  <c:v>43433</c:v>
                </c:pt>
                <c:pt idx="1426">
                  <c:v>43434</c:v>
                </c:pt>
                <c:pt idx="1427">
                  <c:v>43435</c:v>
                </c:pt>
                <c:pt idx="1428">
                  <c:v>43436</c:v>
                </c:pt>
                <c:pt idx="1429">
                  <c:v>43437</c:v>
                </c:pt>
                <c:pt idx="1430">
                  <c:v>43438</c:v>
                </c:pt>
                <c:pt idx="1431">
                  <c:v>43439</c:v>
                </c:pt>
                <c:pt idx="1432">
                  <c:v>43440</c:v>
                </c:pt>
                <c:pt idx="1433">
                  <c:v>43441</c:v>
                </c:pt>
                <c:pt idx="1434">
                  <c:v>43442</c:v>
                </c:pt>
                <c:pt idx="1435">
                  <c:v>43443</c:v>
                </c:pt>
                <c:pt idx="1436">
                  <c:v>43444</c:v>
                </c:pt>
                <c:pt idx="1437">
                  <c:v>43445</c:v>
                </c:pt>
                <c:pt idx="1438">
                  <c:v>43446</c:v>
                </c:pt>
                <c:pt idx="1439">
                  <c:v>43447</c:v>
                </c:pt>
                <c:pt idx="1440">
                  <c:v>43448</c:v>
                </c:pt>
                <c:pt idx="1441">
                  <c:v>43449</c:v>
                </c:pt>
                <c:pt idx="1442">
                  <c:v>43450</c:v>
                </c:pt>
                <c:pt idx="1443">
                  <c:v>43451</c:v>
                </c:pt>
                <c:pt idx="1444">
                  <c:v>43452</c:v>
                </c:pt>
                <c:pt idx="1445">
                  <c:v>43453</c:v>
                </c:pt>
                <c:pt idx="1446">
                  <c:v>43454</c:v>
                </c:pt>
                <c:pt idx="1447">
                  <c:v>43455</c:v>
                </c:pt>
                <c:pt idx="1448">
                  <c:v>43456</c:v>
                </c:pt>
                <c:pt idx="1449">
                  <c:v>43457</c:v>
                </c:pt>
                <c:pt idx="1450">
                  <c:v>43458</c:v>
                </c:pt>
                <c:pt idx="1451">
                  <c:v>43459</c:v>
                </c:pt>
                <c:pt idx="1452">
                  <c:v>43460</c:v>
                </c:pt>
                <c:pt idx="1453">
                  <c:v>43461</c:v>
                </c:pt>
                <c:pt idx="1454">
                  <c:v>43462</c:v>
                </c:pt>
                <c:pt idx="1455">
                  <c:v>43463</c:v>
                </c:pt>
                <c:pt idx="1456">
                  <c:v>43464</c:v>
                </c:pt>
                <c:pt idx="1457">
                  <c:v>43465</c:v>
                </c:pt>
                <c:pt idx="1458">
                  <c:v>43466</c:v>
                </c:pt>
                <c:pt idx="1459">
                  <c:v>43467</c:v>
                </c:pt>
                <c:pt idx="1460">
                  <c:v>43468</c:v>
                </c:pt>
                <c:pt idx="1461">
                  <c:v>43469</c:v>
                </c:pt>
                <c:pt idx="1462">
                  <c:v>43470</c:v>
                </c:pt>
                <c:pt idx="1463">
                  <c:v>43471</c:v>
                </c:pt>
                <c:pt idx="1464">
                  <c:v>43472</c:v>
                </c:pt>
                <c:pt idx="1465">
                  <c:v>43473</c:v>
                </c:pt>
                <c:pt idx="1466">
                  <c:v>43474</c:v>
                </c:pt>
                <c:pt idx="1467">
                  <c:v>43475</c:v>
                </c:pt>
                <c:pt idx="1468">
                  <c:v>43476</c:v>
                </c:pt>
                <c:pt idx="1469">
                  <c:v>43477</c:v>
                </c:pt>
                <c:pt idx="1470">
                  <c:v>43478</c:v>
                </c:pt>
                <c:pt idx="1471">
                  <c:v>43479</c:v>
                </c:pt>
                <c:pt idx="1472">
                  <c:v>43480</c:v>
                </c:pt>
                <c:pt idx="1473">
                  <c:v>43481</c:v>
                </c:pt>
                <c:pt idx="1474">
                  <c:v>43482</c:v>
                </c:pt>
                <c:pt idx="1475">
                  <c:v>43483</c:v>
                </c:pt>
                <c:pt idx="1476">
                  <c:v>43484</c:v>
                </c:pt>
                <c:pt idx="1477">
                  <c:v>43485</c:v>
                </c:pt>
                <c:pt idx="1478">
                  <c:v>43486</c:v>
                </c:pt>
                <c:pt idx="1479">
                  <c:v>43487</c:v>
                </c:pt>
                <c:pt idx="1480">
                  <c:v>43488</c:v>
                </c:pt>
                <c:pt idx="1481">
                  <c:v>43489</c:v>
                </c:pt>
                <c:pt idx="1482">
                  <c:v>43490</c:v>
                </c:pt>
                <c:pt idx="1483">
                  <c:v>43491</c:v>
                </c:pt>
                <c:pt idx="1484">
                  <c:v>43492</c:v>
                </c:pt>
                <c:pt idx="1485">
                  <c:v>43493</c:v>
                </c:pt>
                <c:pt idx="1486">
                  <c:v>43494</c:v>
                </c:pt>
                <c:pt idx="1487">
                  <c:v>43495</c:v>
                </c:pt>
                <c:pt idx="1488">
                  <c:v>43496</c:v>
                </c:pt>
                <c:pt idx="1489">
                  <c:v>43497</c:v>
                </c:pt>
                <c:pt idx="1490">
                  <c:v>43498</c:v>
                </c:pt>
                <c:pt idx="1491">
                  <c:v>43499</c:v>
                </c:pt>
                <c:pt idx="1492">
                  <c:v>43500</c:v>
                </c:pt>
                <c:pt idx="1493">
                  <c:v>43501</c:v>
                </c:pt>
                <c:pt idx="1494">
                  <c:v>43502</c:v>
                </c:pt>
                <c:pt idx="1495">
                  <c:v>43503</c:v>
                </c:pt>
                <c:pt idx="1496">
                  <c:v>43504</c:v>
                </c:pt>
                <c:pt idx="1497">
                  <c:v>43505</c:v>
                </c:pt>
                <c:pt idx="1498">
                  <c:v>43506</c:v>
                </c:pt>
                <c:pt idx="1499">
                  <c:v>43507</c:v>
                </c:pt>
                <c:pt idx="1500">
                  <c:v>43508</c:v>
                </c:pt>
                <c:pt idx="1501">
                  <c:v>43509</c:v>
                </c:pt>
                <c:pt idx="1502">
                  <c:v>43510</c:v>
                </c:pt>
                <c:pt idx="1503">
                  <c:v>43511</c:v>
                </c:pt>
                <c:pt idx="1504">
                  <c:v>43512</c:v>
                </c:pt>
                <c:pt idx="1505">
                  <c:v>43513</c:v>
                </c:pt>
                <c:pt idx="1506">
                  <c:v>43514</c:v>
                </c:pt>
                <c:pt idx="1507">
                  <c:v>43515</c:v>
                </c:pt>
                <c:pt idx="1508">
                  <c:v>43516</c:v>
                </c:pt>
                <c:pt idx="1509">
                  <c:v>43517</c:v>
                </c:pt>
                <c:pt idx="1510">
                  <c:v>43518</c:v>
                </c:pt>
                <c:pt idx="1511">
                  <c:v>43519</c:v>
                </c:pt>
                <c:pt idx="1512">
                  <c:v>43520</c:v>
                </c:pt>
                <c:pt idx="1513">
                  <c:v>43521</c:v>
                </c:pt>
                <c:pt idx="1514">
                  <c:v>43522</c:v>
                </c:pt>
                <c:pt idx="1515">
                  <c:v>43523</c:v>
                </c:pt>
                <c:pt idx="1516">
                  <c:v>43524</c:v>
                </c:pt>
                <c:pt idx="1517">
                  <c:v>43525</c:v>
                </c:pt>
                <c:pt idx="1518">
                  <c:v>43526</c:v>
                </c:pt>
                <c:pt idx="1519">
                  <c:v>43527</c:v>
                </c:pt>
                <c:pt idx="1520">
                  <c:v>43528</c:v>
                </c:pt>
                <c:pt idx="1521">
                  <c:v>43529</c:v>
                </c:pt>
                <c:pt idx="1522">
                  <c:v>43530</c:v>
                </c:pt>
                <c:pt idx="1523">
                  <c:v>43531</c:v>
                </c:pt>
                <c:pt idx="1524">
                  <c:v>43532</c:v>
                </c:pt>
                <c:pt idx="1525">
                  <c:v>43533</c:v>
                </c:pt>
                <c:pt idx="1526">
                  <c:v>43534</c:v>
                </c:pt>
                <c:pt idx="1527">
                  <c:v>43535</c:v>
                </c:pt>
                <c:pt idx="1528">
                  <c:v>43536</c:v>
                </c:pt>
                <c:pt idx="1529">
                  <c:v>43537</c:v>
                </c:pt>
                <c:pt idx="1530">
                  <c:v>43538</c:v>
                </c:pt>
                <c:pt idx="1531">
                  <c:v>43539</c:v>
                </c:pt>
                <c:pt idx="1532">
                  <c:v>43540</c:v>
                </c:pt>
                <c:pt idx="1533">
                  <c:v>43541</c:v>
                </c:pt>
                <c:pt idx="1534">
                  <c:v>43542</c:v>
                </c:pt>
                <c:pt idx="1535">
                  <c:v>43543</c:v>
                </c:pt>
                <c:pt idx="1536">
                  <c:v>43544</c:v>
                </c:pt>
                <c:pt idx="1537">
                  <c:v>43545</c:v>
                </c:pt>
                <c:pt idx="1538">
                  <c:v>43546</c:v>
                </c:pt>
                <c:pt idx="1539">
                  <c:v>43547</c:v>
                </c:pt>
                <c:pt idx="1540">
                  <c:v>43548</c:v>
                </c:pt>
                <c:pt idx="1541">
                  <c:v>43549</c:v>
                </c:pt>
                <c:pt idx="1542">
                  <c:v>43550</c:v>
                </c:pt>
                <c:pt idx="1543">
                  <c:v>43551</c:v>
                </c:pt>
                <c:pt idx="1544">
                  <c:v>43552</c:v>
                </c:pt>
                <c:pt idx="1545">
                  <c:v>43553</c:v>
                </c:pt>
                <c:pt idx="1546">
                  <c:v>43554</c:v>
                </c:pt>
                <c:pt idx="1547">
                  <c:v>43555</c:v>
                </c:pt>
                <c:pt idx="1548">
                  <c:v>43556</c:v>
                </c:pt>
                <c:pt idx="1549">
                  <c:v>43557</c:v>
                </c:pt>
                <c:pt idx="1550">
                  <c:v>43558</c:v>
                </c:pt>
                <c:pt idx="1551">
                  <c:v>43559</c:v>
                </c:pt>
                <c:pt idx="1552">
                  <c:v>43560</c:v>
                </c:pt>
                <c:pt idx="1553">
                  <c:v>43561</c:v>
                </c:pt>
                <c:pt idx="1554">
                  <c:v>43562</c:v>
                </c:pt>
                <c:pt idx="1555">
                  <c:v>43563</c:v>
                </c:pt>
                <c:pt idx="1556">
                  <c:v>43564</c:v>
                </c:pt>
                <c:pt idx="1557">
                  <c:v>43565</c:v>
                </c:pt>
                <c:pt idx="1558">
                  <c:v>43566</c:v>
                </c:pt>
                <c:pt idx="1559">
                  <c:v>43567</c:v>
                </c:pt>
                <c:pt idx="1560">
                  <c:v>43568</c:v>
                </c:pt>
                <c:pt idx="1561">
                  <c:v>43569</c:v>
                </c:pt>
                <c:pt idx="1562">
                  <c:v>43570</c:v>
                </c:pt>
                <c:pt idx="1563">
                  <c:v>43571</c:v>
                </c:pt>
                <c:pt idx="1564">
                  <c:v>43572</c:v>
                </c:pt>
                <c:pt idx="1565">
                  <c:v>43573</c:v>
                </c:pt>
                <c:pt idx="1566">
                  <c:v>43574</c:v>
                </c:pt>
                <c:pt idx="1567">
                  <c:v>43575</c:v>
                </c:pt>
                <c:pt idx="1568">
                  <c:v>43576</c:v>
                </c:pt>
                <c:pt idx="1569">
                  <c:v>43577</c:v>
                </c:pt>
                <c:pt idx="1570">
                  <c:v>43578</c:v>
                </c:pt>
                <c:pt idx="1571">
                  <c:v>43579</c:v>
                </c:pt>
                <c:pt idx="1572">
                  <c:v>43580</c:v>
                </c:pt>
                <c:pt idx="1573">
                  <c:v>43581</c:v>
                </c:pt>
                <c:pt idx="1574">
                  <c:v>43582</c:v>
                </c:pt>
                <c:pt idx="1575">
                  <c:v>43583</c:v>
                </c:pt>
                <c:pt idx="1576">
                  <c:v>43584</c:v>
                </c:pt>
                <c:pt idx="1577">
                  <c:v>43585</c:v>
                </c:pt>
                <c:pt idx="1578">
                  <c:v>43586</c:v>
                </c:pt>
                <c:pt idx="1579">
                  <c:v>43587</c:v>
                </c:pt>
                <c:pt idx="1580">
                  <c:v>43588</c:v>
                </c:pt>
                <c:pt idx="1581">
                  <c:v>43589</c:v>
                </c:pt>
                <c:pt idx="1582">
                  <c:v>43590</c:v>
                </c:pt>
                <c:pt idx="1583">
                  <c:v>43591</c:v>
                </c:pt>
                <c:pt idx="1584">
                  <c:v>43592</c:v>
                </c:pt>
                <c:pt idx="1585">
                  <c:v>43593</c:v>
                </c:pt>
                <c:pt idx="1586">
                  <c:v>43594</c:v>
                </c:pt>
                <c:pt idx="1587">
                  <c:v>43595</c:v>
                </c:pt>
                <c:pt idx="1588">
                  <c:v>43596</c:v>
                </c:pt>
                <c:pt idx="1589">
                  <c:v>43597</c:v>
                </c:pt>
                <c:pt idx="1590">
                  <c:v>43598</c:v>
                </c:pt>
                <c:pt idx="1591">
                  <c:v>43599</c:v>
                </c:pt>
                <c:pt idx="1592">
                  <c:v>43600</c:v>
                </c:pt>
                <c:pt idx="1593">
                  <c:v>43601</c:v>
                </c:pt>
                <c:pt idx="1594">
                  <c:v>43602</c:v>
                </c:pt>
                <c:pt idx="1595">
                  <c:v>43603</c:v>
                </c:pt>
                <c:pt idx="1596">
                  <c:v>43604</c:v>
                </c:pt>
                <c:pt idx="1597">
                  <c:v>43605</c:v>
                </c:pt>
                <c:pt idx="1598">
                  <c:v>43606</c:v>
                </c:pt>
                <c:pt idx="1599">
                  <c:v>43607</c:v>
                </c:pt>
                <c:pt idx="1600">
                  <c:v>43608</c:v>
                </c:pt>
                <c:pt idx="1601">
                  <c:v>43609</c:v>
                </c:pt>
                <c:pt idx="1602">
                  <c:v>43610</c:v>
                </c:pt>
                <c:pt idx="1603">
                  <c:v>43611</c:v>
                </c:pt>
                <c:pt idx="1604">
                  <c:v>43612</c:v>
                </c:pt>
                <c:pt idx="1605">
                  <c:v>43613</c:v>
                </c:pt>
                <c:pt idx="1606">
                  <c:v>43614</c:v>
                </c:pt>
                <c:pt idx="1607">
                  <c:v>43615</c:v>
                </c:pt>
                <c:pt idx="1608">
                  <c:v>43616</c:v>
                </c:pt>
                <c:pt idx="1609">
                  <c:v>43617</c:v>
                </c:pt>
                <c:pt idx="1610">
                  <c:v>43618</c:v>
                </c:pt>
                <c:pt idx="1611">
                  <c:v>43619</c:v>
                </c:pt>
                <c:pt idx="1612">
                  <c:v>43620</c:v>
                </c:pt>
                <c:pt idx="1613">
                  <c:v>43621</c:v>
                </c:pt>
                <c:pt idx="1614">
                  <c:v>43622</c:v>
                </c:pt>
                <c:pt idx="1615">
                  <c:v>43623</c:v>
                </c:pt>
                <c:pt idx="1616">
                  <c:v>43624</c:v>
                </c:pt>
                <c:pt idx="1617">
                  <c:v>43625</c:v>
                </c:pt>
                <c:pt idx="1618">
                  <c:v>43626</c:v>
                </c:pt>
                <c:pt idx="1619">
                  <c:v>43627</c:v>
                </c:pt>
                <c:pt idx="1620">
                  <c:v>43628</c:v>
                </c:pt>
                <c:pt idx="1621">
                  <c:v>43629</c:v>
                </c:pt>
                <c:pt idx="1622">
                  <c:v>43630</c:v>
                </c:pt>
                <c:pt idx="1623">
                  <c:v>43631</c:v>
                </c:pt>
                <c:pt idx="1624">
                  <c:v>43632</c:v>
                </c:pt>
                <c:pt idx="1625">
                  <c:v>43633</c:v>
                </c:pt>
                <c:pt idx="1626">
                  <c:v>43634</c:v>
                </c:pt>
                <c:pt idx="1627">
                  <c:v>43635</c:v>
                </c:pt>
                <c:pt idx="1628">
                  <c:v>43636</c:v>
                </c:pt>
                <c:pt idx="1629">
                  <c:v>43637</c:v>
                </c:pt>
                <c:pt idx="1630">
                  <c:v>43638</c:v>
                </c:pt>
                <c:pt idx="1631">
                  <c:v>43639</c:v>
                </c:pt>
                <c:pt idx="1632">
                  <c:v>43640</c:v>
                </c:pt>
                <c:pt idx="1633">
                  <c:v>43641</c:v>
                </c:pt>
                <c:pt idx="1634">
                  <c:v>43642</c:v>
                </c:pt>
                <c:pt idx="1635">
                  <c:v>43643</c:v>
                </c:pt>
                <c:pt idx="1636">
                  <c:v>43644</c:v>
                </c:pt>
                <c:pt idx="1637">
                  <c:v>43645</c:v>
                </c:pt>
                <c:pt idx="1638">
                  <c:v>43646</c:v>
                </c:pt>
                <c:pt idx="1639">
                  <c:v>43647</c:v>
                </c:pt>
                <c:pt idx="1640">
                  <c:v>43648</c:v>
                </c:pt>
                <c:pt idx="1641">
                  <c:v>43649</c:v>
                </c:pt>
                <c:pt idx="1642">
                  <c:v>43650</c:v>
                </c:pt>
                <c:pt idx="1643">
                  <c:v>43651</c:v>
                </c:pt>
                <c:pt idx="1644">
                  <c:v>43652</c:v>
                </c:pt>
                <c:pt idx="1645">
                  <c:v>43653</c:v>
                </c:pt>
                <c:pt idx="1646">
                  <c:v>43654</c:v>
                </c:pt>
                <c:pt idx="1647">
                  <c:v>43655</c:v>
                </c:pt>
                <c:pt idx="1648">
                  <c:v>43656</c:v>
                </c:pt>
                <c:pt idx="1649">
                  <c:v>43657</c:v>
                </c:pt>
                <c:pt idx="1650">
                  <c:v>43658</c:v>
                </c:pt>
                <c:pt idx="1651">
                  <c:v>43659</c:v>
                </c:pt>
                <c:pt idx="1652">
                  <c:v>43660</c:v>
                </c:pt>
                <c:pt idx="1653">
                  <c:v>43661</c:v>
                </c:pt>
                <c:pt idx="1654">
                  <c:v>43662</c:v>
                </c:pt>
                <c:pt idx="1655">
                  <c:v>43663</c:v>
                </c:pt>
                <c:pt idx="1656">
                  <c:v>43664</c:v>
                </c:pt>
                <c:pt idx="1657">
                  <c:v>43665</c:v>
                </c:pt>
                <c:pt idx="1658">
                  <c:v>43666</c:v>
                </c:pt>
                <c:pt idx="1659">
                  <c:v>43667</c:v>
                </c:pt>
                <c:pt idx="1660">
                  <c:v>43668</c:v>
                </c:pt>
                <c:pt idx="1661">
                  <c:v>43669</c:v>
                </c:pt>
                <c:pt idx="1662">
                  <c:v>43670</c:v>
                </c:pt>
                <c:pt idx="1663">
                  <c:v>43671</c:v>
                </c:pt>
                <c:pt idx="1664">
                  <c:v>43672</c:v>
                </c:pt>
                <c:pt idx="1665">
                  <c:v>43673</c:v>
                </c:pt>
                <c:pt idx="1666">
                  <c:v>43674</c:v>
                </c:pt>
                <c:pt idx="1667">
                  <c:v>43675</c:v>
                </c:pt>
                <c:pt idx="1668">
                  <c:v>43676</c:v>
                </c:pt>
                <c:pt idx="1669">
                  <c:v>43677</c:v>
                </c:pt>
                <c:pt idx="1670">
                  <c:v>43678</c:v>
                </c:pt>
                <c:pt idx="1671">
                  <c:v>43679</c:v>
                </c:pt>
                <c:pt idx="1672">
                  <c:v>43680</c:v>
                </c:pt>
                <c:pt idx="1673">
                  <c:v>43681</c:v>
                </c:pt>
                <c:pt idx="1674">
                  <c:v>43682</c:v>
                </c:pt>
                <c:pt idx="1675">
                  <c:v>43683</c:v>
                </c:pt>
                <c:pt idx="1676">
                  <c:v>43684</c:v>
                </c:pt>
                <c:pt idx="1677">
                  <c:v>43685</c:v>
                </c:pt>
                <c:pt idx="1678">
                  <c:v>43686</c:v>
                </c:pt>
                <c:pt idx="1679">
                  <c:v>43687</c:v>
                </c:pt>
                <c:pt idx="1680">
                  <c:v>43688</c:v>
                </c:pt>
                <c:pt idx="1681">
                  <c:v>43689</c:v>
                </c:pt>
                <c:pt idx="1682">
                  <c:v>43690</c:v>
                </c:pt>
                <c:pt idx="1683">
                  <c:v>43691</c:v>
                </c:pt>
                <c:pt idx="1684">
                  <c:v>43692</c:v>
                </c:pt>
                <c:pt idx="1685">
                  <c:v>43693</c:v>
                </c:pt>
                <c:pt idx="1686">
                  <c:v>43694</c:v>
                </c:pt>
                <c:pt idx="1687">
                  <c:v>43695</c:v>
                </c:pt>
                <c:pt idx="1688">
                  <c:v>43696</c:v>
                </c:pt>
                <c:pt idx="1689">
                  <c:v>43697</c:v>
                </c:pt>
                <c:pt idx="1690">
                  <c:v>43698</c:v>
                </c:pt>
                <c:pt idx="1691">
                  <c:v>43699</c:v>
                </c:pt>
                <c:pt idx="1692">
                  <c:v>43700</c:v>
                </c:pt>
                <c:pt idx="1693">
                  <c:v>43701</c:v>
                </c:pt>
                <c:pt idx="1694">
                  <c:v>43702</c:v>
                </c:pt>
                <c:pt idx="1695">
                  <c:v>43703</c:v>
                </c:pt>
                <c:pt idx="1696">
                  <c:v>43704</c:v>
                </c:pt>
                <c:pt idx="1697">
                  <c:v>43705</c:v>
                </c:pt>
                <c:pt idx="1698">
                  <c:v>43706</c:v>
                </c:pt>
                <c:pt idx="1699">
                  <c:v>43707</c:v>
                </c:pt>
                <c:pt idx="1700">
                  <c:v>43708</c:v>
                </c:pt>
                <c:pt idx="1701">
                  <c:v>43709</c:v>
                </c:pt>
                <c:pt idx="1702">
                  <c:v>43710</c:v>
                </c:pt>
                <c:pt idx="1703">
                  <c:v>43711</c:v>
                </c:pt>
                <c:pt idx="1704">
                  <c:v>43712</c:v>
                </c:pt>
                <c:pt idx="1705">
                  <c:v>43713</c:v>
                </c:pt>
                <c:pt idx="1706">
                  <c:v>43714</c:v>
                </c:pt>
                <c:pt idx="1707">
                  <c:v>43715</c:v>
                </c:pt>
                <c:pt idx="1708">
                  <c:v>43716</c:v>
                </c:pt>
                <c:pt idx="1709">
                  <c:v>43717</c:v>
                </c:pt>
                <c:pt idx="1710">
                  <c:v>43718</c:v>
                </c:pt>
                <c:pt idx="1711">
                  <c:v>43719</c:v>
                </c:pt>
                <c:pt idx="1712">
                  <c:v>43720</c:v>
                </c:pt>
                <c:pt idx="1713">
                  <c:v>43721</c:v>
                </c:pt>
                <c:pt idx="1714">
                  <c:v>43722</c:v>
                </c:pt>
                <c:pt idx="1715">
                  <c:v>43723</c:v>
                </c:pt>
                <c:pt idx="1716">
                  <c:v>43724</c:v>
                </c:pt>
                <c:pt idx="1717">
                  <c:v>43725</c:v>
                </c:pt>
                <c:pt idx="1718">
                  <c:v>43726</c:v>
                </c:pt>
                <c:pt idx="1719">
                  <c:v>43727</c:v>
                </c:pt>
                <c:pt idx="1720">
                  <c:v>43728</c:v>
                </c:pt>
                <c:pt idx="1721">
                  <c:v>43729</c:v>
                </c:pt>
                <c:pt idx="1722">
                  <c:v>43730</c:v>
                </c:pt>
                <c:pt idx="1723">
                  <c:v>43731</c:v>
                </c:pt>
                <c:pt idx="1724">
                  <c:v>43732</c:v>
                </c:pt>
                <c:pt idx="1725">
                  <c:v>43733</c:v>
                </c:pt>
                <c:pt idx="1726">
                  <c:v>43734</c:v>
                </c:pt>
                <c:pt idx="1727">
                  <c:v>43735</c:v>
                </c:pt>
                <c:pt idx="1728">
                  <c:v>43736</c:v>
                </c:pt>
                <c:pt idx="1729">
                  <c:v>43737</c:v>
                </c:pt>
                <c:pt idx="1730">
                  <c:v>43738</c:v>
                </c:pt>
                <c:pt idx="1731">
                  <c:v>43739</c:v>
                </c:pt>
                <c:pt idx="1732">
                  <c:v>43740</c:v>
                </c:pt>
                <c:pt idx="1733">
                  <c:v>43741</c:v>
                </c:pt>
                <c:pt idx="1734">
                  <c:v>43742</c:v>
                </c:pt>
                <c:pt idx="1735">
                  <c:v>43743</c:v>
                </c:pt>
                <c:pt idx="1736">
                  <c:v>43744</c:v>
                </c:pt>
                <c:pt idx="1737">
                  <c:v>43745</c:v>
                </c:pt>
                <c:pt idx="1738">
                  <c:v>43746</c:v>
                </c:pt>
                <c:pt idx="1739">
                  <c:v>43747</c:v>
                </c:pt>
                <c:pt idx="1740">
                  <c:v>43748</c:v>
                </c:pt>
                <c:pt idx="1741">
                  <c:v>43749</c:v>
                </c:pt>
                <c:pt idx="1742">
                  <c:v>43750</c:v>
                </c:pt>
                <c:pt idx="1743">
                  <c:v>43751</c:v>
                </c:pt>
                <c:pt idx="1744">
                  <c:v>43752</c:v>
                </c:pt>
                <c:pt idx="1745">
                  <c:v>43753</c:v>
                </c:pt>
                <c:pt idx="1746">
                  <c:v>43754</c:v>
                </c:pt>
                <c:pt idx="1747">
                  <c:v>43755</c:v>
                </c:pt>
                <c:pt idx="1748">
                  <c:v>43756</c:v>
                </c:pt>
                <c:pt idx="1749">
                  <c:v>43757</c:v>
                </c:pt>
                <c:pt idx="1750">
                  <c:v>43758</c:v>
                </c:pt>
                <c:pt idx="1751">
                  <c:v>43759</c:v>
                </c:pt>
                <c:pt idx="1752">
                  <c:v>43760</c:v>
                </c:pt>
                <c:pt idx="1753">
                  <c:v>43761</c:v>
                </c:pt>
                <c:pt idx="1754">
                  <c:v>43762</c:v>
                </c:pt>
                <c:pt idx="1755">
                  <c:v>43763</c:v>
                </c:pt>
                <c:pt idx="1756">
                  <c:v>43764</c:v>
                </c:pt>
                <c:pt idx="1757">
                  <c:v>43765</c:v>
                </c:pt>
                <c:pt idx="1758">
                  <c:v>43766</c:v>
                </c:pt>
                <c:pt idx="1759">
                  <c:v>43767</c:v>
                </c:pt>
                <c:pt idx="1760">
                  <c:v>43768</c:v>
                </c:pt>
                <c:pt idx="1761">
                  <c:v>43769</c:v>
                </c:pt>
                <c:pt idx="1762">
                  <c:v>43770</c:v>
                </c:pt>
                <c:pt idx="1763">
                  <c:v>43771</c:v>
                </c:pt>
                <c:pt idx="1764">
                  <c:v>43772</c:v>
                </c:pt>
                <c:pt idx="1765">
                  <c:v>43773</c:v>
                </c:pt>
                <c:pt idx="1766">
                  <c:v>43774</c:v>
                </c:pt>
                <c:pt idx="1767">
                  <c:v>43775</c:v>
                </c:pt>
                <c:pt idx="1768">
                  <c:v>43776</c:v>
                </c:pt>
                <c:pt idx="1769">
                  <c:v>43777</c:v>
                </c:pt>
                <c:pt idx="1770">
                  <c:v>43778</c:v>
                </c:pt>
                <c:pt idx="1771">
                  <c:v>43779</c:v>
                </c:pt>
                <c:pt idx="1772">
                  <c:v>43780</c:v>
                </c:pt>
                <c:pt idx="1773">
                  <c:v>43781</c:v>
                </c:pt>
                <c:pt idx="1774">
                  <c:v>43782</c:v>
                </c:pt>
                <c:pt idx="1775">
                  <c:v>43783</c:v>
                </c:pt>
                <c:pt idx="1776">
                  <c:v>43784</c:v>
                </c:pt>
                <c:pt idx="1777">
                  <c:v>43785</c:v>
                </c:pt>
                <c:pt idx="1778">
                  <c:v>43786</c:v>
                </c:pt>
                <c:pt idx="1779">
                  <c:v>43787</c:v>
                </c:pt>
                <c:pt idx="1780">
                  <c:v>43788</c:v>
                </c:pt>
                <c:pt idx="1781">
                  <c:v>43789</c:v>
                </c:pt>
                <c:pt idx="1782">
                  <c:v>43790</c:v>
                </c:pt>
                <c:pt idx="1783">
                  <c:v>43791</c:v>
                </c:pt>
                <c:pt idx="1784">
                  <c:v>43792</c:v>
                </c:pt>
                <c:pt idx="1785">
                  <c:v>43793</c:v>
                </c:pt>
                <c:pt idx="1786">
                  <c:v>43794</c:v>
                </c:pt>
                <c:pt idx="1787">
                  <c:v>43795</c:v>
                </c:pt>
                <c:pt idx="1788">
                  <c:v>43796</c:v>
                </c:pt>
                <c:pt idx="1789">
                  <c:v>43797</c:v>
                </c:pt>
                <c:pt idx="1790">
                  <c:v>43798</c:v>
                </c:pt>
                <c:pt idx="1791">
                  <c:v>43799</c:v>
                </c:pt>
                <c:pt idx="1792">
                  <c:v>43800</c:v>
                </c:pt>
                <c:pt idx="1793">
                  <c:v>43801</c:v>
                </c:pt>
                <c:pt idx="1794">
                  <c:v>43802</c:v>
                </c:pt>
                <c:pt idx="1795">
                  <c:v>43803</c:v>
                </c:pt>
                <c:pt idx="1796">
                  <c:v>43804</c:v>
                </c:pt>
                <c:pt idx="1797">
                  <c:v>43805</c:v>
                </c:pt>
                <c:pt idx="1798">
                  <c:v>43806</c:v>
                </c:pt>
                <c:pt idx="1799">
                  <c:v>43807</c:v>
                </c:pt>
                <c:pt idx="1800">
                  <c:v>43808</c:v>
                </c:pt>
                <c:pt idx="1801">
                  <c:v>43809</c:v>
                </c:pt>
                <c:pt idx="1802">
                  <c:v>43810</c:v>
                </c:pt>
                <c:pt idx="1803">
                  <c:v>43811</c:v>
                </c:pt>
                <c:pt idx="1804">
                  <c:v>43812</c:v>
                </c:pt>
                <c:pt idx="1805">
                  <c:v>43813</c:v>
                </c:pt>
                <c:pt idx="1806">
                  <c:v>43814</c:v>
                </c:pt>
                <c:pt idx="1807">
                  <c:v>43815</c:v>
                </c:pt>
                <c:pt idx="1808">
                  <c:v>43816</c:v>
                </c:pt>
                <c:pt idx="1809">
                  <c:v>43817</c:v>
                </c:pt>
                <c:pt idx="1810">
                  <c:v>43818</c:v>
                </c:pt>
                <c:pt idx="1811">
                  <c:v>43819</c:v>
                </c:pt>
                <c:pt idx="1812">
                  <c:v>43820</c:v>
                </c:pt>
                <c:pt idx="1813">
                  <c:v>43821</c:v>
                </c:pt>
                <c:pt idx="1814">
                  <c:v>43822</c:v>
                </c:pt>
                <c:pt idx="1815">
                  <c:v>43823</c:v>
                </c:pt>
                <c:pt idx="1816">
                  <c:v>43824</c:v>
                </c:pt>
                <c:pt idx="1817">
                  <c:v>43825</c:v>
                </c:pt>
                <c:pt idx="1818">
                  <c:v>43826</c:v>
                </c:pt>
                <c:pt idx="1819">
                  <c:v>43827</c:v>
                </c:pt>
                <c:pt idx="1820">
                  <c:v>43828</c:v>
                </c:pt>
                <c:pt idx="1821">
                  <c:v>43829</c:v>
                </c:pt>
                <c:pt idx="1822">
                  <c:v>43830</c:v>
                </c:pt>
                <c:pt idx="1823">
                  <c:v>43831</c:v>
                </c:pt>
                <c:pt idx="1824">
                  <c:v>43832</c:v>
                </c:pt>
                <c:pt idx="1825">
                  <c:v>43833</c:v>
                </c:pt>
                <c:pt idx="1826">
                  <c:v>43834</c:v>
                </c:pt>
                <c:pt idx="1827">
                  <c:v>43835</c:v>
                </c:pt>
                <c:pt idx="1828">
                  <c:v>43836</c:v>
                </c:pt>
                <c:pt idx="1829">
                  <c:v>43837</c:v>
                </c:pt>
                <c:pt idx="1830">
                  <c:v>43838</c:v>
                </c:pt>
                <c:pt idx="1831">
                  <c:v>43839</c:v>
                </c:pt>
                <c:pt idx="1832">
                  <c:v>43840</c:v>
                </c:pt>
                <c:pt idx="1833">
                  <c:v>43841</c:v>
                </c:pt>
                <c:pt idx="1834">
                  <c:v>43842</c:v>
                </c:pt>
                <c:pt idx="1835">
                  <c:v>43843</c:v>
                </c:pt>
                <c:pt idx="1836">
                  <c:v>43844</c:v>
                </c:pt>
                <c:pt idx="1837">
                  <c:v>43845</c:v>
                </c:pt>
                <c:pt idx="1838">
                  <c:v>43846</c:v>
                </c:pt>
                <c:pt idx="1839">
                  <c:v>43847</c:v>
                </c:pt>
                <c:pt idx="1840">
                  <c:v>43848</c:v>
                </c:pt>
                <c:pt idx="1841">
                  <c:v>43849</c:v>
                </c:pt>
                <c:pt idx="1842">
                  <c:v>43850</c:v>
                </c:pt>
                <c:pt idx="1843">
                  <c:v>43851</c:v>
                </c:pt>
                <c:pt idx="1844">
                  <c:v>43852</c:v>
                </c:pt>
                <c:pt idx="1845">
                  <c:v>43853</c:v>
                </c:pt>
                <c:pt idx="1846">
                  <c:v>43854</c:v>
                </c:pt>
                <c:pt idx="1847">
                  <c:v>43855</c:v>
                </c:pt>
                <c:pt idx="1848">
                  <c:v>43856</c:v>
                </c:pt>
                <c:pt idx="1849">
                  <c:v>43857</c:v>
                </c:pt>
                <c:pt idx="1850">
                  <c:v>43858</c:v>
                </c:pt>
                <c:pt idx="1851">
                  <c:v>43859</c:v>
                </c:pt>
                <c:pt idx="1852">
                  <c:v>43860</c:v>
                </c:pt>
                <c:pt idx="1853">
                  <c:v>43861</c:v>
                </c:pt>
                <c:pt idx="1854">
                  <c:v>43862</c:v>
                </c:pt>
                <c:pt idx="1855">
                  <c:v>43863</c:v>
                </c:pt>
                <c:pt idx="1856">
                  <c:v>43864</c:v>
                </c:pt>
                <c:pt idx="1857">
                  <c:v>43865</c:v>
                </c:pt>
                <c:pt idx="1858">
                  <c:v>43866</c:v>
                </c:pt>
                <c:pt idx="1859">
                  <c:v>43867</c:v>
                </c:pt>
                <c:pt idx="1860">
                  <c:v>43868</c:v>
                </c:pt>
                <c:pt idx="1861">
                  <c:v>43869</c:v>
                </c:pt>
                <c:pt idx="1862">
                  <c:v>43870</c:v>
                </c:pt>
                <c:pt idx="1863">
                  <c:v>43871</c:v>
                </c:pt>
                <c:pt idx="1864">
                  <c:v>43872</c:v>
                </c:pt>
                <c:pt idx="1865">
                  <c:v>43873</c:v>
                </c:pt>
                <c:pt idx="1866">
                  <c:v>43874</c:v>
                </c:pt>
                <c:pt idx="1867">
                  <c:v>43875</c:v>
                </c:pt>
                <c:pt idx="1868">
                  <c:v>43876</c:v>
                </c:pt>
                <c:pt idx="1869">
                  <c:v>43877</c:v>
                </c:pt>
                <c:pt idx="1870">
                  <c:v>43878</c:v>
                </c:pt>
                <c:pt idx="1871">
                  <c:v>43879</c:v>
                </c:pt>
                <c:pt idx="1872">
                  <c:v>43880</c:v>
                </c:pt>
                <c:pt idx="1873">
                  <c:v>43881</c:v>
                </c:pt>
                <c:pt idx="1874">
                  <c:v>43882</c:v>
                </c:pt>
                <c:pt idx="1875">
                  <c:v>43883</c:v>
                </c:pt>
                <c:pt idx="1876">
                  <c:v>43884</c:v>
                </c:pt>
                <c:pt idx="1877">
                  <c:v>43885</c:v>
                </c:pt>
                <c:pt idx="1878">
                  <c:v>43886</c:v>
                </c:pt>
                <c:pt idx="1879">
                  <c:v>43887</c:v>
                </c:pt>
                <c:pt idx="1880">
                  <c:v>43888</c:v>
                </c:pt>
                <c:pt idx="1881">
                  <c:v>43889</c:v>
                </c:pt>
                <c:pt idx="1882">
                  <c:v>43890</c:v>
                </c:pt>
                <c:pt idx="1883">
                  <c:v>43891</c:v>
                </c:pt>
                <c:pt idx="1884">
                  <c:v>43892</c:v>
                </c:pt>
                <c:pt idx="1885">
                  <c:v>43893</c:v>
                </c:pt>
                <c:pt idx="1886">
                  <c:v>43894</c:v>
                </c:pt>
                <c:pt idx="1887">
                  <c:v>43895</c:v>
                </c:pt>
                <c:pt idx="1888">
                  <c:v>43896</c:v>
                </c:pt>
                <c:pt idx="1889">
                  <c:v>43897</c:v>
                </c:pt>
                <c:pt idx="1890">
                  <c:v>43898</c:v>
                </c:pt>
                <c:pt idx="1891">
                  <c:v>43899</c:v>
                </c:pt>
                <c:pt idx="1892">
                  <c:v>43900</c:v>
                </c:pt>
                <c:pt idx="1893">
                  <c:v>43901</c:v>
                </c:pt>
                <c:pt idx="1894">
                  <c:v>43902</c:v>
                </c:pt>
                <c:pt idx="1895">
                  <c:v>43903</c:v>
                </c:pt>
                <c:pt idx="1896">
                  <c:v>43904</c:v>
                </c:pt>
                <c:pt idx="1897">
                  <c:v>43905</c:v>
                </c:pt>
                <c:pt idx="1898">
                  <c:v>43906</c:v>
                </c:pt>
                <c:pt idx="1899">
                  <c:v>43907</c:v>
                </c:pt>
                <c:pt idx="1900">
                  <c:v>43908</c:v>
                </c:pt>
                <c:pt idx="1901">
                  <c:v>43909</c:v>
                </c:pt>
                <c:pt idx="1902">
                  <c:v>43910</c:v>
                </c:pt>
                <c:pt idx="1903">
                  <c:v>43911</c:v>
                </c:pt>
                <c:pt idx="1904">
                  <c:v>43912</c:v>
                </c:pt>
                <c:pt idx="1905">
                  <c:v>43913</c:v>
                </c:pt>
                <c:pt idx="1906">
                  <c:v>43914</c:v>
                </c:pt>
                <c:pt idx="1907">
                  <c:v>43915</c:v>
                </c:pt>
                <c:pt idx="1908">
                  <c:v>43916</c:v>
                </c:pt>
                <c:pt idx="1909">
                  <c:v>43917</c:v>
                </c:pt>
                <c:pt idx="1910">
                  <c:v>43918</c:v>
                </c:pt>
                <c:pt idx="1911">
                  <c:v>43919</c:v>
                </c:pt>
                <c:pt idx="1912">
                  <c:v>43920</c:v>
                </c:pt>
                <c:pt idx="1913">
                  <c:v>43921</c:v>
                </c:pt>
                <c:pt idx="1914">
                  <c:v>43922</c:v>
                </c:pt>
                <c:pt idx="1915">
                  <c:v>43923</c:v>
                </c:pt>
                <c:pt idx="1916">
                  <c:v>43924</c:v>
                </c:pt>
                <c:pt idx="1917">
                  <c:v>43925</c:v>
                </c:pt>
                <c:pt idx="1918">
                  <c:v>43926</c:v>
                </c:pt>
                <c:pt idx="1919">
                  <c:v>43927</c:v>
                </c:pt>
                <c:pt idx="1920">
                  <c:v>43928</c:v>
                </c:pt>
                <c:pt idx="1921">
                  <c:v>43929</c:v>
                </c:pt>
                <c:pt idx="1922">
                  <c:v>43930</c:v>
                </c:pt>
                <c:pt idx="1923">
                  <c:v>43931</c:v>
                </c:pt>
                <c:pt idx="1924">
                  <c:v>43932</c:v>
                </c:pt>
                <c:pt idx="1925">
                  <c:v>43933</c:v>
                </c:pt>
                <c:pt idx="1926">
                  <c:v>43934</c:v>
                </c:pt>
                <c:pt idx="1927">
                  <c:v>43935</c:v>
                </c:pt>
                <c:pt idx="1928">
                  <c:v>43936</c:v>
                </c:pt>
                <c:pt idx="1929">
                  <c:v>43937</c:v>
                </c:pt>
                <c:pt idx="1930">
                  <c:v>43938</c:v>
                </c:pt>
                <c:pt idx="1931">
                  <c:v>43939</c:v>
                </c:pt>
                <c:pt idx="1932">
                  <c:v>43940</c:v>
                </c:pt>
                <c:pt idx="1933">
                  <c:v>43941</c:v>
                </c:pt>
                <c:pt idx="1934">
                  <c:v>43942</c:v>
                </c:pt>
                <c:pt idx="1935">
                  <c:v>43943</c:v>
                </c:pt>
                <c:pt idx="1936">
                  <c:v>43944</c:v>
                </c:pt>
                <c:pt idx="1937">
                  <c:v>43945</c:v>
                </c:pt>
                <c:pt idx="1938">
                  <c:v>43946</c:v>
                </c:pt>
                <c:pt idx="1939">
                  <c:v>43947</c:v>
                </c:pt>
                <c:pt idx="1940">
                  <c:v>43948</c:v>
                </c:pt>
                <c:pt idx="1941">
                  <c:v>43949</c:v>
                </c:pt>
                <c:pt idx="1942">
                  <c:v>43950</c:v>
                </c:pt>
                <c:pt idx="1943">
                  <c:v>43951</c:v>
                </c:pt>
                <c:pt idx="1944">
                  <c:v>43952</c:v>
                </c:pt>
                <c:pt idx="1945">
                  <c:v>43953</c:v>
                </c:pt>
                <c:pt idx="1946">
                  <c:v>43954</c:v>
                </c:pt>
                <c:pt idx="1947">
                  <c:v>43955</c:v>
                </c:pt>
                <c:pt idx="1948">
                  <c:v>43956</c:v>
                </c:pt>
                <c:pt idx="1949">
                  <c:v>43957</c:v>
                </c:pt>
                <c:pt idx="1950">
                  <c:v>43958</c:v>
                </c:pt>
                <c:pt idx="1951">
                  <c:v>43959</c:v>
                </c:pt>
                <c:pt idx="1952">
                  <c:v>43960</c:v>
                </c:pt>
                <c:pt idx="1953">
                  <c:v>43961</c:v>
                </c:pt>
                <c:pt idx="1954">
                  <c:v>43962</c:v>
                </c:pt>
                <c:pt idx="1955">
                  <c:v>43963</c:v>
                </c:pt>
                <c:pt idx="1956">
                  <c:v>43964</c:v>
                </c:pt>
                <c:pt idx="1957">
                  <c:v>43965</c:v>
                </c:pt>
                <c:pt idx="1958">
                  <c:v>43966</c:v>
                </c:pt>
                <c:pt idx="1959">
                  <c:v>43967</c:v>
                </c:pt>
                <c:pt idx="1960">
                  <c:v>43968</c:v>
                </c:pt>
                <c:pt idx="1961">
                  <c:v>43969</c:v>
                </c:pt>
                <c:pt idx="1962">
                  <c:v>43970</c:v>
                </c:pt>
                <c:pt idx="1963">
                  <c:v>43971</c:v>
                </c:pt>
                <c:pt idx="1964">
                  <c:v>43972</c:v>
                </c:pt>
                <c:pt idx="1965">
                  <c:v>43973</c:v>
                </c:pt>
                <c:pt idx="1966">
                  <c:v>43974</c:v>
                </c:pt>
                <c:pt idx="1967">
                  <c:v>43975</c:v>
                </c:pt>
                <c:pt idx="1968">
                  <c:v>43976</c:v>
                </c:pt>
                <c:pt idx="1969">
                  <c:v>43977</c:v>
                </c:pt>
                <c:pt idx="1970">
                  <c:v>43978</c:v>
                </c:pt>
                <c:pt idx="1971">
                  <c:v>43979</c:v>
                </c:pt>
                <c:pt idx="1972">
                  <c:v>43980</c:v>
                </c:pt>
                <c:pt idx="1973">
                  <c:v>43981</c:v>
                </c:pt>
                <c:pt idx="1974">
                  <c:v>43982</c:v>
                </c:pt>
                <c:pt idx="1975">
                  <c:v>43983</c:v>
                </c:pt>
                <c:pt idx="1976">
                  <c:v>43984</c:v>
                </c:pt>
                <c:pt idx="1977">
                  <c:v>43985</c:v>
                </c:pt>
                <c:pt idx="1978">
                  <c:v>43986</c:v>
                </c:pt>
                <c:pt idx="1979">
                  <c:v>43987</c:v>
                </c:pt>
                <c:pt idx="1980">
                  <c:v>43988</c:v>
                </c:pt>
                <c:pt idx="1981">
                  <c:v>43989</c:v>
                </c:pt>
                <c:pt idx="1982">
                  <c:v>43990</c:v>
                </c:pt>
                <c:pt idx="1983">
                  <c:v>43991</c:v>
                </c:pt>
                <c:pt idx="1984">
                  <c:v>43992</c:v>
                </c:pt>
                <c:pt idx="1985">
                  <c:v>43993</c:v>
                </c:pt>
                <c:pt idx="1986">
                  <c:v>43994</c:v>
                </c:pt>
                <c:pt idx="1987">
                  <c:v>43995</c:v>
                </c:pt>
                <c:pt idx="1988">
                  <c:v>43996</c:v>
                </c:pt>
                <c:pt idx="1989">
                  <c:v>43997</c:v>
                </c:pt>
                <c:pt idx="1990">
                  <c:v>43998</c:v>
                </c:pt>
                <c:pt idx="1991">
                  <c:v>43999</c:v>
                </c:pt>
                <c:pt idx="1992">
                  <c:v>44000</c:v>
                </c:pt>
                <c:pt idx="1993">
                  <c:v>44001</c:v>
                </c:pt>
                <c:pt idx="1994">
                  <c:v>44002</c:v>
                </c:pt>
                <c:pt idx="1995">
                  <c:v>44003</c:v>
                </c:pt>
                <c:pt idx="1996">
                  <c:v>44004</c:v>
                </c:pt>
                <c:pt idx="1997">
                  <c:v>44005</c:v>
                </c:pt>
                <c:pt idx="1998">
                  <c:v>44006</c:v>
                </c:pt>
                <c:pt idx="1999">
                  <c:v>44007</c:v>
                </c:pt>
                <c:pt idx="2000">
                  <c:v>44008</c:v>
                </c:pt>
                <c:pt idx="2001">
                  <c:v>44009</c:v>
                </c:pt>
                <c:pt idx="2002">
                  <c:v>44010</c:v>
                </c:pt>
                <c:pt idx="2003">
                  <c:v>44011</c:v>
                </c:pt>
                <c:pt idx="2004">
                  <c:v>44012</c:v>
                </c:pt>
                <c:pt idx="2005">
                  <c:v>44013</c:v>
                </c:pt>
                <c:pt idx="2006">
                  <c:v>44014</c:v>
                </c:pt>
                <c:pt idx="2007">
                  <c:v>44015</c:v>
                </c:pt>
                <c:pt idx="2008">
                  <c:v>44016</c:v>
                </c:pt>
                <c:pt idx="2009">
                  <c:v>44017</c:v>
                </c:pt>
                <c:pt idx="2010">
                  <c:v>44018</c:v>
                </c:pt>
                <c:pt idx="2011">
                  <c:v>44019</c:v>
                </c:pt>
                <c:pt idx="2012">
                  <c:v>44020</c:v>
                </c:pt>
                <c:pt idx="2013">
                  <c:v>44021</c:v>
                </c:pt>
                <c:pt idx="2014">
                  <c:v>44022</c:v>
                </c:pt>
                <c:pt idx="2015">
                  <c:v>44023</c:v>
                </c:pt>
                <c:pt idx="2016">
                  <c:v>44024</c:v>
                </c:pt>
                <c:pt idx="2017">
                  <c:v>44025</c:v>
                </c:pt>
                <c:pt idx="2018">
                  <c:v>44026</c:v>
                </c:pt>
                <c:pt idx="2019">
                  <c:v>44027</c:v>
                </c:pt>
                <c:pt idx="2020">
                  <c:v>44028</c:v>
                </c:pt>
                <c:pt idx="2021">
                  <c:v>44029</c:v>
                </c:pt>
                <c:pt idx="2022">
                  <c:v>44030</c:v>
                </c:pt>
                <c:pt idx="2023">
                  <c:v>44031</c:v>
                </c:pt>
                <c:pt idx="2024">
                  <c:v>44032</c:v>
                </c:pt>
                <c:pt idx="2025">
                  <c:v>44033</c:v>
                </c:pt>
                <c:pt idx="2026">
                  <c:v>44034</c:v>
                </c:pt>
                <c:pt idx="2027">
                  <c:v>44035</c:v>
                </c:pt>
                <c:pt idx="2028">
                  <c:v>44036</c:v>
                </c:pt>
                <c:pt idx="2029">
                  <c:v>44037</c:v>
                </c:pt>
                <c:pt idx="2030">
                  <c:v>44038</c:v>
                </c:pt>
                <c:pt idx="2031">
                  <c:v>44039</c:v>
                </c:pt>
                <c:pt idx="2032">
                  <c:v>44040</c:v>
                </c:pt>
                <c:pt idx="2033">
                  <c:v>44041</c:v>
                </c:pt>
                <c:pt idx="2034">
                  <c:v>44042</c:v>
                </c:pt>
                <c:pt idx="2035">
                  <c:v>44043</c:v>
                </c:pt>
                <c:pt idx="2036">
                  <c:v>44044</c:v>
                </c:pt>
                <c:pt idx="2037">
                  <c:v>44045</c:v>
                </c:pt>
                <c:pt idx="2038">
                  <c:v>44046</c:v>
                </c:pt>
                <c:pt idx="2039">
                  <c:v>44047</c:v>
                </c:pt>
                <c:pt idx="2040">
                  <c:v>44048</c:v>
                </c:pt>
                <c:pt idx="2041">
                  <c:v>44049</c:v>
                </c:pt>
                <c:pt idx="2042">
                  <c:v>44050</c:v>
                </c:pt>
                <c:pt idx="2043">
                  <c:v>44051</c:v>
                </c:pt>
                <c:pt idx="2044">
                  <c:v>44052</c:v>
                </c:pt>
                <c:pt idx="2045">
                  <c:v>44053</c:v>
                </c:pt>
                <c:pt idx="2046">
                  <c:v>44054</c:v>
                </c:pt>
                <c:pt idx="2047">
                  <c:v>44055</c:v>
                </c:pt>
                <c:pt idx="2048">
                  <c:v>44056</c:v>
                </c:pt>
                <c:pt idx="2049">
                  <c:v>44057</c:v>
                </c:pt>
                <c:pt idx="2050">
                  <c:v>44058</c:v>
                </c:pt>
                <c:pt idx="2051">
                  <c:v>44059</c:v>
                </c:pt>
                <c:pt idx="2052">
                  <c:v>44060</c:v>
                </c:pt>
                <c:pt idx="2053">
                  <c:v>44061</c:v>
                </c:pt>
                <c:pt idx="2054">
                  <c:v>44062</c:v>
                </c:pt>
                <c:pt idx="2055">
                  <c:v>44063</c:v>
                </c:pt>
                <c:pt idx="2056">
                  <c:v>44064</c:v>
                </c:pt>
                <c:pt idx="2057">
                  <c:v>44065</c:v>
                </c:pt>
                <c:pt idx="2058">
                  <c:v>44066</c:v>
                </c:pt>
                <c:pt idx="2059">
                  <c:v>44067</c:v>
                </c:pt>
                <c:pt idx="2060">
                  <c:v>44068</c:v>
                </c:pt>
                <c:pt idx="2061">
                  <c:v>44069</c:v>
                </c:pt>
                <c:pt idx="2062">
                  <c:v>44070</c:v>
                </c:pt>
                <c:pt idx="2063">
                  <c:v>44071</c:v>
                </c:pt>
                <c:pt idx="2064">
                  <c:v>44072</c:v>
                </c:pt>
                <c:pt idx="2065">
                  <c:v>44073</c:v>
                </c:pt>
                <c:pt idx="2066">
                  <c:v>44074</c:v>
                </c:pt>
                <c:pt idx="2067">
                  <c:v>44075</c:v>
                </c:pt>
                <c:pt idx="2068">
                  <c:v>44076</c:v>
                </c:pt>
                <c:pt idx="2069">
                  <c:v>44077</c:v>
                </c:pt>
                <c:pt idx="2070">
                  <c:v>44079</c:v>
                </c:pt>
                <c:pt idx="2071">
                  <c:v>44080</c:v>
                </c:pt>
                <c:pt idx="2072">
                  <c:v>44081</c:v>
                </c:pt>
                <c:pt idx="2073">
                  <c:v>44082</c:v>
                </c:pt>
                <c:pt idx="2074">
                  <c:v>44083</c:v>
                </c:pt>
                <c:pt idx="2075">
                  <c:v>44084</c:v>
                </c:pt>
                <c:pt idx="2076">
                  <c:v>44085</c:v>
                </c:pt>
                <c:pt idx="2077">
                  <c:v>44086</c:v>
                </c:pt>
                <c:pt idx="2078">
                  <c:v>44087</c:v>
                </c:pt>
                <c:pt idx="2079">
                  <c:v>44088</c:v>
                </c:pt>
                <c:pt idx="2080">
                  <c:v>44089</c:v>
                </c:pt>
                <c:pt idx="2081">
                  <c:v>44090</c:v>
                </c:pt>
                <c:pt idx="2082">
                  <c:v>44091</c:v>
                </c:pt>
                <c:pt idx="2083">
                  <c:v>44092</c:v>
                </c:pt>
                <c:pt idx="2084">
                  <c:v>44093</c:v>
                </c:pt>
                <c:pt idx="2085">
                  <c:v>44094</c:v>
                </c:pt>
                <c:pt idx="2086">
                  <c:v>44095</c:v>
                </c:pt>
                <c:pt idx="2087">
                  <c:v>44096</c:v>
                </c:pt>
                <c:pt idx="2088">
                  <c:v>44097</c:v>
                </c:pt>
                <c:pt idx="2089">
                  <c:v>44098</c:v>
                </c:pt>
                <c:pt idx="2090">
                  <c:v>44099</c:v>
                </c:pt>
                <c:pt idx="2091">
                  <c:v>44100</c:v>
                </c:pt>
                <c:pt idx="2092">
                  <c:v>44101</c:v>
                </c:pt>
                <c:pt idx="2093">
                  <c:v>44102</c:v>
                </c:pt>
                <c:pt idx="2094">
                  <c:v>44103</c:v>
                </c:pt>
                <c:pt idx="2095">
                  <c:v>44104</c:v>
                </c:pt>
                <c:pt idx="2096">
                  <c:v>44105</c:v>
                </c:pt>
                <c:pt idx="2097">
                  <c:v>44106</c:v>
                </c:pt>
                <c:pt idx="2098">
                  <c:v>44107</c:v>
                </c:pt>
                <c:pt idx="2099">
                  <c:v>44108</c:v>
                </c:pt>
                <c:pt idx="2100">
                  <c:v>44109</c:v>
                </c:pt>
                <c:pt idx="2101">
                  <c:v>44110</c:v>
                </c:pt>
                <c:pt idx="2102">
                  <c:v>44111</c:v>
                </c:pt>
                <c:pt idx="2103">
                  <c:v>44112</c:v>
                </c:pt>
                <c:pt idx="2104">
                  <c:v>44113</c:v>
                </c:pt>
                <c:pt idx="2105">
                  <c:v>44114</c:v>
                </c:pt>
                <c:pt idx="2106">
                  <c:v>44115</c:v>
                </c:pt>
                <c:pt idx="2107">
                  <c:v>44116</c:v>
                </c:pt>
                <c:pt idx="2108">
                  <c:v>44117</c:v>
                </c:pt>
                <c:pt idx="2109">
                  <c:v>44118</c:v>
                </c:pt>
                <c:pt idx="2110">
                  <c:v>44119</c:v>
                </c:pt>
                <c:pt idx="2111">
                  <c:v>44120</c:v>
                </c:pt>
                <c:pt idx="2112">
                  <c:v>44121</c:v>
                </c:pt>
                <c:pt idx="2113">
                  <c:v>44122</c:v>
                </c:pt>
                <c:pt idx="2114">
                  <c:v>44123</c:v>
                </c:pt>
                <c:pt idx="2115">
                  <c:v>44124</c:v>
                </c:pt>
                <c:pt idx="2116">
                  <c:v>44125</c:v>
                </c:pt>
                <c:pt idx="2117">
                  <c:v>44126</c:v>
                </c:pt>
                <c:pt idx="2118">
                  <c:v>44127</c:v>
                </c:pt>
                <c:pt idx="2119">
                  <c:v>44128</c:v>
                </c:pt>
                <c:pt idx="2120">
                  <c:v>44129</c:v>
                </c:pt>
                <c:pt idx="2121">
                  <c:v>44130</c:v>
                </c:pt>
                <c:pt idx="2122">
                  <c:v>44131</c:v>
                </c:pt>
                <c:pt idx="2123">
                  <c:v>44132</c:v>
                </c:pt>
                <c:pt idx="2124">
                  <c:v>44133</c:v>
                </c:pt>
                <c:pt idx="2125">
                  <c:v>44134</c:v>
                </c:pt>
                <c:pt idx="2126">
                  <c:v>44135</c:v>
                </c:pt>
                <c:pt idx="2127">
                  <c:v>44136</c:v>
                </c:pt>
                <c:pt idx="2128">
                  <c:v>44137</c:v>
                </c:pt>
                <c:pt idx="2129">
                  <c:v>44138</c:v>
                </c:pt>
                <c:pt idx="2130">
                  <c:v>44139</c:v>
                </c:pt>
                <c:pt idx="2131">
                  <c:v>44140</c:v>
                </c:pt>
                <c:pt idx="2132">
                  <c:v>44141</c:v>
                </c:pt>
                <c:pt idx="2133">
                  <c:v>44142</c:v>
                </c:pt>
                <c:pt idx="2134">
                  <c:v>44143</c:v>
                </c:pt>
                <c:pt idx="2135">
                  <c:v>44144</c:v>
                </c:pt>
                <c:pt idx="2136">
                  <c:v>44145</c:v>
                </c:pt>
                <c:pt idx="2137">
                  <c:v>44146</c:v>
                </c:pt>
                <c:pt idx="2138">
                  <c:v>44147</c:v>
                </c:pt>
                <c:pt idx="2139">
                  <c:v>44148</c:v>
                </c:pt>
                <c:pt idx="2140">
                  <c:v>44149</c:v>
                </c:pt>
                <c:pt idx="2141">
                  <c:v>44150</c:v>
                </c:pt>
                <c:pt idx="2142">
                  <c:v>44151</c:v>
                </c:pt>
                <c:pt idx="2143">
                  <c:v>44152</c:v>
                </c:pt>
                <c:pt idx="2144">
                  <c:v>44153</c:v>
                </c:pt>
                <c:pt idx="2145">
                  <c:v>44154</c:v>
                </c:pt>
                <c:pt idx="2146">
                  <c:v>44155</c:v>
                </c:pt>
                <c:pt idx="2147">
                  <c:v>44156</c:v>
                </c:pt>
                <c:pt idx="2148">
                  <c:v>44157</c:v>
                </c:pt>
                <c:pt idx="2149">
                  <c:v>44158</c:v>
                </c:pt>
                <c:pt idx="2150">
                  <c:v>44159</c:v>
                </c:pt>
                <c:pt idx="2151">
                  <c:v>44160</c:v>
                </c:pt>
                <c:pt idx="2152">
                  <c:v>44161</c:v>
                </c:pt>
                <c:pt idx="2153">
                  <c:v>44162</c:v>
                </c:pt>
                <c:pt idx="2154">
                  <c:v>44163</c:v>
                </c:pt>
                <c:pt idx="2155">
                  <c:v>44164</c:v>
                </c:pt>
                <c:pt idx="2156">
                  <c:v>44165</c:v>
                </c:pt>
                <c:pt idx="2157">
                  <c:v>44166</c:v>
                </c:pt>
                <c:pt idx="2158">
                  <c:v>44167</c:v>
                </c:pt>
                <c:pt idx="2159">
                  <c:v>44168</c:v>
                </c:pt>
                <c:pt idx="2160">
                  <c:v>44169</c:v>
                </c:pt>
                <c:pt idx="2161">
                  <c:v>44170</c:v>
                </c:pt>
                <c:pt idx="2162">
                  <c:v>44171</c:v>
                </c:pt>
                <c:pt idx="2163">
                  <c:v>44172</c:v>
                </c:pt>
                <c:pt idx="2164">
                  <c:v>44173</c:v>
                </c:pt>
                <c:pt idx="2165">
                  <c:v>44174</c:v>
                </c:pt>
                <c:pt idx="2166">
                  <c:v>44175</c:v>
                </c:pt>
                <c:pt idx="2167">
                  <c:v>44176</c:v>
                </c:pt>
                <c:pt idx="2168">
                  <c:v>44177</c:v>
                </c:pt>
                <c:pt idx="2169">
                  <c:v>44178</c:v>
                </c:pt>
                <c:pt idx="2170">
                  <c:v>44179</c:v>
                </c:pt>
                <c:pt idx="2171">
                  <c:v>44180</c:v>
                </c:pt>
                <c:pt idx="2172">
                  <c:v>44181</c:v>
                </c:pt>
                <c:pt idx="2173">
                  <c:v>44182</c:v>
                </c:pt>
                <c:pt idx="2174">
                  <c:v>44183</c:v>
                </c:pt>
                <c:pt idx="2175">
                  <c:v>44184</c:v>
                </c:pt>
                <c:pt idx="2176">
                  <c:v>44185</c:v>
                </c:pt>
                <c:pt idx="2177">
                  <c:v>44186</c:v>
                </c:pt>
                <c:pt idx="2178">
                  <c:v>44187</c:v>
                </c:pt>
                <c:pt idx="2179">
                  <c:v>44188</c:v>
                </c:pt>
                <c:pt idx="2180">
                  <c:v>44189</c:v>
                </c:pt>
                <c:pt idx="2181">
                  <c:v>44190</c:v>
                </c:pt>
                <c:pt idx="2182">
                  <c:v>44191</c:v>
                </c:pt>
                <c:pt idx="2183">
                  <c:v>44192</c:v>
                </c:pt>
                <c:pt idx="2184">
                  <c:v>44193</c:v>
                </c:pt>
                <c:pt idx="2185">
                  <c:v>44194</c:v>
                </c:pt>
                <c:pt idx="2186">
                  <c:v>44195</c:v>
                </c:pt>
                <c:pt idx="2187">
                  <c:v>44196</c:v>
                </c:pt>
                <c:pt idx="2188">
                  <c:v>44197</c:v>
                </c:pt>
                <c:pt idx="2189">
                  <c:v>44198</c:v>
                </c:pt>
                <c:pt idx="2190">
                  <c:v>44199</c:v>
                </c:pt>
                <c:pt idx="2191">
                  <c:v>44200</c:v>
                </c:pt>
                <c:pt idx="2192">
                  <c:v>44201</c:v>
                </c:pt>
                <c:pt idx="2193">
                  <c:v>44202</c:v>
                </c:pt>
                <c:pt idx="2194">
                  <c:v>44203</c:v>
                </c:pt>
                <c:pt idx="2195">
                  <c:v>44204</c:v>
                </c:pt>
                <c:pt idx="2196">
                  <c:v>44205</c:v>
                </c:pt>
                <c:pt idx="2197">
                  <c:v>44206</c:v>
                </c:pt>
                <c:pt idx="2198">
                  <c:v>44207</c:v>
                </c:pt>
                <c:pt idx="2199">
                  <c:v>44208</c:v>
                </c:pt>
                <c:pt idx="2200">
                  <c:v>44209</c:v>
                </c:pt>
                <c:pt idx="2201">
                  <c:v>44210</c:v>
                </c:pt>
                <c:pt idx="2202">
                  <c:v>44211</c:v>
                </c:pt>
                <c:pt idx="2203">
                  <c:v>44212</c:v>
                </c:pt>
                <c:pt idx="2204">
                  <c:v>44213</c:v>
                </c:pt>
                <c:pt idx="2205">
                  <c:v>44214</c:v>
                </c:pt>
                <c:pt idx="2206">
                  <c:v>44215</c:v>
                </c:pt>
                <c:pt idx="2207">
                  <c:v>44216</c:v>
                </c:pt>
                <c:pt idx="2208">
                  <c:v>44217</c:v>
                </c:pt>
                <c:pt idx="2209">
                  <c:v>44218</c:v>
                </c:pt>
                <c:pt idx="2210">
                  <c:v>44219</c:v>
                </c:pt>
                <c:pt idx="2211">
                  <c:v>44220</c:v>
                </c:pt>
                <c:pt idx="2212">
                  <c:v>44221</c:v>
                </c:pt>
                <c:pt idx="2213">
                  <c:v>44222</c:v>
                </c:pt>
                <c:pt idx="2214">
                  <c:v>44223</c:v>
                </c:pt>
                <c:pt idx="2215">
                  <c:v>44224</c:v>
                </c:pt>
                <c:pt idx="2216">
                  <c:v>44225</c:v>
                </c:pt>
                <c:pt idx="2217">
                  <c:v>44226</c:v>
                </c:pt>
                <c:pt idx="2218">
                  <c:v>44227</c:v>
                </c:pt>
                <c:pt idx="2219">
                  <c:v>44228</c:v>
                </c:pt>
                <c:pt idx="2220">
                  <c:v>44229</c:v>
                </c:pt>
                <c:pt idx="2221">
                  <c:v>44230</c:v>
                </c:pt>
                <c:pt idx="2222">
                  <c:v>44231</c:v>
                </c:pt>
                <c:pt idx="2223">
                  <c:v>44232</c:v>
                </c:pt>
                <c:pt idx="2224">
                  <c:v>44233</c:v>
                </c:pt>
                <c:pt idx="2225">
                  <c:v>44234</c:v>
                </c:pt>
                <c:pt idx="2226">
                  <c:v>44235</c:v>
                </c:pt>
                <c:pt idx="2227">
                  <c:v>44236</c:v>
                </c:pt>
                <c:pt idx="2228">
                  <c:v>44237</c:v>
                </c:pt>
                <c:pt idx="2229">
                  <c:v>44238</c:v>
                </c:pt>
                <c:pt idx="2230">
                  <c:v>44239</c:v>
                </c:pt>
                <c:pt idx="2231">
                  <c:v>44240</c:v>
                </c:pt>
                <c:pt idx="2232">
                  <c:v>44241</c:v>
                </c:pt>
                <c:pt idx="2233">
                  <c:v>44242</c:v>
                </c:pt>
                <c:pt idx="2234">
                  <c:v>44243</c:v>
                </c:pt>
                <c:pt idx="2235">
                  <c:v>44244</c:v>
                </c:pt>
                <c:pt idx="2236">
                  <c:v>44245</c:v>
                </c:pt>
                <c:pt idx="2237">
                  <c:v>44246</c:v>
                </c:pt>
                <c:pt idx="2238">
                  <c:v>44247</c:v>
                </c:pt>
                <c:pt idx="2239">
                  <c:v>44248</c:v>
                </c:pt>
                <c:pt idx="2240">
                  <c:v>44249</c:v>
                </c:pt>
                <c:pt idx="2241">
                  <c:v>44250</c:v>
                </c:pt>
                <c:pt idx="2242">
                  <c:v>44251</c:v>
                </c:pt>
                <c:pt idx="2243">
                  <c:v>44252</c:v>
                </c:pt>
                <c:pt idx="2244">
                  <c:v>44253</c:v>
                </c:pt>
                <c:pt idx="2245">
                  <c:v>44254</c:v>
                </c:pt>
                <c:pt idx="2246">
                  <c:v>44255</c:v>
                </c:pt>
                <c:pt idx="2247">
                  <c:v>44256</c:v>
                </c:pt>
                <c:pt idx="2248">
                  <c:v>44257</c:v>
                </c:pt>
                <c:pt idx="2249">
                  <c:v>44258</c:v>
                </c:pt>
                <c:pt idx="2250">
                  <c:v>44259</c:v>
                </c:pt>
                <c:pt idx="2251">
                  <c:v>44260</c:v>
                </c:pt>
                <c:pt idx="2252">
                  <c:v>44261</c:v>
                </c:pt>
                <c:pt idx="2253">
                  <c:v>44262</c:v>
                </c:pt>
                <c:pt idx="2254">
                  <c:v>44263</c:v>
                </c:pt>
                <c:pt idx="2255">
                  <c:v>44264</c:v>
                </c:pt>
                <c:pt idx="2256">
                  <c:v>44265</c:v>
                </c:pt>
                <c:pt idx="2257">
                  <c:v>44266</c:v>
                </c:pt>
                <c:pt idx="2258">
                  <c:v>44267</c:v>
                </c:pt>
                <c:pt idx="2259">
                  <c:v>44268</c:v>
                </c:pt>
                <c:pt idx="2260">
                  <c:v>44269</c:v>
                </c:pt>
                <c:pt idx="2261">
                  <c:v>44270</c:v>
                </c:pt>
                <c:pt idx="2262">
                  <c:v>44271</c:v>
                </c:pt>
                <c:pt idx="2263">
                  <c:v>44272</c:v>
                </c:pt>
                <c:pt idx="2264">
                  <c:v>44273</c:v>
                </c:pt>
                <c:pt idx="2265">
                  <c:v>44274</c:v>
                </c:pt>
                <c:pt idx="2266">
                  <c:v>44275</c:v>
                </c:pt>
                <c:pt idx="2267">
                  <c:v>44276</c:v>
                </c:pt>
                <c:pt idx="2268">
                  <c:v>44277</c:v>
                </c:pt>
                <c:pt idx="2269">
                  <c:v>44278</c:v>
                </c:pt>
                <c:pt idx="2270">
                  <c:v>44279</c:v>
                </c:pt>
                <c:pt idx="2271">
                  <c:v>44280</c:v>
                </c:pt>
                <c:pt idx="2272">
                  <c:v>44281</c:v>
                </c:pt>
                <c:pt idx="2273">
                  <c:v>44282</c:v>
                </c:pt>
                <c:pt idx="2274">
                  <c:v>44283</c:v>
                </c:pt>
                <c:pt idx="2275">
                  <c:v>44284</c:v>
                </c:pt>
                <c:pt idx="2276">
                  <c:v>44285</c:v>
                </c:pt>
                <c:pt idx="2277">
                  <c:v>44286</c:v>
                </c:pt>
                <c:pt idx="2278">
                  <c:v>44287</c:v>
                </c:pt>
                <c:pt idx="2279">
                  <c:v>44288</c:v>
                </c:pt>
                <c:pt idx="2280">
                  <c:v>44289</c:v>
                </c:pt>
                <c:pt idx="2281">
                  <c:v>44290</c:v>
                </c:pt>
                <c:pt idx="2282">
                  <c:v>44291</c:v>
                </c:pt>
                <c:pt idx="2283">
                  <c:v>44292</c:v>
                </c:pt>
                <c:pt idx="2284">
                  <c:v>44293</c:v>
                </c:pt>
                <c:pt idx="2285">
                  <c:v>44294</c:v>
                </c:pt>
                <c:pt idx="2286">
                  <c:v>44295</c:v>
                </c:pt>
                <c:pt idx="2287">
                  <c:v>44296</c:v>
                </c:pt>
                <c:pt idx="2288">
                  <c:v>44297</c:v>
                </c:pt>
                <c:pt idx="2289">
                  <c:v>44298</c:v>
                </c:pt>
                <c:pt idx="2290">
                  <c:v>44299</c:v>
                </c:pt>
                <c:pt idx="2291">
                  <c:v>44300</c:v>
                </c:pt>
                <c:pt idx="2292">
                  <c:v>44301</c:v>
                </c:pt>
                <c:pt idx="2293">
                  <c:v>44302</c:v>
                </c:pt>
                <c:pt idx="2294">
                  <c:v>44303</c:v>
                </c:pt>
                <c:pt idx="2295">
                  <c:v>44304</c:v>
                </c:pt>
                <c:pt idx="2296">
                  <c:v>44305</c:v>
                </c:pt>
                <c:pt idx="2297">
                  <c:v>44306</c:v>
                </c:pt>
                <c:pt idx="2298">
                  <c:v>44307</c:v>
                </c:pt>
                <c:pt idx="2299">
                  <c:v>44308</c:v>
                </c:pt>
                <c:pt idx="2300">
                  <c:v>44309</c:v>
                </c:pt>
                <c:pt idx="2301">
                  <c:v>44310</c:v>
                </c:pt>
                <c:pt idx="2302">
                  <c:v>44311</c:v>
                </c:pt>
                <c:pt idx="2303">
                  <c:v>44312</c:v>
                </c:pt>
                <c:pt idx="2304">
                  <c:v>44313</c:v>
                </c:pt>
                <c:pt idx="2305">
                  <c:v>44314</c:v>
                </c:pt>
                <c:pt idx="2306">
                  <c:v>44315</c:v>
                </c:pt>
                <c:pt idx="2307">
                  <c:v>44316</c:v>
                </c:pt>
                <c:pt idx="2308">
                  <c:v>44317</c:v>
                </c:pt>
                <c:pt idx="2309">
                  <c:v>44318</c:v>
                </c:pt>
                <c:pt idx="2310">
                  <c:v>44319</c:v>
                </c:pt>
                <c:pt idx="2311">
                  <c:v>44320</c:v>
                </c:pt>
                <c:pt idx="2312">
                  <c:v>44321</c:v>
                </c:pt>
                <c:pt idx="2313">
                  <c:v>44322</c:v>
                </c:pt>
                <c:pt idx="2314">
                  <c:v>44323</c:v>
                </c:pt>
                <c:pt idx="2315">
                  <c:v>44324</c:v>
                </c:pt>
                <c:pt idx="2316">
                  <c:v>44325</c:v>
                </c:pt>
                <c:pt idx="2317">
                  <c:v>44326</c:v>
                </c:pt>
                <c:pt idx="2318">
                  <c:v>44327</c:v>
                </c:pt>
                <c:pt idx="2319">
                  <c:v>44328</c:v>
                </c:pt>
                <c:pt idx="2320">
                  <c:v>44329</c:v>
                </c:pt>
                <c:pt idx="2321">
                  <c:v>44330</c:v>
                </c:pt>
                <c:pt idx="2322">
                  <c:v>44331</c:v>
                </c:pt>
                <c:pt idx="2323">
                  <c:v>44332</c:v>
                </c:pt>
                <c:pt idx="2324">
                  <c:v>44333</c:v>
                </c:pt>
                <c:pt idx="2325">
                  <c:v>44334</c:v>
                </c:pt>
                <c:pt idx="2326">
                  <c:v>44335</c:v>
                </c:pt>
                <c:pt idx="2327">
                  <c:v>44336</c:v>
                </c:pt>
                <c:pt idx="2328">
                  <c:v>44337</c:v>
                </c:pt>
                <c:pt idx="2329">
                  <c:v>44338</c:v>
                </c:pt>
                <c:pt idx="2330">
                  <c:v>44339</c:v>
                </c:pt>
                <c:pt idx="2331">
                  <c:v>44340</c:v>
                </c:pt>
                <c:pt idx="2332">
                  <c:v>44341</c:v>
                </c:pt>
                <c:pt idx="2333">
                  <c:v>44342</c:v>
                </c:pt>
                <c:pt idx="2334">
                  <c:v>44343</c:v>
                </c:pt>
                <c:pt idx="2335">
                  <c:v>44344</c:v>
                </c:pt>
                <c:pt idx="2336">
                  <c:v>44345</c:v>
                </c:pt>
                <c:pt idx="2337">
                  <c:v>44346</c:v>
                </c:pt>
                <c:pt idx="2338">
                  <c:v>44347</c:v>
                </c:pt>
                <c:pt idx="2339">
                  <c:v>44348</c:v>
                </c:pt>
                <c:pt idx="2340">
                  <c:v>44349</c:v>
                </c:pt>
                <c:pt idx="2341">
                  <c:v>44350</c:v>
                </c:pt>
                <c:pt idx="2342">
                  <c:v>44351</c:v>
                </c:pt>
                <c:pt idx="2343">
                  <c:v>44352</c:v>
                </c:pt>
                <c:pt idx="2344">
                  <c:v>44353</c:v>
                </c:pt>
                <c:pt idx="2345">
                  <c:v>44354</c:v>
                </c:pt>
                <c:pt idx="2346">
                  <c:v>44355</c:v>
                </c:pt>
                <c:pt idx="2347">
                  <c:v>44356</c:v>
                </c:pt>
                <c:pt idx="2348">
                  <c:v>44357</c:v>
                </c:pt>
                <c:pt idx="2349">
                  <c:v>44358</c:v>
                </c:pt>
                <c:pt idx="2350">
                  <c:v>44359</c:v>
                </c:pt>
                <c:pt idx="2351">
                  <c:v>44360</c:v>
                </c:pt>
                <c:pt idx="2352">
                  <c:v>44361</c:v>
                </c:pt>
                <c:pt idx="2353">
                  <c:v>44362</c:v>
                </c:pt>
                <c:pt idx="2354">
                  <c:v>44363</c:v>
                </c:pt>
                <c:pt idx="2355">
                  <c:v>44364</c:v>
                </c:pt>
                <c:pt idx="2356">
                  <c:v>44365</c:v>
                </c:pt>
                <c:pt idx="2357">
                  <c:v>44366</c:v>
                </c:pt>
                <c:pt idx="2358">
                  <c:v>44367</c:v>
                </c:pt>
                <c:pt idx="2359">
                  <c:v>44368</c:v>
                </c:pt>
                <c:pt idx="2360">
                  <c:v>44369</c:v>
                </c:pt>
                <c:pt idx="2361">
                  <c:v>44370</c:v>
                </c:pt>
                <c:pt idx="2362">
                  <c:v>44371</c:v>
                </c:pt>
                <c:pt idx="2363">
                  <c:v>44372</c:v>
                </c:pt>
                <c:pt idx="2364">
                  <c:v>44373</c:v>
                </c:pt>
                <c:pt idx="2365">
                  <c:v>44374</c:v>
                </c:pt>
                <c:pt idx="2366">
                  <c:v>44375</c:v>
                </c:pt>
                <c:pt idx="2367">
                  <c:v>44376</c:v>
                </c:pt>
                <c:pt idx="2368">
                  <c:v>44377</c:v>
                </c:pt>
                <c:pt idx="2369">
                  <c:v>44378</c:v>
                </c:pt>
                <c:pt idx="2370">
                  <c:v>44379</c:v>
                </c:pt>
                <c:pt idx="2371">
                  <c:v>44380</c:v>
                </c:pt>
                <c:pt idx="2372">
                  <c:v>44381</c:v>
                </c:pt>
                <c:pt idx="2373">
                  <c:v>44382</c:v>
                </c:pt>
                <c:pt idx="2374">
                  <c:v>44383</c:v>
                </c:pt>
                <c:pt idx="2375">
                  <c:v>44384</c:v>
                </c:pt>
                <c:pt idx="2376">
                  <c:v>44385</c:v>
                </c:pt>
                <c:pt idx="2377">
                  <c:v>44386</c:v>
                </c:pt>
                <c:pt idx="2378">
                  <c:v>44387</c:v>
                </c:pt>
                <c:pt idx="2379">
                  <c:v>44388</c:v>
                </c:pt>
                <c:pt idx="2380">
                  <c:v>44389</c:v>
                </c:pt>
                <c:pt idx="2381">
                  <c:v>44390</c:v>
                </c:pt>
                <c:pt idx="2382">
                  <c:v>44391</c:v>
                </c:pt>
                <c:pt idx="2383">
                  <c:v>44392</c:v>
                </c:pt>
                <c:pt idx="2384">
                  <c:v>44393</c:v>
                </c:pt>
                <c:pt idx="2385">
                  <c:v>44394</c:v>
                </c:pt>
                <c:pt idx="2386">
                  <c:v>44395</c:v>
                </c:pt>
                <c:pt idx="2387">
                  <c:v>44396</c:v>
                </c:pt>
                <c:pt idx="2388">
                  <c:v>44397</c:v>
                </c:pt>
                <c:pt idx="2389">
                  <c:v>44398</c:v>
                </c:pt>
                <c:pt idx="2390">
                  <c:v>44399</c:v>
                </c:pt>
                <c:pt idx="2391">
                  <c:v>44400</c:v>
                </c:pt>
                <c:pt idx="2392">
                  <c:v>44401</c:v>
                </c:pt>
                <c:pt idx="2393">
                  <c:v>44402</c:v>
                </c:pt>
                <c:pt idx="2394">
                  <c:v>44403</c:v>
                </c:pt>
                <c:pt idx="2395">
                  <c:v>44404</c:v>
                </c:pt>
                <c:pt idx="2396">
                  <c:v>44405</c:v>
                </c:pt>
                <c:pt idx="2397">
                  <c:v>44406</c:v>
                </c:pt>
                <c:pt idx="2398">
                  <c:v>44407</c:v>
                </c:pt>
                <c:pt idx="2399">
                  <c:v>44408</c:v>
                </c:pt>
                <c:pt idx="2400">
                  <c:v>44409</c:v>
                </c:pt>
                <c:pt idx="2401">
                  <c:v>44410</c:v>
                </c:pt>
                <c:pt idx="2402">
                  <c:v>44411</c:v>
                </c:pt>
                <c:pt idx="2403">
                  <c:v>44412</c:v>
                </c:pt>
                <c:pt idx="2404">
                  <c:v>44413</c:v>
                </c:pt>
                <c:pt idx="2405">
                  <c:v>44414</c:v>
                </c:pt>
                <c:pt idx="2406">
                  <c:v>44415</c:v>
                </c:pt>
                <c:pt idx="2407">
                  <c:v>44416</c:v>
                </c:pt>
                <c:pt idx="2408">
                  <c:v>44417</c:v>
                </c:pt>
                <c:pt idx="2409">
                  <c:v>44418</c:v>
                </c:pt>
                <c:pt idx="2410">
                  <c:v>44419</c:v>
                </c:pt>
                <c:pt idx="2411">
                  <c:v>44420</c:v>
                </c:pt>
                <c:pt idx="2412">
                  <c:v>44421</c:v>
                </c:pt>
                <c:pt idx="2413">
                  <c:v>44422</c:v>
                </c:pt>
                <c:pt idx="2414">
                  <c:v>44423</c:v>
                </c:pt>
                <c:pt idx="2415">
                  <c:v>44424</c:v>
                </c:pt>
                <c:pt idx="2416">
                  <c:v>44425</c:v>
                </c:pt>
                <c:pt idx="2417">
                  <c:v>44426</c:v>
                </c:pt>
                <c:pt idx="2418">
                  <c:v>44427</c:v>
                </c:pt>
                <c:pt idx="2419">
                  <c:v>44428</c:v>
                </c:pt>
                <c:pt idx="2420">
                  <c:v>44429</c:v>
                </c:pt>
                <c:pt idx="2421">
                  <c:v>44430</c:v>
                </c:pt>
                <c:pt idx="2422">
                  <c:v>44431</c:v>
                </c:pt>
                <c:pt idx="2423">
                  <c:v>44432</c:v>
                </c:pt>
                <c:pt idx="2424">
                  <c:v>44433</c:v>
                </c:pt>
                <c:pt idx="2425">
                  <c:v>44434</c:v>
                </c:pt>
                <c:pt idx="2426">
                  <c:v>44435</c:v>
                </c:pt>
                <c:pt idx="2427">
                  <c:v>44436</c:v>
                </c:pt>
                <c:pt idx="2428">
                  <c:v>44437</c:v>
                </c:pt>
                <c:pt idx="2429">
                  <c:v>44438</c:v>
                </c:pt>
                <c:pt idx="2430">
                  <c:v>44439</c:v>
                </c:pt>
                <c:pt idx="2431">
                  <c:v>44440</c:v>
                </c:pt>
                <c:pt idx="2432">
                  <c:v>44441</c:v>
                </c:pt>
                <c:pt idx="2433">
                  <c:v>44442</c:v>
                </c:pt>
                <c:pt idx="2434">
                  <c:v>44443</c:v>
                </c:pt>
                <c:pt idx="2435">
                  <c:v>44444</c:v>
                </c:pt>
                <c:pt idx="2436">
                  <c:v>44445</c:v>
                </c:pt>
                <c:pt idx="2437">
                  <c:v>44446</c:v>
                </c:pt>
                <c:pt idx="2438">
                  <c:v>44447</c:v>
                </c:pt>
                <c:pt idx="2439">
                  <c:v>44448</c:v>
                </c:pt>
                <c:pt idx="2440">
                  <c:v>44449</c:v>
                </c:pt>
                <c:pt idx="2441">
                  <c:v>44450</c:v>
                </c:pt>
                <c:pt idx="2442">
                  <c:v>44451</c:v>
                </c:pt>
                <c:pt idx="2443">
                  <c:v>44452</c:v>
                </c:pt>
                <c:pt idx="2444">
                  <c:v>44453</c:v>
                </c:pt>
                <c:pt idx="2445">
                  <c:v>44454</c:v>
                </c:pt>
                <c:pt idx="2446">
                  <c:v>44455</c:v>
                </c:pt>
                <c:pt idx="2447">
                  <c:v>44456</c:v>
                </c:pt>
                <c:pt idx="2448">
                  <c:v>44457</c:v>
                </c:pt>
                <c:pt idx="2449">
                  <c:v>44458</c:v>
                </c:pt>
                <c:pt idx="2450">
                  <c:v>44459</c:v>
                </c:pt>
                <c:pt idx="2451">
                  <c:v>44460</c:v>
                </c:pt>
                <c:pt idx="2452">
                  <c:v>44461</c:v>
                </c:pt>
                <c:pt idx="2453">
                  <c:v>44462</c:v>
                </c:pt>
                <c:pt idx="2454">
                  <c:v>44463</c:v>
                </c:pt>
                <c:pt idx="2455">
                  <c:v>44464</c:v>
                </c:pt>
                <c:pt idx="2456">
                  <c:v>44465</c:v>
                </c:pt>
                <c:pt idx="2457">
                  <c:v>44466</c:v>
                </c:pt>
                <c:pt idx="2458">
                  <c:v>44467</c:v>
                </c:pt>
                <c:pt idx="2459">
                  <c:v>44468</c:v>
                </c:pt>
                <c:pt idx="2460">
                  <c:v>44469</c:v>
                </c:pt>
                <c:pt idx="2461">
                  <c:v>44470</c:v>
                </c:pt>
                <c:pt idx="2462">
                  <c:v>44471</c:v>
                </c:pt>
                <c:pt idx="2463">
                  <c:v>44472</c:v>
                </c:pt>
                <c:pt idx="2464">
                  <c:v>44473</c:v>
                </c:pt>
                <c:pt idx="2465">
                  <c:v>44474</c:v>
                </c:pt>
                <c:pt idx="2466">
                  <c:v>44475</c:v>
                </c:pt>
                <c:pt idx="2467">
                  <c:v>44476</c:v>
                </c:pt>
                <c:pt idx="2468">
                  <c:v>44477</c:v>
                </c:pt>
                <c:pt idx="2469">
                  <c:v>44478</c:v>
                </c:pt>
                <c:pt idx="2470">
                  <c:v>44479</c:v>
                </c:pt>
                <c:pt idx="2471">
                  <c:v>44480</c:v>
                </c:pt>
                <c:pt idx="2472">
                  <c:v>44481</c:v>
                </c:pt>
                <c:pt idx="2473">
                  <c:v>44482</c:v>
                </c:pt>
                <c:pt idx="2474">
                  <c:v>44483</c:v>
                </c:pt>
                <c:pt idx="2475">
                  <c:v>44484</c:v>
                </c:pt>
                <c:pt idx="2476">
                  <c:v>44485</c:v>
                </c:pt>
                <c:pt idx="2477">
                  <c:v>44486</c:v>
                </c:pt>
                <c:pt idx="2478">
                  <c:v>44487</c:v>
                </c:pt>
                <c:pt idx="2479">
                  <c:v>44488</c:v>
                </c:pt>
                <c:pt idx="2480">
                  <c:v>44489</c:v>
                </c:pt>
                <c:pt idx="2481">
                  <c:v>44490</c:v>
                </c:pt>
                <c:pt idx="2482">
                  <c:v>44491</c:v>
                </c:pt>
                <c:pt idx="2483">
                  <c:v>44492</c:v>
                </c:pt>
                <c:pt idx="2484">
                  <c:v>44493</c:v>
                </c:pt>
                <c:pt idx="2485">
                  <c:v>44494</c:v>
                </c:pt>
                <c:pt idx="2486">
                  <c:v>44495</c:v>
                </c:pt>
                <c:pt idx="2487">
                  <c:v>44496</c:v>
                </c:pt>
                <c:pt idx="2488">
                  <c:v>44497</c:v>
                </c:pt>
                <c:pt idx="2489">
                  <c:v>44498</c:v>
                </c:pt>
                <c:pt idx="2490">
                  <c:v>44499</c:v>
                </c:pt>
                <c:pt idx="2491">
                  <c:v>44500</c:v>
                </c:pt>
                <c:pt idx="2492">
                  <c:v>44501</c:v>
                </c:pt>
                <c:pt idx="2493">
                  <c:v>44502</c:v>
                </c:pt>
                <c:pt idx="2494">
                  <c:v>44503</c:v>
                </c:pt>
                <c:pt idx="2495">
                  <c:v>44504</c:v>
                </c:pt>
                <c:pt idx="2496">
                  <c:v>44505</c:v>
                </c:pt>
                <c:pt idx="2497">
                  <c:v>44506</c:v>
                </c:pt>
                <c:pt idx="2498">
                  <c:v>44507</c:v>
                </c:pt>
                <c:pt idx="2499">
                  <c:v>44508</c:v>
                </c:pt>
                <c:pt idx="2500">
                  <c:v>44509</c:v>
                </c:pt>
                <c:pt idx="2501">
                  <c:v>44510</c:v>
                </c:pt>
                <c:pt idx="2502">
                  <c:v>44511</c:v>
                </c:pt>
                <c:pt idx="2503">
                  <c:v>44512</c:v>
                </c:pt>
                <c:pt idx="2504">
                  <c:v>44513</c:v>
                </c:pt>
                <c:pt idx="2505">
                  <c:v>44514</c:v>
                </c:pt>
                <c:pt idx="2506">
                  <c:v>44515</c:v>
                </c:pt>
                <c:pt idx="2507">
                  <c:v>44516</c:v>
                </c:pt>
                <c:pt idx="2508">
                  <c:v>44517</c:v>
                </c:pt>
                <c:pt idx="2509">
                  <c:v>44518</c:v>
                </c:pt>
                <c:pt idx="2510">
                  <c:v>44519</c:v>
                </c:pt>
                <c:pt idx="2511">
                  <c:v>44520</c:v>
                </c:pt>
                <c:pt idx="2512">
                  <c:v>44521</c:v>
                </c:pt>
                <c:pt idx="2513">
                  <c:v>44522</c:v>
                </c:pt>
                <c:pt idx="2514">
                  <c:v>44523</c:v>
                </c:pt>
                <c:pt idx="2515">
                  <c:v>44524</c:v>
                </c:pt>
                <c:pt idx="2516">
                  <c:v>44525</c:v>
                </c:pt>
                <c:pt idx="2517">
                  <c:v>44526</c:v>
                </c:pt>
                <c:pt idx="2518">
                  <c:v>44527</c:v>
                </c:pt>
                <c:pt idx="2519">
                  <c:v>44528</c:v>
                </c:pt>
                <c:pt idx="2520">
                  <c:v>44529</c:v>
                </c:pt>
                <c:pt idx="2521">
                  <c:v>44530</c:v>
                </c:pt>
                <c:pt idx="2522">
                  <c:v>44531</c:v>
                </c:pt>
                <c:pt idx="2523">
                  <c:v>44532</c:v>
                </c:pt>
                <c:pt idx="2524">
                  <c:v>44533</c:v>
                </c:pt>
                <c:pt idx="2525">
                  <c:v>44534</c:v>
                </c:pt>
                <c:pt idx="2526">
                  <c:v>44535</c:v>
                </c:pt>
                <c:pt idx="2527">
                  <c:v>44536</c:v>
                </c:pt>
                <c:pt idx="2528">
                  <c:v>44537</c:v>
                </c:pt>
                <c:pt idx="2529">
                  <c:v>44538</c:v>
                </c:pt>
                <c:pt idx="2530">
                  <c:v>44539</c:v>
                </c:pt>
                <c:pt idx="2531">
                  <c:v>44540</c:v>
                </c:pt>
                <c:pt idx="2532">
                  <c:v>44541</c:v>
                </c:pt>
                <c:pt idx="2533">
                  <c:v>44542</c:v>
                </c:pt>
                <c:pt idx="2534">
                  <c:v>44543</c:v>
                </c:pt>
                <c:pt idx="2535">
                  <c:v>44544</c:v>
                </c:pt>
                <c:pt idx="2536">
                  <c:v>44545</c:v>
                </c:pt>
                <c:pt idx="2537">
                  <c:v>44546</c:v>
                </c:pt>
                <c:pt idx="2538">
                  <c:v>44547</c:v>
                </c:pt>
                <c:pt idx="2539">
                  <c:v>44548</c:v>
                </c:pt>
                <c:pt idx="2540">
                  <c:v>44549</c:v>
                </c:pt>
                <c:pt idx="2541">
                  <c:v>44550</c:v>
                </c:pt>
                <c:pt idx="2542">
                  <c:v>44551</c:v>
                </c:pt>
                <c:pt idx="2543">
                  <c:v>44552</c:v>
                </c:pt>
                <c:pt idx="2544">
                  <c:v>44553</c:v>
                </c:pt>
                <c:pt idx="2545">
                  <c:v>44554</c:v>
                </c:pt>
                <c:pt idx="2546">
                  <c:v>44555</c:v>
                </c:pt>
                <c:pt idx="2547">
                  <c:v>44556</c:v>
                </c:pt>
                <c:pt idx="2548">
                  <c:v>44557</c:v>
                </c:pt>
                <c:pt idx="2549">
                  <c:v>44558</c:v>
                </c:pt>
                <c:pt idx="2550">
                  <c:v>44559</c:v>
                </c:pt>
                <c:pt idx="2551">
                  <c:v>44560</c:v>
                </c:pt>
                <c:pt idx="2552">
                  <c:v>44561</c:v>
                </c:pt>
                <c:pt idx="2553">
                  <c:v>44562</c:v>
                </c:pt>
                <c:pt idx="2554">
                  <c:v>44563</c:v>
                </c:pt>
                <c:pt idx="2555">
                  <c:v>44564</c:v>
                </c:pt>
                <c:pt idx="2556">
                  <c:v>44565</c:v>
                </c:pt>
                <c:pt idx="2557">
                  <c:v>44566</c:v>
                </c:pt>
                <c:pt idx="2558">
                  <c:v>44567</c:v>
                </c:pt>
                <c:pt idx="2559">
                  <c:v>44568</c:v>
                </c:pt>
                <c:pt idx="2560">
                  <c:v>44569</c:v>
                </c:pt>
                <c:pt idx="2561">
                  <c:v>44570</c:v>
                </c:pt>
                <c:pt idx="2562">
                  <c:v>44571</c:v>
                </c:pt>
                <c:pt idx="2563">
                  <c:v>44572</c:v>
                </c:pt>
                <c:pt idx="2564">
                  <c:v>44573</c:v>
                </c:pt>
                <c:pt idx="2565">
                  <c:v>44574</c:v>
                </c:pt>
                <c:pt idx="2566">
                  <c:v>44575</c:v>
                </c:pt>
                <c:pt idx="2567">
                  <c:v>44576</c:v>
                </c:pt>
                <c:pt idx="2568">
                  <c:v>44577</c:v>
                </c:pt>
                <c:pt idx="2569">
                  <c:v>44578</c:v>
                </c:pt>
                <c:pt idx="2570">
                  <c:v>44579</c:v>
                </c:pt>
                <c:pt idx="2571">
                  <c:v>44580</c:v>
                </c:pt>
                <c:pt idx="2572">
                  <c:v>44581</c:v>
                </c:pt>
                <c:pt idx="2573">
                  <c:v>44582</c:v>
                </c:pt>
                <c:pt idx="2574">
                  <c:v>44583</c:v>
                </c:pt>
                <c:pt idx="2575">
                  <c:v>44584</c:v>
                </c:pt>
                <c:pt idx="2576">
                  <c:v>44585</c:v>
                </c:pt>
                <c:pt idx="2577">
                  <c:v>44586</c:v>
                </c:pt>
                <c:pt idx="2578">
                  <c:v>44587</c:v>
                </c:pt>
                <c:pt idx="2579">
                  <c:v>44588</c:v>
                </c:pt>
                <c:pt idx="2580">
                  <c:v>44589</c:v>
                </c:pt>
                <c:pt idx="2581">
                  <c:v>44590</c:v>
                </c:pt>
                <c:pt idx="2582">
                  <c:v>44591</c:v>
                </c:pt>
                <c:pt idx="2583">
                  <c:v>44592</c:v>
                </c:pt>
                <c:pt idx="2584">
                  <c:v>44593</c:v>
                </c:pt>
                <c:pt idx="2585">
                  <c:v>44594</c:v>
                </c:pt>
                <c:pt idx="2586">
                  <c:v>44595</c:v>
                </c:pt>
                <c:pt idx="2587">
                  <c:v>44596</c:v>
                </c:pt>
                <c:pt idx="2588">
                  <c:v>44597</c:v>
                </c:pt>
                <c:pt idx="2589">
                  <c:v>44598</c:v>
                </c:pt>
                <c:pt idx="2590">
                  <c:v>44599</c:v>
                </c:pt>
                <c:pt idx="2591">
                  <c:v>44600</c:v>
                </c:pt>
                <c:pt idx="2592">
                  <c:v>44601</c:v>
                </c:pt>
                <c:pt idx="2593">
                  <c:v>44602</c:v>
                </c:pt>
                <c:pt idx="2594">
                  <c:v>44603</c:v>
                </c:pt>
                <c:pt idx="2595">
                  <c:v>44604</c:v>
                </c:pt>
                <c:pt idx="2596">
                  <c:v>44605</c:v>
                </c:pt>
                <c:pt idx="2597">
                  <c:v>44606</c:v>
                </c:pt>
                <c:pt idx="2598">
                  <c:v>44607</c:v>
                </c:pt>
                <c:pt idx="2599">
                  <c:v>44608</c:v>
                </c:pt>
                <c:pt idx="2600">
                  <c:v>44609</c:v>
                </c:pt>
                <c:pt idx="2601">
                  <c:v>44610</c:v>
                </c:pt>
                <c:pt idx="2602">
                  <c:v>44611</c:v>
                </c:pt>
                <c:pt idx="2603">
                  <c:v>44612</c:v>
                </c:pt>
                <c:pt idx="2604">
                  <c:v>44613</c:v>
                </c:pt>
                <c:pt idx="2605">
                  <c:v>44614</c:v>
                </c:pt>
                <c:pt idx="2606">
                  <c:v>44615</c:v>
                </c:pt>
                <c:pt idx="2607">
                  <c:v>44616</c:v>
                </c:pt>
                <c:pt idx="2608">
                  <c:v>44617</c:v>
                </c:pt>
                <c:pt idx="2609">
                  <c:v>44618</c:v>
                </c:pt>
                <c:pt idx="2610">
                  <c:v>44619</c:v>
                </c:pt>
                <c:pt idx="2611">
                  <c:v>44620</c:v>
                </c:pt>
                <c:pt idx="2612">
                  <c:v>44621</c:v>
                </c:pt>
                <c:pt idx="2613">
                  <c:v>44622</c:v>
                </c:pt>
                <c:pt idx="2614">
                  <c:v>44623</c:v>
                </c:pt>
                <c:pt idx="2615">
                  <c:v>44624</c:v>
                </c:pt>
                <c:pt idx="2616">
                  <c:v>44625</c:v>
                </c:pt>
                <c:pt idx="2617">
                  <c:v>44626</c:v>
                </c:pt>
                <c:pt idx="2618">
                  <c:v>44627</c:v>
                </c:pt>
                <c:pt idx="2619">
                  <c:v>44628</c:v>
                </c:pt>
                <c:pt idx="2620">
                  <c:v>44629</c:v>
                </c:pt>
                <c:pt idx="2621">
                  <c:v>44630</c:v>
                </c:pt>
                <c:pt idx="2622">
                  <c:v>44631</c:v>
                </c:pt>
                <c:pt idx="2623">
                  <c:v>44632</c:v>
                </c:pt>
                <c:pt idx="2624">
                  <c:v>44633</c:v>
                </c:pt>
                <c:pt idx="2625">
                  <c:v>44634</c:v>
                </c:pt>
                <c:pt idx="2626">
                  <c:v>44635</c:v>
                </c:pt>
                <c:pt idx="2627">
                  <c:v>44636</c:v>
                </c:pt>
                <c:pt idx="2628">
                  <c:v>44637</c:v>
                </c:pt>
                <c:pt idx="2629">
                  <c:v>44638</c:v>
                </c:pt>
                <c:pt idx="2630">
                  <c:v>44639</c:v>
                </c:pt>
                <c:pt idx="2631">
                  <c:v>44640</c:v>
                </c:pt>
                <c:pt idx="2632">
                  <c:v>44641</c:v>
                </c:pt>
                <c:pt idx="2633">
                  <c:v>44642</c:v>
                </c:pt>
                <c:pt idx="2634">
                  <c:v>44643</c:v>
                </c:pt>
                <c:pt idx="2635">
                  <c:v>44644</c:v>
                </c:pt>
                <c:pt idx="2636">
                  <c:v>44645</c:v>
                </c:pt>
                <c:pt idx="2637">
                  <c:v>44646</c:v>
                </c:pt>
                <c:pt idx="2638">
                  <c:v>44647</c:v>
                </c:pt>
                <c:pt idx="2639">
                  <c:v>44648</c:v>
                </c:pt>
                <c:pt idx="2640">
                  <c:v>44649</c:v>
                </c:pt>
                <c:pt idx="2641">
                  <c:v>44650</c:v>
                </c:pt>
                <c:pt idx="2642">
                  <c:v>44651</c:v>
                </c:pt>
                <c:pt idx="2643">
                  <c:v>44652</c:v>
                </c:pt>
                <c:pt idx="2644">
                  <c:v>44653</c:v>
                </c:pt>
                <c:pt idx="2645">
                  <c:v>44654</c:v>
                </c:pt>
                <c:pt idx="2646">
                  <c:v>44655</c:v>
                </c:pt>
                <c:pt idx="2647">
                  <c:v>44656</c:v>
                </c:pt>
                <c:pt idx="2648">
                  <c:v>44657</c:v>
                </c:pt>
                <c:pt idx="2649">
                  <c:v>44658</c:v>
                </c:pt>
                <c:pt idx="2650">
                  <c:v>44659</c:v>
                </c:pt>
                <c:pt idx="2651">
                  <c:v>44660</c:v>
                </c:pt>
                <c:pt idx="2652">
                  <c:v>44661</c:v>
                </c:pt>
                <c:pt idx="2653">
                  <c:v>44662</c:v>
                </c:pt>
                <c:pt idx="2654">
                  <c:v>44663</c:v>
                </c:pt>
                <c:pt idx="2655">
                  <c:v>44664</c:v>
                </c:pt>
                <c:pt idx="2656">
                  <c:v>44665</c:v>
                </c:pt>
                <c:pt idx="2657">
                  <c:v>44666</c:v>
                </c:pt>
                <c:pt idx="2658">
                  <c:v>44667</c:v>
                </c:pt>
                <c:pt idx="2659">
                  <c:v>44668</c:v>
                </c:pt>
                <c:pt idx="2660">
                  <c:v>44669</c:v>
                </c:pt>
                <c:pt idx="2661">
                  <c:v>44670</c:v>
                </c:pt>
                <c:pt idx="2662">
                  <c:v>44671</c:v>
                </c:pt>
                <c:pt idx="2663">
                  <c:v>44672</c:v>
                </c:pt>
                <c:pt idx="2664">
                  <c:v>44673</c:v>
                </c:pt>
                <c:pt idx="2665">
                  <c:v>44674</c:v>
                </c:pt>
                <c:pt idx="2666">
                  <c:v>44675</c:v>
                </c:pt>
                <c:pt idx="2667">
                  <c:v>44676</c:v>
                </c:pt>
                <c:pt idx="2668">
                  <c:v>44677</c:v>
                </c:pt>
                <c:pt idx="2669">
                  <c:v>44678</c:v>
                </c:pt>
                <c:pt idx="2670">
                  <c:v>44679</c:v>
                </c:pt>
                <c:pt idx="2671">
                  <c:v>44680</c:v>
                </c:pt>
                <c:pt idx="2672">
                  <c:v>44681</c:v>
                </c:pt>
                <c:pt idx="2673">
                  <c:v>44682</c:v>
                </c:pt>
                <c:pt idx="2674">
                  <c:v>44683</c:v>
                </c:pt>
                <c:pt idx="2675">
                  <c:v>44684</c:v>
                </c:pt>
                <c:pt idx="2676">
                  <c:v>44685</c:v>
                </c:pt>
                <c:pt idx="2677">
                  <c:v>44686</c:v>
                </c:pt>
                <c:pt idx="2678">
                  <c:v>44687</c:v>
                </c:pt>
                <c:pt idx="2679">
                  <c:v>44688</c:v>
                </c:pt>
                <c:pt idx="2680">
                  <c:v>44689</c:v>
                </c:pt>
                <c:pt idx="2681">
                  <c:v>44690</c:v>
                </c:pt>
                <c:pt idx="2682">
                  <c:v>44691</c:v>
                </c:pt>
                <c:pt idx="2683">
                  <c:v>44692</c:v>
                </c:pt>
                <c:pt idx="2684">
                  <c:v>44693</c:v>
                </c:pt>
                <c:pt idx="2685">
                  <c:v>44694</c:v>
                </c:pt>
                <c:pt idx="2686">
                  <c:v>44695</c:v>
                </c:pt>
                <c:pt idx="2687">
                  <c:v>44696</c:v>
                </c:pt>
                <c:pt idx="2688">
                  <c:v>44697</c:v>
                </c:pt>
                <c:pt idx="2689">
                  <c:v>44698</c:v>
                </c:pt>
                <c:pt idx="2690">
                  <c:v>44699</c:v>
                </c:pt>
                <c:pt idx="2691">
                  <c:v>44700</c:v>
                </c:pt>
                <c:pt idx="2692">
                  <c:v>44701</c:v>
                </c:pt>
                <c:pt idx="2693">
                  <c:v>44702</c:v>
                </c:pt>
                <c:pt idx="2694">
                  <c:v>44703</c:v>
                </c:pt>
                <c:pt idx="2695">
                  <c:v>44704</c:v>
                </c:pt>
                <c:pt idx="2696">
                  <c:v>44705</c:v>
                </c:pt>
                <c:pt idx="2697">
                  <c:v>44706</c:v>
                </c:pt>
                <c:pt idx="2698">
                  <c:v>44707</c:v>
                </c:pt>
                <c:pt idx="2699">
                  <c:v>44708</c:v>
                </c:pt>
                <c:pt idx="2700">
                  <c:v>44709</c:v>
                </c:pt>
                <c:pt idx="2701">
                  <c:v>44710</c:v>
                </c:pt>
                <c:pt idx="2702">
                  <c:v>44711</c:v>
                </c:pt>
                <c:pt idx="2703">
                  <c:v>44712</c:v>
                </c:pt>
                <c:pt idx="2704">
                  <c:v>44713</c:v>
                </c:pt>
                <c:pt idx="2705">
                  <c:v>44714</c:v>
                </c:pt>
                <c:pt idx="2706">
                  <c:v>44715</c:v>
                </c:pt>
                <c:pt idx="2707">
                  <c:v>44716</c:v>
                </c:pt>
                <c:pt idx="2708">
                  <c:v>44717</c:v>
                </c:pt>
                <c:pt idx="2709">
                  <c:v>44718</c:v>
                </c:pt>
                <c:pt idx="2710">
                  <c:v>44719</c:v>
                </c:pt>
                <c:pt idx="2711">
                  <c:v>44720</c:v>
                </c:pt>
                <c:pt idx="2712">
                  <c:v>44721</c:v>
                </c:pt>
                <c:pt idx="2713">
                  <c:v>44722</c:v>
                </c:pt>
                <c:pt idx="2714">
                  <c:v>44723</c:v>
                </c:pt>
                <c:pt idx="2715">
                  <c:v>44724</c:v>
                </c:pt>
                <c:pt idx="2716">
                  <c:v>44725</c:v>
                </c:pt>
                <c:pt idx="2717">
                  <c:v>44726</c:v>
                </c:pt>
                <c:pt idx="2718">
                  <c:v>44727</c:v>
                </c:pt>
                <c:pt idx="2719">
                  <c:v>44728</c:v>
                </c:pt>
                <c:pt idx="2720">
                  <c:v>44729</c:v>
                </c:pt>
                <c:pt idx="2721">
                  <c:v>44730</c:v>
                </c:pt>
                <c:pt idx="2722">
                  <c:v>44731</c:v>
                </c:pt>
                <c:pt idx="2723">
                  <c:v>44732</c:v>
                </c:pt>
                <c:pt idx="2724">
                  <c:v>44733</c:v>
                </c:pt>
                <c:pt idx="2725">
                  <c:v>44734</c:v>
                </c:pt>
                <c:pt idx="2726">
                  <c:v>44735</c:v>
                </c:pt>
                <c:pt idx="2727">
                  <c:v>44736</c:v>
                </c:pt>
                <c:pt idx="2728">
                  <c:v>44737</c:v>
                </c:pt>
                <c:pt idx="2729">
                  <c:v>44738</c:v>
                </c:pt>
                <c:pt idx="2730">
                  <c:v>44739</c:v>
                </c:pt>
                <c:pt idx="2731">
                  <c:v>44740</c:v>
                </c:pt>
                <c:pt idx="2732">
                  <c:v>44741</c:v>
                </c:pt>
                <c:pt idx="2733">
                  <c:v>44742</c:v>
                </c:pt>
                <c:pt idx="2734">
                  <c:v>44743</c:v>
                </c:pt>
                <c:pt idx="2735">
                  <c:v>44744</c:v>
                </c:pt>
                <c:pt idx="2736">
                  <c:v>44745</c:v>
                </c:pt>
                <c:pt idx="2737">
                  <c:v>44746</c:v>
                </c:pt>
                <c:pt idx="2738">
                  <c:v>44747</c:v>
                </c:pt>
                <c:pt idx="2739">
                  <c:v>44748</c:v>
                </c:pt>
                <c:pt idx="2740">
                  <c:v>44749</c:v>
                </c:pt>
                <c:pt idx="2741">
                  <c:v>44750</c:v>
                </c:pt>
                <c:pt idx="2742">
                  <c:v>44751</c:v>
                </c:pt>
                <c:pt idx="2743">
                  <c:v>44752</c:v>
                </c:pt>
                <c:pt idx="2744">
                  <c:v>44753</c:v>
                </c:pt>
                <c:pt idx="2745">
                  <c:v>44754</c:v>
                </c:pt>
                <c:pt idx="2746">
                  <c:v>44755</c:v>
                </c:pt>
                <c:pt idx="2747">
                  <c:v>44756</c:v>
                </c:pt>
                <c:pt idx="2748">
                  <c:v>44757</c:v>
                </c:pt>
                <c:pt idx="2749">
                  <c:v>44758</c:v>
                </c:pt>
                <c:pt idx="2750">
                  <c:v>44759</c:v>
                </c:pt>
                <c:pt idx="2751">
                  <c:v>44760</c:v>
                </c:pt>
                <c:pt idx="2752">
                  <c:v>44761</c:v>
                </c:pt>
                <c:pt idx="2753">
                  <c:v>44762</c:v>
                </c:pt>
                <c:pt idx="2754">
                  <c:v>44763</c:v>
                </c:pt>
                <c:pt idx="2755">
                  <c:v>44764</c:v>
                </c:pt>
                <c:pt idx="2756">
                  <c:v>44765</c:v>
                </c:pt>
                <c:pt idx="2757">
                  <c:v>44766</c:v>
                </c:pt>
                <c:pt idx="2758">
                  <c:v>44767</c:v>
                </c:pt>
                <c:pt idx="2759">
                  <c:v>44768</c:v>
                </c:pt>
                <c:pt idx="2760">
                  <c:v>44769</c:v>
                </c:pt>
                <c:pt idx="2761">
                  <c:v>44770</c:v>
                </c:pt>
                <c:pt idx="2762">
                  <c:v>44771</c:v>
                </c:pt>
                <c:pt idx="2763">
                  <c:v>44772</c:v>
                </c:pt>
                <c:pt idx="2764">
                  <c:v>44773</c:v>
                </c:pt>
                <c:pt idx="2765">
                  <c:v>44774</c:v>
                </c:pt>
                <c:pt idx="2766">
                  <c:v>44775</c:v>
                </c:pt>
                <c:pt idx="2767">
                  <c:v>44776</c:v>
                </c:pt>
                <c:pt idx="2768">
                  <c:v>44777</c:v>
                </c:pt>
                <c:pt idx="2769">
                  <c:v>44778</c:v>
                </c:pt>
                <c:pt idx="2770">
                  <c:v>44779</c:v>
                </c:pt>
                <c:pt idx="2771">
                  <c:v>44780</c:v>
                </c:pt>
                <c:pt idx="2772">
                  <c:v>44781</c:v>
                </c:pt>
                <c:pt idx="2773">
                  <c:v>44782</c:v>
                </c:pt>
                <c:pt idx="2774">
                  <c:v>44783</c:v>
                </c:pt>
                <c:pt idx="2775">
                  <c:v>44784</c:v>
                </c:pt>
                <c:pt idx="2776">
                  <c:v>44785</c:v>
                </c:pt>
                <c:pt idx="2777">
                  <c:v>44786</c:v>
                </c:pt>
                <c:pt idx="2778">
                  <c:v>44787</c:v>
                </c:pt>
                <c:pt idx="2779">
                  <c:v>44788</c:v>
                </c:pt>
                <c:pt idx="2780">
                  <c:v>44789</c:v>
                </c:pt>
                <c:pt idx="2781">
                  <c:v>44790</c:v>
                </c:pt>
                <c:pt idx="2782">
                  <c:v>44791</c:v>
                </c:pt>
                <c:pt idx="2783">
                  <c:v>44792</c:v>
                </c:pt>
                <c:pt idx="2784">
                  <c:v>44793</c:v>
                </c:pt>
                <c:pt idx="2785">
                  <c:v>44794</c:v>
                </c:pt>
                <c:pt idx="2786">
                  <c:v>44795</c:v>
                </c:pt>
                <c:pt idx="2787">
                  <c:v>44796</c:v>
                </c:pt>
                <c:pt idx="2788">
                  <c:v>44797</c:v>
                </c:pt>
                <c:pt idx="2789">
                  <c:v>44798</c:v>
                </c:pt>
                <c:pt idx="2790">
                  <c:v>44799</c:v>
                </c:pt>
                <c:pt idx="2791">
                  <c:v>44800</c:v>
                </c:pt>
                <c:pt idx="2792">
                  <c:v>44801</c:v>
                </c:pt>
                <c:pt idx="2793">
                  <c:v>44802</c:v>
                </c:pt>
                <c:pt idx="2794">
                  <c:v>44803</c:v>
                </c:pt>
                <c:pt idx="2795">
                  <c:v>44804</c:v>
                </c:pt>
                <c:pt idx="2796">
                  <c:v>44805</c:v>
                </c:pt>
                <c:pt idx="2797">
                  <c:v>44806</c:v>
                </c:pt>
                <c:pt idx="2798">
                  <c:v>44807</c:v>
                </c:pt>
                <c:pt idx="2799">
                  <c:v>44808</c:v>
                </c:pt>
                <c:pt idx="2800">
                  <c:v>44809</c:v>
                </c:pt>
                <c:pt idx="2801">
                  <c:v>44810</c:v>
                </c:pt>
                <c:pt idx="2802">
                  <c:v>44811</c:v>
                </c:pt>
                <c:pt idx="2803">
                  <c:v>44812</c:v>
                </c:pt>
                <c:pt idx="2804">
                  <c:v>44813</c:v>
                </c:pt>
                <c:pt idx="2805">
                  <c:v>44814</c:v>
                </c:pt>
                <c:pt idx="2806">
                  <c:v>44815</c:v>
                </c:pt>
                <c:pt idx="2807">
                  <c:v>44816</c:v>
                </c:pt>
                <c:pt idx="2808">
                  <c:v>44817</c:v>
                </c:pt>
                <c:pt idx="2809">
                  <c:v>44818</c:v>
                </c:pt>
                <c:pt idx="2810">
                  <c:v>44819</c:v>
                </c:pt>
                <c:pt idx="2811">
                  <c:v>44820</c:v>
                </c:pt>
                <c:pt idx="2812">
                  <c:v>44821</c:v>
                </c:pt>
                <c:pt idx="2813">
                  <c:v>44822</c:v>
                </c:pt>
                <c:pt idx="2814">
                  <c:v>44823</c:v>
                </c:pt>
                <c:pt idx="2815">
                  <c:v>44824</c:v>
                </c:pt>
                <c:pt idx="2816">
                  <c:v>44825</c:v>
                </c:pt>
                <c:pt idx="2817">
                  <c:v>44826</c:v>
                </c:pt>
                <c:pt idx="2818">
                  <c:v>44827</c:v>
                </c:pt>
                <c:pt idx="2819">
                  <c:v>44828</c:v>
                </c:pt>
                <c:pt idx="2820">
                  <c:v>44829</c:v>
                </c:pt>
                <c:pt idx="2821">
                  <c:v>44830</c:v>
                </c:pt>
                <c:pt idx="2822">
                  <c:v>44831</c:v>
                </c:pt>
                <c:pt idx="2823">
                  <c:v>44832</c:v>
                </c:pt>
                <c:pt idx="2824">
                  <c:v>44833</c:v>
                </c:pt>
                <c:pt idx="2825">
                  <c:v>44834</c:v>
                </c:pt>
                <c:pt idx="2826">
                  <c:v>44835</c:v>
                </c:pt>
                <c:pt idx="2827">
                  <c:v>44836</c:v>
                </c:pt>
                <c:pt idx="2828">
                  <c:v>44837</c:v>
                </c:pt>
                <c:pt idx="2829">
                  <c:v>44838</c:v>
                </c:pt>
                <c:pt idx="2830">
                  <c:v>44839</c:v>
                </c:pt>
                <c:pt idx="2831">
                  <c:v>44840</c:v>
                </c:pt>
                <c:pt idx="2832">
                  <c:v>44841</c:v>
                </c:pt>
                <c:pt idx="2833">
                  <c:v>44842</c:v>
                </c:pt>
                <c:pt idx="2834">
                  <c:v>44843</c:v>
                </c:pt>
                <c:pt idx="2835">
                  <c:v>44844</c:v>
                </c:pt>
                <c:pt idx="2836">
                  <c:v>44845</c:v>
                </c:pt>
                <c:pt idx="2837">
                  <c:v>44846</c:v>
                </c:pt>
                <c:pt idx="2838">
                  <c:v>44847</c:v>
                </c:pt>
                <c:pt idx="2839">
                  <c:v>44848</c:v>
                </c:pt>
                <c:pt idx="2840">
                  <c:v>44849</c:v>
                </c:pt>
                <c:pt idx="2841">
                  <c:v>44850</c:v>
                </c:pt>
                <c:pt idx="2842">
                  <c:v>44851</c:v>
                </c:pt>
                <c:pt idx="2843">
                  <c:v>44852</c:v>
                </c:pt>
                <c:pt idx="2844">
                  <c:v>44853</c:v>
                </c:pt>
                <c:pt idx="2845">
                  <c:v>44854</c:v>
                </c:pt>
                <c:pt idx="2846">
                  <c:v>44855</c:v>
                </c:pt>
                <c:pt idx="2847">
                  <c:v>44856</c:v>
                </c:pt>
                <c:pt idx="2848">
                  <c:v>44857</c:v>
                </c:pt>
                <c:pt idx="2849">
                  <c:v>44858</c:v>
                </c:pt>
                <c:pt idx="2850">
                  <c:v>44859</c:v>
                </c:pt>
                <c:pt idx="2851">
                  <c:v>44860</c:v>
                </c:pt>
                <c:pt idx="2852">
                  <c:v>44861</c:v>
                </c:pt>
                <c:pt idx="2853">
                  <c:v>44862</c:v>
                </c:pt>
                <c:pt idx="2854">
                  <c:v>44863</c:v>
                </c:pt>
                <c:pt idx="2855">
                  <c:v>44864</c:v>
                </c:pt>
                <c:pt idx="2856">
                  <c:v>44865</c:v>
                </c:pt>
                <c:pt idx="2857">
                  <c:v>44866</c:v>
                </c:pt>
                <c:pt idx="2858">
                  <c:v>44867</c:v>
                </c:pt>
                <c:pt idx="2859">
                  <c:v>44868</c:v>
                </c:pt>
                <c:pt idx="2860">
                  <c:v>44869</c:v>
                </c:pt>
                <c:pt idx="2861">
                  <c:v>44870</c:v>
                </c:pt>
                <c:pt idx="2862">
                  <c:v>44871</c:v>
                </c:pt>
                <c:pt idx="2863">
                  <c:v>44872</c:v>
                </c:pt>
                <c:pt idx="2864">
                  <c:v>44873</c:v>
                </c:pt>
                <c:pt idx="2865">
                  <c:v>44874</c:v>
                </c:pt>
                <c:pt idx="2866">
                  <c:v>44875</c:v>
                </c:pt>
                <c:pt idx="2867">
                  <c:v>44876</c:v>
                </c:pt>
                <c:pt idx="2868">
                  <c:v>44877</c:v>
                </c:pt>
                <c:pt idx="2869">
                  <c:v>44878</c:v>
                </c:pt>
                <c:pt idx="2870">
                  <c:v>44879</c:v>
                </c:pt>
                <c:pt idx="2871">
                  <c:v>44880</c:v>
                </c:pt>
                <c:pt idx="2872">
                  <c:v>44881</c:v>
                </c:pt>
                <c:pt idx="2873">
                  <c:v>44882</c:v>
                </c:pt>
                <c:pt idx="2874">
                  <c:v>44883</c:v>
                </c:pt>
                <c:pt idx="2875">
                  <c:v>44884</c:v>
                </c:pt>
                <c:pt idx="2876">
                  <c:v>44885</c:v>
                </c:pt>
                <c:pt idx="2877">
                  <c:v>44886</c:v>
                </c:pt>
                <c:pt idx="2878">
                  <c:v>44887</c:v>
                </c:pt>
                <c:pt idx="2879">
                  <c:v>44888</c:v>
                </c:pt>
                <c:pt idx="2880">
                  <c:v>44889</c:v>
                </c:pt>
                <c:pt idx="2881">
                  <c:v>44890</c:v>
                </c:pt>
                <c:pt idx="2882">
                  <c:v>44891</c:v>
                </c:pt>
                <c:pt idx="2883">
                  <c:v>44892</c:v>
                </c:pt>
                <c:pt idx="2884">
                  <c:v>44893</c:v>
                </c:pt>
                <c:pt idx="2885">
                  <c:v>44894</c:v>
                </c:pt>
                <c:pt idx="2886">
                  <c:v>44895</c:v>
                </c:pt>
                <c:pt idx="2887">
                  <c:v>44896</c:v>
                </c:pt>
                <c:pt idx="2888">
                  <c:v>44897</c:v>
                </c:pt>
                <c:pt idx="2889">
                  <c:v>44898</c:v>
                </c:pt>
                <c:pt idx="2890">
                  <c:v>44899</c:v>
                </c:pt>
                <c:pt idx="2891">
                  <c:v>44900</c:v>
                </c:pt>
                <c:pt idx="2892">
                  <c:v>44901</c:v>
                </c:pt>
                <c:pt idx="2893">
                  <c:v>44902</c:v>
                </c:pt>
                <c:pt idx="2894">
                  <c:v>44903</c:v>
                </c:pt>
                <c:pt idx="2895">
                  <c:v>44904</c:v>
                </c:pt>
                <c:pt idx="2896">
                  <c:v>44905</c:v>
                </c:pt>
                <c:pt idx="2897">
                  <c:v>44906</c:v>
                </c:pt>
                <c:pt idx="2898">
                  <c:v>44907</c:v>
                </c:pt>
                <c:pt idx="2899">
                  <c:v>44908</c:v>
                </c:pt>
                <c:pt idx="2900">
                  <c:v>44909</c:v>
                </c:pt>
                <c:pt idx="2901">
                  <c:v>44910</c:v>
                </c:pt>
                <c:pt idx="2902">
                  <c:v>44911</c:v>
                </c:pt>
                <c:pt idx="2903">
                  <c:v>44912</c:v>
                </c:pt>
                <c:pt idx="2904">
                  <c:v>44913</c:v>
                </c:pt>
                <c:pt idx="2905">
                  <c:v>44914</c:v>
                </c:pt>
                <c:pt idx="2906">
                  <c:v>44915</c:v>
                </c:pt>
                <c:pt idx="2907">
                  <c:v>44916</c:v>
                </c:pt>
                <c:pt idx="2908">
                  <c:v>44917</c:v>
                </c:pt>
                <c:pt idx="2909">
                  <c:v>44918</c:v>
                </c:pt>
                <c:pt idx="2910">
                  <c:v>44919</c:v>
                </c:pt>
                <c:pt idx="2911">
                  <c:v>44920</c:v>
                </c:pt>
                <c:pt idx="2912">
                  <c:v>44921</c:v>
                </c:pt>
                <c:pt idx="2913">
                  <c:v>44922</c:v>
                </c:pt>
                <c:pt idx="2914">
                  <c:v>44923</c:v>
                </c:pt>
                <c:pt idx="2915">
                  <c:v>44924</c:v>
                </c:pt>
                <c:pt idx="2916">
                  <c:v>44925</c:v>
                </c:pt>
                <c:pt idx="2917">
                  <c:v>44926</c:v>
                </c:pt>
                <c:pt idx="2918">
                  <c:v>44927</c:v>
                </c:pt>
                <c:pt idx="2919">
                  <c:v>44928</c:v>
                </c:pt>
                <c:pt idx="2920">
                  <c:v>44929</c:v>
                </c:pt>
                <c:pt idx="2921">
                  <c:v>44930</c:v>
                </c:pt>
                <c:pt idx="2922">
                  <c:v>44931</c:v>
                </c:pt>
                <c:pt idx="2923">
                  <c:v>44932</c:v>
                </c:pt>
                <c:pt idx="2924">
                  <c:v>44933</c:v>
                </c:pt>
                <c:pt idx="2925">
                  <c:v>44934</c:v>
                </c:pt>
                <c:pt idx="2926">
                  <c:v>44935</c:v>
                </c:pt>
                <c:pt idx="2927">
                  <c:v>44936</c:v>
                </c:pt>
                <c:pt idx="2928">
                  <c:v>44937</c:v>
                </c:pt>
                <c:pt idx="2929">
                  <c:v>44938</c:v>
                </c:pt>
                <c:pt idx="2930">
                  <c:v>44939</c:v>
                </c:pt>
                <c:pt idx="2931">
                  <c:v>44940</c:v>
                </c:pt>
                <c:pt idx="2932">
                  <c:v>44941</c:v>
                </c:pt>
                <c:pt idx="2933">
                  <c:v>44942</c:v>
                </c:pt>
                <c:pt idx="2934">
                  <c:v>44943</c:v>
                </c:pt>
                <c:pt idx="2935">
                  <c:v>44944</c:v>
                </c:pt>
                <c:pt idx="2936">
                  <c:v>44945</c:v>
                </c:pt>
                <c:pt idx="2937">
                  <c:v>44946</c:v>
                </c:pt>
                <c:pt idx="2938">
                  <c:v>44947</c:v>
                </c:pt>
                <c:pt idx="2939">
                  <c:v>44948</c:v>
                </c:pt>
                <c:pt idx="2940">
                  <c:v>44949</c:v>
                </c:pt>
                <c:pt idx="2941">
                  <c:v>44950</c:v>
                </c:pt>
                <c:pt idx="2942">
                  <c:v>44951</c:v>
                </c:pt>
                <c:pt idx="2943">
                  <c:v>44952</c:v>
                </c:pt>
                <c:pt idx="2944">
                  <c:v>44953</c:v>
                </c:pt>
                <c:pt idx="2945">
                  <c:v>44954</c:v>
                </c:pt>
                <c:pt idx="2946">
                  <c:v>44955</c:v>
                </c:pt>
                <c:pt idx="2947">
                  <c:v>44956</c:v>
                </c:pt>
                <c:pt idx="2948">
                  <c:v>44957</c:v>
                </c:pt>
                <c:pt idx="2949">
                  <c:v>44958</c:v>
                </c:pt>
                <c:pt idx="2950">
                  <c:v>44959</c:v>
                </c:pt>
                <c:pt idx="2951">
                  <c:v>44960</c:v>
                </c:pt>
                <c:pt idx="2952">
                  <c:v>44961</c:v>
                </c:pt>
                <c:pt idx="2953">
                  <c:v>44962</c:v>
                </c:pt>
                <c:pt idx="2954">
                  <c:v>44963</c:v>
                </c:pt>
                <c:pt idx="2955">
                  <c:v>44964</c:v>
                </c:pt>
                <c:pt idx="2956">
                  <c:v>44965</c:v>
                </c:pt>
                <c:pt idx="2957">
                  <c:v>44966</c:v>
                </c:pt>
                <c:pt idx="2958">
                  <c:v>44967</c:v>
                </c:pt>
                <c:pt idx="2959">
                  <c:v>44968</c:v>
                </c:pt>
                <c:pt idx="2960">
                  <c:v>44969</c:v>
                </c:pt>
                <c:pt idx="2961">
                  <c:v>44970</c:v>
                </c:pt>
                <c:pt idx="2962">
                  <c:v>44971</c:v>
                </c:pt>
                <c:pt idx="2963">
                  <c:v>44972</c:v>
                </c:pt>
                <c:pt idx="2964">
                  <c:v>44973</c:v>
                </c:pt>
                <c:pt idx="2965">
                  <c:v>44974</c:v>
                </c:pt>
                <c:pt idx="2966">
                  <c:v>44975</c:v>
                </c:pt>
                <c:pt idx="2967">
                  <c:v>44976</c:v>
                </c:pt>
                <c:pt idx="2968">
                  <c:v>44977</c:v>
                </c:pt>
                <c:pt idx="2969">
                  <c:v>44978</c:v>
                </c:pt>
                <c:pt idx="2970">
                  <c:v>44979</c:v>
                </c:pt>
                <c:pt idx="2971">
                  <c:v>44980</c:v>
                </c:pt>
                <c:pt idx="2972">
                  <c:v>44981</c:v>
                </c:pt>
                <c:pt idx="2973">
                  <c:v>44982</c:v>
                </c:pt>
                <c:pt idx="2974">
                  <c:v>44983</c:v>
                </c:pt>
                <c:pt idx="2975">
                  <c:v>44984</c:v>
                </c:pt>
                <c:pt idx="2976">
                  <c:v>44985</c:v>
                </c:pt>
                <c:pt idx="2977">
                  <c:v>44986</c:v>
                </c:pt>
                <c:pt idx="2978">
                  <c:v>44987</c:v>
                </c:pt>
                <c:pt idx="2979">
                  <c:v>44988</c:v>
                </c:pt>
                <c:pt idx="2980">
                  <c:v>44989</c:v>
                </c:pt>
                <c:pt idx="2981">
                  <c:v>44990</c:v>
                </c:pt>
                <c:pt idx="2982">
                  <c:v>44991</c:v>
                </c:pt>
                <c:pt idx="2983">
                  <c:v>44992</c:v>
                </c:pt>
                <c:pt idx="2984">
                  <c:v>44993</c:v>
                </c:pt>
                <c:pt idx="2985">
                  <c:v>44994</c:v>
                </c:pt>
                <c:pt idx="2986">
                  <c:v>44995</c:v>
                </c:pt>
                <c:pt idx="2987">
                  <c:v>44996</c:v>
                </c:pt>
                <c:pt idx="2988">
                  <c:v>44997</c:v>
                </c:pt>
                <c:pt idx="2989">
                  <c:v>44998</c:v>
                </c:pt>
                <c:pt idx="2990">
                  <c:v>44999</c:v>
                </c:pt>
                <c:pt idx="2991">
                  <c:v>45000</c:v>
                </c:pt>
                <c:pt idx="2992">
                  <c:v>45001</c:v>
                </c:pt>
                <c:pt idx="2993">
                  <c:v>45002</c:v>
                </c:pt>
                <c:pt idx="2994">
                  <c:v>45003</c:v>
                </c:pt>
                <c:pt idx="2995">
                  <c:v>45004</c:v>
                </c:pt>
                <c:pt idx="2996">
                  <c:v>45005</c:v>
                </c:pt>
                <c:pt idx="2997">
                  <c:v>45006</c:v>
                </c:pt>
                <c:pt idx="2998">
                  <c:v>45007</c:v>
                </c:pt>
                <c:pt idx="2999">
                  <c:v>45008</c:v>
                </c:pt>
                <c:pt idx="3000">
                  <c:v>45009</c:v>
                </c:pt>
                <c:pt idx="3001">
                  <c:v>45010</c:v>
                </c:pt>
                <c:pt idx="3002">
                  <c:v>45011</c:v>
                </c:pt>
                <c:pt idx="3003">
                  <c:v>45012</c:v>
                </c:pt>
                <c:pt idx="3004">
                  <c:v>45013</c:v>
                </c:pt>
                <c:pt idx="3005">
                  <c:v>45014</c:v>
                </c:pt>
                <c:pt idx="3006">
                  <c:v>45015</c:v>
                </c:pt>
                <c:pt idx="3007">
                  <c:v>45016</c:v>
                </c:pt>
                <c:pt idx="3008">
                  <c:v>45017</c:v>
                </c:pt>
                <c:pt idx="3009">
                  <c:v>45018</c:v>
                </c:pt>
                <c:pt idx="3010">
                  <c:v>45019</c:v>
                </c:pt>
                <c:pt idx="3011">
                  <c:v>45020</c:v>
                </c:pt>
                <c:pt idx="3012">
                  <c:v>45021</c:v>
                </c:pt>
                <c:pt idx="3013">
                  <c:v>45022</c:v>
                </c:pt>
                <c:pt idx="3014">
                  <c:v>45023</c:v>
                </c:pt>
                <c:pt idx="3015">
                  <c:v>45024</c:v>
                </c:pt>
                <c:pt idx="3016">
                  <c:v>45025</c:v>
                </c:pt>
                <c:pt idx="3017">
                  <c:v>45026</c:v>
                </c:pt>
                <c:pt idx="3018">
                  <c:v>45027</c:v>
                </c:pt>
                <c:pt idx="3019">
                  <c:v>45028</c:v>
                </c:pt>
                <c:pt idx="3020">
                  <c:v>45029</c:v>
                </c:pt>
                <c:pt idx="3021">
                  <c:v>45030</c:v>
                </c:pt>
                <c:pt idx="3022">
                  <c:v>45031</c:v>
                </c:pt>
                <c:pt idx="3023">
                  <c:v>45032</c:v>
                </c:pt>
                <c:pt idx="3024">
                  <c:v>45033</c:v>
                </c:pt>
                <c:pt idx="3025">
                  <c:v>45034</c:v>
                </c:pt>
                <c:pt idx="3026">
                  <c:v>45035</c:v>
                </c:pt>
                <c:pt idx="3027">
                  <c:v>45036</c:v>
                </c:pt>
                <c:pt idx="3028">
                  <c:v>45037</c:v>
                </c:pt>
                <c:pt idx="3029">
                  <c:v>45038</c:v>
                </c:pt>
                <c:pt idx="3030">
                  <c:v>45039</c:v>
                </c:pt>
                <c:pt idx="3031">
                  <c:v>45040</c:v>
                </c:pt>
                <c:pt idx="3032">
                  <c:v>45041</c:v>
                </c:pt>
                <c:pt idx="3033">
                  <c:v>45042</c:v>
                </c:pt>
                <c:pt idx="3034">
                  <c:v>45043</c:v>
                </c:pt>
                <c:pt idx="3035">
                  <c:v>45044</c:v>
                </c:pt>
                <c:pt idx="3036">
                  <c:v>45045</c:v>
                </c:pt>
                <c:pt idx="3037">
                  <c:v>45046</c:v>
                </c:pt>
                <c:pt idx="3038">
                  <c:v>45047</c:v>
                </c:pt>
                <c:pt idx="3039">
                  <c:v>45048</c:v>
                </c:pt>
                <c:pt idx="3040">
                  <c:v>45049</c:v>
                </c:pt>
                <c:pt idx="3041">
                  <c:v>45050</c:v>
                </c:pt>
                <c:pt idx="3042">
                  <c:v>45051</c:v>
                </c:pt>
                <c:pt idx="3043">
                  <c:v>45052</c:v>
                </c:pt>
                <c:pt idx="3044">
                  <c:v>45053</c:v>
                </c:pt>
                <c:pt idx="3045">
                  <c:v>45054</c:v>
                </c:pt>
                <c:pt idx="3046">
                  <c:v>45055</c:v>
                </c:pt>
                <c:pt idx="3047">
                  <c:v>45056</c:v>
                </c:pt>
                <c:pt idx="3048">
                  <c:v>45057</c:v>
                </c:pt>
                <c:pt idx="3049">
                  <c:v>45058</c:v>
                </c:pt>
                <c:pt idx="3050">
                  <c:v>45059</c:v>
                </c:pt>
                <c:pt idx="3051">
                  <c:v>45060</c:v>
                </c:pt>
                <c:pt idx="3052">
                  <c:v>45061</c:v>
                </c:pt>
                <c:pt idx="3053">
                  <c:v>45062</c:v>
                </c:pt>
                <c:pt idx="3054">
                  <c:v>45063</c:v>
                </c:pt>
                <c:pt idx="3055">
                  <c:v>45064</c:v>
                </c:pt>
                <c:pt idx="3056">
                  <c:v>45065</c:v>
                </c:pt>
                <c:pt idx="3057">
                  <c:v>45066</c:v>
                </c:pt>
                <c:pt idx="3058">
                  <c:v>45067</c:v>
                </c:pt>
                <c:pt idx="3059">
                  <c:v>45068</c:v>
                </c:pt>
                <c:pt idx="3060">
                  <c:v>45069</c:v>
                </c:pt>
                <c:pt idx="3061">
                  <c:v>45070</c:v>
                </c:pt>
                <c:pt idx="3062">
                  <c:v>45071</c:v>
                </c:pt>
                <c:pt idx="3063">
                  <c:v>45072</c:v>
                </c:pt>
                <c:pt idx="3064">
                  <c:v>45073</c:v>
                </c:pt>
                <c:pt idx="3065">
                  <c:v>45074</c:v>
                </c:pt>
                <c:pt idx="3066">
                  <c:v>45075</c:v>
                </c:pt>
                <c:pt idx="3067">
                  <c:v>45076</c:v>
                </c:pt>
                <c:pt idx="3068">
                  <c:v>45077</c:v>
                </c:pt>
                <c:pt idx="3069">
                  <c:v>45078</c:v>
                </c:pt>
                <c:pt idx="3070">
                  <c:v>45079</c:v>
                </c:pt>
                <c:pt idx="3071">
                  <c:v>45080</c:v>
                </c:pt>
                <c:pt idx="3072">
                  <c:v>45081</c:v>
                </c:pt>
                <c:pt idx="3073">
                  <c:v>45082</c:v>
                </c:pt>
                <c:pt idx="3074">
                  <c:v>45083</c:v>
                </c:pt>
                <c:pt idx="3075">
                  <c:v>45084</c:v>
                </c:pt>
                <c:pt idx="3076">
                  <c:v>45085</c:v>
                </c:pt>
                <c:pt idx="3077">
                  <c:v>45086</c:v>
                </c:pt>
                <c:pt idx="3078">
                  <c:v>45087</c:v>
                </c:pt>
                <c:pt idx="3079">
                  <c:v>45088</c:v>
                </c:pt>
                <c:pt idx="3080">
                  <c:v>45089</c:v>
                </c:pt>
                <c:pt idx="3081">
                  <c:v>45090</c:v>
                </c:pt>
                <c:pt idx="3082">
                  <c:v>45091</c:v>
                </c:pt>
                <c:pt idx="3083">
                  <c:v>45092</c:v>
                </c:pt>
                <c:pt idx="3084">
                  <c:v>45093</c:v>
                </c:pt>
                <c:pt idx="3085">
                  <c:v>45094</c:v>
                </c:pt>
                <c:pt idx="3086">
                  <c:v>45095</c:v>
                </c:pt>
                <c:pt idx="3087">
                  <c:v>45096</c:v>
                </c:pt>
                <c:pt idx="3088">
                  <c:v>45097</c:v>
                </c:pt>
                <c:pt idx="3089">
                  <c:v>45098</c:v>
                </c:pt>
                <c:pt idx="3090">
                  <c:v>45099</c:v>
                </c:pt>
                <c:pt idx="3091">
                  <c:v>45100</c:v>
                </c:pt>
                <c:pt idx="3092">
                  <c:v>45101</c:v>
                </c:pt>
                <c:pt idx="3093">
                  <c:v>45102</c:v>
                </c:pt>
                <c:pt idx="3094">
                  <c:v>45103</c:v>
                </c:pt>
                <c:pt idx="3095">
                  <c:v>45104</c:v>
                </c:pt>
                <c:pt idx="3096">
                  <c:v>45105</c:v>
                </c:pt>
                <c:pt idx="3097">
                  <c:v>45106</c:v>
                </c:pt>
                <c:pt idx="3098">
                  <c:v>45107</c:v>
                </c:pt>
                <c:pt idx="3099">
                  <c:v>45108</c:v>
                </c:pt>
                <c:pt idx="3100">
                  <c:v>45109</c:v>
                </c:pt>
                <c:pt idx="3101">
                  <c:v>45110</c:v>
                </c:pt>
                <c:pt idx="3102">
                  <c:v>45111</c:v>
                </c:pt>
                <c:pt idx="3103">
                  <c:v>45112</c:v>
                </c:pt>
                <c:pt idx="3104">
                  <c:v>45113</c:v>
                </c:pt>
                <c:pt idx="3105">
                  <c:v>45114</c:v>
                </c:pt>
                <c:pt idx="3106">
                  <c:v>45115</c:v>
                </c:pt>
                <c:pt idx="3107">
                  <c:v>45116</c:v>
                </c:pt>
                <c:pt idx="3108">
                  <c:v>45117</c:v>
                </c:pt>
                <c:pt idx="3109">
                  <c:v>45118</c:v>
                </c:pt>
                <c:pt idx="3110">
                  <c:v>45119</c:v>
                </c:pt>
                <c:pt idx="3111">
                  <c:v>45120</c:v>
                </c:pt>
                <c:pt idx="3112">
                  <c:v>45121</c:v>
                </c:pt>
                <c:pt idx="3113">
                  <c:v>45122</c:v>
                </c:pt>
                <c:pt idx="3114">
                  <c:v>45123</c:v>
                </c:pt>
                <c:pt idx="3115">
                  <c:v>45124</c:v>
                </c:pt>
                <c:pt idx="3116">
                  <c:v>45125</c:v>
                </c:pt>
                <c:pt idx="3117">
                  <c:v>45126</c:v>
                </c:pt>
                <c:pt idx="3118">
                  <c:v>45127</c:v>
                </c:pt>
                <c:pt idx="3119">
                  <c:v>45128</c:v>
                </c:pt>
                <c:pt idx="3120">
                  <c:v>45129</c:v>
                </c:pt>
                <c:pt idx="3121">
                  <c:v>45130</c:v>
                </c:pt>
                <c:pt idx="3122">
                  <c:v>45131</c:v>
                </c:pt>
                <c:pt idx="3123">
                  <c:v>45132</c:v>
                </c:pt>
                <c:pt idx="3124">
                  <c:v>45133</c:v>
                </c:pt>
                <c:pt idx="3125">
                  <c:v>45134</c:v>
                </c:pt>
                <c:pt idx="3126">
                  <c:v>45135</c:v>
                </c:pt>
                <c:pt idx="3127">
                  <c:v>45136</c:v>
                </c:pt>
                <c:pt idx="3128">
                  <c:v>45137</c:v>
                </c:pt>
                <c:pt idx="3129">
                  <c:v>45138</c:v>
                </c:pt>
                <c:pt idx="3130">
                  <c:v>45139</c:v>
                </c:pt>
                <c:pt idx="3131">
                  <c:v>45140</c:v>
                </c:pt>
                <c:pt idx="3132">
                  <c:v>45141</c:v>
                </c:pt>
                <c:pt idx="3133">
                  <c:v>45142</c:v>
                </c:pt>
                <c:pt idx="3134">
                  <c:v>45143</c:v>
                </c:pt>
                <c:pt idx="3135">
                  <c:v>45144</c:v>
                </c:pt>
                <c:pt idx="3136">
                  <c:v>45145</c:v>
                </c:pt>
                <c:pt idx="3137">
                  <c:v>45146</c:v>
                </c:pt>
                <c:pt idx="3138">
                  <c:v>45147</c:v>
                </c:pt>
                <c:pt idx="3139">
                  <c:v>45148</c:v>
                </c:pt>
                <c:pt idx="3140">
                  <c:v>45149</c:v>
                </c:pt>
                <c:pt idx="3141">
                  <c:v>45150</c:v>
                </c:pt>
                <c:pt idx="3142">
                  <c:v>45151</c:v>
                </c:pt>
                <c:pt idx="3143">
                  <c:v>45152</c:v>
                </c:pt>
                <c:pt idx="3144">
                  <c:v>45153</c:v>
                </c:pt>
                <c:pt idx="3145">
                  <c:v>45154</c:v>
                </c:pt>
                <c:pt idx="3146">
                  <c:v>45155</c:v>
                </c:pt>
                <c:pt idx="3147">
                  <c:v>45156</c:v>
                </c:pt>
                <c:pt idx="3148">
                  <c:v>45157</c:v>
                </c:pt>
                <c:pt idx="3149">
                  <c:v>45158</c:v>
                </c:pt>
                <c:pt idx="3150">
                  <c:v>45159</c:v>
                </c:pt>
                <c:pt idx="3151">
                  <c:v>45160</c:v>
                </c:pt>
                <c:pt idx="3152">
                  <c:v>45161</c:v>
                </c:pt>
                <c:pt idx="3153">
                  <c:v>45162</c:v>
                </c:pt>
                <c:pt idx="3154">
                  <c:v>45163</c:v>
                </c:pt>
                <c:pt idx="3155">
                  <c:v>45164</c:v>
                </c:pt>
                <c:pt idx="3156">
                  <c:v>45165</c:v>
                </c:pt>
                <c:pt idx="3157">
                  <c:v>45166</c:v>
                </c:pt>
                <c:pt idx="3158">
                  <c:v>45167</c:v>
                </c:pt>
                <c:pt idx="3159">
                  <c:v>45168</c:v>
                </c:pt>
                <c:pt idx="3160">
                  <c:v>45169</c:v>
                </c:pt>
                <c:pt idx="3161">
                  <c:v>45170</c:v>
                </c:pt>
                <c:pt idx="3162">
                  <c:v>45171</c:v>
                </c:pt>
                <c:pt idx="3163">
                  <c:v>45172</c:v>
                </c:pt>
                <c:pt idx="3164">
                  <c:v>45173</c:v>
                </c:pt>
                <c:pt idx="3165">
                  <c:v>45174</c:v>
                </c:pt>
                <c:pt idx="3166">
                  <c:v>45175</c:v>
                </c:pt>
                <c:pt idx="3167">
                  <c:v>45176</c:v>
                </c:pt>
                <c:pt idx="3168">
                  <c:v>45177</c:v>
                </c:pt>
                <c:pt idx="3169">
                  <c:v>45178</c:v>
                </c:pt>
                <c:pt idx="3170">
                  <c:v>45179</c:v>
                </c:pt>
                <c:pt idx="3171">
                  <c:v>45180</c:v>
                </c:pt>
                <c:pt idx="3172">
                  <c:v>45181</c:v>
                </c:pt>
                <c:pt idx="3173">
                  <c:v>45182</c:v>
                </c:pt>
                <c:pt idx="3174">
                  <c:v>45183</c:v>
                </c:pt>
                <c:pt idx="3175">
                  <c:v>45184</c:v>
                </c:pt>
                <c:pt idx="3176">
                  <c:v>45185</c:v>
                </c:pt>
                <c:pt idx="3177">
                  <c:v>45186</c:v>
                </c:pt>
                <c:pt idx="3178">
                  <c:v>45187</c:v>
                </c:pt>
                <c:pt idx="3179">
                  <c:v>45188</c:v>
                </c:pt>
                <c:pt idx="3180">
                  <c:v>45189</c:v>
                </c:pt>
                <c:pt idx="3181">
                  <c:v>45190</c:v>
                </c:pt>
                <c:pt idx="3182">
                  <c:v>45191</c:v>
                </c:pt>
                <c:pt idx="3183">
                  <c:v>45192</c:v>
                </c:pt>
                <c:pt idx="3184">
                  <c:v>45193</c:v>
                </c:pt>
                <c:pt idx="3185">
                  <c:v>45194</c:v>
                </c:pt>
                <c:pt idx="3186">
                  <c:v>45195</c:v>
                </c:pt>
                <c:pt idx="3187">
                  <c:v>45196</c:v>
                </c:pt>
                <c:pt idx="3188">
                  <c:v>45197</c:v>
                </c:pt>
                <c:pt idx="3189">
                  <c:v>45198</c:v>
                </c:pt>
                <c:pt idx="3190">
                  <c:v>45199</c:v>
                </c:pt>
                <c:pt idx="3191">
                  <c:v>45200</c:v>
                </c:pt>
                <c:pt idx="3192">
                  <c:v>45201</c:v>
                </c:pt>
                <c:pt idx="3193">
                  <c:v>45202</c:v>
                </c:pt>
                <c:pt idx="3194">
                  <c:v>45203</c:v>
                </c:pt>
                <c:pt idx="3195">
                  <c:v>45204</c:v>
                </c:pt>
                <c:pt idx="3196">
                  <c:v>45205</c:v>
                </c:pt>
                <c:pt idx="3197">
                  <c:v>45206</c:v>
                </c:pt>
                <c:pt idx="3198">
                  <c:v>45207</c:v>
                </c:pt>
                <c:pt idx="3199">
                  <c:v>45208</c:v>
                </c:pt>
                <c:pt idx="3200">
                  <c:v>45209</c:v>
                </c:pt>
                <c:pt idx="3201">
                  <c:v>45210</c:v>
                </c:pt>
                <c:pt idx="3202">
                  <c:v>45211</c:v>
                </c:pt>
                <c:pt idx="3203">
                  <c:v>45212</c:v>
                </c:pt>
                <c:pt idx="3204">
                  <c:v>45213</c:v>
                </c:pt>
                <c:pt idx="3205">
                  <c:v>45214</c:v>
                </c:pt>
                <c:pt idx="3206">
                  <c:v>45215</c:v>
                </c:pt>
                <c:pt idx="3207">
                  <c:v>45216</c:v>
                </c:pt>
                <c:pt idx="3208">
                  <c:v>45217</c:v>
                </c:pt>
                <c:pt idx="3209">
                  <c:v>45218</c:v>
                </c:pt>
                <c:pt idx="3210">
                  <c:v>45219</c:v>
                </c:pt>
                <c:pt idx="3211">
                  <c:v>45220</c:v>
                </c:pt>
                <c:pt idx="3212">
                  <c:v>45221</c:v>
                </c:pt>
                <c:pt idx="3213">
                  <c:v>45222</c:v>
                </c:pt>
                <c:pt idx="3214">
                  <c:v>45223</c:v>
                </c:pt>
                <c:pt idx="3215">
                  <c:v>45224</c:v>
                </c:pt>
                <c:pt idx="3216">
                  <c:v>45225</c:v>
                </c:pt>
                <c:pt idx="3217">
                  <c:v>45226</c:v>
                </c:pt>
                <c:pt idx="3218">
                  <c:v>45227</c:v>
                </c:pt>
                <c:pt idx="3219">
                  <c:v>45228</c:v>
                </c:pt>
                <c:pt idx="3220">
                  <c:v>45229</c:v>
                </c:pt>
                <c:pt idx="3221">
                  <c:v>45230</c:v>
                </c:pt>
                <c:pt idx="3222">
                  <c:v>45231</c:v>
                </c:pt>
                <c:pt idx="3223">
                  <c:v>45232</c:v>
                </c:pt>
                <c:pt idx="3224">
                  <c:v>45233</c:v>
                </c:pt>
                <c:pt idx="3225">
                  <c:v>45234</c:v>
                </c:pt>
                <c:pt idx="3226">
                  <c:v>45235</c:v>
                </c:pt>
                <c:pt idx="3227">
                  <c:v>45236</c:v>
                </c:pt>
                <c:pt idx="3228">
                  <c:v>45237</c:v>
                </c:pt>
                <c:pt idx="3229">
                  <c:v>45238</c:v>
                </c:pt>
                <c:pt idx="3230">
                  <c:v>45239</c:v>
                </c:pt>
                <c:pt idx="3231">
                  <c:v>45240</c:v>
                </c:pt>
                <c:pt idx="3232">
                  <c:v>45241</c:v>
                </c:pt>
                <c:pt idx="3233">
                  <c:v>45242</c:v>
                </c:pt>
                <c:pt idx="3234">
                  <c:v>45243</c:v>
                </c:pt>
                <c:pt idx="3235">
                  <c:v>45244</c:v>
                </c:pt>
                <c:pt idx="3236">
                  <c:v>45245</c:v>
                </c:pt>
                <c:pt idx="3237">
                  <c:v>45246</c:v>
                </c:pt>
                <c:pt idx="3238">
                  <c:v>45247</c:v>
                </c:pt>
                <c:pt idx="3239">
                  <c:v>45248</c:v>
                </c:pt>
                <c:pt idx="3240">
                  <c:v>45249</c:v>
                </c:pt>
                <c:pt idx="3241">
                  <c:v>45250</c:v>
                </c:pt>
                <c:pt idx="3242">
                  <c:v>45251</c:v>
                </c:pt>
                <c:pt idx="3243">
                  <c:v>45252</c:v>
                </c:pt>
                <c:pt idx="3244">
                  <c:v>45253</c:v>
                </c:pt>
                <c:pt idx="3245">
                  <c:v>45254</c:v>
                </c:pt>
                <c:pt idx="3246">
                  <c:v>45255</c:v>
                </c:pt>
                <c:pt idx="3247">
                  <c:v>45256</c:v>
                </c:pt>
                <c:pt idx="3248">
                  <c:v>45257</c:v>
                </c:pt>
                <c:pt idx="3249">
                  <c:v>45258</c:v>
                </c:pt>
                <c:pt idx="3250">
                  <c:v>45259</c:v>
                </c:pt>
                <c:pt idx="3251">
                  <c:v>45260</c:v>
                </c:pt>
                <c:pt idx="3252">
                  <c:v>45261</c:v>
                </c:pt>
                <c:pt idx="3253">
                  <c:v>45262</c:v>
                </c:pt>
                <c:pt idx="3254">
                  <c:v>45263</c:v>
                </c:pt>
                <c:pt idx="3255">
                  <c:v>45264</c:v>
                </c:pt>
                <c:pt idx="3256">
                  <c:v>45265</c:v>
                </c:pt>
                <c:pt idx="3257">
                  <c:v>45266</c:v>
                </c:pt>
                <c:pt idx="3258">
                  <c:v>45267</c:v>
                </c:pt>
                <c:pt idx="3259">
                  <c:v>45268</c:v>
                </c:pt>
                <c:pt idx="3260">
                  <c:v>45269</c:v>
                </c:pt>
                <c:pt idx="3261">
                  <c:v>45270</c:v>
                </c:pt>
                <c:pt idx="3262">
                  <c:v>45271</c:v>
                </c:pt>
                <c:pt idx="3263">
                  <c:v>45272</c:v>
                </c:pt>
                <c:pt idx="3264">
                  <c:v>45273</c:v>
                </c:pt>
                <c:pt idx="3265">
                  <c:v>45274</c:v>
                </c:pt>
                <c:pt idx="3266">
                  <c:v>45275</c:v>
                </c:pt>
                <c:pt idx="3267">
                  <c:v>45276</c:v>
                </c:pt>
                <c:pt idx="3268">
                  <c:v>45277</c:v>
                </c:pt>
                <c:pt idx="3269">
                  <c:v>45278</c:v>
                </c:pt>
                <c:pt idx="3270">
                  <c:v>45279</c:v>
                </c:pt>
                <c:pt idx="3271">
                  <c:v>45280</c:v>
                </c:pt>
                <c:pt idx="3272">
                  <c:v>45281</c:v>
                </c:pt>
                <c:pt idx="3273">
                  <c:v>45282</c:v>
                </c:pt>
                <c:pt idx="3274">
                  <c:v>45283</c:v>
                </c:pt>
                <c:pt idx="3275">
                  <c:v>45284</c:v>
                </c:pt>
                <c:pt idx="3276">
                  <c:v>45285</c:v>
                </c:pt>
                <c:pt idx="3277">
                  <c:v>45286</c:v>
                </c:pt>
                <c:pt idx="3278">
                  <c:v>45287</c:v>
                </c:pt>
                <c:pt idx="3279">
                  <c:v>45288</c:v>
                </c:pt>
                <c:pt idx="3280">
                  <c:v>45289</c:v>
                </c:pt>
                <c:pt idx="3281">
                  <c:v>45290</c:v>
                </c:pt>
                <c:pt idx="3282">
                  <c:v>45291</c:v>
                </c:pt>
                <c:pt idx="3283">
                  <c:v>45292</c:v>
                </c:pt>
                <c:pt idx="3284">
                  <c:v>45293</c:v>
                </c:pt>
                <c:pt idx="3285">
                  <c:v>45294</c:v>
                </c:pt>
                <c:pt idx="3286">
                  <c:v>45295</c:v>
                </c:pt>
                <c:pt idx="3287">
                  <c:v>45296</c:v>
                </c:pt>
                <c:pt idx="3288">
                  <c:v>45297</c:v>
                </c:pt>
                <c:pt idx="3289">
                  <c:v>45298</c:v>
                </c:pt>
                <c:pt idx="3290">
                  <c:v>45299</c:v>
                </c:pt>
                <c:pt idx="3291">
                  <c:v>45300</c:v>
                </c:pt>
                <c:pt idx="3292">
                  <c:v>45301</c:v>
                </c:pt>
                <c:pt idx="3293">
                  <c:v>45302</c:v>
                </c:pt>
                <c:pt idx="3294">
                  <c:v>45303</c:v>
                </c:pt>
                <c:pt idx="3295">
                  <c:v>45304</c:v>
                </c:pt>
                <c:pt idx="3296">
                  <c:v>45305</c:v>
                </c:pt>
                <c:pt idx="3297">
                  <c:v>45306</c:v>
                </c:pt>
                <c:pt idx="3298">
                  <c:v>45307</c:v>
                </c:pt>
                <c:pt idx="3299">
                  <c:v>45308</c:v>
                </c:pt>
                <c:pt idx="3300">
                  <c:v>45309</c:v>
                </c:pt>
                <c:pt idx="3301">
                  <c:v>45310</c:v>
                </c:pt>
                <c:pt idx="3302">
                  <c:v>45311</c:v>
                </c:pt>
                <c:pt idx="3303">
                  <c:v>45312</c:v>
                </c:pt>
                <c:pt idx="3304">
                  <c:v>45313</c:v>
                </c:pt>
                <c:pt idx="3305">
                  <c:v>45314</c:v>
                </c:pt>
                <c:pt idx="3306">
                  <c:v>45315</c:v>
                </c:pt>
                <c:pt idx="3307">
                  <c:v>45316</c:v>
                </c:pt>
                <c:pt idx="3308">
                  <c:v>45317</c:v>
                </c:pt>
                <c:pt idx="3309">
                  <c:v>45318</c:v>
                </c:pt>
                <c:pt idx="3310">
                  <c:v>45319</c:v>
                </c:pt>
                <c:pt idx="3311">
                  <c:v>45320</c:v>
                </c:pt>
                <c:pt idx="3312">
                  <c:v>45321</c:v>
                </c:pt>
                <c:pt idx="3313">
                  <c:v>45322</c:v>
                </c:pt>
                <c:pt idx="3314">
                  <c:v>45323</c:v>
                </c:pt>
                <c:pt idx="3315">
                  <c:v>45324</c:v>
                </c:pt>
                <c:pt idx="3316">
                  <c:v>45325</c:v>
                </c:pt>
                <c:pt idx="3317">
                  <c:v>45326</c:v>
                </c:pt>
                <c:pt idx="3318">
                  <c:v>45327</c:v>
                </c:pt>
                <c:pt idx="3319">
                  <c:v>45328</c:v>
                </c:pt>
                <c:pt idx="3320">
                  <c:v>45329</c:v>
                </c:pt>
                <c:pt idx="3321">
                  <c:v>45330</c:v>
                </c:pt>
                <c:pt idx="3322">
                  <c:v>45331</c:v>
                </c:pt>
                <c:pt idx="3323">
                  <c:v>45332</c:v>
                </c:pt>
                <c:pt idx="3324">
                  <c:v>45333</c:v>
                </c:pt>
                <c:pt idx="3325">
                  <c:v>45334</c:v>
                </c:pt>
                <c:pt idx="3326">
                  <c:v>45335</c:v>
                </c:pt>
                <c:pt idx="3327">
                  <c:v>45336</c:v>
                </c:pt>
                <c:pt idx="3328">
                  <c:v>45337</c:v>
                </c:pt>
                <c:pt idx="3329">
                  <c:v>45338</c:v>
                </c:pt>
                <c:pt idx="3330">
                  <c:v>45339</c:v>
                </c:pt>
                <c:pt idx="3331">
                  <c:v>45340</c:v>
                </c:pt>
                <c:pt idx="3332">
                  <c:v>45341</c:v>
                </c:pt>
                <c:pt idx="3333">
                  <c:v>45342</c:v>
                </c:pt>
                <c:pt idx="3334">
                  <c:v>45343</c:v>
                </c:pt>
                <c:pt idx="3335">
                  <c:v>45344</c:v>
                </c:pt>
                <c:pt idx="3336">
                  <c:v>45345</c:v>
                </c:pt>
                <c:pt idx="3337">
                  <c:v>45346</c:v>
                </c:pt>
                <c:pt idx="3338">
                  <c:v>45347</c:v>
                </c:pt>
                <c:pt idx="3339">
                  <c:v>45348</c:v>
                </c:pt>
                <c:pt idx="3340">
                  <c:v>45349</c:v>
                </c:pt>
                <c:pt idx="3341">
                  <c:v>45350</c:v>
                </c:pt>
                <c:pt idx="3342">
                  <c:v>45351</c:v>
                </c:pt>
                <c:pt idx="3343">
                  <c:v>45352</c:v>
                </c:pt>
                <c:pt idx="3344">
                  <c:v>45353</c:v>
                </c:pt>
                <c:pt idx="3345">
                  <c:v>45354</c:v>
                </c:pt>
                <c:pt idx="3346">
                  <c:v>45355</c:v>
                </c:pt>
                <c:pt idx="3347">
                  <c:v>45356</c:v>
                </c:pt>
                <c:pt idx="3348">
                  <c:v>45357</c:v>
                </c:pt>
                <c:pt idx="3349">
                  <c:v>45358</c:v>
                </c:pt>
                <c:pt idx="3350">
                  <c:v>45359</c:v>
                </c:pt>
                <c:pt idx="3351">
                  <c:v>45360</c:v>
                </c:pt>
                <c:pt idx="3352">
                  <c:v>45361</c:v>
                </c:pt>
                <c:pt idx="3353">
                  <c:v>45362</c:v>
                </c:pt>
                <c:pt idx="3354">
                  <c:v>45363</c:v>
                </c:pt>
                <c:pt idx="3355">
                  <c:v>45364</c:v>
                </c:pt>
                <c:pt idx="3356">
                  <c:v>45365</c:v>
                </c:pt>
                <c:pt idx="3357">
                  <c:v>45366</c:v>
                </c:pt>
                <c:pt idx="3358">
                  <c:v>45367</c:v>
                </c:pt>
                <c:pt idx="3359">
                  <c:v>45368</c:v>
                </c:pt>
                <c:pt idx="3360">
                  <c:v>45369</c:v>
                </c:pt>
                <c:pt idx="3361">
                  <c:v>45370</c:v>
                </c:pt>
                <c:pt idx="3362">
                  <c:v>45371</c:v>
                </c:pt>
                <c:pt idx="3363">
                  <c:v>45372</c:v>
                </c:pt>
                <c:pt idx="3364">
                  <c:v>45373</c:v>
                </c:pt>
                <c:pt idx="3365">
                  <c:v>45374</c:v>
                </c:pt>
                <c:pt idx="3366">
                  <c:v>45375</c:v>
                </c:pt>
                <c:pt idx="3367">
                  <c:v>45376</c:v>
                </c:pt>
                <c:pt idx="3368">
                  <c:v>45377</c:v>
                </c:pt>
                <c:pt idx="3369">
                  <c:v>45378</c:v>
                </c:pt>
                <c:pt idx="3370">
                  <c:v>45379</c:v>
                </c:pt>
                <c:pt idx="3371">
                  <c:v>45380</c:v>
                </c:pt>
                <c:pt idx="3372">
                  <c:v>45381</c:v>
                </c:pt>
                <c:pt idx="3373">
                  <c:v>45382</c:v>
                </c:pt>
                <c:pt idx="3374">
                  <c:v>45383</c:v>
                </c:pt>
                <c:pt idx="3375">
                  <c:v>45384</c:v>
                </c:pt>
                <c:pt idx="3376">
                  <c:v>45385</c:v>
                </c:pt>
                <c:pt idx="3377">
                  <c:v>45386</c:v>
                </c:pt>
                <c:pt idx="3378">
                  <c:v>45387</c:v>
                </c:pt>
                <c:pt idx="3379">
                  <c:v>45388</c:v>
                </c:pt>
                <c:pt idx="3380">
                  <c:v>45389</c:v>
                </c:pt>
                <c:pt idx="3381">
                  <c:v>45390</c:v>
                </c:pt>
                <c:pt idx="3382">
                  <c:v>45391</c:v>
                </c:pt>
                <c:pt idx="3383">
                  <c:v>45392</c:v>
                </c:pt>
                <c:pt idx="3384">
                  <c:v>45393</c:v>
                </c:pt>
                <c:pt idx="3385">
                  <c:v>45394</c:v>
                </c:pt>
                <c:pt idx="3386">
                  <c:v>45395</c:v>
                </c:pt>
                <c:pt idx="3387">
                  <c:v>45396</c:v>
                </c:pt>
                <c:pt idx="3388">
                  <c:v>45397</c:v>
                </c:pt>
                <c:pt idx="3389">
                  <c:v>45398</c:v>
                </c:pt>
                <c:pt idx="3390">
                  <c:v>45399</c:v>
                </c:pt>
                <c:pt idx="3391">
                  <c:v>45400</c:v>
                </c:pt>
                <c:pt idx="3392">
                  <c:v>45401</c:v>
                </c:pt>
                <c:pt idx="3393">
                  <c:v>45402</c:v>
                </c:pt>
                <c:pt idx="3394">
                  <c:v>45403</c:v>
                </c:pt>
                <c:pt idx="3395">
                  <c:v>45404</c:v>
                </c:pt>
                <c:pt idx="3396">
                  <c:v>45405</c:v>
                </c:pt>
                <c:pt idx="3397">
                  <c:v>45406</c:v>
                </c:pt>
                <c:pt idx="3398">
                  <c:v>45407</c:v>
                </c:pt>
                <c:pt idx="3399">
                  <c:v>45408</c:v>
                </c:pt>
                <c:pt idx="3400">
                  <c:v>45409</c:v>
                </c:pt>
                <c:pt idx="3401">
                  <c:v>45410</c:v>
                </c:pt>
                <c:pt idx="3402">
                  <c:v>45411</c:v>
                </c:pt>
                <c:pt idx="3403">
                  <c:v>45412</c:v>
                </c:pt>
                <c:pt idx="3404">
                  <c:v>45413</c:v>
                </c:pt>
                <c:pt idx="3405">
                  <c:v>45414</c:v>
                </c:pt>
                <c:pt idx="3406">
                  <c:v>45415</c:v>
                </c:pt>
                <c:pt idx="3407">
                  <c:v>45416</c:v>
                </c:pt>
                <c:pt idx="3408">
                  <c:v>45417</c:v>
                </c:pt>
                <c:pt idx="3409">
                  <c:v>45418</c:v>
                </c:pt>
                <c:pt idx="3410">
                  <c:v>45419</c:v>
                </c:pt>
                <c:pt idx="3411">
                  <c:v>45420</c:v>
                </c:pt>
                <c:pt idx="3412">
                  <c:v>45421</c:v>
                </c:pt>
                <c:pt idx="3413">
                  <c:v>45422</c:v>
                </c:pt>
                <c:pt idx="3414">
                  <c:v>45423</c:v>
                </c:pt>
                <c:pt idx="3415">
                  <c:v>45424</c:v>
                </c:pt>
                <c:pt idx="3416">
                  <c:v>45425</c:v>
                </c:pt>
                <c:pt idx="3417">
                  <c:v>45426</c:v>
                </c:pt>
                <c:pt idx="3418">
                  <c:v>45427</c:v>
                </c:pt>
                <c:pt idx="3419">
                  <c:v>45428</c:v>
                </c:pt>
                <c:pt idx="3420">
                  <c:v>45429</c:v>
                </c:pt>
                <c:pt idx="3421">
                  <c:v>45430</c:v>
                </c:pt>
                <c:pt idx="3422">
                  <c:v>45431</c:v>
                </c:pt>
                <c:pt idx="3423">
                  <c:v>45432</c:v>
                </c:pt>
                <c:pt idx="3424">
                  <c:v>45433</c:v>
                </c:pt>
                <c:pt idx="3425">
                  <c:v>45434</c:v>
                </c:pt>
                <c:pt idx="3426">
                  <c:v>45435</c:v>
                </c:pt>
                <c:pt idx="3427">
                  <c:v>45436</c:v>
                </c:pt>
                <c:pt idx="3428">
                  <c:v>45437</c:v>
                </c:pt>
                <c:pt idx="3429">
                  <c:v>45438</c:v>
                </c:pt>
                <c:pt idx="3430">
                  <c:v>45439</c:v>
                </c:pt>
                <c:pt idx="3431">
                  <c:v>45440</c:v>
                </c:pt>
                <c:pt idx="3432">
                  <c:v>45441</c:v>
                </c:pt>
                <c:pt idx="3433">
                  <c:v>45442</c:v>
                </c:pt>
                <c:pt idx="3434">
                  <c:v>45443</c:v>
                </c:pt>
                <c:pt idx="3435">
                  <c:v>45444</c:v>
                </c:pt>
                <c:pt idx="3436">
                  <c:v>45445</c:v>
                </c:pt>
                <c:pt idx="3437">
                  <c:v>45446</c:v>
                </c:pt>
                <c:pt idx="3438">
                  <c:v>45447</c:v>
                </c:pt>
                <c:pt idx="3439">
                  <c:v>45448</c:v>
                </c:pt>
                <c:pt idx="3440">
                  <c:v>45449</c:v>
                </c:pt>
                <c:pt idx="3441">
                  <c:v>45450</c:v>
                </c:pt>
                <c:pt idx="3442">
                  <c:v>45451</c:v>
                </c:pt>
                <c:pt idx="3443">
                  <c:v>45452</c:v>
                </c:pt>
                <c:pt idx="3444">
                  <c:v>45453</c:v>
                </c:pt>
                <c:pt idx="3445">
                  <c:v>45454</c:v>
                </c:pt>
                <c:pt idx="3446">
                  <c:v>45455</c:v>
                </c:pt>
                <c:pt idx="3447">
                  <c:v>45456</c:v>
                </c:pt>
                <c:pt idx="3448">
                  <c:v>45457</c:v>
                </c:pt>
                <c:pt idx="3449">
                  <c:v>45458</c:v>
                </c:pt>
                <c:pt idx="3450">
                  <c:v>45459</c:v>
                </c:pt>
                <c:pt idx="3451">
                  <c:v>45460</c:v>
                </c:pt>
                <c:pt idx="3452">
                  <c:v>45461</c:v>
                </c:pt>
                <c:pt idx="3453">
                  <c:v>45462</c:v>
                </c:pt>
                <c:pt idx="3454">
                  <c:v>45463</c:v>
                </c:pt>
                <c:pt idx="3455">
                  <c:v>45464</c:v>
                </c:pt>
                <c:pt idx="3456">
                  <c:v>45465</c:v>
                </c:pt>
                <c:pt idx="3457">
                  <c:v>45466</c:v>
                </c:pt>
                <c:pt idx="3458">
                  <c:v>45467</c:v>
                </c:pt>
                <c:pt idx="3459">
                  <c:v>45468</c:v>
                </c:pt>
                <c:pt idx="3460">
                  <c:v>45469</c:v>
                </c:pt>
                <c:pt idx="3461">
                  <c:v>45470</c:v>
                </c:pt>
                <c:pt idx="3462">
                  <c:v>45471</c:v>
                </c:pt>
                <c:pt idx="3463">
                  <c:v>45472</c:v>
                </c:pt>
                <c:pt idx="3464">
                  <c:v>45473</c:v>
                </c:pt>
                <c:pt idx="3465">
                  <c:v>45474</c:v>
                </c:pt>
                <c:pt idx="3466">
                  <c:v>45475</c:v>
                </c:pt>
                <c:pt idx="3467">
                  <c:v>45476</c:v>
                </c:pt>
                <c:pt idx="3468">
                  <c:v>45477</c:v>
                </c:pt>
                <c:pt idx="3469">
                  <c:v>45478</c:v>
                </c:pt>
                <c:pt idx="3470">
                  <c:v>45479</c:v>
                </c:pt>
                <c:pt idx="3471">
                  <c:v>45480</c:v>
                </c:pt>
                <c:pt idx="3472">
                  <c:v>45481</c:v>
                </c:pt>
                <c:pt idx="3473">
                  <c:v>45482</c:v>
                </c:pt>
                <c:pt idx="3474">
                  <c:v>45483</c:v>
                </c:pt>
                <c:pt idx="3475">
                  <c:v>45484</c:v>
                </c:pt>
                <c:pt idx="3476">
                  <c:v>45485</c:v>
                </c:pt>
                <c:pt idx="3477">
                  <c:v>45486</c:v>
                </c:pt>
                <c:pt idx="3478">
                  <c:v>45487</c:v>
                </c:pt>
                <c:pt idx="3479">
                  <c:v>45488</c:v>
                </c:pt>
                <c:pt idx="3480">
                  <c:v>45489</c:v>
                </c:pt>
                <c:pt idx="3481">
                  <c:v>45490</c:v>
                </c:pt>
                <c:pt idx="3482">
                  <c:v>45491</c:v>
                </c:pt>
                <c:pt idx="3483">
                  <c:v>45492</c:v>
                </c:pt>
                <c:pt idx="3484">
                  <c:v>45493</c:v>
                </c:pt>
                <c:pt idx="3485">
                  <c:v>45494</c:v>
                </c:pt>
                <c:pt idx="3486">
                  <c:v>45495</c:v>
                </c:pt>
                <c:pt idx="3487">
                  <c:v>45496</c:v>
                </c:pt>
                <c:pt idx="3488">
                  <c:v>45497</c:v>
                </c:pt>
                <c:pt idx="3489">
                  <c:v>45498</c:v>
                </c:pt>
                <c:pt idx="3490">
                  <c:v>45499</c:v>
                </c:pt>
                <c:pt idx="3491">
                  <c:v>45500</c:v>
                </c:pt>
                <c:pt idx="3492">
                  <c:v>45501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45507</c:v>
                </c:pt>
                <c:pt idx="3499">
                  <c:v>45508</c:v>
                </c:pt>
                <c:pt idx="3500">
                  <c:v>45509</c:v>
                </c:pt>
                <c:pt idx="3501">
                  <c:v>45510</c:v>
                </c:pt>
                <c:pt idx="3502">
                  <c:v>45511</c:v>
                </c:pt>
                <c:pt idx="3503">
                  <c:v>45512</c:v>
                </c:pt>
                <c:pt idx="3504">
                  <c:v>45513</c:v>
                </c:pt>
                <c:pt idx="3505">
                  <c:v>45514</c:v>
                </c:pt>
                <c:pt idx="3506">
                  <c:v>45515</c:v>
                </c:pt>
                <c:pt idx="3507">
                  <c:v>45516</c:v>
                </c:pt>
                <c:pt idx="3508">
                  <c:v>45517</c:v>
                </c:pt>
                <c:pt idx="3509">
                  <c:v>45518</c:v>
                </c:pt>
                <c:pt idx="3510">
                  <c:v>45519</c:v>
                </c:pt>
                <c:pt idx="3511">
                  <c:v>45520</c:v>
                </c:pt>
                <c:pt idx="3512">
                  <c:v>45521</c:v>
                </c:pt>
                <c:pt idx="3513">
                  <c:v>45522</c:v>
                </c:pt>
                <c:pt idx="3514">
                  <c:v>45523</c:v>
                </c:pt>
                <c:pt idx="3515">
                  <c:v>45524</c:v>
                </c:pt>
                <c:pt idx="3516">
                  <c:v>45525</c:v>
                </c:pt>
                <c:pt idx="3517">
                  <c:v>45526</c:v>
                </c:pt>
                <c:pt idx="3518">
                  <c:v>45527</c:v>
                </c:pt>
                <c:pt idx="3519">
                  <c:v>45528</c:v>
                </c:pt>
                <c:pt idx="3520">
                  <c:v>45529</c:v>
                </c:pt>
                <c:pt idx="3521">
                  <c:v>45530</c:v>
                </c:pt>
                <c:pt idx="3522">
                  <c:v>45531</c:v>
                </c:pt>
                <c:pt idx="3523">
                  <c:v>45532</c:v>
                </c:pt>
                <c:pt idx="3524">
                  <c:v>45533</c:v>
                </c:pt>
                <c:pt idx="3525">
                  <c:v>45534</c:v>
                </c:pt>
                <c:pt idx="3526">
                  <c:v>45535</c:v>
                </c:pt>
                <c:pt idx="3527">
                  <c:v>45536</c:v>
                </c:pt>
                <c:pt idx="3528">
                  <c:v>45537</c:v>
                </c:pt>
                <c:pt idx="3529">
                  <c:v>45538</c:v>
                </c:pt>
                <c:pt idx="3530">
                  <c:v>45539</c:v>
                </c:pt>
                <c:pt idx="3531">
                  <c:v>45540</c:v>
                </c:pt>
                <c:pt idx="3532">
                  <c:v>45541</c:v>
                </c:pt>
                <c:pt idx="3533">
                  <c:v>45542</c:v>
                </c:pt>
                <c:pt idx="3534">
                  <c:v>45543</c:v>
                </c:pt>
                <c:pt idx="3535">
                  <c:v>45544</c:v>
                </c:pt>
                <c:pt idx="3536">
                  <c:v>45545</c:v>
                </c:pt>
                <c:pt idx="3537">
                  <c:v>45546</c:v>
                </c:pt>
                <c:pt idx="3538">
                  <c:v>45547</c:v>
                </c:pt>
                <c:pt idx="3539">
                  <c:v>45548</c:v>
                </c:pt>
                <c:pt idx="3540">
                  <c:v>45549</c:v>
                </c:pt>
                <c:pt idx="3541">
                  <c:v>45550</c:v>
                </c:pt>
                <c:pt idx="3542">
                  <c:v>45551</c:v>
                </c:pt>
                <c:pt idx="3543">
                  <c:v>45552</c:v>
                </c:pt>
                <c:pt idx="3544">
                  <c:v>45553</c:v>
                </c:pt>
                <c:pt idx="3545">
                  <c:v>45554</c:v>
                </c:pt>
                <c:pt idx="3546">
                  <c:v>45555</c:v>
                </c:pt>
                <c:pt idx="3547">
                  <c:v>45556</c:v>
                </c:pt>
                <c:pt idx="3548">
                  <c:v>45557</c:v>
                </c:pt>
                <c:pt idx="3549">
                  <c:v>45558</c:v>
                </c:pt>
                <c:pt idx="3550">
                  <c:v>45559</c:v>
                </c:pt>
                <c:pt idx="3551">
                  <c:v>45560</c:v>
                </c:pt>
                <c:pt idx="3552">
                  <c:v>45561</c:v>
                </c:pt>
                <c:pt idx="3553">
                  <c:v>45562</c:v>
                </c:pt>
                <c:pt idx="3554">
                  <c:v>45563</c:v>
                </c:pt>
                <c:pt idx="3555">
                  <c:v>45564</c:v>
                </c:pt>
                <c:pt idx="3556">
                  <c:v>45565</c:v>
                </c:pt>
                <c:pt idx="3557">
                  <c:v>45566</c:v>
                </c:pt>
                <c:pt idx="3558">
                  <c:v>45567</c:v>
                </c:pt>
                <c:pt idx="3559">
                  <c:v>45568</c:v>
                </c:pt>
                <c:pt idx="3560">
                  <c:v>45569</c:v>
                </c:pt>
                <c:pt idx="3561">
                  <c:v>45570</c:v>
                </c:pt>
                <c:pt idx="3562">
                  <c:v>45571</c:v>
                </c:pt>
                <c:pt idx="3563">
                  <c:v>45572</c:v>
                </c:pt>
                <c:pt idx="3564">
                  <c:v>45573</c:v>
                </c:pt>
                <c:pt idx="3565">
                  <c:v>45574</c:v>
                </c:pt>
                <c:pt idx="3566">
                  <c:v>45575</c:v>
                </c:pt>
                <c:pt idx="3567">
                  <c:v>45576</c:v>
                </c:pt>
                <c:pt idx="3568">
                  <c:v>45577</c:v>
                </c:pt>
                <c:pt idx="3569">
                  <c:v>45578</c:v>
                </c:pt>
                <c:pt idx="3570">
                  <c:v>45579</c:v>
                </c:pt>
                <c:pt idx="3571">
                  <c:v>45580</c:v>
                </c:pt>
                <c:pt idx="3572">
                  <c:v>45581</c:v>
                </c:pt>
                <c:pt idx="3573">
                  <c:v>45582</c:v>
                </c:pt>
                <c:pt idx="3574">
                  <c:v>45583</c:v>
                </c:pt>
                <c:pt idx="3575">
                  <c:v>45584</c:v>
                </c:pt>
                <c:pt idx="3576">
                  <c:v>45585</c:v>
                </c:pt>
                <c:pt idx="3577">
                  <c:v>45586</c:v>
                </c:pt>
                <c:pt idx="3578">
                  <c:v>45587</c:v>
                </c:pt>
                <c:pt idx="3579">
                  <c:v>45588</c:v>
                </c:pt>
                <c:pt idx="3580">
                  <c:v>45589</c:v>
                </c:pt>
                <c:pt idx="3581">
                  <c:v>45590</c:v>
                </c:pt>
                <c:pt idx="3582">
                  <c:v>45591</c:v>
                </c:pt>
                <c:pt idx="3583">
                  <c:v>45592</c:v>
                </c:pt>
                <c:pt idx="3584">
                  <c:v>45593</c:v>
                </c:pt>
                <c:pt idx="3585">
                  <c:v>45594</c:v>
                </c:pt>
                <c:pt idx="3586">
                  <c:v>45595</c:v>
                </c:pt>
                <c:pt idx="3587">
                  <c:v>45596</c:v>
                </c:pt>
                <c:pt idx="3588">
                  <c:v>45597</c:v>
                </c:pt>
                <c:pt idx="3589">
                  <c:v>45598</c:v>
                </c:pt>
                <c:pt idx="3590">
                  <c:v>45599</c:v>
                </c:pt>
                <c:pt idx="3591">
                  <c:v>45600</c:v>
                </c:pt>
                <c:pt idx="3592">
                  <c:v>45601</c:v>
                </c:pt>
                <c:pt idx="3593">
                  <c:v>45602</c:v>
                </c:pt>
                <c:pt idx="3594">
                  <c:v>45603</c:v>
                </c:pt>
                <c:pt idx="3595">
                  <c:v>45604</c:v>
                </c:pt>
                <c:pt idx="3596">
                  <c:v>45605</c:v>
                </c:pt>
                <c:pt idx="3597">
                  <c:v>45606</c:v>
                </c:pt>
                <c:pt idx="3598">
                  <c:v>45607</c:v>
                </c:pt>
                <c:pt idx="3599">
                  <c:v>45608</c:v>
                </c:pt>
                <c:pt idx="3600">
                  <c:v>45609</c:v>
                </c:pt>
                <c:pt idx="3601">
                  <c:v>45610</c:v>
                </c:pt>
                <c:pt idx="3602">
                  <c:v>45611</c:v>
                </c:pt>
                <c:pt idx="3603">
                  <c:v>45612</c:v>
                </c:pt>
                <c:pt idx="3604">
                  <c:v>45613</c:v>
                </c:pt>
                <c:pt idx="3605">
                  <c:v>45614</c:v>
                </c:pt>
                <c:pt idx="3606">
                  <c:v>45615</c:v>
                </c:pt>
                <c:pt idx="3607">
                  <c:v>45616</c:v>
                </c:pt>
                <c:pt idx="3608">
                  <c:v>45617</c:v>
                </c:pt>
                <c:pt idx="3609">
                  <c:v>45618</c:v>
                </c:pt>
                <c:pt idx="3610">
                  <c:v>45619</c:v>
                </c:pt>
                <c:pt idx="3611">
                  <c:v>45620</c:v>
                </c:pt>
                <c:pt idx="3612">
                  <c:v>45621</c:v>
                </c:pt>
                <c:pt idx="3613">
                  <c:v>45622</c:v>
                </c:pt>
                <c:pt idx="3614">
                  <c:v>45623</c:v>
                </c:pt>
                <c:pt idx="3615">
                  <c:v>45624</c:v>
                </c:pt>
                <c:pt idx="3616">
                  <c:v>45625</c:v>
                </c:pt>
                <c:pt idx="3617">
                  <c:v>45626</c:v>
                </c:pt>
                <c:pt idx="3618">
                  <c:v>45627</c:v>
                </c:pt>
                <c:pt idx="3619">
                  <c:v>45628</c:v>
                </c:pt>
                <c:pt idx="3620">
                  <c:v>45629</c:v>
                </c:pt>
                <c:pt idx="3621">
                  <c:v>45630</c:v>
                </c:pt>
                <c:pt idx="3622">
                  <c:v>45631</c:v>
                </c:pt>
                <c:pt idx="3623">
                  <c:v>45632</c:v>
                </c:pt>
                <c:pt idx="3624">
                  <c:v>45633</c:v>
                </c:pt>
                <c:pt idx="3625">
                  <c:v>45634</c:v>
                </c:pt>
                <c:pt idx="3626">
                  <c:v>45635</c:v>
                </c:pt>
                <c:pt idx="3627">
                  <c:v>45636</c:v>
                </c:pt>
                <c:pt idx="3628">
                  <c:v>45637</c:v>
                </c:pt>
                <c:pt idx="3629">
                  <c:v>45638</c:v>
                </c:pt>
                <c:pt idx="3630">
                  <c:v>45639</c:v>
                </c:pt>
                <c:pt idx="3631">
                  <c:v>45640</c:v>
                </c:pt>
                <c:pt idx="3632">
                  <c:v>45641</c:v>
                </c:pt>
                <c:pt idx="3633">
                  <c:v>45642</c:v>
                </c:pt>
                <c:pt idx="3634">
                  <c:v>45643</c:v>
                </c:pt>
                <c:pt idx="3635">
                  <c:v>45644</c:v>
                </c:pt>
                <c:pt idx="3636">
                  <c:v>45645</c:v>
                </c:pt>
                <c:pt idx="3637">
                  <c:v>45646</c:v>
                </c:pt>
                <c:pt idx="3638">
                  <c:v>45647</c:v>
                </c:pt>
                <c:pt idx="3639">
                  <c:v>45648</c:v>
                </c:pt>
                <c:pt idx="3640">
                  <c:v>45649</c:v>
                </c:pt>
                <c:pt idx="3641">
                  <c:v>45650</c:v>
                </c:pt>
                <c:pt idx="3642">
                  <c:v>45651</c:v>
                </c:pt>
                <c:pt idx="3643">
                  <c:v>45652</c:v>
                </c:pt>
                <c:pt idx="3644">
                  <c:v>45653</c:v>
                </c:pt>
                <c:pt idx="3645">
                  <c:v>45654</c:v>
                </c:pt>
                <c:pt idx="3646">
                  <c:v>45655</c:v>
                </c:pt>
                <c:pt idx="3647">
                  <c:v>45656</c:v>
                </c:pt>
                <c:pt idx="3648">
                  <c:v>45657</c:v>
                </c:pt>
                <c:pt idx="3649">
                  <c:v>45658</c:v>
                </c:pt>
                <c:pt idx="3650">
                  <c:v>45659</c:v>
                </c:pt>
                <c:pt idx="3651">
                  <c:v>45660</c:v>
                </c:pt>
                <c:pt idx="3652">
                  <c:v>45661</c:v>
                </c:pt>
                <c:pt idx="3653">
                  <c:v>45662</c:v>
                </c:pt>
                <c:pt idx="3654">
                  <c:v>45663</c:v>
                </c:pt>
                <c:pt idx="3655">
                  <c:v>45664</c:v>
                </c:pt>
                <c:pt idx="3656">
                  <c:v>45665</c:v>
                </c:pt>
                <c:pt idx="3657">
                  <c:v>45666</c:v>
                </c:pt>
                <c:pt idx="3658">
                  <c:v>45667</c:v>
                </c:pt>
                <c:pt idx="3659">
                  <c:v>45668</c:v>
                </c:pt>
                <c:pt idx="3660">
                  <c:v>45669</c:v>
                </c:pt>
                <c:pt idx="3661">
                  <c:v>45670</c:v>
                </c:pt>
                <c:pt idx="3662">
                  <c:v>45671</c:v>
                </c:pt>
                <c:pt idx="3663">
                  <c:v>45672</c:v>
                </c:pt>
                <c:pt idx="3664">
                  <c:v>45673</c:v>
                </c:pt>
                <c:pt idx="3665">
                  <c:v>45674</c:v>
                </c:pt>
                <c:pt idx="3666">
                  <c:v>45675</c:v>
                </c:pt>
                <c:pt idx="3667">
                  <c:v>45676</c:v>
                </c:pt>
                <c:pt idx="3668">
                  <c:v>45677</c:v>
                </c:pt>
                <c:pt idx="3669">
                  <c:v>45678</c:v>
                </c:pt>
                <c:pt idx="3670">
                  <c:v>45679</c:v>
                </c:pt>
                <c:pt idx="3671">
                  <c:v>45680</c:v>
                </c:pt>
                <c:pt idx="3672">
                  <c:v>45681</c:v>
                </c:pt>
                <c:pt idx="3673">
                  <c:v>45682</c:v>
                </c:pt>
                <c:pt idx="3674">
                  <c:v>45683</c:v>
                </c:pt>
                <c:pt idx="3675">
                  <c:v>45684</c:v>
                </c:pt>
                <c:pt idx="3676">
                  <c:v>45685</c:v>
                </c:pt>
                <c:pt idx="3677">
                  <c:v>45686</c:v>
                </c:pt>
                <c:pt idx="3678">
                  <c:v>45687</c:v>
                </c:pt>
                <c:pt idx="3679">
                  <c:v>45688</c:v>
                </c:pt>
                <c:pt idx="3680">
                  <c:v>45689</c:v>
                </c:pt>
                <c:pt idx="3681">
                  <c:v>45690</c:v>
                </c:pt>
                <c:pt idx="3682">
                  <c:v>45691</c:v>
                </c:pt>
                <c:pt idx="3683">
                  <c:v>45692</c:v>
                </c:pt>
                <c:pt idx="3684">
                  <c:v>45693</c:v>
                </c:pt>
                <c:pt idx="3685">
                  <c:v>45694</c:v>
                </c:pt>
                <c:pt idx="3686">
                  <c:v>45695</c:v>
                </c:pt>
                <c:pt idx="3687">
                  <c:v>45696</c:v>
                </c:pt>
                <c:pt idx="3688">
                  <c:v>45697</c:v>
                </c:pt>
                <c:pt idx="3689">
                  <c:v>45698</c:v>
                </c:pt>
                <c:pt idx="3690">
                  <c:v>45699</c:v>
                </c:pt>
                <c:pt idx="3691">
                  <c:v>45700</c:v>
                </c:pt>
                <c:pt idx="3692">
                  <c:v>45701</c:v>
                </c:pt>
                <c:pt idx="3693">
                  <c:v>45702</c:v>
                </c:pt>
                <c:pt idx="3694">
                  <c:v>45703</c:v>
                </c:pt>
                <c:pt idx="3695">
                  <c:v>45704</c:v>
                </c:pt>
                <c:pt idx="3696">
                  <c:v>45705</c:v>
                </c:pt>
                <c:pt idx="3697">
                  <c:v>45706</c:v>
                </c:pt>
                <c:pt idx="3698">
                  <c:v>45707</c:v>
                </c:pt>
                <c:pt idx="3699">
                  <c:v>45708</c:v>
                </c:pt>
                <c:pt idx="3700">
                  <c:v>45709</c:v>
                </c:pt>
                <c:pt idx="3701">
                  <c:v>45710</c:v>
                </c:pt>
                <c:pt idx="3702">
                  <c:v>45711</c:v>
                </c:pt>
                <c:pt idx="3703">
                  <c:v>45712</c:v>
                </c:pt>
                <c:pt idx="3704">
                  <c:v>45713</c:v>
                </c:pt>
                <c:pt idx="3705">
                  <c:v>45714</c:v>
                </c:pt>
                <c:pt idx="3706">
                  <c:v>45715</c:v>
                </c:pt>
                <c:pt idx="3707">
                  <c:v>45716</c:v>
                </c:pt>
                <c:pt idx="3708">
                  <c:v>45717</c:v>
                </c:pt>
                <c:pt idx="3709">
                  <c:v>45718</c:v>
                </c:pt>
                <c:pt idx="3710">
                  <c:v>45719</c:v>
                </c:pt>
                <c:pt idx="3711">
                  <c:v>45720</c:v>
                </c:pt>
                <c:pt idx="3712">
                  <c:v>45721</c:v>
                </c:pt>
                <c:pt idx="3713">
                  <c:v>45722</c:v>
                </c:pt>
                <c:pt idx="3714">
                  <c:v>45723</c:v>
                </c:pt>
                <c:pt idx="3715">
                  <c:v>45724</c:v>
                </c:pt>
                <c:pt idx="3716">
                  <c:v>45725</c:v>
                </c:pt>
                <c:pt idx="3717">
                  <c:v>45726</c:v>
                </c:pt>
                <c:pt idx="3718">
                  <c:v>45727</c:v>
                </c:pt>
                <c:pt idx="3719">
                  <c:v>45728</c:v>
                </c:pt>
                <c:pt idx="3720">
                  <c:v>45729</c:v>
                </c:pt>
                <c:pt idx="3721">
                  <c:v>45730</c:v>
                </c:pt>
                <c:pt idx="3722">
                  <c:v>45731</c:v>
                </c:pt>
                <c:pt idx="3723">
                  <c:v>45732</c:v>
                </c:pt>
                <c:pt idx="3724">
                  <c:v>45733</c:v>
                </c:pt>
                <c:pt idx="3725">
                  <c:v>45734</c:v>
                </c:pt>
                <c:pt idx="3726">
                  <c:v>45735</c:v>
                </c:pt>
                <c:pt idx="3727">
                  <c:v>45736</c:v>
                </c:pt>
                <c:pt idx="3728">
                  <c:v>45737</c:v>
                </c:pt>
                <c:pt idx="3729">
                  <c:v>45738</c:v>
                </c:pt>
                <c:pt idx="3730">
                  <c:v>45739</c:v>
                </c:pt>
                <c:pt idx="3731">
                  <c:v>45740</c:v>
                </c:pt>
                <c:pt idx="3732">
                  <c:v>45741</c:v>
                </c:pt>
                <c:pt idx="3733">
                  <c:v>45742</c:v>
                </c:pt>
                <c:pt idx="3734">
                  <c:v>45743</c:v>
                </c:pt>
                <c:pt idx="3735">
                  <c:v>45744</c:v>
                </c:pt>
                <c:pt idx="3736">
                  <c:v>45745</c:v>
                </c:pt>
                <c:pt idx="3737">
                  <c:v>45746</c:v>
                </c:pt>
                <c:pt idx="3738">
                  <c:v>45747</c:v>
                </c:pt>
                <c:pt idx="3739">
                  <c:v>45748</c:v>
                </c:pt>
                <c:pt idx="3740">
                  <c:v>45749</c:v>
                </c:pt>
                <c:pt idx="3741">
                  <c:v>45750</c:v>
                </c:pt>
                <c:pt idx="3742">
                  <c:v>45751</c:v>
                </c:pt>
                <c:pt idx="3743">
                  <c:v>45752</c:v>
                </c:pt>
                <c:pt idx="3744">
                  <c:v>45753</c:v>
                </c:pt>
                <c:pt idx="3745">
                  <c:v>45754</c:v>
                </c:pt>
                <c:pt idx="3746">
                  <c:v>45755</c:v>
                </c:pt>
                <c:pt idx="3747">
                  <c:v>45756</c:v>
                </c:pt>
                <c:pt idx="3748">
                  <c:v>45757</c:v>
                </c:pt>
                <c:pt idx="3749">
                  <c:v>45758</c:v>
                </c:pt>
                <c:pt idx="3750">
                  <c:v>45759</c:v>
                </c:pt>
                <c:pt idx="3751">
                  <c:v>45760</c:v>
                </c:pt>
                <c:pt idx="3752">
                  <c:v>45761</c:v>
                </c:pt>
                <c:pt idx="3753">
                  <c:v>45762</c:v>
                </c:pt>
                <c:pt idx="3754">
                  <c:v>45763</c:v>
                </c:pt>
                <c:pt idx="3755">
                  <c:v>45764</c:v>
                </c:pt>
                <c:pt idx="3756">
                  <c:v>45765</c:v>
                </c:pt>
                <c:pt idx="3757">
                  <c:v>45766</c:v>
                </c:pt>
                <c:pt idx="3758">
                  <c:v>45767</c:v>
                </c:pt>
                <c:pt idx="3759">
                  <c:v>45768</c:v>
                </c:pt>
                <c:pt idx="3760">
                  <c:v>45769</c:v>
                </c:pt>
                <c:pt idx="3761">
                  <c:v>45770</c:v>
                </c:pt>
                <c:pt idx="3762">
                  <c:v>45771</c:v>
                </c:pt>
                <c:pt idx="3763">
                  <c:v>45772</c:v>
                </c:pt>
                <c:pt idx="3764">
                  <c:v>45773</c:v>
                </c:pt>
                <c:pt idx="3765">
                  <c:v>45774</c:v>
                </c:pt>
                <c:pt idx="3766">
                  <c:v>45775</c:v>
                </c:pt>
                <c:pt idx="3767">
                  <c:v>45776</c:v>
                </c:pt>
                <c:pt idx="3768">
                  <c:v>45777</c:v>
                </c:pt>
                <c:pt idx="3769">
                  <c:v>45778</c:v>
                </c:pt>
                <c:pt idx="3770">
                  <c:v>45779</c:v>
                </c:pt>
                <c:pt idx="3771">
                  <c:v>45780</c:v>
                </c:pt>
                <c:pt idx="3772">
                  <c:v>45781</c:v>
                </c:pt>
                <c:pt idx="3773">
                  <c:v>45782</c:v>
                </c:pt>
                <c:pt idx="3774">
                  <c:v>45783</c:v>
                </c:pt>
                <c:pt idx="3775">
                  <c:v>45784</c:v>
                </c:pt>
                <c:pt idx="3776">
                  <c:v>45785</c:v>
                </c:pt>
                <c:pt idx="3777">
                  <c:v>45786</c:v>
                </c:pt>
                <c:pt idx="3778">
                  <c:v>45787</c:v>
                </c:pt>
                <c:pt idx="3779">
                  <c:v>45788</c:v>
                </c:pt>
                <c:pt idx="3780">
                  <c:v>45789</c:v>
                </c:pt>
                <c:pt idx="3781">
                  <c:v>45790</c:v>
                </c:pt>
                <c:pt idx="3782">
                  <c:v>45791</c:v>
                </c:pt>
                <c:pt idx="3783">
                  <c:v>45792</c:v>
                </c:pt>
                <c:pt idx="3784">
                  <c:v>45793</c:v>
                </c:pt>
                <c:pt idx="3785">
                  <c:v>45794</c:v>
                </c:pt>
                <c:pt idx="3786">
                  <c:v>45795</c:v>
                </c:pt>
                <c:pt idx="3787">
                  <c:v>45796</c:v>
                </c:pt>
                <c:pt idx="3788">
                  <c:v>45797</c:v>
                </c:pt>
                <c:pt idx="3789">
                  <c:v>45798</c:v>
                </c:pt>
                <c:pt idx="3790">
                  <c:v>45799</c:v>
                </c:pt>
                <c:pt idx="3791">
                  <c:v>45800</c:v>
                </c:pt>
                <c:pt idx="3792">
                  <c:v>45801</c:v>
                </c:pt>
                <c:pt idx="3793">
                  <c:v>45802</c:v>
                </c:pt>
                <c:pt idx="3794">
                  <c:v>45803</c:v>
                </c:pt>
                <c:pt idx="3795">
                  <c:v>45804</c:v>
                </c:pt>
                <c:pt idx="3796">
                  <c:v>45805</c:v>
                </c:pt>
                <c:pt idx="3797">
                  <c:v>45806</c:v>
                </c:pt>
                <c:pt idx="3798">
                  <c:v>45807</c:v>
                </c:pt>
                <c:pt idx="3799">
                  <c:v>45808</c:v>
                </c:pt>
                <c:pt idx="3800">
                  <c:v>45809</c:v>
                </c:pt>
                <c:pt idx="3801">
                  <c:v>45810</c:v>
                </c:pt>
                <c:pt idx="3802">
                  <c:v>45811</c:v>
                </c:pt>
                <c:pt idx="3803">
                  <c:v>45812</c:v>
                </c:pt>
                <c:pt idx="3804">
                  <c:v>45813</c:v>
                </c:pt>
                <c:pt idx="3805">
                  <c:v>45814</c:v>
                </c:pt>
                <c:pt idx="3806">
                  <c:v>45815</c:v>
                </c:pt>
                <c:pt idx="3807">
                  <c:v>45816</c:v>
                </c:pt>
                <c:pt idx="3808">
                  <c:v>45817</c:v>
                </c:pt>
                <c:pt idx="3809">
                  <c:v>45818</c:v>
                </c:pt>
                <c:pt idx="3810">
                  <c:v>45819</c:v>
                </c:pt>
                <c:pt idx="3811">
                  <c:v>45820</c:v>
                </c:pt>
                <c:pt idx="3812">
                  <c:v>45821</c:v>
                </c:pt>
                <c:pt idx="3813">
                  <c:v>45822</c:v>
                </c:pt>
                <c:pt idx="3814">
                  <c:v>45823</c:v>
                </c:pt>
                <c:pt idx="3815">
                  <c:v>45824</c:v>
                </c:pt>
                <c:pt idx="3816">
                  <c:v>45825</c:v>
                </c:pt>
                <c:pt idx="3817">
                  <c:v>45826</c:v>
                </c:pt>
                <c:pt idx="3818">
                  <c:v>45827</c:v>
                </c:pt>
                <c:pt idx="3819">
                  <c:v>45828</c:v>
                </c:pt>
                <c:pt idx="3820">
                  <c:v>45829</c:v>
                </c:pt>
                <c:pt idx="3821">
                  <c:v>45830</c:v>
                </c:pt>
                <c:pt idx="3822">
                  <c:v>45831</c:v>
                </c:pt>
                <c:pt idx="3823">
                  <c:v>45832</c:v>
                </c:pt>
                <c:pt idx="3824">
                  <c:v>45833</c:v>
                </c:pt>
                <c:pt idx="3825">
                  <c:v>45834</c:v>
                </c:pt>
                <c:pt idx="3826">
                  <c:v>45835</c:v>
                </c:pt>
                <c:pt idx="3827">
                  <c:v>45836</c:v>
                </c:pt>
                <c:pt idx="3828">
                  <c:v>45837</c:v>
                </c:pt>
                <c:pt idx="3829">
                  <c:v>45838</c:v>
                </c:pt>
                <c:pt idx="3830">
                  <c:v>45839</c:v>
                </c:pt>
                <c:pt idx="3831">
                  <c:v>45840</c:v>
                </c:pt>
                <c:pt idx="3832">
                  <c:v>45841</c:v>
                </c:pt>
                <c:pt idx="3833">
                  <c:v>45842</c:v>
                </c:pt>
                <c:pt idx="3834">
                  <c:v>45843</c:v>
                </c:pt>
                <c:pt idx="3835">
                  <c:v>45844</c:v>
                </c:pt>
                <c:pt idx="3836">
                  <c:v>45845</c:v>
                </c:pt>
                <c:pt idx="3837">
                  <c:v>45846</c:v>
                </c:pt>
                <c:pt idx="3838">
                  <c:v>45847</c:v>
                </c:pt>
                <c:pt idx="3839">
                  <c:v>45848</c:v>
                </c:pt>
                <c:pt idx="3840">
                  <c:v>45849</c:v>
                </c:pt>
                <c:pt idx="3841">
                  <c:v>45850</c:v>
                </c:pt>
                <c:pt idx="3842">
                  <c:v>45851</c:v>
                </c:pt>
                <c:pt idx="3843">
                  <c:v>45852</c:v>
                </c:pt>
                <c:pt idx="3844">
                  <c:v>45853</c:v>
                </c:pt>
                <c:pt idx="3845">
                  <c:v>45854</c:v>
                </c:pt>
                <c:pt idx="3846">
                  <c:v>45855</c:v>
                </c:pt>
                <c:pt idx="3847">
                  <c:v>45856</c:v>
                </c:pt>
                <c:pt idx="3848">
                  <c:v>45857</c:v>
                </c:pt>
                <c:pt idx="3849">
                  <c:v>45858</c:v>
                </c:pt>
                <c:pt idx="3850">
                  <c:v>45859</c:v>
                </c:pt>
                <c:pt idx="3851">
                  <c:v>45860</c:v>
                </c:pt>
                <c:pt idx="3852">
                  <c:v>45861</c:v>
                </c:pt>
                <c:pt idx="3853">
                  <c:v>45862</c:v>
                </c:pt>
                <c:pt idx="3854">
                  <c:v>45863</c:v>
                </c:pt>
                <c:pt idx="3855">
                  <c:v>45864</c:v>
                </c:pt>
                <c:pt idx="3856">
                  <c:v>45865</c:v>
                </c:pt>
                <c:pt idx="3857">
                  <c:v>45866</c:v>
                </c:pt>
                <c:pt idx="3858">
                  <c:v>45867</c:v>
                </c:pt>
                <c:pt idx="3859">
                  <c:v>45868</c:v>
                </c:pt>
                <c:pt idx="3860">
                  <c:v>45869</c:v>
                </c:pt>
                <c:pt idx="3861">
                  <c:v>45870</c:v>
                </c:pt>
                <c:pt idx="3862">
                  <c:v>45871</c:v>
                </c:pt>
                <c:pt idx="3863">
                  <c:v>45872</c:v>
                </c:pt>
                <c:pt idx="3864">
                  <c:v>45873</c:v>
                </c:pt>
                <c:pt idx="3865">
                  <c:v>45874</c:v>
                </c:pt>
                <c:pt idx="3866">
                  <c:v>45875</c:v>
                </c:pt>
                <c:pt idx="3867">
                  <c:v>45876</c:v>
                </c:pt>
                <c:pt idx="3868">
                  <c:v>45877</c:v>
                </c:pt>
                <c:pt idx="3869">
                  <c:v>45878</c:v>
                </c:pt>
                <c:pt idx="3870">
                  <c:v>45879</c:v>
                </c:pt>
                <c:pt idx="3871">
                  <c:v>45880</c:v>
                </c:pt>
                <c:pt idx="3872">
                  <c:v>45881</c:v>
                </c:pt>
                <c:pt idx="3873">
                  <c:v>45882</c:v>
                </c:pt>
                <c:pt idx="3874">
                  <c:v>45883</c:v>
                </c:pt>
                <c:pt idx="3875">
                  <c:v>45884</c:v>
                </c:pt>
                <c:pt idx="3876">
                  <c:v>45885</c:v>
                </c:pt>
                <c:pt idx="3877">
                  <c:v>45886</c:v>
                </c:pt>
                <c:pt idx="3878">
                  <c:v>45887</c:v>
                </c:pt>
                <c:pt idx="3879">
                  <c:v>45888</c:v>
                </c:pt>
                <c:pt idx="3880">
                  <c:v>45889</c:v>
                </c:pt>
                <c:pt idx="3881">
                  <c:v>45890</c:v>
                </c:pt>
                <c:pt idx="3882">
                  <c:v>45891</c:v>
                </c:pt>
                <c:pt idx="3883">
                  <c:v>45892</c:v>
                </c:pt>
                <c:pt idx="3884">
                  <c:v>45893</c:v>
                </c:pt>
                <c:pt idx="3885">
                  <c:v>45894</c:v>
                </c:pt>
                <c:pt idx="3886">
                  <c:v>45895</c:v>
                </c:pt>
                <c:pt idx="3887">
                  <c:v>45896</c:v>
                </c:pt>
                <c:pt idx="3888">
                  <c:v>45897</c:v>
                </c:pt>
                <c:pt idx="3889">
                  <c:v>45898</c:v>
                </c:pt>
                <c:pt idx="3890">
                  <c:v>45899</c:v>
                </c:pt>
                <c:pt idx="3891">
                  <c:v>45900</c:v>
                </c:pt>
                <c:pt idx="3892">
                  <c:v>45901</c:v>
                </c:pt>
                <c:pt idx="3893">
                  <c:v>45902</c:v>
                </c:pt>
                <c:pt idx="3894">
                  <c:v>45903</c:v>
                </c:pt>
                <c:pt idx="3895">
                  <c:v>45904</c:v>
                </c:pt>
                <c:pt idx="3896">
                  <c:v>45905</c:v>
                </c:pt>
                <c:pt idx="3897">
                  <c:v>45906</c:v>
                </c:pt>
                <c:pt idx="3898">
                  <c:v>45907</c:v>
                </c:pt>
                <c:pt idx="3899">
                  <c:v>45908</c:v>
                </c:pt>
                <c:pt idx="3900">
                  <c:v>45909</c:v>
                </c:pt>
                <c:pt idx="3901">
                  <c:v>45910</c:v>
                </c:pt>
                <c:pt idx="3902">
                  <c:v>45911</c:v>
                </c:pt>
                <c:pt idx="3903">
                  <c:v>45912</c:v>
                </c:pt>
                <c:pt idx="3904">
                  <c:v>45913</c:v>
                </c:pt>
                <c:pt idx="3905">
                  <c:v>45914</c:v>
                </c:pt>
                <c:pt idx="3906">
                  <c:v>45915</c:v>
                </c:pt>
                <c:pt idx="3907">
                  <c:v>45916</c:v>
                </c:pt>
                <c:pt idx="3908">
                  <c:v>45917</c:v>
                </c:pt>
                <c:pt idx="3909">
                  <c:v>45918</c:v>
                </c:pt>
                <c:pt idx="3910">
                  <c:v>45919</c:v>
                </c:pt>
                <c:pt idx="3911">
                  <c:v>45920</c:v>
                </c:pt>
                <c:pt idx="3912">
                  <c:v>45921</c:v>
                </c:pt>
                <c:pt idx="3913">
                  <c:v>45922</c:v>
                </c:pt>
                <c:pt idx="3914">
                  <c:v>45923</c:v>
                </c:pt>
                <c:pt idx="3915">
                  <c:v>45924</c:v>
                </c:pt>
                <c:pt idx="3916">
                  <c:v>45925</c:v>
                </c:pt>
                <c:pt idx="3917">
                  <c:v>45926</c:v>
                </c:pt>
                <c:pt idx="3918">
                  <c:v>45927</c:v>
                </c:pt>
                <c:pt idx="3919">
                  <c:v>45928</c:v>
                </c:pt>
                <c:pt idx="3920">
                  <c:v>45929</c:v>
                </c:pt>
                <c:pt idx="3921">
                  <c:v>45930</c:v>
                </c:pt>
                <c:pt idx="3922">
                  <c:v>45931</c:v>
                </c:pt>
                <c:pt idx="3923">
                  <c:v>45932</c:v>
                </c:pt>
                <c:pt idx="3924">
                  <c:v>45933</c:v>
                </c:pt>
                <c:pt idx="3925">
                  <c:v>45934</c:v>
                </c:pt>
                <c:pt idx="3926">
                  <c:v>45935</c:v>
                </c:pt>
                <c:pt idx="3927">
                  <c:v>45936</c:v>
                </c:pt>
                <c:pt idx="3928">
                  <c:v>45937</c:v>
                </c:pt>
                <c:pt idx="3929">
                  <c:v>45938</c:v>
                </c:pt>
                <c:pt idx="3930">
                  <c:v>45939</c:v>
                </c:pt>
                <c:pt idx="3931">
                  <c:v>45940</c:v>
                </c:pt>
                <c:pt idx="3932">
                  <c:v>45941</c:v>
                </c:pt>
                <c:pt idx="3933">
                  <c:v>45942</c:v>
                </c:pt>
                <c:pt idx="3934">
                  <c:v>45943</c:v>
                </c:pt>
                <c:pt idx="3935">
                  <c:v>45944</c:v>
                </c:pt>
                <c:pt idx="3936">
                  <c:v>45945</c:v>
                </c:pt>
                <c:pt idx="3937">
                  <c:v>45946</c:v>
                </c:pt>
                <c:pt idx="3938">
                  <c:v>45947</c:v>
                </c:pt>
                <c:pt idx="3939">
                  <c:v>45948</c:v>
                </c:pt>
                <c:pt idx="3940">
                  <c:v>45949</c:v>
                </c:pt>
                <c:pt idx="3941">
                  <c:v>45950</c:v>
                </c:pt>
                <c:pt idx="3942">
                  <c:v>45951</c:v>
                </c:pt>
                <c:pt idx="3943">
                  <c:v>45952</c:v>
                </c:pt>
                <c:pt idx="3944">
                  <c:v>45953</c:v>
                </c:pt>
                <c:pt idx="3945">
                  <c:v>45954</c:v>
                </c:pt>
                <c:pt idx="3946">
                  <c:v>45955</c:v>
                </c:pt>
                <c:pt idx="3947">
                  <c:v>45956</c:v>
                </c:pt>
                <c:pt idx="3948">
                  <c:v>45957</c:v>
                </c:pt>
                <c:pt idx="3949">
                  <c:v>45958</c:v>
                </c:pt>
                <c:pt idx="3950">
                  <c:v>45959</c:v>
                </c:pt>
                <c:pt idx="3951">
                  <c:v>45960</c:v>
                </c:pt>
                <c:pt idx="3952">
                  <c:v>45961</c:v>
                </c:pt>
                <c:pt idx="3953">
                  <c:v>45962</c:v>
                </c:pt>
                <c:pt idx="3954">
                  <c:v>45963</c:v>
                </c:pt>
                <c:pt idx="3955">
                  <c:v>45964</c:v>
                </c:pt>
                <c:pt idx="3956">
                  <c:v>45965</c:v>
                </c:pt>
                <c:pt idx="3957">
                  <c:v>45966</c:v>
                </c:pt>
                <c:pt idx="3958">
                  <c:v>45967</c:v>
                </c:pt>
                <c:pt idx="3959">
                  <c:v>45968</c:v>
                </c:pt>
                <c:pt idx="3960">
                  <c:v>45969</c:v>
                </c:pt>
                <c:pt idx="3961">
                  <c:v>45970</c:v>
                </c:pt>
                <c:pt idx="3962">
                  <c:v>45971</c:v>
                </c:pt>
                <c:pt idx="3963">
                  <c:v>45972</c:v>
                </c:pt>
                <c:pt idx="3964">
                  <c:v>45973</c:v>
                </c:pt>
                <c:pt idx="3965">
                  <c:v>45974</c:v>
                </c:pt>
                <c:pt idx="3966">
                  <c:v>45975</c:v>
                </c:pt>
                <c:pt idx="3967">
                  <c:v>45976</c:v>
                </c:pt>
                <c:pt idx="3968">
                  <c:v>45977</c:v>
                </c:pt>
                <c:pt idx="3969">
                  <c:v>45978</c:v>
                </c:pt>
                <c:pt idx="3970">
                  <c:v>45979</c:v>
                </c:pt>
                <c:pt idx="3971">
                  <c:v>45980</c:v>
                </c:pt>
                <c:pt idx="3972">
                  <c:v>45981</c:v>
                </c:pt>
                <c:pt idx="3973">
                  <c:v>45982</c:v>
                </c:pt>
                <c:pt idx="3974">
                  <c:v>45983</c:v>
                </c:pt>
                <c:pt idx="3975">
                  <c:v>45984</c:v>
                </c:pt>
                <c:pt idx="3976">
                  <c:v>45985</c:v>
                </c:pt>
                <c:pt idx="3977">
                  <c:v>45986</c:v>
                </c:pt>
                <c:pt idx="3978">
                  <c:v>45987</c:v>
                </c:pt>
                <c:pt idx="3979">
                  <c:v>45988</c:v>
                </c:pt>
                <c:pt idx="3980">
                  <c:v>45989</c:v>
                </c:pt>
                <c:pt idx="3981">
                  <c:v>45990</c:v>
                </c:pt>
                <c:pt idx="3982">
                  <c:v>45991</c:v>
                </c:pt>
                <c:pt idx="3983">
                  <c:v>45992</c:v>
                </c:pt>
                <c:pt idx="3984">
                  <c:v>45993</c:v>
                </c:pt>
                <c:pt idx="3985">
                  <c:v>45994</c:v>
                </c:pt>
                <c:pt idx="3986">
                  <c:v>45995</c:v>
                </c:pt>
                <c:pt idx="3987">
                  <c:v>45996</c:v>
                </c:pt>
                <c:pt idx="3988">
                  <c:v>45997</c:v>
                </c:pt>
                <c:pt idx="3989">
                  <c:v>45998</c:v>
                </c:pt>
                <c:pt idx="3990">
                  <c:v>45999</c:v>
                </c:pt>
                <c:pt idx="3991">
                  <c:v>46000</c:v>
                </c:pt>
                <c:pt idx="3992">
                  <c:v>46001</c:v>
                </c:pt>
                <c:pt idx="3993">
                  <c:v>46002</c:v>
                </c:pt>
                <c:pt idx="3994">
                  <c:v>46003</c:v>
                </c:pt>
                <c:pt idx="3995">
                  <c:v>46004</c:v>
                </c:pt>
                <c:pt idx="3996">
                  <c:v>46005</c:v>
                </c:pt>
                <c:pt idx="3997">
                  <c:v>46006</c:v>
                </c:pt>
                <c:pt idx="3998">
                  <c:v>46007</c:v>
                </c:pt>
                <c:pt idx="3999">
                  <c:v>46008</c:v>
                </c:pt>
                <c:pt idx="4000">
                  <c:v>46009</c:v>
                </c:pt>
                <c:pt idx="4001">
                  <c:v>46010</c:v>
                </c:pt>
                <c:pt idx="4002">
                  <c:v>46011</c:v>
                </c:pt>
                <c:pt idx="4003">
                  <c:v>46012</c:v>
                </c:pt>
                <c:pt idx="4004">
                  <c:v>46013</c:v>
                </c:pt>
                <c:pt idx="4005">
                  <c:v>46014</c:v>
                </c:pt>
                <c:pt idx="4006">
                  <c:v>46015</c:v>
                </c:pt>
                <c:pt idx="4007">
                  <c:v>46016</c:v>
                </c:pt>
                <c:pt idx="4008">
                  <c:v>46017</c:v>
                </c:pt>
                <c:pt idx="4009">
                  <c:v>46018</c:v>
                </c:pt>
                <c:pt idx="4010">
                  <c:v>46019</c:v>
                </c:pt>
                <c:pt idx="4011">
                  <c:v>46020</c:v>
                </c:pt>
                <c:pt idx="4012">
                  <c:v>46021</c:v>
                </c:pt>
                <c:pt idx="4013">
                  <c:v>46022</c:v>
                </c:pt>
                <c:pt idx="4014">
                  <c:v>46023</c:v>
                </c:pt>
                <c:pt idx="4015">
                  <c:v>46024</c:v>
                </c:pt>
                <c:pt idx="4016">
                  <c:v>46025</c:v>
                </c:pt>
                <c:pt idx="4017">
                  <c:v>46026</c:v>
                </c:pt>
                <c:pt idx="4018">
                  <c:v>46027</c:v>
                </c:pt>
                <c:pt idx="4019">
                  <c:v>46028</c:v>
                </c:pt>
                <c:pt idx="4020">
                  <c:v>46029</c:v>
                </c:pt>
                <c:pt idx="4021">
                  <c:v>46030</c:v>
                </c:pt>
                <c:pt idx="4022">
                  <c:v>46031</c:v>
                </c:pt>
                <c:pt idx="4023">
                  <c:v>46032</c:v>
                </c:pt>
                <c:pt idx="4024">
                  <c:v>46033</c:v>
                </c:pt>
                <c:pt idx="4025">
                  <c:v>46034</c:v>
                </c:pt>
                <c:pt idx="4026">
                  <c:v>46035</c:v>
                </c:pt>
                <c:pt idx="4027">
                  <c:v>46036</c:v>
                </c:pt>
                <c:pt idx="4028">
                  <c:v>46037</c:v>
                </c:pt>
                <c:pt idx="4029">
                  <c:v>46038</c:v>
                </c:pt>
                <c:pt idx="4030">
                  <c:v>46039</c:v>
                </c:pt>
                <c:pt idx="4031">
                  <c:v>46040</c:v>
                </c:pt>
                <c:pt idx="4032">
                  <c:v>46041</c:v>
                </c:pt>
                <c:pt idx="4033">
                  <c:v>46042</c:v>
                </c:pt>
                <c:pt idx="4034">
                  <c:v>46043</c:v>
                </c:pt>
                <c:pt idx="4035">
                  <c:v>46044</c:v>
                </c:pt>
                <c:pt idx="4036">
                  <c:v>46045</c:v>
                </c:pt>
                <c:pt idx="4037">
                  <c:v>46046</c:v>
                </c:pt>
                <c:pt idx="4038">
                  <c:v>46047</c:v>
                </c:pt>
                <c:pt idx="4039">
                  <c:v>46048</c:v>
                </c:pt>
                <c:pt idx="4040">
                  <c:v>46049</c:v>
                </c:pt>
                <c:pt idx="4041">
                  <c:v>46050</c:v>
                </c:pt>
                <c:pt idx="4042">
                  <c:v>46051</c:v>
                </c:pt>
                <c:pt idx="4043">
                  <c:v>46052</c:v>
                </c:pt>
                <c:pt idx="4044">
                  <c:v>46053</c:v>
                </c:pt>
                <c:pt idx="4045">
                  <c:v>46054</c:v>
                </c:pt>
                <c:pt idx="4046">
                  <c:v>46055</c:v>
                </c:pt>
                <c:pt idx="4047">
                  <c:v>46056</c:v>
                </c:pt>
                <c:pt idx="4048">
                  <c:v>46057</c:v>
                </c:pt>
                <c:pt idx="4049">
                  <c:v>46058</c:v>
                </c:pt>
                <c:pt idx="4050">
                  <c:v>46059</c:v>
                </c:pt>
                <c:pt idx="4051">
                  <c:v>46060</c:v>
                </c:pt>
                <c:pt idx="4052">
                  <c:v>46061</c:v>
                </c:pt>
                <c:pt idx="4053">
                  <c:v>46062</c:v>
                </c:pt>
                <c:pt idx="4054">
                  <c:v>46063</c:v>
                </c:pt>
                <c:pt idx="4055">
                  <c:v>46064</c:v>
                </c:pt>
                <c:pt idx="4056">
                  <c:v>46065</c:v>
                </c:pt>
                <c:pt idx="4057">
                  <c:v>46066</c:v>
                </c:pt>
                <c:pt idx="4058">
                  <c:v>46067</c:v>
                </c:pt>
                <c:pt idx="4059">
                  <c:v>46068</c:v>
                </c:pt>
                <c:pt idx="4060">
                  <c:v>46069</c:v>
                </c:pt>
                <c:pt idx="4061">
                  <c:v>46070</c:v>
                </c:pt>
                <c:pt idx="4062">
                  <c:v>46071</c:v>
                </c:pt>
                <c:pt idx="4063">
                  <c:v>46072</c:v>
                </c:pt>
                <c:pt idx="4064">
                  <c:v>46073</c:v>
                </c:pt>
                <c:pt idx="4065">
                  <c:v>46074</c:v>
                </c:pt>
                <c:pt idx="4066">
                  <c:v>46075</c:v>
                </c:pt>
                <c:pt idx="4067">
                  <c:v>46076</c:v>
                </c:pt>
                <c:pt idx="4068">
                  <c:v>46077</c:v>
                </c:pt>
                <c:pt idx="4069">
                  <c:v>46078</c:v>
                </c:pt>
                <c:pt idx="4070">
                  <c:v>46079</c:v>
                </c:pt>
                <c:pt idx="4071">
                  <c:v>46080</c:v>
                </c:pt>
                <c:pt idx="4072">
                  <c:v>46081</c:v>
                </c:pt>
                <c:pt idx="4073">
                  <c:v>46082</c:v>
                </c:pt>
                <c:pt idx="4074">
                  <c:v>46083</c:v>
                </c:pt>
                <c:pt idx="4075">
                  <c:v>46084</c:v>
                </c:pt>
                <c:pt idx="4076">
                  <c:v>46085</c:v>
                </c:pt>
                <c:pt idx="4077">
                  <c:v>46086</c:v>
                </c:pt>
                <c:pt idx="4078">
                  <c:v>46087</c:v>
                </c:pt>
                <c:pt idx="4079">
                  <c:v>46088</c:v>
                </c:pt>
                <c:pt idx="4080">
                  <c:v>46089</c:v>
                </c:pt>
                <c:pt idx="4081">
                  <c:v>46090</c:v>
                </c:pt>
                <c:pt idx="4082">
                  <c:v>46091</c:v>
                </c:pt>
                <c:pt idx="4083">
                  <c:v>46092</c:v>
                </c:pt>
                <c:pt idx="4084">
                  <c:v>46093</c:v>
                </c:pt>
                <c:pt idx="4085">
                  <c:v>46094</c:v>
                </c:pt>
                <c:pt idx="4086">
                  <c:v>46095</c:v>
                </c:pt>
                <c:pt idx="4087">
                  <c:v>46096</c:v>
                </c:pt>
                <c:pt idx="4088">
                  <c:v>46097</c:v>
                </c:pt>
                <c:pt idx="4089">
                  <c:v>46098</c:v>
                </c:pt>
                <c:pt idx="4090">
                  <c:v>46099</c:v>
                </c:pt>
                <c:pt idx="4091">
                  <c:v>46100</c:v>
                </c:pt>
                <c:pt idx="4092">
                  <c:v>46101</c:v>
                </c:pt>
                <c:pt idx="4093">
                  <c:v>46102</c:v>
                </c:pt>
                <c:pt idx="4094">
                  <c:v>46103</c:v>
                </c:pt>
                <c:pt idx="4095">
                  <c:v>46104</c:v>
                </c:pt>
                <c:pt idx="4096">
                  <c:v>46105</c:v>
                </c:pt>
                <c:pt idx="4097">
                  <c:v>46106</c:v>
                </c:pt>
                <c:pt idx="4098">
                  <c:v>46107</c:v>
                </c:pt>
                <c:pt idx="4099">
                  <c:v>46108</c:v>
                </c:pt>
                <c:pt idx="4100">
                  <c:v>46109</c:v>
                </c:pt>
                <c:pt idx="4101">
                  <c:v>46110</c:v>
                </c:pt>
                <c:pt idx="4102">
                  <c:v>46111</c:v>
                </c:pt>
                <c:pt idx="4103">
                  <c:v>46112</c:v>
                </c:pt>
                <c:pt idx="4104">
                  <c:v>46113</c:v>
                </c:pt>
                <c:pt idx="4105">
                  <c:v>46114</c:v>
                </c:pt>
                <c:pt idx="4106">
                  <c:v>46115</c:v>
                </c:pt>
                <c:pt idx="4107">
                  <c:v>46116</c:v>
                </c:pt>
                <c:pt idx="4108">
                  <c:v>46117</c:v>
                </c:pt>
                <c:pt idx="4109">
                  <c:v>46118</c:v>
                </c:pt>
                <c:pt idx="4110">
                  <c:v>46119</c:v>
                </c:pt>
                <c:pt idx="4111">
                  <c:v>46120</c:v>
                </c:pt>
                <c:pt idx="4112">
                  <c:v>46121</c:v>
                </c:pt>
                <c:pt idx="4113">
                  <c:v>46122</c:v>
                </c:pt>
                <c:pt idx="4114">
                  <c:v>46123</c:v>
                </c:pt>
                <c:pt idx="4115">
                  <c:v>46124</c:v>
                </c:pt>
                <c:pt idx="4116">
                  <c:v>46125</c:v>
                </c:pt>
                <c:pt idx="4117">
                  <c:v>46126</c:v>
                </c:pt>
                <c:pt idx="4118">
                  <c:v>46127</c:v>
                </c:pt>
                <c:pt idx="4119">
                  <c:v>46128</c:v>
                </c:pt>
                <c:pt idx="4120">
                  <c:v>46129</c:v>
                </c:pt>
                <c:pt idx="4121">
                  <c:v>46130</c:v>
                </c:pt>
                <c:pt idx="4122">
                  <c:v>46131</c:v>
                </c:pt>
                <c:pt idx="4123">
                  <c:v>46132</c:v>
                </c:pt>
                <c:pt idx="4124">
                  <c:v>46133</c:v>
                </c:pt>
                <c:pt idx="4125">
                  <c:v>46134</c:v>
                </c:pt>
                <c:pt idx="4126">
                  <c:v>46135</c:v>
                </c:pt>
                <c:pt idx="4127">
                  <c:v>46136</c:v>
                </c:pt>
                <c:pt idx="4128">
                  <c:v>46137</c:v>
                </c:pt>
                <c:pt idx="4129">
                  <c:v>46138</c:v>
                </c:pt>
                <c:pt idx="4130">
                  <c:v>46139</c:v>
                </c:pt>
                <c:pt idx="4131">
                  <c:v>46140</c:v>
                </c:pt>
                <c:pt idx="4132">
                  <c:v>46141</c:v>
                </c:pt>
                <c:pt idx="4133">
                  <c:v>46142</c:v>
                </c:pt>
                <c:pt idx="4134">
                  <c:v>46143</c:v>
                </c:pt>
                <c:pt idx="4135">
                  <c:v>46144</c:v>
                </c:pt>
                <c:pt idx="4136">
                  <c:v>46145</c:v>
                </c:pt>
                <c:pt idx="4137">
                  <c:v>46146</c:v>
                </c:pt>
                <c:pt idx="4138">
                  <c:v>46147</c:v>
                </c:pt>
                <c:pt idx="4139">
                  <c:v>46148</c:v>
                </c:pt>
                <c:pt idx="4140">
                  <c:v>46149</c:v>
                </c:pt>
                <c:pt idx="4141">
                  <c:v>46150</c:v>
                </c:pt>
                <c:pt idx="4142">
                  <c:v>46151</c:v>
                </c:pt>
                <c:pt idx="4143">
                  <c:v>46152</c:v>
                </c:pt>
                <c:pt idx="4144">
                  <c:v>46153</c:v>
                </c:pt>
                <c:pt idx="4145">
                  <c:v>46154</c:v>
                </c:pt>
                <c:pt idx="4146">
                  <c:v>46155</c:v>
                </c:pt>
                <c:pt idx="4147">
                  <c:v>46156</c:v>
                </c:pt>
                <c:pt idx="4148">
                  <c:v>46157</c:v>
                </c:pt>
                <c:pt idx="4149">
                  <c:v>46158</c:v>
                </c:pt>
                <c:pt idx="4150">
                  <c:v>46159</c:v>
                </c:pt>
                <c:pt idx="4151">
                  <c:v>46160</c:v>
                </c:pt>
                <c:pt idx="4152">
                  <c:v>46161</c:v>
                </c:pt>
                <c:pt idx="4153">
                  <c:v>46162</c:v>
                </c:pt>
                <c:pt idx="4154">
                  <c:v>46163</c:v>
                </c:pt>
                <c:pt idx="4155">
                  <c:v>46164</c:v>
                </c:pt>
                <c:pt idx="4156">
                  <c:v>46165</c:v>
                </c:pt>
                <c:pt idx="4157">
                  <c:v>46166</c:v>
                </c:pt>
                <c:pt idx="4158">
                  <c:v>46167</c:v>
                </c:pt>
                <c:pt idx="4159">
                  <c:v>46168</c:v>
                </c:pt>
                <c:pt idx="4160">
                  <c:v>46169</c:v>
                </c:pt>
                <c:pt idx="4161">
                  <c:v>46170</c:v>
                </c:pt>
                <c:pt idx="4162">
                  <c:v>46171</c:v>
                </c:pt>
                <c:pt idx="4163">
                  <c:v>46172</c:v>
                </c:pt>
                <c:pt idx="4164">
                  <c:v>46173</c:v>
                </c:pt>
                <c:pt idx="4165">
                  <c:v>46174</c:v>
                </c:pt>
                <c:pt idx="4166">
                  <c:v>46175</c:v>
                </c:pt>
                <c:pt idx="4167">
                  <c:v>46176</c:v>
                </c:pt>
                <c:pt idx="4168">
                  <c:v>46177</c:v>
                </c:pt>
                <c:pt idx="4169">
                  <c:v>46178</c:v>
                </c:pt>
                <c:pt idx="4170">
                  <c:v>46179</c:v>
                </c:pt>
                <c:pt idx="4171">
                  <c:v>46180</c:v>
                </c:pt>
                <c:pt idx="4172">
                  <c:v>46181</c:v>
                </c:pt>
                <c:pt idx="4173">
                  <c:v>46182</c:v>
                </c:pt>
                <c:pt idx="4174">
                  <c:v>46183</c:v>
                </c:pt>
                <c:pt idx="4175">
                  <c:v>46184</c:v>
                </c:pt>
                <c:pt idx="4176">
                  <c:v>46185</c:v>
                </c:pt>
                <c:pt idx="4177">
                  <c:v>46186</c:v>
                </c:pt>
                <c:pt idx="4178">
                  <c:v>46187</c:v>
                </c:pt>
                <c:pt idx="4179">
                  <c:v>46188</c:v>
                </c:pt>
                <c:pt idx="4180">
                  <c:v>46189</c:v>
                </c:pt>
                <c:pt idx="4181">
                  <c:v>46190</c:v>
                </c:pt>
                <c:pt idx="4182">
                  <c:v>46191</c:v>
                </c:pt>
                <c:pt idx="4183">
                  <c:v>46192</c:v>
                </c:pt>
                <c:pt idx="4184">
                  <c:v>46193</c:v>
                </c:pt>
                <c:pt idx="4185">
                  <c:v>46194</c:v>
                </c:pt>
                <c:pt idx="4186">
                  <c:v>46195</c:v>
                </c:pt>
                <c:pt idx="4187">
                  <c:v>46196</c:v>
                </c:pt>
                <c:pt idx="4188">
                  <c:v>46197</c:v>
                </c:pt>
                <c:pt idx="4189">
                  <c:v>46198</c:v>
                </c:pt>
                <c:pt idx="4190">
                  <c:v>46199</c:v>
                </c:pt>
                <c:pt idx="4191">
                  <c:v>46200</c:v>
                </c:pt>
                <c:pt idx="4192">
                  <c:v>46201</c:v>
                </c:pt>
                <c:pt idx="4193">
                  <c:v>46202</c:v>
                </c:pt>
                <c:pt idx="4194">
                  <c:v>46203</c:v>
                </c:pt>
                <c:pt idx="4195">
                  <c:v>46204</c:v>
                </c:pt>
                <c:pt idx="4196">
                  <c:v>46205</c:v>
                </c:pt>
                <c:pt idx="4197">
                  <c:v>46206</c:v>
                </c:pt>
                <c:pt idx="4198">
                  <c:v>46207</c:v>
                </c:pt>
                <c:pt idx="4199">
                  <c:v>46208</c:v>
                </c:pt>
                <c:pt idx="4200">
                  <c:v>46209</c:v>
                </c:pt>
                <c:pt idx="4201">
                  <c:v>46210</c:v>
                </c:pt>
                <c:pt idx="4202">
                  <c:v>46211</c:v>
                </c:pt>
                <c:pt idx="4203">
                  <c:v>46212</c:v>
                </c:pt>
                <c:pt idx="4204">
                  <c:v>46213</c:v>
                </c:pt>
                <c:pt idx="4205">
                  <c:v>46214</c:v>
                </c:pt>
                <c:pt idx="4206">
                  <c:v>46215</c:v>
                </c:pt>
                <c:pt idx="4207">
                  <c:v>46216</c:v>
                </c:pt>
                <c:pt idx="4208">
                  <c:v>46217</c:v>
                </c:pt>
                <c:pt idx="4209">
                  <c:v>46218</c:v>
                </c:pt>
                <c:pt idx="4210">
                  <c:v>46219</c:v>
                </c:pt>
                <c:pt idx="4211">
                  <c:v>46220</c:v>
                </c:pt>
                <c:pt idx="4212">
                  <c:v>46221</c:v>
                </c:pt>
                <c:pt idx="4213">
                  <c:v>46222</c:v>
                </c:pt>
                <c:pt idx="4214">
                  <c:v>46223</c:v>
                </c:pt>
                <c:pt idx="4215">
                  <c:v>46224</c:v>
                </c:pt>
                <c:pt idx="4216">
                  <c:v>46225</c:v>
                </c:pt>
                <c:pt idx="4217">
                  <c:v>46226</c:v>
                </c:pt>
                <c:pt idx="4218">
                  <c:v>46227</c:v>
                </c:pt>
                <c:pt idx="4219">
                  <c:v>46228</c:v>
                </c:pt>
                <c:pt idx="4220">
                  <c:v>46229</c:v>
                </c:pt>
                <c:pt idx="4221">
                  <c:v>46230</c:v>
                </c:pt>
                <c:pt idx="4222">
                  <c:v>46231</c:v>
                </c:pt>
                <c:pt idx="4223">
                  <c:v>46232</c:v>
                </c:pt>
                <c:pt idx="4224">
                  <c:v>46233</c:v>
                </c:pt>
                <c:pt idx="4225">
                  <c:v>46234</c:v>
                </c:pt>
                <c:pt idx="4226">
                  <c:v>46235</c:v>
                </c:pt>
                <c:pt idx="4227">
                  <c:v>46236</c:v>
                </c:pt>
                <c:pt idx="4228">
                  <c:v>46237</c:v>
                </c:pt>
                <c:pt idx="4229">
                  <c:v>46238</c:v>
                </c:pt>
                <c:pt idx="4230">
                  <c:v>46239</c:v>
                </c:pt>
                <c:pt idx="4231">
                  <c:v>46240</c:v>
                </c:pt>
                <c:pt idx="4232">
                  <c:v>46241</c:v>
                </c:pt>
                <c:pt idx="4233">
                  <c:v>46242</c:v>
                </c:pt>
                <c:pt idx="4234">
                  <c:v>46243</c:v>
                </c:pt>
                <c:pt idx="4235">
                  <c:v>46244</c:v>
                </c:pt>
                <c:pt idx="4236">
                  <c:v>46245</c:v>
                </c:pt>
                <c:pt idx="4237">
                  <c:v>46246</c:v>
                </c:pt>
                <c:pt idx="4238">
                  <c:v>46247</c:v>
                </c:pt>
                <c:pt idx="4239">
                  <c:v>46248</c:v>
                </c:pt>
                <c:pt idx="4240">
                  <c:v>46249</c:v>
                </c:pt>
                <c:pt idx="4241">
                  <c:v>46250</c:v>
                </c:pt>
                <c:pt idx="4242">
                  <c:v>46251</c:v>
                </c:pt>
                <c:pt idx="4243">
                  <c:v>46252</c:v>
                </c:pt>
                <c:pt idx="4244">
                  <c:v>46253</c:v>
                </c:pt>
                <c:pt idx="4245">
                  <c:v>46254</c:v>
                </c:pt>
                <c:pt idx="4246">
                  <c:v>46255</c:v>
                </c:pt>
                <c:pt idx="4247">
                  <c:v>46256</c:v>
                </c:pt>
                <c:pt idx="4248">
                  <c:v>46257</c:v>
                </c:pt>
                <c:pt idx="4249">
                  <c:v>46258</c:v>
                </c:pt>
                <c:pt idx="4250">
                  <c:v>46259</c:v>
                </c:pt>
                <c:pt idx="4251">
                  <c:v>46260</c:v>
                </c:pt>
                <c:pt idx="4252">
                  <c:v>46261</c:v>
                </c:pt>
                <c:pt idx="4253">
                  <c:v>46262</c:v>
                </c:pt>
                <c:pt idx="4254">
                  <c:v>46263</c:v>
                </c:pt>
                <c:pt idx="4255">
                  <c:v>46264</c:v>
                </c:pt>
                <c:pt idx="4256">
                  <c:v>46265</c:v>
                </c:pt>
                <c:pt idx="4257">
                  <c:v>46266</c:v>
                </c:pt>
                <c:pt idx="4258">
                  <c:v>46267</c:v>
                </c:pt>
                <c:pt idx="4259">
                  <c:v>46268</c:v>
                </c:pt>
                <c:pt idx="4260">
                  <c:v>46269</c:v>
                </c:pt>
                <c:pt idx="4261">
                  <c:v>46270</c:v>
                </c:pt>
                <c:pt idx="4262">
                  <c:v>46271</c:v>
                </c:pt>
                <c:pt idx="4263">
                  <c:v>46272</c:v>
                </c:pt>
                <c:pt idx="4264">
                  <c:v>46273</c:v>
                </c:pt>
                <c:pt idx="4265">
                  <c:v>46274</c:v>
                </c:pt>
                <c:pt idx="4266">
                  <c:v>46275</c:v>
                </c:pt>
                <c:pt idx="4267">
                  <c:v>46276</c:v>
                </c:pt>
                <c:pt idx="4268">
                  <c:v>46277</c:v>
                </c:pt>
                <c:pt idx="4269">
                  <c:v>46278</c:v>
                </c:pt>
                <c:pt idx="4270">
                  <c:v>46279</c:v>
                </c:pt>
                <c:pt idx="4271">
                  <c:v>46280</c:v>
                </c:pt>
                <c:pt idx="4272">
                  <c:v>46281</c:v>
                </c:pt>
                <c:pt idx="4273">
                  <c:v>46282</c:v>
                </c:pt>
                <c:pt idx="4274">
                  <c:v>46283</c:v>
                </c:pt>
                <c:pt idx="4275">
                  <c:v>46284</c:v>
                </c:pt>
                <c:pt idx="4276">
                  <c:v>46285</c:v>
                </c:pt>
                <c:pt idx="4277">
                  <c:v>46286</c:v>
                </c:pt>
                <c:pt idx="4278">
                  <c:v>46287</c:v>
                </c:pt>
                <c:pt idx="4279">
                  <c:v>46288</c:v>
                </c:pt>
                <c:pt idx="4280">
                  <c:v>46289</c:v>
                </c:pt>
                <c:pt idx="4281">
                  <c:v>46290</c:v>
                </c:pt>
                <c:pt idx="4282">
                  <c:v>46291</c:v>
                </c:pt>
                <c:pt idx="4283">
                  <c:v>46292</c:v>
                </c:pt>
                <c:pt idx="4284">
                  <c:v>46293</c:v>
                </c:pt>
                <c:pt idx="4285">
                  <c:v>46294</c:v>
                </c:pt>
                <c:pt idx="4286">
                  <c:v>46295</c:v>
                </c:pt>
                <c:pt idx="4287">
                  <c:v>46296</c:v>
                </c:pt>
                <c:pt idx="4288">
                  <c:v>46297</c:v>
                </c:pt>
                <c:pt idx="4289">
                  <c:v>46298</c:v>
                </c:pt>
                <c:pt idx="4290">
                  <c:v>46299</c:v>
                </c:pt>
                <c:pt idx="4291">
                  <c:v>46300</c:v>
                </c:pt>
                <c:pt idx="4292">
                  <c:v>46301</c:v>
                </c:pt>
                <c:pt idx="4293">
                  <c:v>46302</c:v>
                </c:pt>
                <c:pt idx="4294">
                  <c:v>46303</c:v>
                </c:pt>
                <c:pt idx="4295">
                  <c:v>46304</c:v>
                </c:pt>
                <c:pt idx="4296">
                  <c:v>46305</c:v>
                </c:pt>
                <c:pt idx="4297">
                  <c:v>46306</c:v>
                </c:pt>
                <c:pt idx="4298">
                  <c:v>46307</c:v>
                </c:pt>
                <c:pt idx="4299">
                  <c:v>46308</c:v>
                </c:pt>
                <c:pt idx="4300">
                  <c:v>46309</c:v>
                </c:pt>
                <c:pt idx="4301">
                  <c:v>46310</c:v>
                </c:pt>
                <c:pt idx="4302">
                  <c:v>46311</c:v>
                </c:pt>
                <c:pt idx="4303">
                  <c:v>46312</c:v>
                </c:pt>
                <c:pt idx="4304">
                  <c:v>46313</c:v>
                </c:pt>
                <c:pt idx="4305">
                  <c:v>46314</c:v>
                </c:pt>
                <c:pt idx="4306">
                  <c:v>46315</c:v>
                </c:pt>
                <c:pt idx="4307">
                  <c:v>46316</c:v>
                </c:pt>
                <c:pt idx="4308">
                  <c:v>46317</c:v>
                </c:pt>
                <c:pt idx="4309">
                  <c:v>46318</c:v>
                </c:pt>
                <c:pt idx="4310">
                  <c:v>46319</c:v>
                </c:pt>
                <c:pt idx="4311">
                  <c:v>46320</c:v>
                </c:pt>
                <c:pt idx="4312">
                  <c:v>46321</c:v>
                </c:pt>
              </c:numCache>
            </c:numRef>
          </c:xVal>
          <c:yVal>
            <c:numRef>
              <c:f>Clean_Data!$L$2:$L$4314</c:f>
              <c:numCache>
                <c:formatCode>0.00%</c:formatCode>
                <c:ptCount val="43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-0.00238095238095237</c:v>
                </c:pt>
                <c:pt idx="4">
                  <c:v>0</c:v>
                </c:pt>
                <c:pt idx="5">
                  <c:v>-0.00793650793650791</c:v>
                </c:pt>
                <c:pt idx="6">
                  <c:v>-0.0462962962962963</c:v>
                </c:pt>
                <c:pt idx="7">
                  <c:v>-0.0740740740740741</c:v>
                </c:pt>
                <c:pt idx="8">
                  <c:v>-0.100529100529101</c:v>
                </c:pt>
                <c:pt idx="9">
                  <c:v>-0.235476190476191</c:v>
                </c:pt>
                <c:pt idx="10">
                  <c:v>-0.312169312169312</c:v>
                </c:pt>
                <c:pt idx="11">
                  <c:v>-0.682539682539683</c:v>
                </c:pt>
                <c:pt idx="12">
                  <c:v>-0.45973544973545</c:v>
                </c:pt>
                <c:pt idx="13">
                  <c:v>-0.472328042328042</c:v>
                </c:pt>
                <c:pt idx="14">
                  <c:v>-0.513227513227513</c:v>
                </c:pt>
                <c:pt idx="15">
                  <c:v>-0.403412698412698</c:v>
                </c:pt>
                <c:pt idx="16">
                  <c:v>-0.423280423280423</c:v>
                </c:pt>
                <c:pt idx="17">
                  <c:v>-0.403412698412698</c:v>
                </c:pt>
                <c:pt idx="18">
                  <c:v>-0.401269841269841</c:v>
                </c:pt>
                <c:pt idx="19">
                  <c:v>-0.378306878306878</c:v>
                </c:pt>
                <c:pt idx="20">
                  <c:v>-0.365079365079365</c:v>
                </c:pt>
                <c:pt idx="21">
                  <c:v>-0.326640211640212</c:v>
                </c:pt>
                <c:pt idx="22">
                  <c:v>-0.273862433862434</c:v>
                </c:pt>
                <c:pt idx="23">
                  <c:v>-0.302513227513228</c:v>
                </c:pt>
                <c:pt idx="24">
                  <c:v>-0.37542328042328</c:v>
                </c:pt>
                <c:pt idx="25">
                  <c:v>-0.378227513227513</c:v>
                </c:pt>
                <c:pt idx="26">
                  <c:v>-0.393994708994709</c:v>
                </c:pt>
                <c:pt idx="27">
                  <c:v>-0.422089947089947</c:v>
                </c:pt>
                <c:pt idx="28">
                  <c:v>-0.394206349206349</c:v>
                </c:pt>
                <c:pt idx="29">
                  <c:v>-0.370820105820106</c:v>
                </c:pt>
                <c:pt idx="30">
                  <c:v>-0.395291005291005</c:v>
                </c:pt>
                <c:pt idx="31">
                  <c:v>-0.399179894179894</c:v>
                </c:pt>
                <c:pt idx="32">
                  <c:v>-0.426560846560847</c:v>
                </c:pt>
                <c:pt idx="33">
                  <c:v>-0.40952380952381</c:v>
                </c:pt>
                <c:pt idx="34">
                  <c:v>-0.394179894179894</c:v>
                </c:pt>
                <c:pt idx="35">
                  <c:v>-0.407433862433862</c:v>
                </c:pt>
                <c:pt idx="36">
                  <c:v>-0.415079365079365</c:v>
                </c:pt>
                <c:pt idx="37">
                  <c:v>-0.415687830687831</c:v>
                </c:pt>
                <c:pt idx="38">
                  <c:v>-0.418492063492063</c:v>
                </c:pt>
                <c:pt idx="39">
                  <c:v>-0.409497354497354</c:v>
                </c:pt>
                <c:pt idx="40">
                  <c:v>-0.374365079365079</c:v>
                </c:pt>
                <c:pt idx="41">
                  <c:v>-0.321005291005291</c:v>
                </c:pt>
                <c:pt idx="42">
                  <c:v>-0.376878306878307</c:v>
                </c:pt>
                <c:pt idx="43">
                  <c:v>-0.379153439153439</c:v>
                </c:pt>
                <c:pt idx="44">
                  <c:v>-0.352328042328042</c:v>
                </c:pt>
                <c:pt idx="45">
                  <c:v>-0.371719576719577</c:v>
                </c:pt>
                <c:pt idx="46">
                  <c:v>-0.362698412698413</c:v>
                </c:pt>
                <c:pt idx="47">
                  <c:v>-0.350952380952381</c:v>
                </c:pt>
                <c:pt idx="48">
                  <c:v>-0.349232804232804</c:v>
                </c:pt>
                <c:pt idx="49">
                  <c:v>-0.373465608465608</c:v>
                </c:pt>
                <c:pt idx="50">
                  <c:v>-0.366428571428571</c:v>
                </c:pt>
                <c:pt idx="51">
                  <c:v>-0.36542328042328</c:v>
                </c:pt>
                <c:pt idx="52">
                  <c:v>-0.369867724867725</c:v>
                </c:pt>
                <c:pt idx="53">
                  <c:v>-0.372724867724868</c:v>
                </c:pt>
                <c:pt idx="54">
                  <c:v>-0.326931216931217</c:v>
                </c:pt>
                <c:pt idx="55">
                  <c:v>-0.323835978835979</c:v>
                </c:pt>
                <c:pt idx="56">
                  <c:v>-0.311534391534392</c:v>
                </c:pt>
                <c:pt idx="57">
                  <c:v>-0.267989417989418</c:v>
                </c:pt>
                <c:pt idx="58">
                  <c:v>-0.250608465608466</c:v>
                </c:pt>
                <c:pt idx="59">
                  <c:v>-0.276798941798942</c:v>
                </c:pt>
                <c:pt idx="60">
                  <c:v>-0.267566137566138</c:v>
                </c:pt>
                <c:pt idx="61">
                  <c:v>-0.277169312169312</c:v>
                </c:pt>
                <c:pt idx="62">
                  <c:v>-0.267486772486773</c:v>
                </c:pt>
                <c:pt idx="63">
                  <c:v>-0.271164021164021</c:v>
                </c:pt>
                <c:pt idx="64">
                  <c:v>-0.232301587301587</c:v>
                </c:pt>
                <c:pt idx="65">
                  <c:v>-0.223624338624339</c:v>
                </c:pt>
                <c:pt idx="66">
                  <c:v>-0.214312169312169</c:v>
                </c:pt>
                <c:pt idx="67">
                  <c:v>-0.216798941798942</c:v>
                </c:pt>
                <c:pt idx="68">
                  <c:v>-0.248677248677249</c:v>
                </c:pt>
                <c:pt idx="69">
                  <c:v>-0.248809523809524</c:v>
                </c:pt>
                <c:pt idx="70">
                  <c:v>-0.238095238095238</c:v>
                </c:pt>
                <c:pt idx="71">
                  <c:v>-0.226534391534391</c:v>
                </c:pt>
                <c:pt idx="72">
                  <c:v>-0.241428571428571</c:v>
                </c:pt>
                <c:pt idx="73">
                  <c:v>-0.316137566137566</c:v>
                </c:pt>
                <c:pt idx="74">
                  <c:v>-0.304100529100529</c:v>
                </c:pt>
                <c:pt idx="75">
                  <c:v>-0.303412698412698</c:v>
                </c:pt>
                <c:pt idx="76">
                  <c:v>-0.307142857142857</c:v>
                </c:pt>
                <c:pt idx="77">
                  <c:v>-0.287169312169312</c:v>
                </c:pt>
                <c:pt idx="78">
                  <c:v>-0.292248677248677</c:v>
                </c:pt>
                <c:pt idx="79">
                  <c:v>-0.348809523809524</c:v>
                </c:pt>
                <c:pt idx="80">
                  <c:v>-0.346878306878307</c:v>
                </c:pt>
                <c:pt idx="81">
                  <c:v>-0.338941798941799</c:v>
                </c:pt>
                <c:pt idx="82">
                  <c:v>-0.344417989417989</c:v>
                </c:pt>
                <c:pt idx="83">
                  <c:v>-0.329312169312169</c:v>
                </c:pt>
                <c:pt idx="84">
                  <c:v>-0.35531746031746</c:v>
                </c:pt>
                <c:pt idx="85">
                  <c:v>-0.341851851851852</c:v>
                </c:pt>
                <c:pt idx="86">
                  <c:v>-0.350529100529101</c:v>
                </c:pt>
                <c:pt idx="87">
                  <c:v>-0.344259259259259</c:v>
                </c:pt>
                <c:pt idx="88">
                  <c:v>-0.327010582010582</c:v>
                </c:pt>
                <c:pt idx="89">
                  <c:v>-0.325820105820106</c:v>
                </c:pt>
                <c:pt idx="90">
                  <c:v>-0.327089947089947</c:v>
                </c:pt>
                <c:pt idx="91">
                  <c:v>-0.308280423280423</c:v>
                </c:pt>
                <c:pt idx="92">
                  <c:v>-0.320502645502645</c:v>
                </c:pt>
                <c:pt idx="93">
                  <c:v>-0.327328042328042</c:v>
                </c:pt>
                <c:pt idx="94">
                  <c:v>-0.347671957671958</c:v>
                </c:pt>
                <c:pt idx="95">
                  <c:v>-0.352539682539683</c:v>
                </c:pt>
                <c:pt idx="96">
                  <c:v>-0.373597883597884</c:v>
                </c:pt>
                <c:pt idx="97">
                  <c:v>-0.370608465608466</c:v>
                </c:pt>
                <c:pt idx="98">
                  <c:v>-0.371560846560847</c:v>
                </c:pt>
                <c:pt idx="99">
                  <c:v>-0.402830687830688</c:v>
                </c:pt>
                <c:pt idx="100">
                  <c:v>-0.41521164021164</c:v>
                </c:pt>
                <c:pt idx="101">
                  <c:v>-0.406481481481481</c:v>
                </c:pt>
                <c:pt idx="102">
                  <c:v>-0.392989417989418</c:v>
                </c:pt>
                <c:pt idx="103">
                  <c:v>-0.408412698412698</c:v>
                </c:pt>
                <c:pt idx="104">
                  <c:v>-0.407354497354497</c:v>
                </c:pt>
                <c:pt idx="105">
                  <c:v>-0.407328042328042</c:v>
                </c:pt>
                <c:pt idx="106">
                  <c:v>-0.403783068783069</c:v>
                </c:pt>
                <c:pt idx="107">
                  <c:v>-0.375952380952381</c:v>
                </c:pt>
                <c:pt idx="108">
                  <c:v>-0.381005291005291</c:v>
                </c:pt>
                <c:pt idx="109">
                  <c:v>-0.375687830687831</c:v>
                </c:pt>
                <c:pt idx="110">
                  <c:v>-0.387539682539683</c:v>
                </c:pt>
                <c:pt idx="111">
                  <c:v>-0.399338624338624</c:v>
                </c:pt>
                <c:pt idx="112">
                  <c:v>-0.41462962962963</c:v>
                </c:pt>
                <c:pt idx="113">
                  <c:v>-0.397936507936508</c:v>
                </c:pt>
                <c:pt idx="114">
                  <c:v>-0.403068783068783</c:v>
                </c:pt>
                <c:pt idx="115">
                  <c:v>-0.403174603174603</c:v>
                </c:pt>
                <c:pt idx="116">
                  <c:v>-0.373518518518518</c:v>
                </c:pt>
                <c:pt idx="117">
                  <c:v>-0.383227513227513</c:v>
                </c:pt>
                <c:pt idx="118">
                  <c:v>-0.375820105820106</c:v>
                </c:pt>
                <c:pt idx="119">
                  <c:v>-0.363015873015873</c:v>
                </c:pt>
                <c:pt idx="120">
                  <c:v>-0.365740740740741</c:v>
                </c:pt>
                <c:pt idx="121">
                  <c:v>-0.373650793650794</c:v>
                </c:pt>
                <c:pt idx="122">
                  <c:v>-0.391534391534392</c:v>
                </c:pt>
                <c:pt idx="123">
                  <c:v>-0.370396825396825</c:v>
                </c:pt>
                <c:pt idx="124">
                  <c:v>-0.353068783068783</c:v>
                </c:pt>
                <c:pt idx="125">
                  <c:v>-0.358465608465609</c:v>
                </c:pt>
                <c:pt idx="126">
                  <c:v>-0.360925925925926</c:v>
                </c:pt>
                <c:pt idx="127">
                  <c:v>-0.357513227513227</c:v>
                </c:pt>
                <c:pt idx="128">
                  <c:v>-0.359708994708995</c:v>
                </c:pt>
                <c:pt idx="129">
                  <c:v>-0.374814814814815</c:v>
                </c:pt>
                <c:pt idx="130">
                  <c:v>-0.371798941798942</c:v>
                </c:pt>
                <c:pt idx="131">
                  <c:v>-0.370846560846561</c:v>
                </c:pt>
                <c:pt idx="132">
                  <c:v>-0.373730158730159</c:v>
                </c:pt>
                <c:pt idx="133">
                  <c:v>-0.372698412698413</c:v>
                </c:pt>
                <c:pt idx="134">
                  <c:v>-0.380846560846561</c:v>
                </c:pt>
                <c:pt idx="135">
                  <c:v>-0.38468253968254</c:v>
                </c:pt>
                <c:pt idx="136">
                  <c:v>-0.37952380952381</c:v>
                </c:pt>
                <c:pt idx="137">
                  <c:v>-0.376269841269841</c:v>
                </c:pt>
                <c:pt idx="138">
                  <c:v>-0.363888888888889</c:v>
                </c:pt>
                <c:pt idx="139">
                  <c:v>-0.366772486772487</c:v>
                </c:pt>
                <c:pt idx="140">
                  <c:v>-0.362910052910053</c:v>
                </c:pt>
                <c:pt idx="141">
                  <c:v>-0.371878306878307</c:v>
                </c:pt>
                <c:pt idx="142">
                  <c:v>-0.373571428571429</c:v>
                </c:pt>
                <c:pt idx="143">
                  <c:v>-0.372089947089947</c:v>
                </c:pt>
                <c:pt idx="144">
                  <c:v>-0.372116402116402</c:v>
                </c:pt>
                <c:pt idx="145">
                  <c:v>-0.373306878306878</c:v>
                </c:pt>
                <c:pt idx="146">
                  <c:v>-0.382142857142857</c:v>
                </c:pt>
                <c:pt idx="147">
                  <c:v>-0.390978835978836</c:v>
                </c:pt>
                <c:pt idx="148">
                  <c:v>-0.408571428571429</c:v>
                </c:pt>
                <c:pt idx="149">
                  <c:v>-0.402513227513228</c:v>
                </c:pt>
                <c:pt idx="150">
                  <c:v>-0.402486772486772</c:v>
                </c:pt>
                <c:pt idx="151">
                  <c:v>-0.405899470899471</c:v>
                </c:pt>
                <c:pt idx="152">
                  <c:v>-0.40484126984127</c:v>
                </c:pt>
                <c:pt idx="153">
                  <c:v>-0.403492063492064</c:v>
                </c:pt>
                <c:pt idx="154">
                  <c:v>-0.407698412698413</c:v>
                </c:pt>
                <c:pt idx="155">
                  <c:v>-0.393915343915344</c:v>
                </c:pt>
                <c:pt idx="156">
                  <c:v>-0.393703703703704</c:v>
                </c:pt>
                <c:pt idx="157">
                  <c:v>-0.39489417989418</c:v>
                </c:pt>
                <c:pt idx="158">
                  <c:v>-0.392354497354497</c:v>
                </c:pt>
                <c:pt idx="159">
                  <c:v>-0.392936507936508</c:v>
                </c:pt>
                <c:pt idx="160">
                  <c:v>-0.382354497354497</c:v>
                </c:pt>
                <c:pt idx="161">
                  <c:v>-0.382010582010582</c:v>
                </c:pt>
                <c:pt idx="162">
                  <c:v>-0.373042328042328</c:v>
                </c:pt>
                <c:pt idx="163">
                  <c:v>-0.333571428571429</c:v>
                </c:pt>
                <c:pt idx="164">
                  <c:v>-0.337962962962963</c:v>
                </c:pt>
                <c:pt idx="165">
                  <c:v>-0.340555555555556</c:v>
                </c:pt>
                <c:pt idx="166">
                  <c:v>-0.348333333333333</c:v>
                </c:pt>
                <c:pt idx="167">
                  <c:v>-0.348862433862434</c:v>
                </c:pt>
                <c:pt idx="168">
                  <c:v>-0.352751322751323</c:v>
                </c:pt>
                <c:pt idx="169">
                  <c:v>-0.345238095238095</c:v>
                </c:pt>
                <c:pt idx="170">
                  <c:v>-0.353121693121693</c:v>
                </c:pt>
                <c:pt idx="171">
                  <c:v>-0.364973544973545</c:v>
                </c:pt>
                <c:pt idx="172">
                  <c:v>-0.358624338624339</c:v>
                </c:pt>
                <c:pt idx="173">
                  <c:v>-0.357142857142857</c:v>
                </c:pt>
                <c:pt idx="174">
                  <c:v>-0.334417989417989</c:v>
                </c:pt>
                <c:pt idx="175">
                  <c:v>-0.340978835978836</c:v>
                </c:pt>
                <c:pt idx="176">
                  <c:v>-0.318677248677249</c:v>
                </c:pt>
                <c:pt idx="177">
                  <c:v>-0.302063492063492</c:v>
                </c:pt>
                <c:pt idx="178">
                  <c:v>-0.314761904761905</c:v>
                </c:pt>
                <c:pt idx="179">
                  <c:v>-0.325793650793651</c:v>
                </c:pt>
                <c:pt idx="180">
                  <c:v>-0.320238095238095</c:v>
                </c:pt>
                <c:pt idx="181">
                  <c:v>-0.31047619047619</c:v>
                </c:pt>
                <c:pt idx="182">
                  <c:v>-0.281111111111111</c:v>
                </c:pt>
                <c:pt idx="183">
                  <c:v>-0.285873015873016</c:v>
                </c:pt>
                <c:pt idx="184">
                  <c:v>-0.295820105820106</c:v>
                </c:pt>
                <c:pt idx="185">
                  <c:v>-0.283148148148148</c:v>
                </c:pt>
                <c:pt idx="186">
                  <c:v>-0.286375661375661</c:v>
                </c:pt>
                <c:pt idx="187">
                  <c:v>-0.241613756613757</c:v>
                </c:pt>
                <c:pt idx="188">
                  <c:v>-0.221613756613757</c:v>
                </c:pt>
                <c:pt idx="189">
                  <c:v>-0.174179894179894</c:v>
                </c:pt>
                <c:pt idx="190">
                  <c:v>-0.224656084656085</c:v>
                </c:pt>
                <c:pt idx="191">
                  <c:v>-0.239391534391534</c:v>
                </c:pt>
                <c:pt idx="192">
                  <c:v>-0.244179894179894</c:v>
                </c:pt>
                <c:pt idx="193">
                  <c:v>-0.260899470899471</c:v>
                </c:pt>
                <c:pt idx="194">
                  <c:v>-0.257724867724868</c:v>
                </c:pt>
                <c:pt idx="195">
                  <c:v>-0.26531746031746</c:v>
                </c:pt>
                <c:pt idx="196">
                  <c:v>-0.270873015873016</c:v>
                </c:pt>
                <c:pt idx="197">
                  <c:v>-0.259259259259259</c:v>
                </c:pt>
                <c:pt idx="198">
                  <c:v>-0.266349206349206</c:v>
                </c:pt>
                <c:pt idx="199">
                  <c:v>-0.26484126984127</c:v>
                </c:pt>
                <c:pt idx="200">
                  <c:v>-0.266164021164021</c:v>
                </c:pt>
                <c:pt idx="201">
                  <c:v>-0.235132275132275</c:v>
                </c:pt>
                <c:pt idx="202">
                  <c:v>-0.233597883597884</c:v>
                </c:pt>
                <c:pt idx="203">
                  <c:v>-0.222513227513228</c:v>
                </c:pt>
                <c:pt idx="204">
                  <c:v>-0.221666666666667</c:v>
                </c:pt>
                <c:pt idx="205">
                  <c:v>-0.217566137566138</c:v>
                </c:pt>
                <c:pt idx="206">
                  <c:v>-0.232301587301587</c:v>
                </c:pt>
                <c:pt idx="207">
                  <c:v>-0.236798941798942</c:v>
                </c:pt>
                <c:pt idx="208">
                  <c:v>-0.2455291005291</c:v>
                </c:pt>
                <c:pt idx="209">
                  <c:v>-0.25521164021164</c:v>
                </c:pt>
                <c:pt idx="210">
                  <c:v>-0.252328042328042</c:v>
                </c:pt>
                <c:pt idx="211">
                  <c:v>-0.256746031746032</c:v>
                </c:pt>
                <c:pt idx="212">
                  <c:v>-0.24468253968254</c:v>
                </c:pt>
                <c:pt idx="213">
                  <c:v>-0.251931216931217</c:v>
                </c:pt>
                <c:pt idx="214">
                  <c:v>-0.260185185185185</c:v>
                </c:pt>
                <c:pt idx="215">
                  <c:v>-0.259417989417989</c:v>
                </c:pt>
                <c:pt idx="216">
                  <c:v>-0.306825396825397</c:v>
                </c:pt>
                <c:pt idx="217">
                  <c:v>-0.291984126984127</c:v>
                </c:pt>
                <c:pt idx="218">
                  <c:v>-0.298544973544974</c:v>
                </c:pt>
                <c:pt idx="219">
                  <c:v>-0.280449735449735</c:v>
                </c:pt>
                <c:pt idx="220">
                  <c:v>-0.293809523809524</c:v>
                </c:pt>
                <c:pt idx="221">
                  <c:v>-0.299814814814815</c:v>
                </c:pt>
                <c:pt idx="222">
                  <c:v>-0.295846560846561</c:v>
                </c:pt>
                <c:pt idx="223">
                  <c:v>-0.305661375661376</c:v>
                </c:pt>
                <c:pt idx="224">
                  <c:v>-0.314285714285714</c:v>
                </c:pt>
                <c:pt idx="225">
                  <c:v>-0.319285714285714</c:v>
                </c:pt>
                <c:pt idx="226">
                  <c:v>-0.412724867724868</c:v>
                </c:pt>
                <c:pt idx="227">
                  <c:v>-0.398571428571429</c:v>
                </c:pt>
                <c:pt idx="228">
                  <c:v>-0.376825396825397</c:v>
                </c:pt>
                <c:pt idx="229">
                  <c:v>-0.383994708994709</c:v>
                </c:pt>
                <c:pt idx="230">
                  <c:v>-0.388492063492063</c:v>
                </c:pt>
                <c:pt idx="231">
                  <c:v>-0.393624338624339</c:v>
                </c:pt>
                <c:pt idx="232">
                  <c:v>-0.441375661375661</c:v>
                </c:pt>
                <c:pt idx="233">
                  <c:v>-0.408121693121693</c:v>
                </c:pt>
                <c:pt idx="234">
                  <c:v>-0.399973544973545</c:v>
                </c:pt>
                <c:pt idx="235">
                  <c:v>-0.402645502645503</c:v>
                </c:pt>
                <c:pt idx="236">
                  <c:v>-0.387433862433862</c:v>
                </c:pt>
                <c:pt idx="237">
                  <c:v>-0.389920634920635</c:v>
                </c:pt>
                <c:pt idx="238">
                  <c:v>-0.393148148148148</c:v>
                </c:pt>
                <c:pt idx="239">
                  <c:v>-0.389550264550265</c:v>
                </c:pt>
                <c:pt idx="240">
                  <c:v>-0.396243386243386</c:v>
                </c:pt>
                <c:pt idx="241">
                  <c:v>-0.391613756613757</c:v>
                </c:pt>
                <c:pt idx="242">
                  <c:v>-0.398809523809524</c:v>
                </c:pt>
                <c:pt idx="243">
                  <c:v>-0.387857142857143</c:v>
                </c:pt>
                <c:pt idx="244">
                  <c:v>-0.375634920634921</c:v>
                </c:pt>
                <c:pt idx="245">
                  <c:v>-0.361666666666667</c:v>
                </c:pt>
                <c:pt idx="246">
                  <c:v>-0.361613756613757</c:v>
                </c:pt>
                <c:pt idx="247">
                  <c:v>-0.354126984126984</c:v>
                </c:pt>
                <c:pt idx="248">
                  <c:v>-0.368386243386243</c:v>
                </c:pt>
                <c:pt idx="249">
                  <c:v>-0.368994708994709</c:v>
                </c:pt>
                <c:pt idx="250">
                  <c:v>-0.362698412698413</c:v>
                </c:pt>
                <c:pt idx="251">
                  <c:v>-0.374338624338624</c:v>
                </c:pt>
                <c:pt idx="252">
                  <c:v>-0.389365079365079</c:v>
                </c:pt>
                <c:pt idx="253">
                  <c:v>-0.388862433862434</c:v>
                </c:pt>
                <c:pt idx="254">
                  <c:v>-0.38994708994709</c:v>
                </c:pt>
                <c:pt idx="255">
                  <c:v>-0.392248677248677</c:v>
                </c:pt>
                <c:pt idx="256">
                  <c:v>-0.382698412698413</c:v>
                </c:pt>
                <c:pt idx="257">
                  <c:v>-0.381534391534392</c:v>
                </c:pt>
                <c:pt idx="258">
                  <c:v>-0.383915343915344</c:v>
                </c:pt>
                <c:pt idx="259">
                  <c:v>-0.385608465608466</c:v>
                </c:pt>
                <c:pt idx="260">
                  <c:v>-0.398650793650794</c:v>
                </c:pt>
                <c:pt idx="261">
                  <c:v>-0.388148148148148</c:v>
                </c:pt>
                <c:pt idx="262">
                  <c:v>-0.390846560846561</c:v>
                </c:pt>
                <c:pt idx="263">
                  <c:v>-0.377592592592593</c:v>
                </c:pt>
                <c:pt idx="264">
                  <c:v>-0.375952380952381</c:v>
                </c:pt>
                <c:pt idx="265">
                  <c:v>-0.379126984126984</c:v>
                </c:pt>
                <c:pt idx="266">
                  <c:v>-0.382063492063492</c:v>
                </c:pt>
                <c:pt idx="267">
                  <c:v>-0.36510582010582</c:v>
                </c:pt>
                <c:pt idx="268">
                  <c:v>-0.373306878306878</c:v>
                </c:pt>
                <c:pt idx="269">
                  <c:v>-0.372645502645503</c:v>
                </c:pt>
                <c:pt idx="270">
                  <c:v>-0.3694708994709</c:v>
                </c:pt>
                <c:pt idx="271">
                  <c:v>-0.36962962962963</c:v>
                </c:pt>
                <c:pt idx="272">
                  <c:v>-0.365291005291005</c:v>
                </c:pt>
                <c:pt idx="273">
                  <c:v>-0.36542328042328</c:v>
                </c:pt>
                <c:pt idx="274">
                  <c:v>-0.362566137566138</c:v>
                </c:pt>
                <c:pt idx="275">
                  <c:v>-0.347513227513228</c:v>
                </c:pt>
                <c:pt idx="276">
                  <c:v>-0.354497354497355</c:v>
                </c:pt>
                <c:pt idx="277">
                  <c:v>-0.357301587301587</c:v>
                </c:pt>
                <c:pt idx="278">
                  <c:v>-0.353571428571429</c:v>
                </c:pt>
                <c:pt idx="279">
                  <c:v>-0.349021164021164</c:v>
                </c:pt>
                <c:pt idx="280">
                  <c:v>-0.341216931216931</c:v>
                </c:pt>
                <c:pt idx="281">
                  <c:v>-0.348174603174603</c:v>
                </c:pt>
                <c:pt idx="282">
                  <c:v>-0.336005291005291</c:v>
                </c:pt>
                <c:pt idx="283">
                  <c:v>-0.329973544973545</c:v>
                </c:pt>
                <c:pt idx="284">
                  <c:v>-0.32542328042328</c:v>
                </c:pt>
                <c:pt idx="285">
                  <c:v>-0.303095238095238</c:v>
                </c:pt>
                <c:pt idx="286">
                  <c:v>-0.278121693121693</c:v>
                </c:pt>
                <c:pt idx="287">
                  <c:v>-0.298941798941799</c:v>
                </c:pt>
                <c:pt idx="288">
                  <c:v>-0.298492063492064</c:v>
                </c:pt>
                <c:pt idx="289">
                  <c:v>-0.282698412698413</c:v>
                </c:pt>
                <c:pt idx="290">
                  <c:v>-0.288968253968254</c:v>
                </c:pt>
                <c:pt idx="291">
                  <c:v>-0.27026455026455</c:v>
                </c:pt>
                <c:pt idx="292">
                  <c:v>-0.262539682539683</c:v>
                </c:pt>
                <c:pt idx="293">
                  <c:v>-0.247910052910053</c:v>
                </c:pt>
                <c:pt idx="294">
                  <c:v>-0.246111111111111</c:v>
                </c:pt>
                <c:pt idx="295">
                  <c:v>-0.24047619047619</c:v>
                </c:pt>
                <c:pt idx="296">
                  <c:v>-0.217962962962963</c:v>
                </c:pt>
                <c:pt idx="297">
                  <c:v>-0.195529100529101</c:v>
                </c:pt>
                <c:pt idx="298">
                  <c:v>-0.163809523809524</c:v>
                </c:pt>
                <c:pt idx="299">
                  <c:v>-0.129338624338624</c:v>
                </c:pt>
                <c:pt idx="300">
                  <c:v>-0.167063492063492</c:v>
                </c:pt>
                <c:pt idx="301">
                  <c:v>-0.128412698412698</c:v>
                </c:pt>
                <c:pt idx="302">
                  <c:v>-0.0338359788359789</c:v>
                </c:pt>
                <c:pt idx="303">
                  <c:v>0</c:v>
                </c:pt>
                <c:pt idx="304">
                  <c:v>0</c:v>
                </c:pt>
                <c:pt idx="305">
                  <c:v>-0.0555853658536586</c:v>
                </c:pt>
                <c:pt idx="306">
                  <c:v>-0.0875853658536586</c:v>
                </c:pt>
                <c:pt idx="307">
                  <c:v>-0.0614390243902438</c:v>
                </c:pt>
                <c:pt idx="308">
                  <c:v>-0.088219512195122</c:v>
                </c:pt>
                <c:pt idx="309">
                  <c:v>-0.0743170731707318</c:v>
                </c:pt>
                <c:pt idx="310">
                  <c:v>-0.177707317073171</c:v>
                </c:pt>
                <c:pt idx="311">
                  <c:v>-0.23609756097561</c:v>
                </c:pt>
                <c:pt idx="312">
                  <c:v>-0.179292682926829</c:v>
                </c:pt>
                <c:pt idx="313">
                  <c:v>-0.175439024390244</c:v>
                </c:pt>
                <c:pt idx="314">
                  <c:v>-0.183634146341463</c:v>
                </c:pt>
                <c:pt idx="315">
                  <c:v>-0.212365853658537</c:v>
                </c:pt>
                <c:pt idx="316">
                  <c:v>-0.188073170731707</c:v>
                </c:pt>
                <c:pt idx="317">
                  <c:v>-0.179292682926829</c:v>
                </c:pt>
                <c:pt idx="318">
                  <c:v>-0.181731707317073</c:v>
                </c:pt>
                <c:pt idx="319">
                  <c:v>-0.203878048780488</c:v>
                </c:pt>
                <c:pt idx="320">
                  <c:v>-0.213682926829268</c:v>
                </c:pt>
                <c:pt idx="321">
                  <c:v>-0.202439024390244</c:v>
                </c:pt>
                <c:pt idx="322">
                  <c:v>-0.210463414634146</c:v>
                </c:pt>
                <c:pt idx="323">
                  <c:v>-0.212195121951219</c:v>
                </c:pt>
                <c:pt idx="324">
                  <c:v>-0.217073170731707</c:v>
                </c:pt>
                <c:pt idx="325">
                  <c:v>-0.197609756097561</c:v>
                </c:pt>
                <c:pt idx="326">
                  <c:v>-0.140073170731707</c:v>
                </c:pt>
                <c:pt idx="327">
                  <c:v>-0.126365853658537</c:v>
                </c:pt>
                <c:pt idx="328">
                  <c:v>-0.128682926829268</c:v>
                </c:pt>
                <c:pt idx="329">
                  <c:v>-0.0920975609756097</c:v>
                </c:pt>
                <c:pt idx="330">
                  <c:v>-0.0808292682926829</c:v>
                </c:pt>
                <c:pt idx="331">
                  <c:v>-0.115414634146341</c:v>
                </c:pt>
                <c:pt idx="332">
                  <c:v>-0.121951219512195</c:v>
                </c:pt>
                <c:pt idx="333">
                  <c:v>-0.117634146341463</c:v>
                </c:pt>
                <c:pt idx="334">
                  <c:v>-0.112243902439024</c:v>
                </c:pt>
                <c:pt idx="335">
                  <c:v>-0.0536829268292682</c:v>
                </c:pt>
                <c:pt idx="336">
                  <c:v>-0.0547560975609756</c:v>
                </c:pt>
                <c:pt idx="337">
                  <c:v>-0.0372439024390243</c:v>
                </c:pt>
                <c:pt idx="338">
                  <c:v>0</c:v>
                </c:pt>
                <c:pt idx="339">
                  <c:v>-0.00131283716045261</c:v>
                </c:pt>
                <c:pt idx="340">
                  <c:v>-0.00778154389650065</c:v>
                </c:pt>
                <c:pt idx="341">
                  <c:v>0</c:v>
                </c:pt>
                <c:pt idx="342">
                  <c:v>-0.0355006071310299</c:v>
                </c:pt>
                <c:pt idx="343">
                  <c:v>-0.0422121646980903</c:v>
                </c:pt>
                <c:pt idx="344">
                  <c:v>-0.0197372778452368</c:v>
                </c:pt>
                <c:pt idx="345">
                  <c:v>0</c:v>
                </c:pt>
                <c:pt idx="346">
                  <c:v>-0.0221853662739353</c:v>
                </c:pt>
                <c:pt idx="347">
                  <c:v>-0.0188898701186809</c:v>
                </c:pt>
                <c:pt idx="348">
                  <c:v>-0.002369310961294</c:v>
                </c:pt>
                <c:pt idx="349">
                  <c:v>-0.00641867878605118</c:v>
                </c:pt>
                <c:pt idx="350">
                  <c:v>-0.0474939151786675</c:v>
                </c:pt>
                <c:pt idx="351">
                  <c:v>-0.0591466172701229</c:v>
                </c:pt>
                <c:pt idx="352">
                  <c:v>-0.0653714433411592</c:v>
                </c:pt>
                <c:pt idx="353">
                  <c:v>-0.0470415921769659</c:v>
                </c:pt>
                <c:pt idx="354">
                  <c:v>-0.0183729295453077</c:v>
                </c:pt>
                <c:pt idx="355">
                  <c:v>-0.0181575376397355</c:v>
                </c:pt>
                <c:pt idx="356">
                  <c:v>-0.0966248088396837</c:v>
                </c:pt>
                <c:pt idx="357">
                  <c:v>-0.0851874986538005</c:v>
                </c:pt>
                <c:pt idx="358">
                  <c:v>-0.0911753936287074</c:v>
                </c:pt>
                <c:pt idx="359">
                  <c:v>-0.0654360609128309</c:v>
                </c:pt>
                <c:pt idx="360">
                  <c:v>-0.0782303401038189</c:v>
                </c:pt>
                <c:pt idx="361">
                  <c:v>-0.0730609343700863</c:v>
                </c:pt>
                <c:pt idx="362">
                  <c:v>-0.0616236241842031</c:v>
                </c:pt>
                <c:pt idx="363">
                  <c:v>-0.0621836431386909</c:v>
                </c:pt>
                <c:pt idx="364">
                  <c:v>-0.0697008206431602</c:v>
                </c:pt>
                <c:pt idx="365">
                  <c:v>-0.0655222176750597</c:v>
                </c:pt>
                <c:pt idx="366">
                  <c:v>-0.066620716393478</c:v>
                </c:pt>
                <c:pt idx="367">
                  <c:v>-0.0719408964611109</c:v>
                </c:pt>
                <c:pt idx="368">
                  <c:v>-0.0112003790897538</c:v>
                </c:pt>
                <c:pt idx="369">
                  <c:v>-0.0211730243177461</c:v>
                </c:pt>
                <c:pt idx="370">
                  <c:v>-0.0299179356839769</c:v>
                </c:pt>
                <c:pt idx="371">
                  <c:v>-0.0307579641157085</c:v>
                </c:pt>
                <c:pt idx="372">
                  <c:v>-0.032481099360286</c:v>
                </c:pt>
                <c:pt idx="373">
                  <c:v>-0.0651775906261443</c:v>
                </c:pt>
                <c:pt idx="374">
                  <c:v>-0.0678484502552395</c:v>
                </c:pt>
                <c:pt idx="375">
                  <c:v>-0.0737501884679174</c:v>
                </c:pt>
                <c:pt idx="376">
                  <c:v>-0.229909320007754</c:v>
                </c:pt>
                <c:pt idx="377">
                  <c:v>-0.162771663040903</c:v>
                </c:pt>
                <c:pt idx="378">
                  <c:v>-0.184827794171495</c:v>
                </c:pt>
                <c:pt idx="379">
                  <c:v>-0.170978094643203</c:v>
                </c:pt>
                <c:pt idx="380">
                  <c:v>-0.191698795959248</c:v>
                </c:pt>
                <c:pt idx="381">
                  <c:v>-0.0984987184181617</c:v>
                </c:pt>
                <c:pt idx="382">
                  <c:v>-0.118228616968574</c:v>
                </c:pt>
                <c:pt idx="383">
                  <c:v>-0.17526439356409</c:v>
                </c:pt>
                <c:pt idx="384">
                  <c:v>-0.165356365907769</c:v>
                </c:pt>
                <c:pt idx="385">
                  <c:v>-0.131862924591294</c:v>
                </c:pt>
                <c:pt idx="386">
                  <c:v>-0.156956081590454</c:v>
                </c:pt>
                <c:pt idx="387">
                  <c:v>-0.156654532922653</c:v>
                </c:pt>
                <c:pt idx="388">
                  <c:v>-0.149654295991557</c:v>
                </c:pt>
                <c:pt idx="389">
                  <c:v>-0.182350787257415</c:v>
                </c:pt>
                <c:pt idx="390">
                  <c:v>-0.184353931979236</c:v>
                </c:pt>
                <c:pt idx="391">
                  <c:v>-0.184827794171495</c:v>
                </c:pt>
                <c:pt idx="392">
                  <c:v>-0.207465483447132</c:v>
                </c:pt>
                <c:pt idx="393">
                  <c:v>-0.200185237038792</c:v>
                </c:pt>
                <c:pt idx="394">
                  <c:v>-0.196738966549637</c:v>
                </c:pt>
                <c:pt idx="395">
                  <c:v>-0.205483877915868</c:v>
                </c:pt>
                <c:pt idx="396">
                  <c:v>-0.164300945570465</c:v>
                </c:pt>
                <c:pt idx="397">
                  <c:v>-0.171818123074935</c:v>
                </c:pt>
                <c:pt idx="398">
                  <c:v>-0.191332629719775</c:v>
                </c:pt>
                <c:pt idx="399">
                  <c:v>-0.186917095655545</c:v>
                </c:pt>
                <c:pt idx="400">
                  <c:v>-0.200594481659379</c:v>
                </c:pt>
                <c:pt idx="401">
                  <c:v>-0.197277446313567</c:v>
                </c:pt>
                <c:pt idx="402">
                  <c:v>-0.184870872552609</c:v>
                </c:pt>
                <c:pt idx="403">
                  <c:v>-0.185323195554311</c:v>
                </c:pt>
                <c:pt idx="404">
                  <c:v>-0.177095224761453</c:v>
                </c:pt>
                <c:pt idx="405">
                  <c:v>-0.157817649212743</c:v>
                </c:pt>
                <c:pt idx="406">
                  <c:v>-0.124238051134038</c:v>
                </c:pt>
                <c:pt idx="407">
                  <c:v>-0.140693992719754</c:v>
                </c:pt>
                <c:pt idx="408">
                  <c:v>-0.122450298317789</c:v>
                </c:pt>
                <c:pt idx="409">
                  <c:v>-0.105692808064273</c:v>
                </c:pt>
                <c:pt idx="410">
                  <c:v>-0.0927908329204988</c:v>
                </c:pt>
                <c:pt idx="411">
                  <c:v>-0.093803174876688</c:v>
                </c:pt>
                <c:pt idx="412">
                  <c:v>-0.0577465698839038</c:v>
                </c:pt>
                <c:pt idx="413">
                  <c:v>-0.0553772589226097</c:v>
                </c:pt>
                <c:pt idx="414">
                  <c:v>-0.0575527171688888</c:v>
                </c:pt>
                <c:pt idx="415">
                  <c:v>-0.0954186141684794</c:v>
                </c:pt>
                <c:pt idx="416">
                  <c:v>-0.0868675555172637</c:v>
                </c:pt>
                <c:pt idx="417">
                  <c:v>-0.0877291231395524</c:v>
                </c:pt>
                <c:pt idx="418">
                  <c:v>-0.0719839748422253</c:v>
                </c:pt>
                <c:pt idx="419">
                  <c:v>-0.0670945785857368</c:v>
                </c:pt>
                <c:pt idx="420">
                  <c:v>-0.0657806879617463</c:v>
                </c:pt>
                <c:pt idx="421">
                  <c:v>-0.05994356732074</c:v>
                </c:pt>
                <c:pt idx="422">
                  <c:v>-0.0671807353479657</c:v>
                </c:pt>
                <c:pt idx="423">
                  <c:v>-0.0945139681650764</c:v>
                </c:pt>
                <c:pt idx="424">
                  <c:v>-0.0979386994636741</c:v>
                </c:pt>
                <c:pt idx="425">
                  <c:v>-0.12260107265169</c:v>
                </c:pt>
                <c:pt idx="426">
                  <c:v>-0.146875740409675</c:v>
                </c:pt>
                <c:pt idx="427">
                  <c:v>-0.131453679970707</c:v>
                </c:pt>
                <c:pt idx="428">
                  <c:v>-0.112133026040881</c:v>
                </c:pt>
                <c:pt idx="429">
                  <c:v>-0.114351562668275</c:v>
                </c:pt>
                <c:pt idx="430">
                  <c:v>-0.110862213798005</c:v>
                </c:pt>
                <c:pt idx="431">
                  <c:v>-0.10401275120081</c:v>
                </c:pt>
                <c:pt idx="432">
                  <c:v>-0.0966678872207982</c:v>
                </c:pt>
                <c:pt idx="433">
                  <c:v>-0.115643914101708</c:v>
                </c:pt>
                <c:pt idx="434">
                  <c:v>-0.111465311133608</c:v>
                </c:pt>
                <c:pt idx="435">
                  <c:v>-0.106080513494303</c:v>
                </c:pt>
                <c:pt idx="436">
                  <c:v>-0.105240485062571</c:v>
                </c:pt>
                <c:pt idx="437">
                  <c:v>-0.103818898485795</c:v>
                </c:pt>
                <c:pt idx="438">
                  <c:v>-0.0987787278954057</c:v>
                </c:pt>
                <c:pt idx="439">
                  <c:v>-0.117647058823529</c:v>
                </c:pt>
                <c:pt idx="440">
                  <c:v>-0.116462403342882</c:v>
                </c:pt>
                <c:pt idx="441">
                  <c:v>-0.11415770995326</c:v>
                </c:pt>
                <c:pt idx="442">
                  <c:v>-0.112585349042583</c:v>
                </c:pt>
                <c:pt idx="443">
                  <c:v>-0.102548086242919</c:v>
                </c:pt>
                <c:pt idx="444">
                  <c:v>-0.100674176664441</c:v>
                </c:pt>
                <c:pt idx="445">
                  <c:v>-0.110539125939647</c:v>
                </c:pt>
                <c:pt idx="446">
                  <c:v>-0.103086566006849</c:v>
                </c:pt>
                <c:pt idx="447">
                  <c:v>-0.101880371335645</c:v>
                </c:pt>
                <c:pt idx="448">
                  <c:v>-0.0839382256014818</c:v>
                </c:pt>
                <c:pt idx="449">
                  <c:v>-0.0888922394296422</c:v>
                </c:pt>
                <c:pt idx="450">
                  <c:v>-0.103129644387964</c:v>
                </c:pt>
                <c:pt idx="451">
                  <c:v>-0.110883752988563</c:v>
                </c:pt>
                <c:pt idx="452">
                  <c:v>-0.103905055248024</c:v>
                </c:pt>
                <c:pt idx="453">
                  <c:v>-0.100351088806083</c:v>
                </c:pt>
                <c:pt idx="454">
                  <c:v>-0.095461692549594</c:v>
                </c:pt>
                <c:pt idx="455">
                  <c:v>-0.0950093695478923</c:v>
                </c:pt>
                <c:pt idx="456">
                  <c:v>-0.0964955736963404</c:v>
                </c:pt>
                <c:pt idx="457">
                  <c:v>-0.0902707476253042</c:v>
                </c:pt>
                <c:pt idx="458">
                  <c:v>-0.0922092747754539</c:v>
                </c:pt>
                <c:pt idx="459">
                  <c:v>-0.0910676976759213</c:v>
                </c:pt>
                <c:pt idx="460">
                  <c:v>-0.0964740345057832</c:v>
                </c:pt>
                <c:pt idx="461">
                  <c:v>-0.0965171128868977</c:v>
                </c:pt>
                <c:pt idx="462">
                  <c:v>-0.0880306718073535</c:v>
                </c:pt>
                <c:pt idx="463">
                  <c:v>-0.0868675555172637</c:v>
                </c:pt>
                <c:pt idx="464">
                  <c:v>-0.0785534279621771</c:v>
                </c:pt>
                <c:pt idx="465">
                  <c:v>-0.0833351282658797</c:v>
                </c:pt>
                <c:pt idx="466">
                  <c:v>-0.0817412281646456</c:v>
                </c:pt>
                <c:pt idx="467">
                  <c:v>-0.0718116613177676</c:v>
                </c:pt>
                <c:pt idx="468">
                  <c:v>-0.0665130204406919</c:v>
                </c:pt>
                <c:pt idx="469">
                  <c:v>-0.0716608869838671</c:v>
                </c:pt>
                <c:pt idx="470">
                  <c:v>-0.0717255045555387</c:v>
                </c:pt>
                <c:pt idx="471">
                  <c:v>-0.0586081375061924</c:v>
                </c:pt>
                <c:pt idx="472">
                  <c:v>-0.0459000150774334</c:v>
                </c:pt>
                <c:pt idx="473">
                  <c:v>-0.025890107049777</c:v>
                </c:pt>
                <c:pt idx="474">
                  <c:v>-0.034161156223749</c:v>
                </c:pt>
                <c:pt idx="475">
                  <c:v>-0.0184806254980937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-0.0537197985507554</c:v>
                </c:pt>
                <c:pt idx="480">
                  <c:v>-0.0401835993115025</c:v>
                </c:pt>
                <c:pt idx="481">
                  <c:v>-0.0250111562081642</c:v>
                </c:pt>
                <c:pt idx="482">
                  <c:v>-0.0352111179583077</c:v>
                </c:pt>
                <c:pt idx="483">
                  <c:v>-0.0289211415457191</c:v>
                </c:pt>
                <c:pt idx="484">
                  <c:v>-0.0513610573960347</c:v>
                </c:pt>
                <c:pt idx="485">
                  <c:v>-0.0390573535349242</c:v>
                </c:pt>
                <c:pt idx="486">
                  <c:v>-0.0465585754053421</c:v>
                </c:pt>
                <c:pt idx="487">
                  <c:v>-0.0437960857646783</c:v>
                </c:pt>
                <c:pt idx="488">
                  <c:v>-0.0175949340189974</c:v>
                </c:pt>
                <c:pt idx="489">
                  <c:v>-0.0184449308315093</c:v>
                </c:pt>
                <c:pt idx="490">
                  <c:v>-0.016574937843983</c:v>
                </c:pt>
                <c:pt idx="491">
                  <c:v>-0.0136636987611295</c:v>
                </c:pt>
                <c:pt idx="492">
                  <c:v>-0.0378461080770948</c:v>
                </c:pt>
                <c:pt idx="493">
                  <c:v>-0.0344673707473596</c:v>
                </c:pt>
                <c:pt idx="494">
                  <c:v>-0.029983637561359</c:v>
                </c:pt>
                <c:pt idx="495">
                  <c:v>-0.0267961495144392</c:v>
                </c:pt>
                <c:pt idx="496">
                  <c:v>-0.0248411568456618</c:v>
                </c:pt>
                <c:pt idx="497">
                  <c:v>-0.0193799273252724</c:v>
                </c:pt>
                <c:pt idx="498">
                  <c:v>-0.0317261310270085</c:v>
                </c:pt>
                <c:pt idx="499">
                  <c:v>-0.0348498693129901</c:v>
                </c:pt>
                <c:pt idx="500">
                  <c:v>-0.0319386302301365</c:v>
                </c:pt>
                <c:pt idx="501">
                  <c:v>-0.068445993327525</c:v>
                </c:pt>
                <c:pt idx="502">
                  <c:v>-0.0529973012601203</c:v>
                </c:pt>
                <c:pt idx="503">
                  <c:v>-0.0516585562804139</c:v>
                </c:pt>
                <c:pt idx="504">
                  <c:v>-0.0597335259992774</c:v>
                </c:pt>
                <c:pt idx="505">
                  <c:v>-0.0529548014194946</c:v>
                </c:pt>
                <c:pt idx="506">
                  <c:v>-0.0501498119382051</c:v>
                </c:pt>
                <c:pt idx="507">
                  <c:v>-0.0405873477974457</c:v>
                </c:pt>
                <c:pt idx="508">
                  <c:v>-0.0331923755285917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-0.00227208712796911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-0.00197810206312576</c:v>
                </c:pt>
                <c:pt idx="519">
                  <c:v>0</c:v>
                </c:pt>
                <c:pt idx="520">
                  <c:v>-0.0120319716413585</c:v>
                </c:pt>
                <c:pt idx="521">
                  <c:v>-0.00606711317892861</c:v>
                </c:pt>
                <c:pt idx="522">
                  <c:v>-0.0158665235100635</c:v>
                </c:pt>
                <c:pt idx="523">
                  <c:v>-0.0110094244763707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-0.0298296058129488</c:v>
                </c:pt>
                <c:pt idx="528">
                  <c:v>-0.0102406481494597</c:v>
                </c:pt>
                <c:pt idx="529">
                  <c:v>0</c:v>
                </c:pt>
                <c:pt idx="530">
                  <c:v>-0.0227343587611724</c:v>
                </c:pt>
                <c:pt idx="531">
                  <c:v>-0.0139913739347329</c:v>
                </c:pt>
                <c:pt idx="532">
                  <c:v>-0.00129910621492413</c:v>
                </c:pt>
                <c:pt idx="533">
                  <c:v>-0.0865724381625441</c:v>
                </c:pt>
                <c:pt idx="534">
                  <c:v>-0.132638744543754</c:v>
                </c:pt>
                <c:pt idx="535">
                  <c:v>-0.214690293078362</c:v>
                </c:pt>
                <c:pt idx="536">
                  <c:v>-0.18013406776138</c:v>
                </c:pt>
                <c:pt idx="537">
                  <c:v>-0.12962481812513</c:v>
                </c:pt>
                <c:pt idx="538">
                  <c:v>-0.124779151943463</c:v>
                </c:pt>
                <c:pt idx="539">
                  <c:v>-0.170442735398046</c:v>
                </c:pt>
                <c:pt idx="540">
                  <c:v>-0.145356994387861</c:v>
                </c:pt>
                <c:pt idx="541">
                  <c:v>-0.157620557056745</c:v>
                </c:pt>
                <c:pt idx="542">
                  <c:v>-0.169325504053211</c:v>
                </c:pt>
                <c:pt idx="543">
                  <c:v>-0.125064955310746</c:v>
                </c:pt>
                <c:pt idx="544">
                  <c:v>-0.118959156100603</c:v>
                </c:pt>
                <c:pt idx="545">
                  <c:v>-0.084195073789233</c:v>
                </c:pt>
                <c:pt idx="546">
                  <c:v>-0.137978071087092</c:v>
                </c:pt>
                <c:pt idx="547">
                  <c:v>-0.11403554354604</c:v>
                </c:pt>
                <c:pt idx="548">
                  <c:v>-0.129767719808772</c:v>
                </c:pt>
                <c:pt idx="549">
                  <c:v>-0.118179692371648</c:v>
                </c:pt>
                <c:pt idx="550">
                  <c:v>-0.166012783205155</c:v>
                </c:pt>
                <c:pt idx="551">
                  <c:v>-0.133067449594679</c:v>
                </c:pt>
                <c:pt idx="552">
                  <c:v>-0.145694762003741</c:v>
                </c:pt>
                <c:pt idx="553">
                  <c:v>-0.152411141134899</c:v>
                </c:pt>
                <c:pt idx="554">
                  <c:v>-0.154320827270838</c:v>
                </c:pt>
                <c:pt idx="555">
                  <c:v>-0.134067761380171</c:v>
                </c:pt>
                <c:pt idx="556">
                  <c:v>-0.148643733111619</c:v>
                </c:pt>
                <c:pt idx="557">
                  <c:v>-0.140446372895448</c:v>
                </c:pt>
                <c:pt idx="558">
                  <c:v>-0.13287258366244</c:v>
                </c:pt>
                <c:pt idx="559">
                  <c:v>-0.134379546871752</c:v>
                </c:pt>
                <c:pt idx="560">
                  <c:v>-0.11660777385159</c:v>
                </c:pt>
                <c:pt idx="561">
                  <c:v>-0.122453751818749</c:v>
                </c:pt>
                <c:pt idx="562">
                  <c:v>-0.124428393265433</c:v>
                </c:pt>
                <c:pt idx="563">
                  <c:v>-0.133600083142798</c:v>
                </c:pt>
                <c:pt idx="564">
                  <c:v>-0.133132404905425</c:v>
                </c:pt>
                <c:pt idx="565">
                  <c:v>-0.149514134275618</c:v>
                </c:pt>
                <c:pt idx="566">
                  <c:v>-0.145837663687383</c:v>
                </c:pt>
                <c:pt idx="567">
                  <c:v>-0.141290791935149</c:v>
                </c:pt>
                <c:pt idx="568">
                  <c:v>-0.145460922885055</c:v>
                </c:pt>
                <c:pt idx="569">
                  <c:v>-0.150306589066722</c:v>
                </c:pt>
                <c:pt idx="570">
                  <c:v>-0.146032529619622</c:v>
                </c:pt>
                <c:pt idx="571">
                  <c:v>-0.145967574308876</c:v>
                </c:pt>
                <c:pt idx="572">
                  <c:v>-0.146487216794845</c:v>
                </c:pt>
                <c:pt idx="573">
                  <c:v>-0.147955206817709</c:v>
                </c:pt>
                <c:pt idx="574">
                  <c:v>-0.185499376429017</c:v>
                </c:pt>
                <c:pt idx="575">
                  <c:v>-0.213780918727915</c:v>
                </c:pt>
                <c:pt idx="576">
                  <c:v>-0.301769382664727</c:v>
                </c:pt>
                <c:pt idx="577">
                  <c:v>-0.2551444606111</c:v>
                </c:pt>
                <c:pt idx="578">
                  <c:v>-0.236775098732072</c:v>
                </c:pt>
                <c:pt idx="579">
                  <c:v>-0.242621076699231</c:v>
                </c:pt>
                <c:pt idx="580">
                  <c:v>-0.231305861567242</c:v>
                </c:pt>
                <c:pt idx="581">
                  <c:v>-0.226849927250052</c:v>
                </c:pt>
                <c:pt idx="582">
                  <c:v>-0.231604655996674</c:v>
                </c:pt>
                <c:pt idx="583">
                  <c:v>-0.238139160257743</c:v>
                </c:pt>
                <c:pt idx="584">
                  <c:v>-0.227109748493037</c:v>
                </c:pt>
                <c:pt idx="585">
                  <c:v>-0.236242465183953</c:v>
                </c:pt>
                <c:pt idx="586">
                  <c:v>-0.236463313240491</c:v>
                </c:pt>
                <c:pt idx="587">
                  <c:v>-0.238139160257743</c:v>
                </c:pt>
                <c:pt idx="588">
                  <c:v>-0.253026917480773</c:v>
                </c:pt>
                <c:pt idx="589">
                  <c:v>-0.262380482228227</c:v>
                </c:pt>
                <c:pt idx="590">
                  <c:v>-0.247791519434629</c:v>
                </c:pt>
                <c:pt idx="591">
                  <c:v>-0.253728434836832</c:v>
                </c:pt>
                <c:pt idx="592">
                  <c:v>-0.254196113074205</c:v>
                </c:pt>
                <c:pt idx="593">
                  <c:v>-0.254741737684473</c:v>
                </c:pt>
                <c:pt idx="594">
                  <c:v>-0.244089066722095</c:v>
                </c:pt>
                <c:pt idx="595">
                  <c:v>-0.244842548326751</c:v>
                </c:pt>
                <c:pt idx="596">
                  <c:v>-0.239763043026398</c:v>
                </c:pt>
                <c:pt idx="597">
                  <c:v>-0.243413531490335</c:v>
                </c:pt>
                <c:pt idx="598">
                  <c:v>-0.248506027852837</c:v>
                </c:pt>
                <c:pt idx="599">
                  <c:v>-0.252260444813968</c:v>
                </c:pt>
                <c:pt idx="600">
                  <c:v>-0.2474407607566</c:v>
                </c:pt>
                <c:pt idx="601">
                  <c:v>-0.258418208272708</c:v>
                </c:pt>
                <c:pt idx="602">
                  <c:v>-0.252481292870505</c:v>
                </c:pt>
                <c:pt idx="603">
                  <c:v>-0.255339326543338</c:v>
                </c:pt>
                <c:pt idx="604">
                  <c:v>-0.25307888172937</c:v>
                </c:pt>
                <c:pt idx="605">
                  <c:v>-0.255755040532114</c:v>
                </c:pt>
                <c:pt idx="606">
                  <c:v>-0.255586156724174</c:v>
                </c:pt>
                <c:pt idx="607">
                  <c:v>-0.251442007898566</c:v>
                </c:pt>
                <c:pt idx="608">
                  <c:v>-0.21935408438994</c:v>
                </c:pt>
                <c:pt idx="609">
                  <c:v>-0.205050924963625</c:v>
                </c:pt>
                <c:pt idx="610">
                  <c:v>-0.213144356682602</c:v>
                </c:pt>
                <c:pt idx="611">
                  <c:v>-0.203660881313656</c:v>
                </c:pt>
                <c:pt idx="612">
                  <c:v>-0.200776865516525</c:v>
                </c:pt>
                <c:pt idx="613">
                  <c:v>-0.184200270214093</c:v>
                </c:pt>
                <c:pt idx="614">
                  <c:v>-0.191864996882145</c:v>
                </c:pt>
                <c:pt idx="615">
                  <c:v>-0.189695489503222</c:v>
                </c:pt>
                <c:pt idx="616">
                  <c:v>-0.210221367699023</c:v>
                </c:pt>
                <c:pt idx="617">
                  <c:v>-0.211780295156932</c:v>
                </c:pt>
                <c:pt idx="618">
                  <c:v>-0.209324984410725</c:v>
                </c:pt>
                <c:pt idx="619">
                  <c:v>-0.20958480565371</c:v>
                </c:pt>
                <c:pt idx="620">
                  <c:v>-0.213469133236333</c:v>
                </c:pt>
                <c:pt idx="621">
                  <c:v>-0.210234358761172</c:v>
                </c:pt>
                <c:pt idx="622">
                  <c:v>-0.210247349823322</c:v>
                </c:pt>
                <c:pt idx="623">
                  <c:v>-0.205726460195386</c:v>
                </c:pt>
                <c:pt idx="624">
                  <c:v>-0.209363957597173</c:v>
                </c:pt>
                <c:pt idx="625">
                  <c:v>-0.213261276241945</c:v>
                </c:pt>
                <c:pt idx="626">
                  <c:v>-0.224433589690293</c:v>
                </c:pt>
                <c:pt idx="627">
                  <c:v>-0.225459883600083</c:v>
                </c:pt>
                <c:pt idx="628">
                  <c:v>-0.216690916649345</c:v>
                </c:pt>
                <c:pt idx="629">
                  <c:v>-0.2157555601746</c:v>
                </c:pt>
                <c:pt idx="630">
                  <c:v>-0.218366763666597</c:v>
                </c:pt>
                <c:pt idx="631">
                  <c:v>-0.211338599043858</c:v>
                </c:pt>
                <c:pt idx="632">
                  <c:v>-0.213118374558304</c:v>
                </c:pt>
                <c:pt idx="633">
                  <c:v>-0.213988775722303</c:v>
                </c:pt>
                <c:pt idx="634">
                  <c:v>-0.212754624818125</c:v>
                </c:pt>
                <c:pt idx="635">
                  <c:v>-0.208857306173353</c:v>
                </c:pt>
                <c:pt idx="636">
                  <c:v>-0.200205258781958</c:v>
                </c:pt>
                <c:pt idx="637">
                  <c:v>-0.204427353980461</c:v>
                </c:pt>
                <c:pt idx="638">
                  <c:v>-0.203660881313656</c:v>
                </c:pt>
                <c:pt idx="639">
                  <c:v>-0.207103512783205</c:v>
                </c:pt>
                <c:pt idx="640">
                  <c:v>-0.203440033257119</c:v>
                </c:pt>
                <c:pt idx="641">
                  <c:v>-0.205102889212222</c:v>
                </c:pt>
                <c:pt idx="642">
                  <c:v>-0.197178341301185</c:v>
                </c:pt>
                <c:pt idx="643">
                  <c:v>-0.1952036998545</c:v>
                </c:pt>
                <c:pt idx="644">
                  <c:v>-0.197905840781542</c:v>
                </c:pt>
                <c:pt idx="645">
                  <c:v>-0.196217002702141</c:v>
                </c:pt>
                <c:pt idx="646">
                  <c:v>-0.165817917272916</c:v>
                </c:pt>
                <c:pt idx="647">
                  <c:v>-0.174041259613386</c:v>
                </c:pt>
                <c:pt idx="648">
                  <c:v>-0.174210143421326</c:v>
                </c:pt>
                <c:pt idx="649">
                  <c:v>-0.171131261691956</c:v>
                </c:pt>
                <c:pt idx="650">
                  <c:v>-0.170962377884016</c:v>
                </c:pt>
                <c:pt idx="651">
                  <c:v>-0.166077738515901</c:v>
                </c:pt>
                <c:pt idx="652">
                  <c:v>-0.169143629183122</c:v>
                </c:pt>
                <c:pt idx="653">
                  <c:v>-0.174924651839534</c:v>
                </c:pt>
                <c:pt idx="654">
                  <c:v>-0.181835896902931</c:v>
                </c:pt>
                <c:pt idx="655">
                  <c:v>-0.184096341716899</c:v>
                </c:pt>
                <c:pt idx="656">
                  <c:v>-0.18048482643941</c:v>
                </c:pt>
                <c:pt idx="657">
                  <c:v>-0.152008418208273</c:v>
                </c:pt>
                <c:pt idx="658">
                  <c:v>-0.154229889835793</c:v>
                </c:pt>
                <c:pt idx="659">
                  <c:v>-0.155606942423613</c:v>
                </c:pt>
                <c:pt idx="660">
                  <c:v>-0.14999480357514</c:v>
                </c:pt>
                <c:pt idx="661">
                  <c:v>-0.124402411141135</c:v>
                </c:pt>
                <c:pt idx="662">
                  <c:v>-0.102044793182291</c:v>
                </c:pt>
                <c:pt idx="663">
                  <c:v>-0.103681667013095</c:v>
                </c:pt>
                <c:pt idx="664">
                  <c:v>-0.0720744128039909</c:v>
                </c:pt>
                <c:pt idx="665">
                  <c:v>-0.093990334649761</c:v>
                </c:pt>
                <c:pt idx="666">
                  <c:v>-0.0946528788193723</c:v>
                </c:pt>
                <c:pt idx="667">
                  <c:v>-0.0507430887549365</c:v>
                </c:pt>
                <c:pt idx="668">
                  <c:v>-0.0326855123674912</c:v>
                </c:pt>
                <c:pt idx="669">
                  <c:v>-0.103616711702349</c:v>
                </c:pt>
                <c:pt idx="670">
                  <c:v>-0.0824152982747869</c:v>
                </c:pt>
                <c:pt idx="671">
                  <c:v>-0.0815448971107877</c:v>
                </c:pt>
                <c:pt idx="672">
                  <c:v>-0.0685148617750987</c:v>
                </c:pt>
                <c:pt idx="673">
                  <c:v>-0.0822853876532946</c:v>
                </c:pt>
                <c:pt idx="674">
                  <c:v>-0.0761406152567035</c:v>
                </c:pt>
                <c:pt idx="675">
                  <c:v>-0.0633833922261484</c:v>
                </c:pt>
                <c:pt idx="676">
                  <c:v>-0.0738541883184369</c:v>
                </c:pt>
                <c:pt idx="677">
                  <c:v>-0.0686707545208897</c:v>
                </c:pt>
                <c:pt idx="678">
                  <c:v>-0.0847406983995012</c:v>
                </c:pt>
                <c:pt idx="679">
                  <c:v>-0.0854162336312617</c:v>
                </c:pt>
                <c:pt idx="680">
                  <c:v>-0.0798170858449386</c:v>
                </c:pt>
                <c:pt idx="681">
                  <c:v>-0.0746596341716899</c:v>
                </c:pt>
                <c:pt idx="682">
                  <c:v>-0.0388562668883807</c:v>
                </c:pt>
                <c:pt idx="683">
                  <c:v>-0.0507300976927874</c:v>
                </c:pt>
                <c:pt idx="684">
                  <c:v>-0.0275670338806902</c:v>
                </c:pt>
                <c:pt idx="685">
                  <c:v>-0.0246700270214093</c:v>
                </c:pt>
                <c:pt idx="686">
                  <c:v>-0.0490672417376844</c:v>
                </c:pt>
                <c:pt idx="687">
                  <c:v>-0.0433381833298691</c:v>
                </c:pt>
                <c:pt idx="688">
                  <c:v>-0.0300093535647474</c:v>
                </c:pt>
                <c:pt idx="689">
                  <c:v>-0.0366867595094575</c:v>
                </c:pt>
                <c:pt idx="690">
                  <c:v>-0.0412726044481396</c:v>
                </c:pt>
                <c:pt idx="691">
                  <c:v>-0.0389991685720225</c:v>
                </c:pt>
                <c:pt idx="692">
                  <c:v>-0.0442475576803159</c:v>
                </c:pt>
                <c:pt idx="693">
                  <c:v>-0.0526397838287258</c:v>
                </c:pt>
                <c:pt idx="694">
                  <c:v>-0.0519512575348161</c:v>
                </c:pt>
                <c:pt idx="695">
                  <c:v>-0.0485735813760133</c:v>
                </c:pt>
                <c:pt idx="696">
                  <c:v>-0.0351668052379962</c:v>
                </c:pt>
                <c:pt idx="697">
                  <c:v>-0.0204739139472043</c:v>
                </c:pt>
                <c:pt idx="698">
                  <c:v>-0.000662544169611312</c:v>
                </c:pt>
                <c:pt idx="699">
                  <c:v>-0.00361151527748904</c:v>
                </c:pt>
                <c:pt idx="700">
                  <c:v>-0.00229941800041567</c:v>
                </c:pt>
                <c:pt idx="701">
                  <c:v>-0.0230721263770526</c:v>
                </c:pt>
                <c:pt idx="702">
                  <c:v>-0.0129390979006444</c:v>
                </c:pt>
                <c:pt idx="703">
                  <c:v>-0.00704115568488872</c:v>
                </c:pt>
                <c:pt idx="704">
                  <c:v>-0.00242932862190814</c:v>
                </c:pt>
                <c:pt idx="705">
                  <c:v>0</c:v>
                </c:pt>
                <c:pt idx="706">
                  <c:v>0</c:v>
                </c:pt>
                <c:pt idx="707">
                  <c:v>-0.00621238094010601</c:v>
                </c:pt>
                <c:pt idx="708">
                  <c:v>0</c:v>
                </c:pt>
                <c:pt idx="709">
                  <c:v>-0.0035432767607263</c:v>
                </c:pt>
                <c:pt idx="710">
                  <c:v>-0.0016432587875832</c:v>
                </c:pt>
                <c:pt idx="711">
                  <c:v>-0.00356895267928226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-0.0280836404073</c:v>
                </c:pt>
                <c:pt idx="721">
                  <c:v>-0.0230469005516429</c:v>
                </c:pt>
                <c:pt idx="722">
                  <c:v>-0.0165383860628393</c:v>
                </c:pt>
                <c:pt idx="723">
                  <c:v>0</c:v>
                </c:pt>
                <c:pt idx="724">
                  <c:v>0</c:v>
                </c:pt>
                <c:pt idx="725">
                  <c:v>-0.0116578596373336</c:v>
                </c:pt>
                <c:pt idx="726">
                  <c:v>-0.0217477626072879</c:v>
                </c:pt>
                <c:pt idx="727">
                  <c:v>-0.008959752385025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-0.109086083340706</c:v>
                </c:pt>
                <c:pt idx="733">
                  <c:v>-0.207546669025922</c:v>
                </c:pt>
                <c:pt idx="734">
                  <c:v>-0.195788728656109</c:v>
                </c:pt>
                <c:pt idx="735">
                  <c:v>-0.183110678580908</c:v>
                </c:pt>
                <c:pt idx="736">
                  <c:v>-0.201397858975493</c:v>
                </c:pt>
                <c:pt idx="737">
                  <c:v>-0.19755817039724</c:v>
                </c:pt>
                <c:pt idx="738">
                  <c:v>-0.295965672830222</c:v>
                </c:pt>
                <c:pt idx="739">
                  <c:v>-0.281385472883305</c:v>
                </c:pt>
                <c:pt idx="740">
                  <c:v>-0.264425373794568</c:v>
                </c:pt>
                <c:pt idx="741">
                  <c:v>-0.267451119171901</c:v>
                </c:pt>
                <c:pt idx="742">
                  <c:v>-0.262753251349199</c:v>
                </c:pt>
                <c:pt idx="743">
                  <c:v>-0.261780058391578</c:v>
                </c:pt>
                <c:pt idx="744">
                  <c:v>-0.198442891267805</c:v>
                </c:pt>
                <c:pt idx="745">
                  <c:v>-0.214376714146687</c:v>
                </c:pt>
                <c:pt idx="746">
                  <c:v>-0.201167831549146</c:v>
                </c:pt>
                <c:pt idx="747">
                  <c:v>-0.208785278244714</c:v>
                </c:pt>
                <c:pt idx="748">
                  <c:v>-0.18158011147483</c:v>
                </c:pt>
                <c:pt idx="749">
                  <c:v>-0.176130230912147</c:v>
                </c:pt>
                <c:pt idx="750">
                  <c:v>-0.194284703176148</c:v>
                </c:pt>
                <c:pt idx="751">
                  <c:v>-0.215252587808546</c:v>
                </c:pt>
                <c:pt idx="752">
                  <c:v>-0.207290099973458</c:v>
                </c:pt>
                <c:pt idx="753">
                  <c:v>-0.188693267274175</c:v>
                </c:pt>
                <c:pt idx="754">
                  <c:v>-0.183729983190303</c:v>
                </c:pt>
                <c:pt idx="755">
                  <c:v>-0.181650889144475</c:v>
                </c:pt>
                <c:pt idx="756">
                  <c:v>-0.189117933292046</c:v>
                </c:pt>
                <c:pt idx="757">
                  <c:v>-0.183199150667964</c:v>
                </c:pt>
                <c:pt idx="758">
                  <c:v>-0.141811908342918</c:v>
                </c:pt>
                <c:pt idx="759">
                  <c:v>-0.121693355746262</c:v>
                </c:pt>
                <c:pt idx="760">
                  <c:v>-0.107865168539326</c:v>
                </c:pt>
                <c:pt idx="761">
                  <c:v>-0.0993541537644873</c:v>
                </c:pt>
                <c:pt idx="762">
                  <c:v>-0.0838361496947713</c:v>
                </c:pt>
                <c:pt idx="763">
                  <c:v>-0.100840484827037</c:v>
                </c:pt>
                <c:pt idx="764">
                  <c:v>-0.095302132177298</c:v>
                </c:pt>
                <c:pt idx="765">
                  <c:v>-0.0675395912589577</c:v>
                </c:pt>
                <c:pt idx="766">
                  <c:v>-0.0651154560736087</c:v>
                </c:pt>
                <c:pt idx="767">
                  <c:v>-0.12037512164912</c:v>
                </c:pt>
                <c:pt idx="768">
                  <c:v>-0.113518534902238</c:v>
                </c:pt>
                <c:pt idx="769">
                  <c:v>-0.0987790851986198</c:v>
                </c:pt>
                <c:pt idx="770">
                  <c:v>-0.10643192072901</c:v>
                </c:pt>
                <c:pt idx="771">
                  <c:v>-0.112784216579669</c:v>
                </c:pt>
                <c:pt idx="772">
                  <c:v>-0.102963814916394</c:v>
                </c:pt>
                <c:pt idx="773">
                  <c:v>-0.102424135185349</c:v>
                </c:pt>
                <c:pt idx="774">
                  <c:v>-0.0808280987348491</c:v>
                </c:pt>
                <c:pt idx="775">
                  <c:v>-0.0645846235512696</c:v>
                </c:pt>
                <c:pt idx="776">
                  <c:v>-0.0602937273290276</c:v>
                </c:pt>
                <c:pt idx="777">
                  <c:v>-0.0623020437052109</c:v>
                </c:pt>
                <c:pt idx="778">
                  <c:v>-0.0358135008404848</c:v>
                </c:pt>
                <c:pt idx="779">
                  <c:v>-0.00177828894983634</c:v>
                </c:pt>
                <c:pt idx="780">
                  <c:v>-0.0014067061841988</c:v>
                </c:pt>
                <c:pt idx="781">
                  <c:v>0</c:v>
                </c:pt>
                <c:pt idx="782">
                  <c:v>0</c:v>
                </c:pt>
                <c:pt idx="783">
                  <c:v>-0.0243573649223615</c:v>
                </c:pt>
                <c:pt idx="784">
                  <c:v>-0.00168504772897693</c:v>
                </c:pt>
                <c:pt idx="785">
                  <c:v>0</c:v>
                </c:pt>
                <c:pt idx="786">
                  <c:v>-0.000610464873182171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-0.0146110174342156</c:v>
                </c:pt>
                <c:pt idx="791">
                  <c:v>-0.0107358878764908</c:v>
                </c:pt>
                <c:pt idx="792">
                  <c:v>-0.00608727936512843</c:v>
                </c:pt>
                <c:pt idx="793">
                  <c:v>-0.0429280819268908</c:v>
                </c:pt>
                <c:pt idx="794">
                  <c:v>-0.110329037946877</c:v>
                </c:pt>
                <c:pt idx="795">
                  <c:v>-0.0739136488096158</c:v>
                </c:pt>
                <c:pt idx="796">
                  <c:v>-0.142204105626286</c:v>
                </c:pt>
                <c:pt idx="797">
                  <c:v>-0.0810219203935461</c:v>
                </c:pt>
                <c:pt idx="798">
                  <c:v>-0.0443048744643658</c:v>
                </c:pt>
                <c:pt idx="799">
                  <c:v>-0.0366396980338164</c:v>
                </c:pt>
                <c:pt idx="800">
                  <c:v>-0.0351468836532957</c:v>
                </c:pt>
                <c:pt idx="801">
                  <c:v>-0.0230960815556208</c:v>
                </c:pt>
                <c:pt idx="802">
                  <c:v>-0.0910771467908358</c:v>
                </c:pt>
                <c:pt idx="803">
                  <c:v>-0.172710115557756</c:v>
                </c:pt>
                <c:pt idx="804">
                  <c:v>-0.249725414971459</c:v>
                </c:pt>
                <c:pt idx="805">
                  <c:v>-0.21144594155593</c:v>
                </c:pt>
                <c:pt idx="806">
                  <c:v>-0.191745432606779</c:v>
                </c:pt>
                <c:pt idx="807">
                  <c:v>-0.138019584487106</c:v>
                </c:pt>
                <c:pt idx="808">
                  <c:v>-0.199781878935074</c:v>
                </c:pt>
                <c:pt idx="809">
                  <c:v>-0.207075785467877</c:v>
                </c:pt>
                <c:pt idx="810">
                  <c:v>-0.27689773061275</c:v>
                </c:pt>
                <c:pt idx="811">
                  <c:v>-0.254582862800303</c:v>
                </c:pt>
                <c:pt idx="812">
                  <c:v>-0.247343099794255</c:v>
                </c:pt>
                <c:pt idx="813">
                  <c:v>-0.193973051993255</c:v>
                </c:pt>
                <c:pt idx="814">
                  <c:v>-0.191405101867178</c:v>
                </c:pt>
                <c:pt idx="815">
                  <c:v>-0.193052612038426</c:v>
                </c:pt>
                <c:pt idx="816">
                  <c:v>-0.193771947465309</c:v>
                </c:pt>
                <c:pt idx="817">
                  <c:v>-0.157689154278112</c:v>
                </c:pt>
                <c:pt idx="818">
                  <c:v>-0.155360982627663</c:v>
                </c:pt>
                <c:pt idx="819">
                  <c:v>-0.13835218043717</c:v>
                </c:pt>
                <c:pt idx="820">
                  <c:v>-0.10848815803722</c:v>
                </c:pt>
                <c:pt idx="821">
                  <c:v>-0.11514781182804</c:v>
                </c:pt>
                <c:pt idx="822">
                  <c:v>-0.123656080318054</c:v>
                </c:pt>
                <c:pt idx="823">
                  <c:v>-0.0777810435778042</c:v>
                </c:pt>
                <c:pt idx="824">
                  <c:v>-0.0764661293566201</c:v>
                </c:pt>
                <c:pt idx="825">
                  <c:v>-0.083814179416178</c:v>
                </c:pt>
                <c:pt idx="826">
                  <c:v>-0.0633401915133889</c:v>
                </c:pt>
                <c:pt idx="827">
                  <c:v>-0.0640904660984174</c:v>
                </c:pt>
                <c:pt idx="828">
                  <c:v>-0.0532694955370263</c:v>
                </c:pt>
                <c:pt idx="829">
                  <c:v>-0.0608650588617482</c:v>
                </c:pt>
                <c:pt idx="830">
                  <c:v>-0.0895765976207787</c:v>
                </c:pt>
                <c:pt idx="831">
                  <c:v>-0.0921368129573194</c:v>
                </c:pt>
                <c:pt idx="832">
                  <c:v>-0.0881843355042309</c:v>
                </c:pt>
                <c:pt idx="833">
                  <c:v>-0.0888495274043593</c:v>
                </c:pt>
                <c:pt idx="834">
                  <c:v>-0.0796296582769982</c:v>
                </c:pt>
                <c:pt idx="835">
                  <c:v>-0.070324706464737</c:v>
                </c:pt>
                <c:pt idx="836">
                  <c:v>-0.0608341197036028</c:v>
                </c:pt>
                <c:pt idx="837">
                  <c:v>-0.0438639914607922</c:v>
                </c:pt>
                <c:pt idx="838">
                  <c:v>-0.0331590427424469</c:v>
                </c:pt>
                <c:pt idx="839">
                  <c:v>-0.0354717448138235</c:v>
                </c:pt>
                <c:pt idx="840">
                  <c:v>-0.0316198196247079</c:v>
                </c:pt>
                <c:pt idx="841">
                  <c:v>-0.0275126463808919</c:v>
                </c:pt>
                <c:pt idx="842">
                  <c:v>-0.00904970375756065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-0.00773319517203008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-0.0774349403949008</c:v>
                </c:pt>
                <c:pt idx="860">
                  <c:v>-0.0245928843862389</c:v>
                </c:pt>
                <c:pt idx="861">
                  <c:v>-0.0206427883542899</c:v>
                </c:pt>
                <c:pt idx="862">
                  <c:v>-0.0490334234709702</c:v>
                </c:pt>
                <c:pt idx="863">
                  <c:v>-0.0328902624147819</c:v>
                </c:pt>
                <c:pt idx="864">
                  <c:v>-0.013439031954427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-0.000927675323350585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-0.0320472508908863</c:v>
                </c:pt>
                <c:pt idx="873">
                  <c:v>-0.0658742195752516</c:v>
                </c:pt>
                <c:pt idx="874">
                  <c:v>-0.136861531379343</c:v>
                </c:pt>
                <c:pt idx="875">
                  <c:v>-0.0822821489784089</c:v>
                </c:pt>
                <c:pt idx="876">
                  <c:v>-0.0630875021064788</c:v>
                </c:pt>
                <c:pt idx="877">
                  <c:v>-0.0992161843343732</c:v>
                </c:pt>
                <c:pt idx="878">
                  <c:v>-0.0533011093437239</c:v>
                </c:pt>
                <c:pt idx="879">
                  <c:v>-0.00533504317767997</c:v>
                </c:pt>
                <c:pt idx="880">
                  <c:v>0</c:v>
                </c:pt>
                <c:pt idx="881">
                  <c:v>0</c:v>
                </c:pt>
                <c:pt idx="882">
                  <c:v>-0.0104746767135653</c:v>
                </c:pt>
                <c:pt idx="883">
                  <c:v>0</c:v>
                </c:pt>
                <c:pt idx="884">
                  <c:v>0</c:v>
                </c:pt>
                <c:pt idx="885">
                  <c:v>-0.0646573491357544</c:v>
                </c:pt>
                <c:pt idx="886">
                  <c:v>-0.0249225957670594</c:v>
                </c:pt>
                <c:pt idx="887">
                  <c:v>-0.0208617032762278</c:v>
                </c:pt>
                <c:pt idx="888">
                  <c:v>0</c:v>
                </c:pt>
                <c:pt idx="889">
                  <c:v>0</c:v>
                </c:pt>
                <c:pt idx="890">
                  <c:v>-0.114462250498503</c:v>
                </c:pt>
                <c:pt idx="891">
                  <c:v>-0.0966895411106442</c:v>
                </c:pt>
                <c:pt idx="892">
                  <c:v>-0.188987589113632</c:v>
                </c:pt>
                <c:pt idx="893">
                  <c:v>-0.196400109370519</c:v>
                </c:pt>
                <c:pt idx="894">
                  <c:v>-0.172908788988256</c:v>
                </c:pt>
                <c:pt idx="895">
                  <c:v>-0.121387938565779</c:v>
                </c:pt>
                <c:pt idx="896">
                  <c:v>-0.161298174712736</c:v>
                </c:pt>
                <c:pt idx="897">
                  <c:v>-0.134045575495669</c:v>
                </c:pt>
                <c:pt idx="898">
                  <c:v>-0.0913310525578697</c:v>
                </c:pt>
                <c:pt idx="899">
                  <c:v>-0.118583651774937</c:v>
                </c:pt>
                <c:pt idx="900">
                  <c:v>-0.106366164495929</c:v>
                </c:pt>
                <c:pt idx="901">
                  <c:v>-0.102774943480783</c:v>
                </c:pt>
                <c:pt idx="902">
                  <c:v>-0.141428085549087</c:v>
                </c:pt>
                <c:pt idx="903">
                  <c:v>-0.16451260095099</c:v>
                </c:pt>
                <c:pt idx="904">
                  <c:v>-0.19709034405031</c:v>
                </c:pt>
                <c:pt idx="905">
                  <c:v>-0.141124649047343</c:v>
                </c:pt>
                <c:pt idx="906">
                  <c:v>-0.148670547986315</c:v>
                </c:pt>
                <c:pt idx="907">
                  <c:v>-0.156379835810842</c:v>
                </c:pt>
                <c:pt idx="908">
                  <c:v>-0.181324983827835</c:v>
                </c:pt>
                <c:pt idx="909">
                  <c:v>-0.19184856184436</c:v>
                </c:pt>
                <c:pt idx="910">
                  <c:v>-0.160828014858385</c:v>
                </c:pt>
                <c:pt idx="911">
                  <c:v>-0.152241762199148</c:v>
                </c:pt>
                <c:pt idx="912">
                  <c:v>-0.132371673035499</c:v>
                </c:pt>
                <c:pt idx="913">
                  <c:v>-0.127383310325511</c:v>
                </c:pt>
                <c:pt idx="914">
                  <c:v>-0.131424684392694</c:v>
                </c:pt>
                <c:pt idx="915">
                  <c:v>-0.16599977325624</c:v>
                </c:pt>
                <c:pt idx="916">
                  <c:v>-0.146006308811663</c:v>
                </c:pt>
                <c:pt idx="917">
                  <c:v>-0.16338555108737</c:v>
                </c:pt>
                <c:pt idx="918">
                  <c:v>-0.22271905781299</c:v>
                </c:pt>
                <c:pt idx="919">
                  <c:v>-0.229734776490673</c:v>
                </c:pt>
                <c:pt idx="920">
                  <c:v>-0.205256453860979</c:v>
                </c:pt>
                <c:pt idx="921">
                  <c:v>-0.219734709801332</c:v>
                </c:pt>
                <c:pt idx="922">
                  <c:v>-0.260668627333293</c:v>
                </c:pt>
                <c:pt idx="923">
                  <c:v>-0.345007302482844</c:v>
                </c:pt>
                <c:pt idx="924">
                  <c:v>-0.362523257907689</c:v>
                </c:pt>
                <c:pt idx="925">
                  <c:v>-0.254683258974718</c:v>
                </c:pt>
                <c:pt idx="926">
                  <c:v>-0.23035498736237</c:v>
                </c:pt>
                <c:pt idx="927">
                  <c:v>-0.246747227390646</c:v>
                </c:pt>
                <c:pt idx="928">
                  <c:v>-0.0418475615042447</c:v>
                </c:pt>
                <c:pt idx="929">
                  <c:v>-0.113882053231432</c:v>
                </c:pt>
                <c:pt idx="930">
                  <c:v>-0.0579230271625686</c:v>
                </c:pt>
                <c:pt idx="931">
                  <c:v>-0.0815944087656469</c:v>
                </c:pt>
                <c:pt idx="932">
                  <c:v>-0.0789335040580463</c:v>
                </c:pt>
                <c:pt idx="933">
                  <c:v>-0.145042647833597</c:v>
                </c:pt>
                <c:pt idx="934">
                  <c:v>-0.157716957098747</c:v>
                </c:pt>
                <c:pt idx="935">
                  <c:v>-0.111367865074125</c:v>
                </c:pt>
                <c:pt idx="936">
                  <c:v>-0.0709941380069223</c:v>
                </c:pt>
                <c:pt idx="937">
                  <c:v>-0.0996238721165196</c:v>
                </c:pt>
                <c:pt idx="938">
                  <c:v>-0.091694509466552</c:v>
                </c:pt>
                <c:pt idx="939">
                  <c:v>-0.0473827768107823</c:v>
                </c:pt>
                <c:pt idx="940">
                  <c:v>-0.0888268678017192</c:v>
                </c:pt>
                <c:pt idx="941">
                  <c:v>-0.0997272405951356</c:v>
                </c:pt>
                <c:pt idx="942">
                  <c:v>-0.07067736363697</c:v>
                </c:pt>
                <c:pt idx="943">
                  <c:v>-0.0472293913263843</c:v>
                </c:pt>
                <c:pt idx="944">
                  <c:v>0</c:v>
                </c:pt>
                <c:pt idx="945">
                  <c:v>-0.00655775106443979</c:v>
                </c:pt>
                <c:pt idx="946">
                  <c:v>0</c:v>
                </c:pt>
                <c:pt idx="947">
                  <c:v>0</c:v>
                </c:pt>
                <c:pt idx="948">
                  <c:v>-0.0232670938485228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-0.0371869647734111</c:v>
                </c:pt>
                <c:pt idx="955">
                  <c:v>0</c:v>
                </c:pt>
                <c:pt idx="956">
                  <c:v>-0.0205949185470972</c:v>
                </c:pt>
                <c:pt idx="957">
                  <c:v>-0.0613934521888966</c:v>
                </c:pt>
                <c:pt idx="958">
                  <c:v>-0.0486497742568096</c:v>
                </c:pt>
                <c:pt idx="959">
                  <c:v>-0.0730021212766104</c:v>
                </c:pt>
                <c:pt idx="960">
                  <c:v>-0.0842126219390803</c:v>
                </c:pt>
                <c:pt idx="961">
                  <c:v>-0.0636177033919831</c:v>
                </c:pt>
                <c:pt idx="962">
                  <c:v>-0.0518351216587606</c:v>
                </c:pt>
                <c:pt idx="963">
                  <c:v>-0.0132677041928967</c:v>
                </c:pt>
                <c:pt idx="964">
                  <c:v>-0.00229061260729391</c:v>
                </c:pt>
                <c:pt idx="965">
                  <c:v>-0.00587870508305488</c:v>
                </c:pt>
                <c:pt idx="966">
                  <c:v>-0.00684208960620236</c:v>
                </c:pt>
                <c:pt idx="967">
                  <c:v>0</c:v>
                </c:pt>
                <c:pt idx="968">
                  <c:v>0</c:v>
                </c:pt>
                <c:pt idx="969">
                  <c:v>-0.00370080452272248</c:v>
                </c:pt>
                <c:pt idx="970">
                  <c:v>0</c:v>
                </c:pt>
                <c:pt idx="971">
                  <c:v>0</c:v>
                </c:pt>
                <c:pt idx="972">
                  <c:v>-0.0602264758012849</c:v>
                </c:pt>
                <c:pt idx="973">
                  <c:v>-0.0650648040921666</c:v>
                </c:pt>
                <c:pt idx="974">
                  <c:v>-0.0908934739156708</c:v>
                </c:pt>
                <c:pt idx="975">
                  <c:v>-0.104179677000156</c:v>
                </c:pt>
                <c:pt idx="976">
                  <c:v>-0.0670595534752495</c:v>
                </c:pt>
                <c:pt idx="977">
                  <c:v>-0.0654427353329331</c:v>
                </c:pt>
                <c:pt idx="978">
                  <c:v>-0.120855135115471</c:v>
                </c:pt>
                <c:pt idx="979">
                  <c:v>-0.1240160145837</c:v>
                </c:pt>
                <c:pt idx="980">
                  <c:v>-0.140790502810232</c:v>
                </c:pt>
                <c:pt idx="981">
                  <c:v>-0.149003938973199</c:v>
                </c:pt>
                <c:pt idx="982">
                  <c:v>-0.158341063745076</c:v>
                </c:pt>
                <c:pt idx="983">
                  <c:v>-0.220831084945604</c:v>
                </c:pt>
                <c:pt idx="984">
                  <c:v>-0.343086788776857</c:v>
                </c:pt>
                <c:pt idx="985">
                  <c:v>-0.244133476421739</c:v>
                </c:pt>
                <c:pt idx="986">
                  <c:v>-0.246863878059576</c:v>
                </c:pt>
                <c:pt idx="987">
                  <c:v>-0.248185626890919</c:v>
                </c:pt>
                <c:pt idx="988">
                  <c:v>-0.171380702062858</c:v>
                </c:pt>
                <c:pt idx="989">
                  <c:v>-0.209757901693415</c:v>
                </c:pt>
                <c:pt idx="990">
                  <c:v>-0.217447892982807</c:v>
                </c:pt>
                <c:pt idx="991">
                  <c:v>-0.268901109339348</c:v>
                </c:pt>
                <c:pt idx="992">
                  <c:v>-0.268589871846952</c:v>
                </c:pt>
                <c:pt idx="993">
                  <c:v>-0.234572018132615</c:v>
                </c:pt>
                <c:pt idx="994">
                  <c:v>-0.258484758457475</c:v>
                </c:pt>
                <c:pt idx="995">
                  <c:v>-0.20780357276389</c:v>
                </c:pt>
                <c:pt idx="996">
                  <c:v>-0.214814500433509</c:v>
                </c:pt>
                <c:pt idx="997">
                  <c:v>-0.151170475283903</c:v>
                </c:pt>
                <c:pt idx="998">
                  <c:v>-0.153308717277116</c:v>
                </c:pt>
                <c:pt idx="999">
                  <c:v>-0.159862893821532</c:v>
                </c:pt>
                <c:pt idx="1000">
                  <c:v>-0.123078260061156</c:v>
                </c:pt>
                <c:pt idx="1001">
                  <c:v>-0.111798932495821</c:v>
                </c:pt>
                <c:pt idx="1002">
                  <c:v>-0.11222334725818</c:v>
                </c:pt>
                <c:pt idx="1003">
                  <c:v>-0.12934545138531</c:v>
                </c:pt>
                <c:pt idx="1004">
                  <c:v>-0.148171277629906</c:v>
                </c:pt>
                <c:pt idx="1005">
                  <c:v>-0.126910119058446</c:v>
                </c:pt>
                <c:pt idx="1006">
                  <c:v>-0.118229826656885</c:v>
                </c:pt>
                <c:pt idx="1007">
                  <c:v>-0.105697465031255</c:v>
                </c:pt>
                <c:pt idx="1008">
                  <c:v>-0.0696242312534989</c:v>
                </c:pt>
                <c:pt idx="1009">
                  <c:v>-0.0360631286643667</c:v>
                </c:pt>
                <c:pt idx="1010">
                  <c:v>-0.0400142279996524</c:v>
                </c:pt>
                <c:pt idx="1011">
                  <c:v>-0.0268796016160098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-0.0215547684963217</c:v>
                </c:pt>
                <c:pt idx="1016">
                  <c:v>-0.0110377324445408</c:v>
                </c:pt>
                <c:pt idx="1017">
                  <c:v>-0.0386879138290432</c:v>
                </c:pt>
                <c:pt idx="1018">
                  <c:v>-0.0420492410377498</c:v>
                </c:pt>
                <c:pt idx="1019">
                  <c:v>-0.0197830259849839</c:v>
                </c:pt>
                <c:pt idx="1020">
                  <c:v>0</c:v>
                </c:pt>
                <c:pt idx="1021">
                  <c:v>0</c:v>
                </c:pt>
                <c:pt idx="1022">
                  <c:v>-0.00328804320764287</c:v>
                </c:pt>
                <c:pt idx="1023">
                  <c:v>-0.0197299190354631</c:v>
                </c:pt>
                <c:pt idx="1024">
                  <c:v>-0.082894872245994</c:v>
                </c:pt>
                <c:pt idx="1025">
                  <c:v>-0.0472857460588295</c:v>
                </c:pt>
                <c:pt idx="1026">
                  <c:v>-0.0221166964875532</c:v>
                </c:pt>
                <c:pt idx="1027">
                  <c:v>-0.0406416082697357</c:v>
                </c:pt>
                <c:pt idx="1028">
                  <c:v>-0.0452873593743256</c:v>
                </c:pt>
                <c:pt idx="1029">
                  <c:v>0</c:v>
                </c:pt>
                <c:pt idx="1030">
                  <c:v>-0.00258142902047398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-0.00277232531315141</c:v>
                </c:pt>
                <c:pt idx="1037">
                  <c:v>-0.0597351788520819</c:v>
                </c:pt>
                <c:pt idx="1038">
                  <c:v>-0.0385724210966537</c:v>
                </c:pt>
                <c:pt idx="1039">
                  <c:v>0</c:v>
                </c:pt>
                <c:pt idx="1040">
                  <c:v>-0.0417731214414646</c:v>
                </c:pt>
                <c:pt idx="1041">
                  <c:v>-0.119221313451063</c:v>
                </c:pt>
                <c:pt idx="1042">
                  <c:v>-0.150142743131993</c:v>
                </c:pt>
                <c:pt idx="1043">
                  <c:v>-0.211786083481968</c:v>
                </c:pt>
                <c:pt idx="1044">
                  <c:v>-0.124811862945168</c:v>
                </c:pt>
                <c:pt idx="1045">
                  <c:v>-0.115554984225947</c:v>
                </c:pt>
                <c:pt idx="1046">
                  <c:v>-0.023294179401068</c:v>
                </c:pt>
                <c:pt idx="1047">
                  <c:v>0</c:v>
                </c:pt>
                <c:pt idx="1048">
                  <c:v>-0.015796329158656</c:v>
                </c:pt>
                <c:pt idx="1049">
                  <c:v>-0.00784841035245121</c:v>
                </c:pt>
                <c:pt idx="1050">
                  <c:v>0</c:v>
                </c:pt>
                <c:pt idx="1051">
                  <c:v>0</c:v>
                </c:pt>
                <c:pt idx="1052">
                  <c:v>-0.0178064222305933</c:v>
                </c:pt>
                <c:pt idx="1053">
                  <c:v>-0.000727954544628706</c:v>
                </c:pt>
                <c:pt idx="1054">
                  <c:v>-0.02723470538432</c:v>
                </c:pt>
                <c:pt idx="1055">
                  <c:v>-0.00496607925620241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-0.00130867423861702</c:v>
                </c:pt>
                <c:pt idx="1061">
                  <c:v>-0.00462358025932252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-0.0588257281048141</c:v>
                </c:pt>
                <c:pt idx="1070">
                  <c:v>-0.119610627020916</c:v>
                </c:pt>
                <c:pt idx="1071">
                  <c:v>-0.120758987487644</c:v>
                </c:pt>
                <c:pt idx="1072">
                  <c:v>-0.0289965330669735</c:v>
                </c:pt>
                <c:pt idx="1073">
                  <c:v>0</c:v>
                </c:pt>
                <c:pt idx="1074">
                  <c:v>-0.0586860100213646</c:v>
                </c:pt>
                <c:pt idx="1075">
                  <c:v>-0.0552923499671745</c:v>
                </c:pt>
                <c:pt idx="1076">
                  <c:v>0</c:v>
                </c:pt>
                <c:pt idx="1077">
                  <c:v>0</c:v>
                </c:pt>
                <c:pt idx="1078">
                  <c:v>-0.0137923593932011</c:v>
                </c:pt>
                <c:pt idx="1079">
                  <c:v>-0.0310941317587116</c:v>
                </c:pt>
                <c:pt idx="1080">
                  <c:v>-0.0921770523271998</c:v>
                </c:pt>
                <c:pt idx="1081">
                  <c:v>-0.160464040476315</c:v>
                </c:pt>
                <c:pt idx="1082">
                  <c:v>-0.198025853421958</c:v>
                </c:pt>
                <c:pt idx="1083">
                  <c:v>-0.276816144113922</c:v>
                </c:pt>
                <c:pt idx="1084">
                  <c:v>-0.232779525303041</c:v>
                </c:pt>
                <c:pt idx="1085">
                  <c:v>-0.276237518454189</c:v>
                </c:pt>
                <c:pt idx="1086">
                  <c:v>-0.278780010798977</c:v>
                </c:pt>
                <c:pt idx="1087">
                  <c:v>-0.196393284278227</c:v>
                </c:pt>
                <c:pt idx="1088">
                  <c:v>-0.217960703327886</c:v>
                </c:pt>
                <c:pt idx="1089">
                  <c:v>-0.264630908584779</c:v>
                </c:pt>
                <c:pt idx="1090">
                  <c:v>-0.258776458637935</c:v>
                </c:pt>
                <c:pt idx="1091">
                  <c:v>-0.346565726938561</c:v>
                </c:pt>
                <c:pt idx="1092">
                  <c:v>-0.294497560052132</c:v>
                </c:pt>
                <c:pt idx="1093">
                  <c:v>-0.313994751147709</c:v>
                </c:pt>
                <c:pt idx="1094">
                  <c:v>-0.2477606881625</c:v>
                </c:pt>
                <c:pt idx="1095">
                  <c:v>-0.231647210357654</c:v>
                </c:pt>
                <c:pt idx="1096">
                  <c:v>-0.229262987652424</c:v>
                </c:pt>
                <c:pt idx="1097">
                  <c:v>-0.13689560463328</c:v>
                </c:pt>
                <c:pt idx="1098">
                  <c:v>-0.129822834695758</c:v>
                </c:pt>
                <c:pt idx="1099">
                  <c:v>-0.176884897259594</c:v>
                </c:pt>
                <c:pt idx="1100">
                  <c:v>-0.236960184753087</c:v>
                </c:pt>
                <c:pt idx="1101">
                  <c:v>-0.263054319056326</c:v>
                </c:pt>
                <c:pt idx="1102">
                  <c:v>-0.24299376946882</c:v>
                </c:pt>
                <c:pt idx="1103">
                  <c:v>-0.322745382826777</c:v>
                </c:pt>
                <c:pt idx="1104">
                  <c:v>-0.296692469876606</c:v>
                </c:pt>
                <c:pt idx="1105">
                  <c:v>-0.277967288566265</c:v>
                </c:pt>
                <c:pt idx="1106">
                  <c:v>-0.305026816780246</c:v>
                </c:pt>
                <c:pt idx="1107">
                  <c:v>-0.308397298525548</c:v>
                </c:pt>
                <c:pt idx="1108">
                  <c:v>-0.411195719493273</c:v>
                </c:pt>
                <c:pt idx="1109">
                  <c:v>-0.430025226450266</c:v>
                </c:pt>
                <c:pt idx="1110">
                  <c:v>-0.424655254628369</c:v>
                </c:pt>
                <c:pt idx="1111">
                  <c:v>-0.414809967017828</c:v>
                </c:pt>
                <c:pt idx="1112">
                  <c:v>-0.350493969214265</c:v>
                </c:pt>
                <c:pt idx="1113">
                  <c:v>-0.413833886089625</c:v>
                </c:pt>
                <c:pt idx="1114">
                  <c:v>-0.45207661471928</c:v>
                </c:pt>
                <c:pt idx="1115">
                  <c:v>-0.44911274854313</c:v>
                </c:pt>
                <c:pt idx="1116">
                  <c:v>-0.422046604556435</c:v>
                </c:pt>
                <c:pt idx="1117">
                  <c:v>-0.434198761222004</c:v>
                </c:pt>
                <c:pt idx="1118">
                  <c:v>-0.435781966523172</c:v>
                </c:pt>
                <c:pt idx="1119">
                  <c:v>-0.423969758794016</c:v>
                </c:pt>
                <c:pt idx="1120">
                  <c:v>-0.412926507416536</c:v>
                </c:pt>
                <c:pt idx="1121">
                  <c:v>-0.433943799519695</c:v>
                </c:pt>
                <c:pt idx="1122">
                  <c:v>-0.491348859364448</c:v>
                </c:pt>
                <c:pt idx="1123">
                  <c:v>-0.486005859539003</c:v>
                </c:pt>
                <c:pt idx="1124">
                  <c:v>-0.541260793251505</c:v>
                </c:pt>
                <c:pt idx="1125">
                  <c:v>-0.552798191960208</c:v>
                </c:pt>
                <c:pt idx="1126">
                  <c:v>-0.529771231668584</c:v>
                </c:pt>
                <c:pt idx="1127">
                  <c:v>-0.584330491434864</c:v>
                </c:pt>
                <c:pt idx="1128">
                  <c:v>-0.648591018528744</c:v>
                </c:pt>
                <c:pt idx="1129">
                  <c:v>-0.608729970111974</c:v>
                </c:pt>
                <c:pt idx="1130">
                  <c:v>-0.61446584505555</c:v>
                </c:pt>
                <c:pt idx="1131">
                  <c:v>-0.581776294261428</c:v>
                </c:pt>
                <c:pt idx="1132">
                  <c:v>-0.558727451029287</c:v>
                </c:pt>
                <c:pt idx="1133">
                  <c:v>-0.565013452919362</c:v>
                </c:pt>
                <c:pt idx="1134">
                  <c:v>-0.589161023327724</c:v>
                </c:pt>
                <c:pt idx="1135">
                  <c:v>-0.548484708150276</c:v>
                </c:pt>
                <c:pt idx="1136">
                  <c:v>-0.566411925490114</c:v>
                </c:pt>
                <c:pt idx="1137">
                  <c:v>-0.517914749152799</c:v>
                </c:pt>
                <c:pt idx="1138">
                  <c:v>-0.489505094399443</c:v>
                </c:pt>
                <c:pt idx="1139">
                  <c:v>-0.482570746783335</c:v>
                </c:pt>
                <c:pt idx="1140">
                  <c:v>-0.434020644264303</c:v>
                </c:pt>
                <c:pt idx="1141">
                  <c:v>-0.471753958394932</c:v>
                </c:pt>
                <c:pt idx="1142">
                  <c:v>-0.433079168916454</c:v>
                </c:pt>
                <c:pt idx="1143">
                  <c:v>-0.428215558160021</c:v>
                </c:pt>
                <c:pt idx="1144">
                  <c:v>-0.467976352174884</c:v>
                </c:pt>
                <c:pt idx="1145">
                  <c:v>-0.499745801656081</c:v>
                </c:pt>
                <c:pt idx="1146">
                  <c:v>-0.483715784368558</c:v>
                </c:pt>
                <c:pt idx="1147">
                  <c:v>-0.506940708936026</c:v>
                </c:pt>
                <c:pt idx="1148">
                  <c:v>-0.511552920329303</c:v>
                </c:pt>
                <c:pt idx="1149">
                  <c:v>-0.475827238764764</c:v>
                </c:pt>
                <c:pt idx="1150">
                  <c:v>-0.46226134236064</c:v>
                </c:pt>
                <c:pt idx="1151">
                  <c:v>-0.475457264398339</c:v>
                </c:pt>
                <c:pt idx="1152">
                  <c:v>-0.445500536640948</c:v>
                </c:pt>
                <c:pt idx="1153">
                  <c:v>-0.440203847224505</c:v>
                </c:pt>
                <c:pt idx="1154">
                  <c:v>-0.41819368030856</c:v>
                </c:pt>
                <c:pt idx="1155">
                  <c:v>-0.416290373389123</c:v>
                </c:pt>
                <c:pt idx="1156">
                  <c:v>-0.420990625450063</c:v>
                </c:pt>
                <c:pt idx="1157">
                  <c:v>-0.455471015027473</c:v>
                </c:pt>
                <c:pt idx="1158">
                  <c:v>-0.49516565131519</c:v>
                </c:pt>
                <c:pt idx="1159">
                  <c:v>-0.526468434367209</c:v>
                </c:pt>
                <c:pt idx="1160">
                  <c:v>-0.529007873278436</c:v>
                </c:pt>
                <c:pt idx="1161">
                  <c:v>-0.552395138730209</c:v>
                </c:pt>
                <c:pt idx="1162">
                  <c:v>-0.514815514088797</c:v>
                </c:pt>
                <c:pt idx="1163">
                  <c:v>-0.535878098789772</c:v>
                </c:pt>
                <c:pt idx="1164">
                  <c:v>-0.53458496967686</c:v>
                </c:pt>
                <c:pt idx="1165">
                  <c:v>-0.582339652753357</c:v>
                </c:pt>
                <c:pt idx="1166">
                  <c:v>-0.57964448873054</c:v>
                </c:pt>
                <c:pt idx="1167">
                  <c:v>-0.578880621434798</c:v>
                </c:pt>
                <c:pt idx="1168">
                  <c:v>-0.599744732954334</c:v>
                </c:pt>
                <c:pt idx="1169">
                  <c:v>-0.583104537860286</c:v>
                </c:pt>
                <c:pt idx="1170">
                  <c:v>-0.562900985801025</c:v>
                </c:pt>
                <c:pt idx="1171">
                  <c:v>-0.547074021845281</c:v>
                </c:pt>
                <c:pt idx="1172">
                  <c:v>-0.547490815526303</c:v>
                </c:pt>
                <c:pt idx="1173">
                  <c:v>-0.556484195173438</c:v>
                </c:pt>
                <c:pt idx="1174">
                  <c:v>-0.54569488768708</c:v>
                </c:pt>
                <c:pt idx="1175">
                  <c:v>-0.565835335452755</c:v>
                </c:pt>
                <c:pt idx="1176">
                  <c:v>-0.569822101871704</c:v>
                </c:pt>
                <c:pt idx="1177">
                  <c:v>-0.585496394149418</c:v>
                </c:pt>
                <c:pt idx="1178">
                  <c:v>-0.603378827797034</c:v>
                </c:pt>
                <c:pt idx="1179">
                  <c:v>-0.595790536493366</c:v>
                </c:pt>
                <c:pt idx="1180">
                  <c:v>-0.639695348755548</c:v>
                </c:pt>
                <c:pt idx="1181">
                  <c:v>-0.651500940711989</c:v>
                </c:pt>
                <c:pt idx="1182">
                  <c:v>-0.647404759590453</c:v>
                </c:pt>
                <c:pt idx="1183">
                  <c:v>-0.653129438610973</c:v>
                </c:pt>
                <c:pt idx="1184">
                  <c:v>-0.641475500521374</c:v>
                </c:pt>
                <c:pt idx="1185">
                  <c:v>-0.622142685932475</c:v>
                </c:pt>
                <c:pt idx="1186">
                  <c:v>-0.654367605919793</c:v>
                </c:pt>
                <c:pt idx="1187">
                  <c:v>-0.654664297880764</c:v>
                </c:pt>
                <c:pt idx="1188">
                  <c:v>-0.663154878801588</c:v>
                </c:pt>
                <c:pt idx="1189">
                  <c:v>-0.649159974982201</c:v>
                </c:pt>
                <c:pt idx="1190">
                  <c:v>-0.642747764504954</c:v>
                </c:pt>
                <c:pt idx="1191">
                  <c:v>-0.655413406914297</c:v>
                </c:pt>
                <c:pt idx="1192">
                  <c:v>-0.652672441388071</c:v>
                </c:pt>
                <c:pt idx="1193">
                  <c:v>-0.64666735538557</c:v>
                </c:pt>
                <c:pt idx="1194">
                  <c:v>-0.597150332239017</c:v>
                </c:pt>
                <c:pt idx="1195">
                  <c:v>-0.598311145897636</c:v>
                </c:pt>
                <c:pt idx="1196">
                  <c:v>-0.592717255614628</c:v>
                </c:pt>
                <c:pt idx="1197">
                  <c:v>-0.574796654047504</c:v>
                </c:pt>
                <c:pt idx="1198">
                  <c:v>-0.590385450185522</c:v>
                </c:pt>
                <c:pt idx="1199">
                  <c:v>-0.59836661660732</c:v>
                </c:pt>
                <c:pt idx="1200">
                  <c:v>-0.585137615706048</c:v>
                </c:pt>
                <c:pt idx="1201">
                  <c:v>-0.578931511994141</c:v>
                </c:pt>
                <c:pt idx="1202">
                  <c:v>-0.548790560411929</c:v>
                </c:pt>
                <c:pt idx="1203">
                  <c:v>-0.546289289420209</c:v>
                </c:pt>
                <c:pt idx="1204">
                  <c:v>-0.552417021670727</c:v>
                </c:pt>
                <c:pt idx="1205">
                  <c:v>-0.545481147337839</c:v>
                </c:pt>
                <c:pt idx="1206">
                  <c:v>-0.508906102337861</c:v>
                </c:pt>
                <c:pt idx="1207">
                  <c:v>-0.548805318674138</c:v>
                </c:pt>
                <c:pt idx="1208">
                  <c:v>-0.528137135808073</c:v>
                </c:pt>
                <c:pt idx="1209">
                  <c:v>-0.545926439732092</c:v>
                </c:pt>
                <c:pt idx="1210">
                  <c:v>-0.525191590233287</c:v>
                </c:pt>
                <c:pt idx="1211">
                  <c:v>-0.52218802942085</c:v>
                </c:pt>
                <c:pt idx="1212">
                  <c:v>-0.529576829731893</c:v>
                </c:pt>
                <c:pt idx="1213">
                  <c:v>-0.538306087376037</c:v>
                </c:pt>
                <c:pt idx="1214">
                  <c:v>-0.532291332167261</c:v>
                </c:pt>
                <c:pt idx="1215">
                  <c:v>-0.505051651373205</c:v>
                </c:pt>
                <c:pt idx="1216">
                  <c:v>-0.507124932760849</c:v>
                </c:pt>
                <c:pt idx="1217">
                  <c:v>-0.501272518436377</c:v>
                </c:pt>
                <c:pt idx="1218">
                  <c:v>-0.511450630305023</c:v>
                </c:pt>
                <c:pt idx="1219">
                  <c:v>-0.523855204144934</c:v>
                </c:pt>
                <c:pt idx="1220">
                  <c:v>-0.53293611555414</c:v>
                </c:pt>
                <c:pt idx="1221">
                  <c:v>-0.526713726863243</c:v>
                </c:pt>
                <c:pt idx="1222">
                  <c:v>-0.541450106132261</c:v>
                </c:pt>
                <c:pt idx="1223">
                  <c:v>-0.572349835954282</c:v>
                </c:pt>
                <c:pt idx="1224">
                  <c:v>-0.568702509566153</c:v>
                </c:pt>
                <c:pt idx="1225">
                  <c:v>-0.557959512488798</c:v>
                </c:pt>
                <c:pt idx="1226">
                  <c:v>-0.558778850494224</c:v>
                </c:pt>
                <c:pt idx="1227">
                  <c:v>-0.568577318790169</c:v>
                </c:pt>
                <c:pt idx="1228">
                  <c:v>-0.575369172840116</c:v>
                </c:pt>
                <c:pt idx="1229">
                  <c:v>-0.589872982252935</c:v>
                </c:pt>
                <c:pt idx="1230">
                  <c:v>-0.580737617945233</c:v>
                </c:pt>
                <c:pt idx="1231">
                  <c:v>-0.580885709472921</c:v>
                </c:pt>
                <c:pt idx="1232">
                  <c:v>-0.566572230752045</c:v>
                </c:pt>
                <c:pt idx="1233">
                  <c:v>-0.572853143586186</c:v>
                </c:pt>
                <c:pt idx="1234">
                  <c:v>-0.593501479134107</c:v>
                </c:pt>
                <c:pt idx="1235">
                  <c:v>-0.618066352129083</c:v>
                </c:pt>
                <c:pt idx="1236">
                  <c:v>-0.614038364357067</c:v>
                </c:pt>
                <c:pt idx="1237">
                  <c:v>-0.620401719897344</c:v>
                </c:pt>
                <c:pt idx="1238">
                  <c:v>-0.626567620067369</c:v>
                </c:pt>
                <c:pt idx="1239">
                  <c:v>-0.626125381106676</c:v>
                </c:pt>
                <c:pt idx="1240">
                  <c:v>-0.638272957621905</c:v>
                </c:pt>
                <c:pt idx="1241">
                  <c:v>-0.620356427299528</c:v>
                </c:pt>
                <c:pt idx="1242">
                  <c:v>-0.624427163141393</c:v>
                </c:pt>
                <c:pt idx="1243">
                  <c:v>-0.619084163315947</c:v>
                </c:pt>
                <c:pt idx="1244">
                  <c:v>-0.617592052116004</c:v>
                </c:pt>
                <c:pt idx="1245">
                  <c:v>-0.611378314820196</c:v>
                </c:pt>
                <c:pt idx="1246">
                  <c:v>-0.607818520194137</c:v>
                </c:pt>
                <c:pt idx="1247">
                  <c:v>-0.618963552690304</c:v>
                </c:pt>
                <c:pt idx="1248">
                  <c:v>-0.612595108094093</c:v>
                </c:pt>
                <c:pt idx="1249">
                  <c:v>-0.610432768227599</c:v>
                </c:pt>
                <c:pt idx="1250">
                  <c:v>-0.608909613786456</c:v>
                </c:pt>
                <c:pt idx="1251">
                  <c:v>-0.612273479759043</c:v>
                </c:pt>
                <c:pt idx="1252">
                  <c:v>-0.618504010939435</c:v>
                </c:pt>
                <c:pt idx="1253">
                  <c:v>-0.655455137172958</c:v>
                </c:pt>
                <c:pt idx="1254">
                  <c:v>-0.649822061159256</c:v>
                </c:pt>
                <c:pt idx="1255">
                  <c:v>-0.666921798004174</c:v>
                </c:pt>
                <c:pt idx="1256">
                  <c:v>-0.679271410039995</c:v>
                </c:pt>
                <c:pt idx="1257">
                  <c:v>-0.662163530705582</c:v>
                </c:pt>
                <c:pt idx="1258">
                  <c:v>-0.674747239314382</c:v>
                </c:pt>
                <c:pt idx="1259">
                  <c:v>-0.670010854956308</c:v>
                </c:pt>
                <c:pt idx="1260">
                  <c:v>-0.671900421424722</c:v>
                </c:pt>
                <c:pt idx="1261">
                  <c:v>-0.658574219555105</c:v>
                </c:pt>
                <c:pt idx="1262">
                  <c:v>-0.657180327134694</c:v>
                </c:pt>
                <c:pt idx="1263">
                  <c:v>-0.656178292021225</c:v>
                </c:pt>
                <c:pt idx="1264">
                  <c:v>-0.658065822867266</c:v>
                </c:pt>
                <c:pt idx="1265">
                  <c:v>-0.691612370680727</c:v>
                </c:pt>
                <c:pt idx="1266">
                  <c:v>-0.685583366115335</c:v>
                </c:pt>
                <c:pt idx="1267">
                  <c:v>-0.687023568944749</c:v>
                </c:pt>
                <c:pt idx="1268">
                  <c:v>-0.682137057436612</c:v>
                </c:pt>
                <c:pt idx="1269">
                  <c:v>-0.69089074254924</c:v>
                </c:pt>
                <c:pt idx="1270">
                  <c:v>-0.687930438712245</c:v>
                </c:pt>
                <c:pt idx="1271">
                  <c:v>-0.702205749513614</c:v>
                </c:pt>
                <c:pt idx="1272">
                  <c:v>-0.684358430351944</c:v>
                </c:pt>
                <c:pt idx="1273">
                  <c:v>-0.675155890505908</c:v>
                </c:pt>
                <c:pt idx="1274">
                  <c:v>-0.676870393450181</c:v>
                </c:pt>
                <c:pt idx="1275">
                  <c:v>-0.663522308640047</c:v>
                </c:pt>
                <c:pt idx="1276">
                  <c:v>-0.669078031003547</c:v>
                </c:pt>
                <c:pt idx="1277">
                  <c:v>-0.664759967043274</c:v>
                </c:pt>
                <c:pt idx="1278">
                  <c:v>-0.667534520338666</c:v>
                </c:pt>
                <c:pt idx="1279">
                  <c:v>-0.664122308334703</c:v>
                </c:pt>
                <c:pt idx="1280">
                  <c:v>-0.656321803398573</c:v>
                </c:pt>
                <c:pt idx="1281">
                  <c:v>-0.658932997998474</c:v>
                </c:pt>
                <c:pt idx="1282">
                  <c:v>-0.660864803631143</c:v>
                </c:pt>
                <c:pt idx="1283">
                  <c:v>-0.679201181068101</c:v>
                </c:pt>
                <c:pt idx="1284">
                  <c:v>-0.674807290174407</c:v>
                </c:pt>
                <c:pt idx="1285">
                  <c:v>-0.681946726744668</c:v>
                </c:pt>
                <c:pt idx="1286">
                  <c:v>-0.683649524860293</c:v>
                </c:pt>
                <c:pt idx="1287">
                  <c:v>-0.682002706359946</c:v>
                </c:pt>
                <c:pt idx="1288">
                  <c:v>-0.676909579180876</c:v>
                </c:pt>
                <c:pt idx="1289">
                  <c:v>-0.657567095385702</c:v>
                </c:pt>
                <c:pt idx="1290">
                  <c:v>-0.627735049498703</c:v>
                </c:pt>
                <c:pt idx="1291">
                  <c:v>-0.624479071511923</c:v>
                </c:pt>
                <c:pt idx="1292">
                  <c:v>-0.619847012800502</c:v>
                </c:pt>
                <c:pt idx="1293">
                  <c:v>-0.626745228119477</c:v>
                </c:pt>
                <c:pt idx="1294">
                  <c:v>-0.623002736385376</c:v>
                </c:pt>
                <c:pt idx="1295">
                  <c:v>-0.623521820090677</c:v>
                </c:pt>
                <c:pt idx="1296">
                  <c:v>-0.607120301719948</c:v>
                </c:pt>
                <c:pt idx="1297">
                  <c:v>-0.573257214627372</c:v>
                </c:pt>
                <c:pt idx="1298">
                  <c:v>-0.584878073853398</c:v>
                </c:pt>
                <c:pt idx="1299">
                  <c:v>-0.596336592195119</c:v>
                </c:pt>
                <c:pt idx="1300">
                  <c:v>-0.58350097531757</c:v>
                </c:pt>
                <c:pt idx="1301">
                  <c:v>-0.581226676220521</c:v>
                </c:pt>
                <c:pt idx="1302">
                  <c:v>-0.581865861645872</c:v>
                </c:pt>
                <c:pt idx="1303">
                  <c:v>-0.584223621260244</c:v>
                </c:pt>
                <c:pt idx="1304">
                  <c:v>-0.606754907503864</c:v>
                </c:pt>
                <c:pt idx="1305">
                  <c:v>-0.613028695659697</c:v>
                </c:pt>
                <c:pt idx="1306">
                  <c:v>-0.616594597152877</c:v>
                </c:pt>
                <c:pt idx="1307">
                  <c:v>-0.622693321784569</c:v>
                </c:pt>
                <c:pt idx="1308">
                  <c:v>-0.643511631800696</c:v>
                </c:pt>
                <c:pt idx="1309">
                  <c:v>-0.642238858911522</c:v>
                </c:pt>
                <c:pt idx="1310">
                  <c:v>-0.646921299276692</c:v>
                </c:pt>
                <c:pt idx="1311">
                  <c:v>-0.658106026409147</c:v>
                </c:pt>
                <c:pt idx="1312">
                  <c:v>-0.680280060926178</c:v>
                </c:pt>
                <c:pt idx="1313">
                  <c:v>-0.666847497787533</c:v>
                </c:pt>
                <c:pt idx="1314">
                  <c:v>-0.687226113370935</c:v>
                </c:pt>
                <c:pt idx="1315">
                  <c:v>-0.682668863781749</c:v>
                </c:pt>
                <c:pt idx="1316">
                  <c:v>-0.678574718282586</c:v>
                </c:pt>
                <c:pt idx="1317">
                  <c:v>-0.681747235752043</c:v>
                </c:pt>
                <c:pt idx="1318">
                  <c:v>-0.684732475963117</c:v>
                </c:pt>
                <c:pt idx="1319">
                  <c:v>-0.680966574571718</c:v>
                </c:pt>
                <c:pt idx="1320">
                  <c:v>-0.678580316244114</c:v>
                </c:pt>
                <c:pt idx="1321">
                  <c:v>-0.664860730350773</c:v>
                </c:pt>
                <c:pt idx="1322">
                  <c:v>-0.674471412482742</c:v>
                </c:pt>
                <c:pt idx="1323">
                  <c:v>-0.669744188425349</c:v>
                </c:pt>
                <c:pt idx="1324">
                  <c:v>-0.681489220616173</c:v>
                </c:pt>
                <c:pt idx="1325">
                  <c:v>-0.670438335654791</c:v>
                </c:pt>
                <c:pt idx="1326">
                  <c:v>-0.676336551482671</c:v>
                </c:pt>
                <c:pt idx="1327">
                  <c:v>-0.667869889124738</c:v>
                </c:pt>
                <c:pt idx="1328">
                  <c:v>-0.659497374301591</c:v>
                </c:pt>
                <c:pt idx="1329">
                  <c:v>-0.657123838613823</c:v>
                </c:pt>
                <c:pt idx="1330">
                  <c:v>-0.658525364618135</c:v>
                </c:pt>
                <c:pt idx="1331">
                  <c:v>-0.648249542875551</c:v>
                </c:pt>
                <c:pt idx="1332">
                  <c:v>-0.64015234597845</c:v>
                </c:pt>
                <c:pt idx="1333">
                  <c:v>-0.642193566313707</c:v>
                </c:pt>
                <c:pt idx="1334">
                  <c:v>-0.644631224106247</c:v>
                </c:pt>
                <c:pt idx="1335">
                  <c:v>-0.643002217301671</c:v>
                </c:pt>
                <c:pt idx="1336">
                  <c:v>-0.634041916518109</c:v>
                </c:pt>
                <c:pt idx="1337">
                  <c:v>-0.628753369591161</c:v>
                </c:pt>
                <c:pt idx="1338">
                  <c:v>-0.63068822865739</c:v>
                </c:pt>
                <c:pt idx="1339">
                  <c:v>-0.625445483233851</c:v>
                </c:pt>
                <c:pt idx="1340">
                  <c:v>-0.659645974734873</c:v>
                </c:pt>
                <c:pt idx="1341">
                  <c:v>-0.669465817065742</c:v>
                </c:pt>
                <c:pt idx="1342">
                  <c:v>-0.674554364094471</c:v>
                </c:pt>
                <c:pt idx="1343">
                  <c:v>-0.685089218784113</c:v>
                </c:pt>
                <c:pt idx="1344">
                  <c:v>-0.682696853589388</c:v>
                </c:pt>
                <c:pt idx="1345">
                  <c:v>-0.679389476137671</c:v>
                </c:pt>
                <c:pt idx="1346">
                  <c:v>-0.680278534209397</c:v>
                </c:pt>
                <c:pt idx="1347">
                  <c:v>-0.678066321594747</c:v>
                </c:pt>
                <c:pt idx="1348">
                  <c:v>-0.669924341005424</c:v>
                </c:pt>
                <c:pt idx="1349">
                  <c:v>-0.670328920952203</c:v>
                </c:pt>
                <c:pt idx="1350">
                  <c:v>-0.668260728620494</c:v>
                </c:pt>
                <c:pt idx="1351">
                  <c:v>-0.669313145387712</c:v>
                </c:pt>
                <c:pt idx="1352">
                  <c:v>-0.681898380713292</c:v>
                </c:pt>
                <c:pt idx="1353">
                  <c:v>-0.677572683169118</c:v>
                </c:pt>
                <c:pt idx="1354">
                  <c:v>-0.674965050908371</c:v>
                </c:pt>
                <c:pt idx="1355">
                  <c:v>-0.669562000222901</c:v>
                </c:pt>
                <c:pt idx="1356">
                  <c:v>-0.656488724433219</c:v>
                </c:pt>
                <c:pt idx="1357">
                  <c:v>-0.658660224600395</c:v>
                </c:pt>
                <c:pt idx="1358">
                  <c:v>-0.659186432984004</c:v>
                </c:pt>
                <c:pt idx="1359">
                  <c:v>-0.66503375825254</c:v>
                </c:pt>
                <c:pt idx="1360">
                  <c:v>-0.672423067469177</c:v>
                </c:pt>
                <c:pt idx="1361">
                  <c:v>-0.671467851670305</c:v>
                </c:pt>
                <c:pt idx="1362">
                  <c:v>-0.660050554681652</c:v>
                </c:pt>
                <c:pt idx="1363">
                  <c:v>-0.663103988242245</c:v>
                </c:pt>
                <c:pt idx="1364">
                  <c:v>-0.665089228962224</c:v>
                </c:pt>
                <c:pt idx="1365">
                  <c:v>-0.663867855537987</c:v>
                </c:pt>
                <c:pt idx="1366">
                  <c:v>-0.665505004832059</c:v>
                </c:pt>
                <c:pt idx="1367">
                  <c:v>-0.669289735730414</c:v>
                </c:pt>
                <c:pt idx="1368">
                  <c:v>-0.670940116569915</c:v>
                </c:pt>
                <c:pt idx="1369">
                  <c:v>-0.66679660722819</c:v>
                </c:pt>
                <c:pt idx="1370">
                  <c:v>-0.664430705124323</c:v>
                </c:pt>
                <c:pt idx="1371">
                  <c:v>-0.666543172242661</c:v>
                </c:pt>
                <c:pt idx="1372">
                  <c:v>-0.665649025115</c:v>
                </c:pt>
                <c:pt idx="1373">
                  <c:v>-0.663711621520803</c:v>
                </c:pt>
                <c:pt idx="1374">
                  <c:v>-0.664657677018994</c:v>
                </c:pt>
                <c:pt idx="1375">
                  <c:v>-0.667961492131556</c:v>
                </c:pt>
                <c:pt idx="1376">
                  <c:v>-0.686784383315836</c:v>
                </c:pt>
                <c:pt idx="1377">
                  <c:v>-0.685088709878519</c:v>
                </c:pt>
                <c:pt idx="1378">
                  <c:v>-0.684682094309367</c:v>
                </c:pt>
                <c:pt idx="1379">
                  <c:v>-0.685318735206751</c:v>
                </c:pt>
                <c:pt idx="1380">
                  <c:v>-0.672243423794695</c:v>
                </c:pt>
                <c:pt idx="1381">
                  <c:v>-0.671394060359257</c:v>
                </c:pt>
                <c:pt idx="1382">
                  <c:v>-0.67207650276005</c:v>
                </c:pt>
                <c:pt idx="1383">
                  <c:v>-0.674556908622438</c:v>
                </c:pt>
                <c:pt idx="1384">
                  <c:v>-0.675166068617777</c:v>
                </c:pt>
                <c:pt idx="1385">
                  <c:v>-0.673587952372543</c:v>
                </c:pt>
                <c:pt idx="1386">
                  <c:v>-0.673492278120978</c:v>
                </c:pt>
                <c:pt idx="1387">
                  <c:v>-0.673911107424373</c:v>
                </c:pt>
                <c:pt idx="1388">
                  <c:v>-0.674547748321757</c:v>
                </c:pt>
                <c:pt idx="1389">
                  <c:v>-0.673487189065044</c:v>
                </c:pt>
                <c:pt idx="1390">
                  <c:v>-0.674525356475646</c:v>
                </c:pt>
                <c:pt idx="1391">
                  <c:v>-0.674052583179347</c:v>
                </c:pt>
                <c:pt idx="1392">
                  <c:v>-0.673836298302138</c:v>
                </c:pt>
                <c:pt idx="1393">
                  <c:v>-0.674116196378526</c:v>
                </c:pt>
                <c:pt idx="1394">
                  <c:v>-0.681119755155341</c:v>
                </c:pt>
                <c:pt idx="1395">
                  <c:v>-0.681036803543611</c:v>
                </c:pt>
                <c:pt idx="1396">
                  <c:v>-0.679176753599617</c:v>
                </c:pt>
                <c:pt idx="1397">
                  <c:v>-0.677150291526569</c:v>
                </c:pt>
                <c:pt idx="1398">
                  <c:v>-0.676855126282378</c:v>
                </c:pt>
                <c:pt idx="1399">
                  <c:v>-0.677763013861062</c:v>
                </c:pt>
                <c:pt idx="1400">
                  <c:v>-0.673115687981838</c:v>
                </c:pt>
                <c:pt idx="1401">
                  <c:v>-0.674096857965976</c:v>
                </c:pt>
                <c:pt idx="1402">
                  <c:v>-0.671832228075202</c:v>
                </c:pt>
                <c:pt idx="1403">
                  <c:v>-0.669052585723875</c:v>
                </c:pt>
                <c:pt idx="1404">
                  <c:v>-0.673982863113047</c:v>
                </c:pt>
                <c:pt idx="1405">
                  <c:v>-0.677613904522186</c:v>
                </c:pt>
                <c:pt idx="1406">
                  <c:v>-0.676976245813615</c:v>
                </c:pt>
                <c:pt idx="1407">
                  <c:v>-0.676458179919501</c:v>
                </c:pt>
                <c:pt idx="1408">
                  <c:v>-0.677971156248775</c:v>
                </c:pt>
                <c:pt idx="1409">
                  <c:v>-0.681458686280567</c:v>
                </c:pt>
                <c:pt idx="1410">
                  <c:v>-0.714735005223916</c:v>
                </c:pt>
                <c:pt idx="1411">
                  <c:v>-0.716055106333279</c:v>
                </c:pt>
                <c:pt idx="1412">
                  <c:v>-0.719479023165892</c:v>
                </c:pt>
                <c:pt idx="1413">
                  <c:v>-0.719889709979791</c:v>
                </c:pt>
                <c:pt idx="1414">
                  <c:v>-0.717048490051659</c:v>
                </c:pt>
                <c:pt idx="1415">
                  <c:v>-0.759109537348836</c:v>
                </c:pt>
                <c:pt idx="1416">
                  <c:v>-0.778665252587658</c:v>
                </c:pt>
                <c:pt idx="1417">
                  <c:v>-0.768696809823506</c:v>
                </c:pt>
                <c:pt idx="1418">
                  <c:v>-0.782933443799774</c:v>
                </c:pt>
                <c:pt idx="1419">
                  <c:v>-0.781995021885485</c:v>
                </c:pt>
                <c:pt idx="1420">
                  <c:v>-0.807888647384912</c:v>
                </c:pt>
                <c:pt idx="1421">
                  <c:v>-0.799659643939113</c:v>
                </c:pt>
                <c:pt idx="1422">
                  <c:v>-0.810111038111431</c:v>
                </c:pt>
                <c:pt idx="1423">
                  <c:v>-0.807888138479319</c:v>
                </c:pt>
                <c:pt idx="1424">
                  <c:v>-0.784985860058087</c:v>
                </c:pt>
                <c:pt idx="1425">
                  <c:v>-0.783816903909973</c:v>
                </c:pt>
                <c:pt idx="1426">
                  <c:v>-0.79765913605133</c:v>
                </c:pt>
                <c:pt idx="1427">
                  <c:v>-0.789210794294761</c:v>
                </c:pt>
                <c:pt idx="1428">
                  <c:v>-0.791186365808465</c:v>
                </c:pt>
                <c:pt idx="1429">
                  <c:v>-0.80491256747452</c:v>
                </c:pt>
                <c:pt idx="1430">
                  <c:v>-0.801433179932224</c:v>
                </c:pt>
                <c:pt idx="1431">
                  <c:v>-0.811990426467976</c:v>
                </c:pt>
                <c:pt idx="1432">
                  <c:v>-0.825279478229273</c:v>
                </c:pt>
                <c:pt idx="1433">
                  <c:v>-0.8279894005143</c:v>
                </c:pt>
                <c:pt idx="1434">
                  <c:v>-0.826921207673686</c:v>
                </c:pt>
                <c:pt idx="1435">
                  <c:v>-0.820296274658384</c:v>
                </c:pt>
                <c:pt idx="1436">
                  <c:v>-0.826455559055695</c:v>
                </c:pt>
                <c:pt idx="1437">
                  <c:v>-0.82954919615817</c:v>
                </c:pt>
                <c:pt idx="1438">
                  <c:v>-0.82543316771849</c:v>
                </c:pt>
                <c:pt idx="1439">
                  <c:v>-0.833842323744365</c:v>
                </c:pt>
                <c:pt idx="1440">
                  <c:v>-0.837368530601257</c:v>
                </c:pt>
                <c:pt idx="1441">
                  <c:v>-0.838015349610509</c:v>
                </c:pt>
                <c:pt idx="1442">
                  <c:v>-0.83740466289839</c:v>
                </c:pt>
                <c:pt idx="1443">
                  <c:v>-0.822044874277418</c:v>
                </c:pt>
                <c:pt idx="1444">
                  <c:v>-0.813345133157693</c:v>
                </c:pt>
                <c:pt idx="1445">
                  <c:v>-0.812595006312974</c:v>
                </c:pt>
                <c:pt idx="1446">
                  <c:v>-0.792603667886174</c:v>
                </c:pt>
                <c:pt idx="1447">
                  <c:v>-0.804628089247792</c:v>
                </c:pt>
                <c:pt idx="1448">
                  <c:v>-0.797432164156659</c:v>
                </c:pt>
                <c:pt idx="1449">
                  <c:v>-0.799240305730124</c:v>
                </c:pt>
                <c:pt idx="1450">
                  <c:v>-0.794707483609423</c:v>
                </c:pt>
                <c:pt idx="1451">
                  <c:v>-0.807633685682603</c:v>
                </c:pt>
                <c:pt idx="1452">
                  <c:v>-0.806113075769427</c:v>
                </c:pt>
                <c:pt idx="1453">
                  <c:v>-0.817308489919344</c:v>
                </c:pt>
                <c:pt idx="1454">
                  <c:v>-0.802134451839974</c:v>
                </c:pt>
                <c:pt idx="1455">
                  <c:v>-0.810213328135711</c:v>
                </c:pt>
                <c:pt idx="1456">
                  <c:v>-0.805140048274785</c:v>
                </c:pt>
                <c:pt idx="1457">
                  <c:v>-0.812119179583115</c:v>
                </c:pt>
                <c:pt idx="1458">
                  <c:v>-0.80528763089688</c:v>
                </c:pt>
                <c:pt idx="1459">
                  <c:v>-0.801995520612967</c:v>
                </c:pt>
                <c:pt idx="1460">
                  <c:v>-0.807248444148375</c:v>
                </c:pt>
                <c:pt idx="1461">
                  <c:v>-0.805585340669038</c:v>
                </c:pt>
                <c:pt idx="1462">
                  <c:v>-0.806686103467632</c:v>
                </c:pt>
                <c:pt idx="1463">
                  <c:v>-0.794351758599614</c:v>
                </c:pt>
                <c:pt idx="1464">
                  <c:v>-0.79613191036544</c:v>
                </c:pt>
                <c:pt idx="1465">
                  <c:v>-0.79675023066146</c:v>
                </c:pt>
                <c:pt idx="1466">
                  <c:v>-0.796228093522599</c:v>
                </c:pt>
                <c:pt idx="1467">
                  <c:v>-0.815464724954338</c:v>
                </c:pt>
                <c:pt idx="1468">
                  <c:v>-0.814977702301424</c:v>
                </c:pt>
                <c:pt idx="1469">
                  <c:v>-0.815806200607532</c:v>
                </c:pt>
                <c:pt idx="1470">
                  <c:v>-0.821158360733659</c:v>
                </c:pt>
                <c:pt idx="1471">
                  <c:v>-0.813527321360142</c:v>
                </c:pt>
                <c:pt idx="1472">
                  <c:v>-0.817773120726147</c:v>
                </c:pt>
                <c:pt idx="1473">
                  <c:v>-0.816299839033161</c:v>
                </c:pt>
                <c:pt idx="1474">
                  <c:v>-0.814725285127081</c:v>
                </c:pt>
                <c:pt idx="1475">
                  <c:v>-0.816394495473539</c:v>
                </c:pt>
                <c:pt idx="1476">
                  <c:v>-0.812587881634666</c:v>
                </c:pt>
                <c:pt idx="1477">
                  <c:v>-0.820041312956075</c:v>
                </c:pt>
                <c:pt idx="1478">
                  <c:v>-0.820266758133965</c:v>
                </c:pt>
                <c:pt idx="1479">
                  <c:v>-0.817962942512498</c:v>
                </c:pt>
                <c:pt idx="1480">
                  <c:v>-0.819185333747922</c:v>
                </c:pt>
                <c:pt idx="1481">
                  <c:v>-0.818373120420804</c:v>
                </c:pt>
                <c:pt idx="1482">
                  <c:v>-0.818719176224338</c:v>
                </c:pt>
                <c:pt idx="1483">
                  <c:v>-0.819029608636332</c:v>
                </c:pt>
                <c:pt idx="1484">
                  <c:v>-0.820304417147879</c:v>
                </c:pt>
                <c:pt idx="1485">
                  <c:v>-0.825447925980699</c:v>
                </c:pt>
                <c:pt idx="1486">
                  <c:v>-0.827103395876135</c:v>
                </c:pt>
                <c:pt idx="1487">
                  <c:v>-0.825061157729691</c:v>
                </c:pt>
                <c:pt idx="1488">
                  <c:v>-0.826386856800582</c:v>
                </c:pt>
                <c:pt idx="1489">
                  <c:v>-0.825063702257658</c:v>
                </c:pt>
                <c:pt idx="1490">
                  <c:v>-0.823489657257172</c:v>
                </c:pt>
                <c:pt idx="1491">
                  <c:v>-0.826219935765936</c:v>
                </c:pt>
                <c:pt idx="1492">
                  <c:v>-0.826485075580114</c:v>
                </c:pt>
                <c:pt idx="1493">
                  <c:v>-0.825526806347681</c:v>
                </c:pt>
                <c:pt idx="1494">
                  <c:v>-0.828633166089992</c:v>
                </c:pt>
                <c:pt idx="1495">
                  <c:v>-0.829058611166101</c:v>
                </c:pt>
                <c:pt idx="1496">
                  <c:v>-0.815674902964426</c:v>
                </c:pt>
                <c:pt idx="1497">
                  <c:v>-0.815586353391169</c:v>
                </c:pt>
                <c:pt idx="1498">
                  <c:v>-0.81430849144606</c:v>
                </c:pt>
                <c:pt idx="1499">
                  <c:v>-0.817284571356452</c:v>
                </c:pt>
                <c:pt idx="1500">
                  <c:v>-0.817401619642942</c:v>
                </c:pt>
                <c:pt idx="1501">
                  <c:v>-0.817980754208268</c:v>
                </c:pt>
                <c:pt idx="1502">
                  <c:v>-0.818753272899098</c:v>
                </c:pt>
                <c:pt idx="1503">
                  <c:v>-0.818494239952041</c:v>
                </c:pt>
                <c:pt idx="1504">
                  <c:v>-0.817691186925605</c:v>
                </c:pt>
                <c:pt idx="1505">
                  <c:v>-0.815517651136055</c:v>
                </c:pt>
                <c:pt idx="1506">
                  <c:v>-0.803206207019742</c:v>
                </c:pt>
                <c:pt idx="1507">
                  <c:v>-0.802136996367941</c:v>
                </c:pt>
                <c:pt idx="1508">
                  <c:v>-0.799542595652623</c:v>
                </c:pt>
                <c:pt idx="1509">
                  <c:v>-0.801643357942312</c:v>
                </c:pt>
                <c:pt idx="1510">
                  <c:v>-0.799388397257813</c:v>
                </c:pt>
                <c:pt idx="1511">
                  <c:v>-0.790839801099338</c:v>
                </c:pt>
                <c:pt idx="1512">
                  <c:v>-0.809963455489336</c:v>
                </c:pt>
                <c:pt idx="1513">
                  <c:v>-0.805659640885679</c:v>
                </c:pt>
                <c:pt idx="1514">
                  <c:v>-0.806642337586597</c:v>
                </c:pt>
                <c:pt idx="1515">
                  <c:v>-0.806620454646079</c:v>
                </c:pt>
                <c:pt idx="1516">
                  <c:v>-0.807015874292176</c:v>
                </c:pt>
                <c:pt idx="1517">
                  <c:v>-0.80630187974459</c:v>
                </c:pt>
                <c:pt idx="1518">
                  <c:v>-0.806122236070109</c:v>
                </c:pt>
                <c:pt idx="1519">
                  <c:v>-0.807281014106354</c:v>
                </c:pt>
                <c:pt idx="1520">
                  <c:v>-0.811668289227334</c:v>
                </c:pt>
                <c:pt idx="1521">
                  <c:v>-0.804346664454624</c:v>
                </c:pt>
                <c:pt idx="1522">
                  <c:v>-0.803975163371418</c:v>
                </c:pt>
                <c:pt idx="1523">
                  <c:v>-0.803712568085207</c:v>
                </c:pt>
                <c:pt idx="1524">
                  <c:v>-0.804421473576858</c:v>
                </c:pt>
                <c:pt idx="1525">
                  <c:v>-0.800661679052581</c:v>
                </c:pt>
                <c:pt idx="1526">
                  <c:v>-0.801479490341226</c:v>
                </c:pt>
                <c:pt idx="1527">
                  <c:v>-0.804087631507567</c:v>
                </c:pt>
                <c:pt idx="1528">
                  <c:v>-0.803562440935145</c:v>
                </c:pt>
                <c:pt idx="1529">
                  <c:v>-0.804019438158047</c:v>
                </c:pt>
                <c:pt idx="1530">
                  <c:v>-0.803870328819171</c:v>
                </c:pt>
                <c:pt idx="1531">
                  <c:v>-0.801384324995255</c:v>
                </c:pt>
                <c:pt idx="1532">
                  <c:v>-0.796946668220525</c:v>
                </c:pt>
                <c:pt idx="1533">
                  <c:v>-0.798116642179826</c:v>
                </c:pt>
                <c:pt idx="1534">
                  <c:v>-0.797939034127718</c:v>
                </c:pt>
                <c:pt idx="1535">
                  <c:v>-0.796394505651651</c:v>
                </c:pt>
                <c:pt idx="1536">
                  <c:v>-0.794816898312011</c:v>
                </c:pt>
                <c:pt idx="1537">
                  <c:v>-0.797824021463602</c:v>
                </c:pt>
                <c:pt idx="1538">
                  <c:v>-0.79726320749964</c:v>
                </c:pt>
                <c:pt idx="1539">
                  <c:v>-0.79728101919541</c:v>
                </c:pt>
                <c:pt idx="1540">
                  <c:v>-0.797988906875874</c:v>
                </c:pt>
                <c:pt idx="1541">
                  <c:v>-0.801143612649561</c:v>
                </c:pt>
                <c:pt idx="1542">
                  <c:v>-0.800435216063503</c:v>
                </c:pt>
                <c:pt idx="1543">
                  <c:v>-0.795087636087717</c:v>
                </c:pt>
                <c:pt idx="1544">
                  <c:v>-0.795869315079229</c:v>
                </c:pt>
                <c:pt idx="1545">
                  <c:v>-0.791806212821266</c:v>
                </c:pt>
                <c:pt idx="1546">
                  <c:v>-0.791646925370521</c:v>
                </c:pt>
                <c:pt idx="1547">
                  <c:v>-0.79160366839508</c:v>
                </c:pt>
                <c:pt idx="1548">
                  <c:v>-0.789465755997071</c:v>
                </c:pt>
                <c:pt idx="1549">
                  <c:v>-0.750538040438656</c:v>
                </c:pt>
                <c:pt idx="1550">
                  <c:v>-0.746770103424884</c:v>
                </c:pt>
                <c:pt idx="1551">
                  <c:v>-0.750305979488051</c:v>
                </c:pt>
                <c:pt idx="1552">
                  <c:v>-0.74347799314097</c:v>
                </c:pt>
                <c:pt idx="1553">
                  <c:v>-0.743042369952992</c:v>
                </c:pt>
                <c:pt idx="1554">
                  <c:v>-0.735634231229399</c:v>
                </c:pt>
                <c:pt idx="1555">
                  <c:v>-0.731015912969001</c:v>
                </c:pt>
                <c:pt idx="1556">
                  <c:v>-0.736019981669221</c:v>
                </c:pt>
                <c:pt idx="1557">
                  <c:v>-0.729334488888301</c:v>
                </c:pt>
                <c:pt idx="1558">
                  <c:v>-0.743445423182991</c:v>
                </c:pt>
                <c:pt idx="1559">
                  <c:v>-0.741568070448819</c:v>
                </c:pt>
                <c:pt idx="1560">
                  <c:v>-0.742177230444158</c:v>
                </c:pt>
                <c:pt idx="1561">
                  <c:v>-0.737187411100554</c:v>
                </c:pt>
                <c:pt idx="1562">
                  <c:v>-0.744020995409163</c:v>
                </c:pt>
                <c:pt idx="1563">
                  <c:v>-0.735221508793125</c:v>
                </c:pt>
                <c:pt idx="1564">
                  <c:v>-0.733995046312954</c:v>
                </c:pt>
                <c:pt idx="1565">
                  <c:v>-0.731272910293684</c:v>
                </c:pt>
                <c:pt idx="1566">
                  <c:v>-0.730770620472967</c:v>
                </c:pt>
                <c:pt idx="1567">
                  <c:v>-0.729267822255561</c:v>
                </c:pt>
                <c:pt idx="1568">
                  <c:v>-0.730400137200948</c:v>
                </c:pt>
                <c:pt idx="1569">
                  <c:v>-0.725822022482431</c:v>
                </c:pt>
                <c:pt idx="1570">
                  <c:v>-0.718435257793762</c:v>
                </c:pt>
                <c:pt idx="1571">
                  <c:v>-0.723058665110094</c:v>
                </c:pt>
                <c:pt idx="1572">
                  <c:v>-0.738686646978806</c:v>
                </c:pt>
                <c:pt idx="1573">
                  <c:v>-0.737429650163028</c:v>
                </c:pt>
                <c:pt idx="1574">
                  <c:v>-0.736865273859912</c:v>
                </c:pt>
                <c:pt idx="1575">
                  <c:v>-0.737659166585666</c:v>
                </c:pt>
                <c:pt idx="1576">
                  <c:v>-0.738002677861233</c:v>
                </c:pt>
                <c:pt idx="1577">
                  <c:v>-0.731771637775248</c:v>
                </c:pt>
                <c:pt idx="1578">
                  <c:v>-0.729203700150789</c:v>
                </c:pt>
                <c:pt idx="1579">
                  <c:v>-0.725699376234414</c:v>
                </c:pt>
                <c:pt idx="1580">
                  <c:v>-0.712091749571629</c:v>
                </c:pt>
                <c:pt idx="1581">
                  <c:v>-0.706360963683988</c:v>
                </c:pt>
                <c:pt idx="1582">
                  <c:v>-0.709116687472424</c:v>
                </c:pt>
                <c:pt idx="1583">
                  <c:v>-0.71053958751166</c:v>
                </c:pt>
                <c:pt idx="1584">
                  <c:v>-0.707458164143428</c:v>
                </c:pt>
                <c:pt idx="1585">
                  <c:v>-0.697282087897156</c:v>
                </c:pt>
                <c:pt idx="1586">
                  <c:v>-0.686865808210785</c:v>
                </c:pt>
                <c:pt idx="1587">
                  <c:v>-0.677194057407604</c:v>
                </c:pt>
                <c:pt idx="1588">
                  <c:v>-0.63257270606987</c:v>
                </c:pt>
                <c:pt idx="1589">
                  <c:v>-0.644796109518519</c:v>
                </c:pt>
                <c:pt idx="1590">
                  <c:v>-0.601784935478404</c:v>
                </c:pt>
                <c:pt idx="1591">
                  <c:v>-0.593337611533022</c:v>
                </c:pt>
                <c:pt idx="1592">
                  <c:v>-0.582528456728521</c:v>
                </c:pt>
                <c:pt idx="1593">
                  <c:v>-0.59903531855709</c:v>
                </c:pt>
                <c:pt idx="1594">
                  <c:v>-0.625257697069874</c:v>
                </c:pt>
                <c:pt idx="1595">
                  <c:v>-0.63041240182575</c:v>
                </c:pt>
                <c:pt idx="1596">
                  <c:v>-0.58269741338554</c:v>
                </c:pt>
                <c:pt idx="1597">
                  <c:v>-0.592898934911484</c:v>
                </c:pt>
                <c:pt idx="1598">
                  <c:v>-0.595333539270464</c:v>
                </c:pt>
                <c:pt idx="1599">
                  <c:v>-0.611884166980068</c:v>
                </c:pt>
                <c:pt idx="1600">
                  <c:v>-0.598881629067873</c:v>
                </c:pt>
                <c:pt idx="1601">
                  <c:v>-0.593136084918023</c:v>
                </c:pt>
                <c:pt idx="1602">
                  <c:v>-0.589444992648859</c:v>
                </c:pt>
                <c:pt idx="1603">
                  <c:v>-0.554197173436553</c:v>
                </c:pt>
                <c:pt idx="1604">
                  <c:v>-0.553015494648603</c:v>
                </c:pt>
                <c:pt idx="1605">
                  <c:v>-0.55793915626506</c:v>
                </c:pt>
                <c:pt idx="1606">
                  <c:v>-0.559262310807984</c:v>
                </c:pt>
                <c:pt idx="1607">
                  <c:v>-0.578953394934659</c:v>
                </c:pt>
                <c:pt idx="1608">
                  <c:v>-0.564876557314729</c:v>
                </c:pt>
                <c:pt idx="1609">
                  <c:v>-0.564478084235072</c:v>
                </c:pt>
                <c:pt idx="1610">
                  <c:v>-0.555156969385766</c:v>
                </c:pt>
                <c:pt idx="1611">
                  <c:v>-0.592111657958444</c:v>
                </c:pt>
                <c:pt idx="1612">
                  <c:v>-0.608740148223843</c:v>
                </c:pt>
                <c:pt idx="1613">
                  <c:v>-0.604737605731498</c:v>
                </c:pt>
                <c:pt idx="1614">
                  <c:v>-0.602435316826811</c:v>
                </c:pt>
                <c:pt idx="1615">
                  <c:v>-0.593273998333843</c:v>
                </c:pt>
                <c:pt idx="1616">
                  <c:v>-0.595998169975486</c:v>
                </c:pt>
                <c:pt idx="1617">
                  <c:v>-0.612018518056734</c:v>
                </c:pt>
                <c:pt idx="1618">
                  <c:v>-0.590527943751683</c:v>
                </c:pt>
                <c:pt idx="1619">
                  <c:v>-0.597038373008462</c:v>
                </c:pt>
                <c:pt idx="1620">
                  <c:v>-0.584274511819587</c:v>
                </c:pt>
                <c:pt idx="1621">
                  <c:v>-0.57984754206232</c:v>
                </c:pt>
                <c:pt idx="1622">
                  <c:v>-0.557558494881173</c:v>
                </c:pt>
                <c:pt idx="1623">
                  <c:v>-0.549041959775084</c:v>
                </c:pt>
                <c:pt idx="1624">
                  <c:v>-0.542140182116956</c:v>
                </c:pt>
                <c:pt idx="1625">
                  <c:v>-0.524352913815311</c:v>
                </c:pt>
                <c:pt idx="1626">
                  <c:v>-0.537405324475662</c:v>
                </c:pt>
                <c:pt idx="1627">
                  <c:v>-0.527532555963076</c:v>
                </c:pt>
                <c:pt idx="1628">
                  <c:v>-0.514371748411324</c:v>
                </c:pt>
                <c:pt idx="1629">
                  <c:v>-0.482143774990445</c:v>
                </c:pt>
                <c:pt idx="1630">
                  <c:v>-0.457593151352086</c:v>
                </c:pt>
                <c:pt idx="1631">
                  <c:v>-0.449947862621953</c:v>
                </c:pt>
                <c:pt idx="1632">
                  <c:v>-0.438166698133996</c:v>
                </c:pt>
                <c:pt idx="1633">
                  <c:v>-0.402698013894141</c:v>
                </c:pt>
                <c:pt idx="1634">
                  <c:v>-0.343383540262829</c:v>
                </c:pt>
                <c:pt idx="1635">
                  <c:v>-0.433720389964178</c:v>
                </c:pt>
                <c:pt idx="1636">
                  <c:v>-0.373143830461155</c:v>
                </c:pt>
                <c:pt idx="1637">
                  <c:v>-0.393703616435819</c:v>
                </c:pt>
                <c:pt idx="1638">
                  <c:v>-0.451463892384788</c:v>
                </c:pt>
                <c:pt idx="1639">
                  <c:v>-0.4620552355953</c:v>
                </c:pt>
                <c:pt idx="1640">
                  <c:v>-0.446055752643383</c:v>
                </c:pt>
                <c:pt idx="1641">
                  <c:v>-0.388162652334528</c:v>
                </c:pt>
                <c:pt idx="1642">
                  <c:v>-0.43353972847851</c:v>
                </c:pt>
                <c:pt idx="1643">
                  <c:v>-0.438238962728263</c:v>
                </c:pt>
                <c:pt idx="1644">
                  <c:v>-0.430646600179847</c:v>
                </c:pt>
                <c:pt idx="1645">
                  <c:v>-0.415832358355034</c:v>
                </c:pt>
                <c:pt idx="1646">
                  <c:v>-0.3741321251236</c:v>
                </c:pt>
                <c:pt idx="1647">
                  <c:v>-0.360842055551117</c:v>
                </c:pt>
                <c:pt idx="1648">
                  <c:v>-0.385082755683076</c:v>
                </c:pt>
                <c:pt idx="1649">
                  <c:v>-0.423717850525267</c:v>
                </c:pt>
                <c:pt idx="1650">
                  <c:v>-0.398881221943399</c:v>
                </c:pt>
                <c:pt idx="1651">
                  <c:v>-0.419435409956534</c:v>
                </c:pt>
                <c:pt idx="1652">
                  <c:v>-0.481406879691155</c:v>
                </c:pt>
                <c:pt idx="1653">
                  <c:v>-0.447554479616041</c:v>
                </c:pt>
                <c:pt idx="1654">
                  <c:v>-0.519796682037312</c:v>
                </c:pt>
                <c:pt idx="1655">
                  <c:v>-0.505926460088316</c:v>
                </c:pt>
                <c:pt idx="1656">
                  <c:v>-0.457799258117426</c:v>
                </c:pt>
                <c:pt idx="1657">
                  <c:v>-0.46320434442527</c:v>
                </c:pt>
                <c:pt idx="1658">
                  <c:v>-0.452676105508343</c:v>
                </c:pt>
                <c:pt idx="1659">
                  <c:v>-0.458853201601424</c:v>
                </c:pt>
                <c:pt idx="1660">
                  <c:v>-0.475591106569411</c:v>
                </c:pt>
                <c:pt idx="1661">
                  <c:v>-0.499583460771776</c:v>
                </c:pt>
                <c:pt idx="1662">
                  <c:v>-0.503753942109953</c:v>
                </c:pt>
                <c:pt idx="1663">
                  <c:v>-0.497167177014159</c:v>
                </c:pt>
                <c:pt idx="1664">
                  <c:v>-0.499137150566336</c:v>
                </c:pt>
                <c:pt idx="1665">
                  <c:v>-0.518121364823733</c:v>
                </c:pt>
                <c:pt idx="1666">
                  <c:v>-0.514010425439987</c:v>
                </c:pt>
                <c:pt idx="1667">
                  <c:v>-0.516370729582326</c:v>
                </c:pt>
                <c:pt idx="1668">
                  <c:v>-0.512468441491887</c:v>
                </c:pt>
                <c:pt idx="1669">
                  <c:v>-0.486056241192753</c:v>
                </c:pt>
                <c:pt idx="1670">
                  <c:v>-0.469860829587364</c:v>
                </c:pt>
                <c:pt idx="1671">
                  <c:v>-0.463966176098638</c:v>
                </c:pt>
                <c:pt idx="1672">
                  <c:v>-0.449325979986779</c:v>
                </c:pt>
                <c:pt idx="1673">
                  <c:v>-0.440314788643873</c:v>
                </c:pt>
                <c:pt idx="1674">
                  <c:v>-0.400756539055196</c:v>
                </c:pt>
                <c:pt idx="1675">
                  <c:v>-0.417807929868738</c:v>
                </c:pt>
                <c:pt idx="1676">
                  <c:v>-0.388579954921143</c:v>
                </c:pt>
                <c:pt idx="1677">
                  <c:v>-0.388402855774628</c:v>
                </c:pt>
                <c:pt idx="1678">
                  <c:v>-0.394962139968377</c:v>
                </c:pt>
                <c:pt idx="1679">
                  <c:v>-0.425760088671711</c:v>
                </c:pt>
                <c:pt idx="1680">
                  <c:v>-0.413132614181876</c:v>
                </c:pt>
                <c:pt idx="1681">
                  <c:v>-0.420489862346126</c:v>
                </c:pt>
                <c:pt idx="1682">
                  <c:v>-0.447553461804854</c:v>
                </c:pt>
                <c:pt idx="1683">
                  <c:v>-0.485733595046517</c:v>
                </c:pt>
                <c:pt idx="1684">
                  <c:v>-0.476796195014659</c:v>
                </c:pt>
                <c:pt idx="1685">
                  <c:v>-0.47232444156517</c:v>
                </c:pt>
                <c:pt idx="1686">
                  <c:v>-0.479981435123952</c:v>
                </c:pt>
                <c:pt idx="1687">
                  <c:v>-0.475367188108301</c:v>
                </c:pt>
                <c:pt idx="1688">
                  <c:v>-0.443477636907055</c:v>
                </c:pt>
                <c:pt idx="1689">
                  <c:v>-0.451858294219698</c:v>
                </c:pt>
                <c:pt idx="1690">
                  <c:v>-0.484084232018203</c:v>
                </c:pt>
                <c:pt idx="1691">
                  <c:v>-0.486570744747713</c:v>
                </c:pt>
                <c:pt idx="1692">
                  <c:v>-0.469974315534699</c:v>
                </c:pt>
                <c:pt idx="1693">
                  <c:v>-0.483155479310189</c:v>
                </c:pt>
                <c:pt idx="1694">
                  <c:v>-0.483537158505263</c:v>
                </c:pt>
                <c:pt idx="1695">
                  <c:v>-0.472074060013201</c:v>
                </c:pt>
                <c:pt idx="1696">
                  <c:v>-0.482434868989889</c:v>
                </c:pt>
                <c:pt idx="1697">
                  <c:v>-0.505833330364717</c:v>
                </c:pt>
                <c:pt idx="1698">
                  <c:v>-0.515267422255765</c:v>
                </c:pt>
                <c:pt idx="1699">
                  <c:v>-0.512437907156281</c:v>
                </c:pt>
                <c:pt idx="1700">
                  <c:v>-0.511758518189049</c:v>
                </c:pt>
                <c:pt idx="1701">
                  <c:v>-0.502817555818038</c:v>
                </c:pt>
                <c:pt idx="1702">
                  <c:v>-0.470481185505758</c:v>
                </c:pt>
                <c:pt idx="1703">
                  <c:v>-0.459111725642888</c:v>
                </c:pt>
                <c:pt idx="1704">
                  <c:v>-0.461289332677184</c:v>
                </c:pt>
                <c:pt idx="1705">
                  <c:v>-0.461869485053697</c:v>
                </c:pt>
                <c:pt idx="1706">
                  <c:v>-0.474870496249111</c:v>
                </c:pt>
                <c:pt idx="1707">
                  <c:v>-0.466419101058982</c:v>
                </c:pt>
                <c:pt idx="1708">
                  <c:v>-0.470983984232069</c:v>
                </c:pt>
                <c:pt idx="1709">
                  <c:v>-0.475317824265738</c:v>
                </c:pt>
                <c:pt idx="1710">
                  <c:v>-0.486513747321248</c:v>
                </c:pt>
                <c:pt idx="1711">
                  <c:v>-0.482468965664649</c:v>
                </c:pt>
                <c:pt idx="1712">
                  <c:v>-0.468845562928467</c:v>
                </c:pt>
                <c:pt idx="1713">
                  <c:v>-0.47165879304896</c:v>
                </c:pt>
                <c:pt idx="1714">
                  <c:v>-0.472763627092302</c:v>
                </c:pt>
                <c:pt idx="1715">
                  <c:v>-0.475488816545132</c:v>
                </c:pt>
                <c:pt idx="1716">
                  <c:v>-0.477416550933053</c:v>
                </c:pt>
                <c:pt idx="1717">
                  <c:v>-0.481672528410927</c:v>
                </c:pt>
                <c:pt idx="1718">
                  <c:v>-0.483193138324103</c:v>
                </c:pt>
                <c:pt idx="1719">
                  <c:v>-0.475575839401608</c:v>
                </c:pt>
                <c:pt idx="1720">
                  <c:v>-0.482522400751959</c:v>
                </c:pt>
                <c:pt idx="1721">
                  <c:v>-0.491990589317766</c:v>
                </c:pt>
                <c:pt idx="1722">
                  <c:v>-0.489313236990719</c:v>
                </c:pt>
                <c:pt idx="1723">
                  <c:v>-0.507181421281719</c:v>
                </c:pt>
                <c:pt idx="1724">
                  <c:v>-0.564558491318834</c:v>
                </c:pt>
                <c:pt idx="1725">
                  <c:v>-0.570149328168281</c:v>
                </c:pt>
                <c:pt idx="1726">
                  <c:v>-0.589669420015562</c:v>
                </c:pt>
                <c:pt idx="1727">
                  <c:v>-0.583003774552787</c:v>
                </c:pt>
                <c:pt idx="1728">
                  <c:v>-0.581261281800874</c:v>
                </c:pt>
                <c:pt idx="1729">
                  <c:v>-0.589666366582002</c:v>
                </c:pt>
                <c:pt idx="1730">
                  <c:v>-0.577346779976193</c:v>
                </c:pt>
                <c:pt idx="1731">
                  <c:v>-0.576415991645806</c:v>
                </c:pt>
                <c:pt idx="1732">
                  <c:v>-0.572722863754268</c:v>
                </c:pt>
                <c:pt idx="1733">
                  <c:v>-0.580598177812632</c:v>
                </c:pt>
                <c:pt idx="1734">
                  <c:v>-0.584747794021479</c:v>
                </c:pt>
                <c:pt idx="1735">
                  <c:v>-0.585089778580265</c:v>
                </c:pt>
                <c:pt idx="1736">
                  <c:v>-0.599864325768791</c:v>
                </c:pt>
                <c:pt idx="1737">
                  <c:v>-0.581434309702641</c:v>
                </c:pt>
                <c:pt idx="1738">
                  <c:v>-0.583372731108025</c:v>
                </c:pt>
                <c:pt idx="1739">
                  <c:v>-0.56234118964825</c:v>
                </c:pt>
                <c:pt idx="1740">
                  <c:v>-0.562900476895432</c:v>
                </c:pt>
                <c:pt idx="1741">
                  <c:v>-0.579458738188937</c:v>
                </c:pt>
                <c:pt idx="1742">
                  <c:v>-0.57739970615791</c:v>
                </c:pt>
                <c:pt idx="1743">
                  <c:v>-0.578625659732489</c:v>
                </c:pt>
                <c:pt idx="1744">
                  <c:v>-0.574402252212594</c:v>
                </c:pt>
                <c:pt idx="1745">
                  <c:v>-0.584910134905784</c:v>
                </c:pt>
                <c:pt idx="1746">
                  <c:v>-0.593231759169588</c:v>
                </c:pt>
                <c:pt idx="1747">
                  <c:v>-0.588956952184757</c:v>
                </c:pt>
                <c:pt idx="1748">
                  <c:v>-0.595208348494479</c:v>
                </c:pt>
                <c:pt idx="1749">
                  <c:v>-0.594642954380176</c:v>
                </c:pt>
                <c:pt idx="1750">
                  <c:v>-0.580893851962416</c:v>
                </c:pt>
                <c:pt idx="1751">
                  <c:v>-0.581955429030316</c:v>
                </c:pt>
                <c:pt idx="1752">
                  <c:v>-0.592466365157066</c:v>
                </c:pt>
                <c:pt idx="1753">
                  <c:v>-0.619673475993142</c:v>
                </c:pt>
                <c:pt idx="1754">
                  <c:v>-0.621410370783526</c:v>
                </c:pt>
                <c:pt idx="1755">
                  <c:v>-0.557005314501112</c:v>
                </c:pt>
                <c:pt idx="1756">
                  <c:v>-0.527670978284489</c:v>
                </c:pt>
                <c:pt idx="1757">
                  <c:v>-0.5129478305609</c:v>
                </c:pt>
                <c:pt idx="1758">
                  <c:v>-0.530689297359136</c:v>
                </c:pt>
                <c:pt idx="1759">
                  <c:v>-0.520037394383005</c:v>
                </c:pt>
                <c:pt idx="1760">
                  <c:v>-0.5330399322952</c:v>
                </c:pt>
                <c:pt idx="1761">
                  <c:v>-0.53451677632734</c:v>
                </c:pt>
                <c:pt idx="1762">
                  <c:v>-0.528346296006974</c:v>
                </c:pt>
                <c:pt idx="1763">
                  <c:v>-0.525699986921126</c:v>
                </c:pt>
                <c:pt idx="1764">
                  <c:v>-0.531042986746572</c:v>
                </c:pt>
                <c:pt idx="1765">
                  <c:v>-0.520916274342863</c:v>
                </c:pt>
                <c:pt idx="1766">
                  <c:v>-0.525954948623436</c:v>
                </c:pt>
                <c:pt idx="1767">
                  <c:v>-0.524523906094704</c:v>
                </c:pt>
                <c:pt idx="1768">
                  <c:v>-0.531974283982553</c:v>
                </c:pt>
                <c:pt idx="1769">
                  <c:v>-0.554265366786073</c:v>
                </c:pt>
                <c:pt idx="1770">
                  <c:v>-0.55224552048574</c:v>
                </c:pt>
                <c:pt idx="1771">
                  <c:v>-0.540111175515941</c:v>
                </c:pt>
                <c:pt idx="1772">
                  <c:v>-0.556203279285863</c:v>
                </c:pt>
                <c:pt idx="1773">
                  <c:v>-0.550959516051137</c:v>
                </c:pt>
                <c:pt idx="1774">
                  <c:v>-0.553913204115418</c:v>
                </c:pt>
                <c:pt idx="1775">
                  <c:v>-0.560813963962359</c:v>
                </c:pt>
                <c:pt idx="1776">
                  <c:v>-0.569465867956301</c:v>
                </c:pt>
                <c:pt idx="1777">
                  <c:v>-0.568040932294691</c:v>
                </c:pt>
                <c:pt idx="1778">
                  <c:v>-0.567429736676979</c:v>
                </c:pt>
                <c:pt idx="1779">
                  <c:v>-0.584695885650949</c:v>
                </c:pt>
                <c:pt idx="1780">
                  <c:v>-0.586597665853605</c:v>
                </c:pt>
                <c:pt idx="1781">
                  <c:v>-0.588653644451072</c:v>
                </c:pt>
                <c:pt idx="1782">
                  <c:v>-0.612277042098197</c:v>
                </c:pt>
                <c:pt idx="1783">
                  <c:v>-0.628679578280113</c:v>
                </c:pt>
                <c:pt idx="1784">
                  <c:v>-0.626518256224806</c:v>
                </c:pt>
                <c:pt idx="1785">
                  <c:v>-0.64853707453584</c:v>
                </c:pt>
                <c:pt idx="1786">
                  <c:v>-0.637404764679509</c:v>
                </c:pt>
                <c:pt idx="1787">
                  <c:v>-0.635878047899212</c:v>
                </c:pt>
                <c:pt idx="1788">
                  <c:v>-0.616315716887676</c:v>
                </c:pt>
                <c:pt idx="1789">
                  <c:v>-0.622745739060693</c:v>
                </c:pt>
                <c:pt idx="1790">
                  <c:v>-0.60553251626844</c:v>
                </c:pt>
                <c:pt idx="1791">
                  <c:v>-0.615689763007754</c:v>
                </c:pt>
                <c:pt idx="1792">
                  <c:v>-0.622705535518811</c:v>
                </c:pt>
                <c:pt idx="1793">
                  <c:v>-0.627730978253955</c:v>
                </c:pt>
                <c:pt idx="1794">
                  <c:v>-0.628702479031817</c:v>
                </c:pt>
                <c:pt idx="1795">
                  <c:v>-0.63432232350009</c:v>
                </c:pt>
                <c:pt idx="1796">
                  <c:v>-0.623982379652733</c:v>
                </c:pt>
                <c:pt idx="1797">
                  <c:v>-0.615228694540105</c:v>
                </c:pt>
                <c:pt idx="1798">
                  <c:v>-0.618208845695244</c:v>
                </c:pt>
                <c:pt idx="1799">
                  <c:v>-0.617302993738935</c:v>
                </c:pt>
                <c:pt idx="1800">
                  <c:v>-0.626835304409514</c:v>
                </c:pt>
                <c:pt idx="1801">
                  <c:v>-0.632789499852672</c:v>
                </c:pt>
                <c:pt idx="1802">
                  <c:v>-0.629762529382937</c:v>
                </c:pt>
                <c:pt idx="1803">
                  <c:v>-0.633883646878551</c:v>
                </c:pt>
                <c:pt idx="1804">
                  <c:v>-0.631081612681113</c:v>
                </c:pt>
                <c:pt idx="1805">
                  <c:v>-0.640735551788523</c:v>
                </c:pt>
                <c:pt idx="1806">
                  <c:v>-0.638117232510314</c:v>
                </c:pt>
                <c:pt idx="1807">
                  <c:v>-0.650023587774256</c:v>
                </c:pt>
                <c:pt idx="1808">
                  <c:v>-0.663174726119732</c:v>
                </c:pt>
                <c:pt idx="1809">
                  <c:v>-0.628034794893234</c:v>
                </c:pt>
                <c:pt idx="1810">
                  <c:v>-0.635929447364149</c:v>
                </c:pt>
                <c:pt idx="1811">
                  <c:v>-0.634103494094914</c:v>
                </c:pt>
                <c:pt idx="1812">
                  <c:v>-0.636488225705738</c:v>
                </c:pt>
                <c:pt idx="1813">
                  <c:v>-0.615776276958638</c:v>
                </c:pt>
                <c:pt idx="1814">
                  <c:v>-0.627573726425585</c:v>
                </c:pt>
                <c:pt idx="1815">
                  <c:v>-0.630541154940888</c:v>
                </c:pt>
                <c:pt idx="1816">
                  <c:v>-0.633854639259726</c:v>
                </c:pt>
                <c:pt idx="1817">
                  <c:v>-0.633842425525483</c:v>
                </c:pt>
                <c:pt idx="1818">
                  <c:v>-0.631178304743865</c:v>
                </c:pt>
                <c:pt idx="1819">
                  <c:v>-0.628310621724874</c:v>
                </c:pt>
                <c:pt idx="1820">
                  <c:v>-0.624502481169221</c:v>
                </c:pt>
                <c:pt idx="1821">
                  <c:v>-0.634045987762856</c:v>
                </c:pt>
                <c:pt idx="1822">
                  <c:v>-0.635724867315589</c:v>
                </c:pt>
                <c:pt idx="1823">
                  <c:v>-0.634894842292701</c:v>
                </c:pt>
                <c:pt idx="1824">
                  <c:v>-0.646564556455696</c:v>
                </c:pt>
                <c:pt idx="1825">
                  <c:v>-0.626690266315386</c:v>
                </c:pt>
                <c:pt idx="1826">
                  <c:v>-0.625776271869582</c:v>
                </c:pt>
                <c:pt idx="1827">
                  <c:v>-0.626021055460023</c:v>
                </c:pt>
                <c:pt idx="1828">
                  <c:v>-0.604403254756613</c:v>
                </c:pt>
                <c:pt idx="1829">
                  <c:v>-0.584226674693804</c:v>
                </c:pt>
                <c:pt idx="1830">
                  <c:v>-0.591090284432425</c:v>
                </c:pt>
                <c:pt idx="1831">
                  <c:v>-0.602352365215081</c:v>
                </c:pt>
                <c:pt idx="1832">
                  <c:v>-0.58351726029656</c:v>
                </c:pt>
                <c:pt idx="1833">
                  <c:v>-0.592728451537684</c:v>
                </c:pt>
                <c:pt idx="1834">
                  <c:v>-0.58307095009112</c:v>
                </c:pt>
                <c:pt idx="1835">
                  <c:v>-0.587296902138981</c:v>
                </c:pt>
                <c:pt idx="1836">
                  <c:v>-0.554342211530681</c:v>
                </c:pt>
                <c:pt idx="1837">
                  <c:v>-0.550541704558929</c:v>
                </c:pt>
                <c:pt idx="1838">
                  <c:v>-0.555866892688604</c:v>
                </c:pt>
                <c:pt idx="1839">
                  <c:v>-0.548305064475794</c:v>
                </c:pt>
                <c:pt idx="1840">
                  <c:v>-0.547023131285938</c:v>
                </c:pt>
                <c:pt idx="1841">
                  <c:v>-0.556722362991164</c:v>
                </c:pt>
                <c:pt idx="1842">
                  <c:v>-0.560627704515163</c:v>
                </c:pt>
                <c:pt idx="1843">
                  <c:v>-0.55572541693363</c:v>
                </c:pt>
                <c:pt idx="1844">
                  <c:v>-0.55903330329094</c:v>
                </c:pt>
                <c:pt idx="1845">
                  <c:v>-0.573199708295314</c:v>
                </c:pt>
                <c:pt idx="1846">
                  <c:v>-0.571249073155688</c:v>
                </c:pt>
                <c:pt idx="1847">
                  <c:v>-0.577402759591471</c:v>
                </c:pt>
                <c:pt idx="1848">
                  <c:v>-0.560665872434671</c:v>
                </c:pt>
                <c:pt idx="1849">
                  <c:v>-0.546909136433009</c:v>
                </c:pt>
                <c:pt idx="1850">
                  <c:v>-0.520731032706854</c:v>
                </c:pt>
                <c:pt idx="1851">
                  <c:v>-0.528244514888288</c:v>
                </c:pt>
                <c:pt idx="1852">
                  <c:v>-0.516864876913549</c:v>
                </c:pt>
                <c:pt idx="1853">
                  <c:v>-0.524515254699616</c:v>
                </c:pt>
                <c:pt idx="1854">
                  <c:v>-0.522897952723688</c:v>
                </c:pt>
                <c:pt idx="1855">
                  <c:v>-0.526002276843625</c:v>
                </c:pt>
                <c:pt idx="1856">
                  <c:v>-0.527619069913959</c:v>
                </c:pt>
                <c:pt idx="1857">
                  <c:v>-0.533915249915903</c:v>
                </c:pt>
                <c:pt idx="1858">
                  <c:v>-0.510257755594017</c:v>
                </c:pt>
                <c:pt idx="1859">
                  <c:v>-0.503004833076421</c:v>
                </c:pt>
                <c:pt idx="1860">
                  <c:v>-0.501019083450848</c:v>
                </c:pt>
                <c:pt idx="1861">
                  <c:v>-0.495617050576565</c:v>
                </c:pt>
                <c:pt idx="1862">
                  <c:v>-0.482198227888943</c:v>
                </c:pt>
                <c:pt idx="1863">
                  <c:v>-0.498498982952171</c:v>
                </c:pt>
                <c:pt idx="1864">
                  <c:v>-0.476845558857222</c:v>
                </c:pt>
                <c:pt idx="1865">
                  <c:v>-0.473587545248069</c:v>
                </c:pt>
                <c:pt idx="1866">
                  <c:v>-0.478902555265875</c:v>
                </c:pt>
                <c:pt idx="1867">
                  <c:v>-0.471755994017306</c:v>
                </c:pt>
                <c:pt idx="1868">
                  <c:v>-0.496115269152535</c:v>
                </c:pt>
                <c:pt idx="1869">
                  <c:v>-0.495418068489533</c:v>
                </c:pt>
                <c:pt idx="1870">
                  <c:v>-0.505753432186548</c:v>
                </c:pt>
                <c:pt idx="1871">
                  <c:v>-0.481348355547911</c:v>
                </c:pt>
                <c:pt idx="1872">
                  <c:v>-0.511881164437066</c:v>
                </c:pt>
                <c:pt idx="1873">
                  <c:v>-0.510939180183623</c:v>
                </c:pt>
                <c:pt idx="1874">
                  <c:v>-0.506513737143136</c:v>
                </c:pt>
                <c:pt idx="1875">
                  <c:v>-0.507976840724254</c:v>
                </c:pt>
                <c:pt idx="1876">
                  <c:v>-0.492918324214593</c:v>
                </c:pt>
                <c:pt idx="1877">
                  <c:v>-0.507986001024936</c:v>
                </c:pt>
                <c:pt idx="1878">
                  <c:v>-0.526666398643054</c:v>
                </c:pt>
                <c:pt idx="1879">
                  <c:v>-0.553383942298248</c:v>
                </c:pt>
                <c:pt idx="1880">
                  <c:v>-0.551312696532979</c:v>
                </c:pt>
                <c:pt idx="1881">
                  <c:v>-0.55658241395297</c:v>
                </c:pt>
                <c:pt idx="1882">
                  <c:v>-0.564779865251977</c:v>
                </c:pt>
                <c:pt idx="1883">
                  <c:v>-0.567923884008202</c:v>
                </c:pt>
                <c:pt idx="1884">
                  <c:v>-0.545877075889529</c:v>
                </c:pt>
                <c:pt idx="1885">
                  <c:v>-0.553706588444484</c:v>
                </c:pt>
                <c:pt idx="1886">
                  <c:v>-0.553944247356617</c:v>
                </c:pt>
                <c:pt idx="1887">
                  <c:v>-0.539259267552536</c:v>
                </c:pt>
                <c:pt idx="1888">
                  <c:v>-0.5336908225492</c:v>
                </c:pt>
                <c:pt idx="1889">
                  <c:v>-0.547802774655076</c:v>
                </c:pt>
                <c:pt idx="1890">
                  <c:v>-0.589414967218846</c:v>
                </c:pt>
                <c:pt idx="1891">
                  <c:v>-0.595672979301283</c:v>
                </c:pt>
                <c:pt idx="1892">
                  <c:v>-0.598625649554377</c:v>
                </c:pt>
                <c:pt idx="1893">
                  <c:v>-0.595062801494757</c:v>
                </c:pt>
                <c:pt idx="1894">
                  <c:v>-0.746565014470731</c:v>
                </c:pt>
                <c:pt idx="1895">
                  <c:v>-0.715380806421981</c:v>
                </c:pt>
                <c:pt idx="1896">
                  <c:v>-0.736253569336606</c:v>
                </c:pt>
                <c:pt idx="1897">
                  <c:v>-0.72889988351151</c:v>
                </c:pt>
                <c:pt idx="1898">
                  <c:v>-0.741771123780599</c:v>
                </c:pt>
                <c:pt idx="1899">
                  <c:v>-0.727136525630267</c:v>
                </c:pt>
                <c:pt idx="1900">
                  <c:v>-0.723831692706518</c:v>
                </c:pt>
                <c:pt idx="1901">
                  <c:v>-0.683461229790723</c:v>
                </c:pt>
                <c:pt idx="1902">
                  <c:v>-0.683694817458108</c:v>
                </c:pt>
                <c:pt idx="1903">
                  <c:v>-0.68607038876825</c:v>
                </c:pt>
                <c:pt idx="1904">
                  <c:v>-0.705257656357427</c:v>
                </c:pt>
                <c:pt idx="1905">
                  <c:v>-0.664968109430988</c:v>
                </c:pt>
                <c:pt idx="1906">
                  <c:v>-0.656885161890503</c:v>
                </c:pt>
                <c:pt idx="1907">
                  <c:v>-0.656344704150278</c:v>
                </c:pt>
                <c:pt idx="1908">
                  <c:v>-0.6553589540158</c:v>
                </c:pt>
                <c:pt idx="1909">
                  <c:v>-0.678348255293509</c:v>
                </c:pt>
                <c:pt idx="1910">
                  <c:v>-0.680925862124243</c:v>
                </c:pt>
                <c:pt idx="1911">
                  <c:v>-0.699870381745353</c:v>
                </c:pt>
                <c:pt idx="1912">
                  <c:v>-0.674236298098576</c:v>
                </c:pt>
                <c:pt idx="1913">
                  <c:v>-0.672532991077358</c:v>
                </c:pt>
                <c:pt idx="1914">
                  <c:v>-0.658046484454715</c:v>
                </c:pt>
                <c:pt idx="1915">
                  <c:v>-0.654461244548985</c:v>
                </c:pt>
                <c:pt idx="1916">
                  <c:v>-0.657608825644364</c:v>
                </c:pt>
                <c:pt idx="1917">
                  <c:v>-0.649028168433502</c:v>
                </c:pt>
                <c:pt idx="1918">
                  <c:v>-0.654974730292758</c:v>
                </c:pt>
                <c:pt idx="1919">
                  <c:v>-0.627477543268426</c:v>
                </c:pt>
                <c:pt idx="1920">
                  <c:v>-0.633354893966975</c:v>
                </c:pt>
                <c:pt idx="1921">
                  <c:v>-0.626277543879113</c:v>
                </c:pt>
                <c:pt idx="1922">
                  <c:v>-0.628769145664557</c:v>
                </c:pt>
                <c:pt idx="1923">
                  <c:v>-0.649234784104436</c:v>
                </c:pt>
                <c:pt idx="1924">
                  <c:v>-0.649291272625307</c:v>
                </c:pt>
                <c:pt idx="1925">
                  <c:v>-0.650841399062901</c:v>
                </c:pt>
                <c:pt idx="1926">
                  <c:v>-0.650330966752689</c:v>
                </c:pt>
                <c:pt idx="1927">
                  <c:v>-0.650599668906021</c:v>
                </c:pt>
                <c:pt idx="1928">
                  <c:v>-0.66530500493384</c:v>
                </c:pt>
                <c:pt idx="1929">
                  <c:v>-0.637491787535986</c:v>
                </c:pt>
                <c:pt idx="1930">
                  <c:v>-0.640955907910479</c:v>
                </c:pt>
                <c:pt idx="1931">
                  <c:v>-0.629947771018946</c:v>
                </c:pt>
                <c:pt idx="1932">
                  <c:v>-0.637388988606113</c:v>
                </c:pt>
                <c:pt idx="1933">
                  <c:v>-0.652286690948249</c:v>
                </c:pt>
                <c:pt idx="1934">
                  <c:v>-0.651654121295613</c:v>
                </c:pt>
                <c:pt idx="1935">
                  <c:v>-0.636438352957581</c:v>
                </c:pt>
                <c:pt idx="1936">
                  <c:v>-0.619386453238446</c:v>
                </c:pt>
                <c:pt idx="1937">
                  <c:v>-0.617575767137014</c:v>
                </c:pt>
                <c:pt idx="1938">
                  <c:v>-0.616504520862839</c:v>
                </c:pt>
                <c:pt idx="1939">
                  <c:v>-0.604794603157963</c:v>
                </c:pt>
                <c:pt idx="1940">
                  <c:v>-0.604427682225098</c:v>
                </c:pt>
                <c:pt idx="1941">
                  <c:v>-0.604356944347611</c:v>
                </c:pt>
                <c:pt idx="1942">
                  <c:v>-0.552717784876445</c:v>
                </c:pt>
                <c:pt idx="1943">
                  <c:v>-0.559679613394599</c:v>
                </c:pt>
                <c:pt idx="1944">
                  <c:v>-0.551455699004733</c:v>
                </c:pt>
                <c:pt idx="1945">
                  <c:v>-0.542392090385705</c:v>
                </c:pt>
                <c:pt idx="1946">
                  <c:v>-0.54617682128406</c:v>
                </c:pt>
                <c:pt idx="1947">
                  <c:v>-0.547059263583072</c:v>
                </c:pt>
                <c:pt idx="1948">
                  <c:v>-0.540066900729313</c:v>
                </c:pt>
                <c:pt idx="1949">
                  <c:v>-0.535255198343411</c:v>
                </c:pt>
                <c:pt idx="1950">
                  <c:v>-0.490709673939097</c:v>
                </c:pt>
                <c:pt idx="1951">
                  <c:v>-0.501769719201161</c:v>
                </c:pt>
                <c:pt idx="1952">
                  <c:v>-0.513745285625809</c:v>
                </c:pt>
                <c:pt idx="1953">
                  <c:v>-0.553491830284056</c:v>
                </c:pt>
                <c:pt idx="1954">
                  <c:v>-0.564510654193051</c:v>
                </c:pt>
                <c:pt idx="1955">
                  <c:v>-0.551697938067207</c:v>
                </c:pt>
                <c:pt idx="1956">
                  <c:v>-0.52489388046113</c:v>
                </c:pt>
                <c:pt idx="1957">
                  <c:v>-0.500497964123174</c:v>
                </c:pt>
                <c:pt idx="1958">
                  <c:v>-0.525131030467669</c:v>
                </c:pt>
                <c:pt idx="1959">
                  <c:v>-0.524007366917371</c:v>
                </c:pt>
                <c:pt idx="1960">
                  <c:v>-0.506344780486117</c:v>
                </c:pt>
                <c:pt idx="1961">
                  <c:v>-0.504671498894912</c:v>
                </c:pt>
                <c:pt idx="1962">
                  <c:v>-0.50209134753621</c:v>
                </c:pt>
                <c:pt idx="1963">
                  <c:v>-0.516653681092274</c:v>
                </c:pt>
                <c:pt idx="1964">
                  <c:v>-0.539994127229452</c:v>
                </c:pt>
                <c:pt idx="1965">
                  <c:v>-0.533169194315932</c:v>
                </c:pt>
                <c:pt idx="1966">
                  <c:v>-0.533536115248796</c:v>
                </c:pt>
                <c:pt idx="1967">
                  <c:v>-0.558593608858214</c:v>
                </c:pt>
                <c:pt idx="1968">
                  <c:v>-0.547461299001884</c:v>
                </c:pt>
                <c:pt idx="1969">
                  <c:v>-0.550291831912554</c:v>
                </c:pt>
                <c:pt idx="1970">
                  <c:v>-0.531806854042313</c:v>
                </c:pt>
                <c:pt idx="1971">
                  <c:v>-0.511770223017698</c:v>
                </c:pt>
                <c:pt idx="1972">
                  <c:v>-0.520261312844116</c:v>
                </c:pt>
                <c:pt idx="1973">
                  <c:v>-0.507145288984586</c:v>
                </c:pt>
                <c:pt idx="1974">
                  <c:v>-0.519806860149181</c:v>
                </c:pt>
                <c:pt idx="1975">
                  <c:v>-0.480286269574418</c:v>
                </c:pt>
                <c:pt idx="1976">
                  <c:v>-0.516063859509486</c:v>
                </c:pt>
                <c:pt idx="1977">
                  <c:v>-0.50775241335755</c:v>
                </c:pt>
                <c:pt idx="1978">
                  <c:v>-0.501294401376895</c:v>
                </c:pt>
                <c:pt idx="1979">
                  <c:v>-0.51303078217263</c:v>
                </c:pt>
                <c:pt idx="1980">
                  <c:v>-0.508124423346349</c:v>
                </c:pt>
                <c:pt idx="1981">
                  <c:v>-0.503104578572734</c:v>
                </c:pt>
                <c:pt idx="1982">
                  <c:v>-0.499545292852268</c:v>
                </c:pt>
                <c:pt idx="1983">
                  <c:v>-0.502361576406322</c:v>
                </c:pt>
                <c:pt idx="1984">
                  <c:v>-0.496225192760716</c:v>
                </c:pt>
                <c:pt idx="1985">
                  <c:v>-0.528819578208866</c:v>
                </c:pt>
                <c:pt idx="1986">
                  <c:v>-0.518230779526321</c:v>
                </c:pt>
                <c:pt idx="1987">
                  <c:v>-0.517701517709151</c:v>
                </c:pt>
                <c:pt idx="1988">
                  <c:v>-0.525918307420709</c:v>
                </c:pt>
                <c:pt idx="1989">
                  <c:v>-0.51973408664932</c:v>
                </c:pt>
                <c:pt idx="1990">
                  <c:v>-0.514768694774201</c:v>
                </c:pt>
                <c:pt idx="1991">
                  <c:v>-0.518548336616623</c:v>
                </c:pt>
                <c:pt idx="1992">
                  <c:v>-0.52324960648875</c:v>
                </c:pt>
                <c:pt idx="1993">
                  <c:v>-0.527453675596094</c:v>
                </c:pt>
                <c:pt idx="1994">
                  <c:v>-0.523572252634986</c:v>
                </c:pt>
                <c:pt idx="1995">
                  <c:v>-0.527751894273845</c:v>
                </c:pt>
                <c:pt idx="1996">
                  <c:v>-0.506315263961698</c:v>
                </c:pt>
                <c:pt idx="1997">
                  <c:v>-0.510242488426214</c:v>
                </c:pt>
                <c:pt idx="1998">
                  <c:v>-0.527526958001548</c:v>
                </c:pt>
                <c:pt idx="1999">
                  <c:v>-0.530135608073482</c:v>
                </c:pt>
                <c:pt idx="2000">
                  <c:v>-0.533983952171017</c:v>
                </c:pt>
                <c:pt idx="2001">
                  <c:v>-0.541921861617373</c:v>
                </c:pt>
                <c:pt idx="2002">
                  <c:v>-0.535747818957853</c:v>
                </c:pt>
                <c:pt idx="2003">
                  <c:v>-0.532262324548435</c:v>
                </c:pt>
                <c:pt idx="2004">
                  <c:v>-0.535396165192791</c:v>
                </c:pt>
                <c:pt idx="2005">
                  <c:v>-0.529817542077587</c:v>
                </c:pt>
                <c:pt idx="2006">
                  <c:v>-0.537479115786709</c:v>
                </c:pt>
                <c:pt idx="2007">
                  <c:v>-0.53943789341583</c:v>
                </c:pt>
                <c:pt idx="2008">
                  <c:v>-0.534950872798538</c:v>
                </c:pt>
                <c:pt idx="2009">
                  <c:v>-0.537480133597896</c:v>
                </c:pt>
                <c:pt idx="2010">
                  <c:v>-0.525105076282404</c:v>
                </c:pt>
                <c:pt idx="2011">
                  <c:v>-0.528572250090458</c:v>
                </c:pt>
                <c:pt idx="2012">
                  <c:v>-0.519796173131718</c:v>
                </c:pt>
                <c:pt idx="2013">
                  <c:v>-0.530255709793532</c:v>
                </c:pt>
                <c:pt idx="2014">
                  <c:v>-0.526811436737182</c:v>
                </c:pt>
                <c:pt idx="2015">
                  <c:v>-0.5300256844653</c:v>
                </c:pt>
                <c:pt idx="2016">
                  <c:v>-0.526017035105834</c:v>
                </c:pt>
                <c:pt idx="2017">
                  <c:v>-0.530273012583709</c:v>
                </c:pt>
                <c:pt idx="2018">
                  <c:v>-0.52883789881023</c:v>
                </c:pt>
                <c:pt idx="2019">
                  <c:v>-0.532086243213108</c:v>
                </c:pt>
                <c:pt idx="2020">
                  <c:v>-0.535322882787337</c:v>
                </c:pt>
                <c:pt idx="2021">
                  <c:v>-0.534470974823931</c:v>
                </c:pt>
                <c:pt idx="2022">
                  <c:v>-0.533099474249631</c:v>
                </c:pt>
                <c:pt idx="2023">
                  <c:v>-0.530702019998972</c:v>
                </c:pt>
                <c:pt idx="2024">
                  <c:v>-0.533784970083985</c:v>
                </c:pt>
                <c:pt idx="2025">
                  <c:v>-0.521799225547468</c:v>
                </c:pt>
                <c:pt idx="2026">
                  <c:v>-0.514182944436161</c:v>
                </c:pt>
                <c:pt idx="2027">
                  <c:v>-0.510837399064937</c:v>
                </c:pt>
                <c:pt idx="2028">
                  <c:v>-0.513821621464824</c:v>
                </c:pt>
                <c:pt idx="2029">
                  <c:v>-0.505902541525424</c:v>
                </c:pt>
                <c:pt idx="2030">
                  <c:v>-0.493914761366534</c:v>
                </c:pt>
                <c:pt idx="2031">
                  <c:v>-0.434685274969326</c:v>
                </c:pt>
                <c:pt idx="2032">
                  <c:v>-0.442603337097538</c:v>
                </c:pt>
                <c:pt idx="2033">
                  <c:v>-0.435094943972039</c:v>
                </c:pt>
                <c:pt idx="2034">
                  <c:v>-0.433095962801037</c:v>
                </c:pt>
                <c:pt idx="2035">
                  <c:v>-0.421233882323724</c:v>
                </c:pt>
                <c:pt idx="2036">
                  <c:v>-0.399195216694546</c:v>
                </c:pt>
                <c:pt idx="2037">
                  <c:v>-0.437657792540564</c:v>
                </c:pt>
                <c:pt idx="2038">
                  <c:v>-0.428222173932736</c:v>
                </c:pt>
                <c:pt idx="2039">
                  <c:v>-0.430125480852173</c:v>
                </c:pt>
                <c:pt idx="2040">
                  <c:v>-0.402667479558535</c:v>
                </c:pt>
                <c:pt idx="2041">
                  <c:v>-0.401190126620801</c:v>
                </c:pt>
                <c:pt idx="2042">
                  <c:v>-0.409722437800286</c:v>
                </c:pt>
                <c:pt idx="2043">
                  <c:v>-0.40050208625848</c:v>
                </c:pt>
                <c:pt idx="2044">
                  <c:v>-0.404948903333891</c:v>
                </c:pt>
                <c:pt idx="2045">
                  <c:v>-0.394596236846699</c:v>
                </c:pt>
                <c:pt idx="2046">
                  <c:v>-0.420508691853083</c:v>
                </c:pt>
                <c:pt idx="2047">
                  <c:v>-0.411544319824774</c:v>
                </c:pt>
                <c:pt idx="2048">
                  <c:v>-0.398219644671937</c:v>
                </c:pt>
                <c:pt idx="2049">
                  <c:v>-0.400239999877863</c:v>
                </c:pt>
                <c:pt idx="2050">
                  <c:v>-0.396729569094367</c:v>
                </c:pt>
                <c:pt idx="2051">
                  <c:v>-0.393180970391364</c:v>
                </c:pt>
                <c:pt idx="2052">
                  <c:v>-0.372768767038795</c:v>
                </c:pt>
                <c:pt idx="2053">
                  <c:v>-0.390151964299255</c:v>
                </c:pt>
                <c:pt idx="2054">
                  <c:v>-0.401282747438805</c:v>
                </c:pt>
                <c:pt idx="2055">
                  <c:v>-0.396629314692461</c:v>
                </c:pt>
                <c:pt idx="2056">
                  <c:v>-0.413419128030978</c:v>
                </c:pt>
                <c:pt idx="2057">
                  <c:v>-0.405813025031539</c:v>
                </c:pt>
                <c:pt idx="2058">
                  <c:v>-0.407123456934628</c:v>
                </c:pt>
                <c:pt idx="2059">
                  <c:v>-0.40140793821479</c:v>
                </c:pt>
                <c:pt idx="2060">
                  <c:v>-0.423671540116265</c:v>
                </c:pt>
                <c:pt idx="2061">
                  <c:v>-0.416793681021027</c:v>
                </c:pt>
                <c:pt idx="2062">
                  <c:v>-0.422813016380144</c:v>
                </c:pt>
                <c:pt idx="2063">
                  <c:v>-0.412722945179163</c:v>
                </c:pt>
                <c:pt idx="2064">
                  <c:v>-0.416358566738643</c:v>
                </c:pt>
                <c:pt idx="2065">
                  <c:v>-0.403308700606259</c:v>
                </c:pt>
                <c:pt idx="2066">
                  <c:v>-0.40631429704107</c:v>
                </c:pt>
                <c:pt idx="2067">
                  <c:v>-0.393804888648912</c:v>
                </c:pt>
                <c:pt idx="2068">
                  <c:v>-0.420350422213526</c:v>
                </c:pt>
                <c:pt idx="2069">
                  <c:v>-0.479602300456845</c:v>
                </c:pt>
                <c:pt idx="2070">
                  <c:v>-0.483309677704999</c:v>
                </c:pt>
                <c:pt idx="2071">
                  <c:v>-0.478107135823341</c:v>
                </c:pt>
                <c:pt idx="2072">
                  <c:v>-0.471254722007775</c:v>
                </c:pt>
                <c:pt idx="2073">
                  <c:v>-0.484824180751053</c:v>
                </c:pt>
                <c:pt idx="2074">
                  <c:v>-0.479135125122074</c:v>
                </c:pt>
                <c:pt idx="2075">
                  <c:v>-0.473488817562943</c:v>
                </c:pt>
                <c:pt idx="2076">
                  <c:v>-0.470738691736035</c:v>
                </c:pt>
                <c:pt idx="2077">
                  <c:v>-0.468498489313746</c:v>
                </c:pt>
                <c:pt idx="2078">
                  <c:v>-0.473980929271792</c:v>
                </c:pt>
                <c:pt idx="2079">
                  <c:v>-0.456522922889098</c:v>
                </c:pt>
                <c:pt idx="2080">
                  <c:v>-0.450901042798451</c:v>
                </c:pt>
                <c:pt idx="2081">
                  <c:v>-0.442576365101086</c:v>
                </c:pt>
                <c:pt idx="2082">
                  <c:v>-0.442858807705441</c:v>
                </c:pt>
                <c:pt idx="2083">
                  <c:v>-0.443145321554544</c:v>
                </c:pt>
                <c:pt idx="2084">
                  <c:v>-0.43637026138918</c:v>
                </c:pt>
                <c:pt idx="2085">
                  <c:v>-0.44470308157604</c:v>
                </c:pt>
                <c:pt idx="2086">
                  <c:v>-0.469422661871419</c:v>
                </c:pt>
                <c:pt idx="2087">
                  <c:v>-0.464172791769572</c:v>
                </c:pt>
                <c:pt idx="2088">
                  <c:v>-0.479383979957262</c:v>
                </c:pt>
                <c:pt idx="2089">
                  <c:v>-0.453384502094401</c:v>
                </c:pt>
                <c:pt idx="2090">
                  <c:v>-0.455811981775073</c:v>
                </c:pt>
                <c:pt idx="2091">
                  <c:v>-0.453932593418528</c:v>
                </c:pt>
                <c:pt idx="2092">
                  <c:v>-0.450779923267215</c:v>
                </c:pt>
                <c:pt idx="2093">
                  <c:v>-0.456437426749401</c:v>
                </c:pt>
                <c:pt idx="2094">
                  <c:v>-0.448046082419296</c:v>
                </c:pt>
                <c:pt idx="2095">
                  <c:v>-0.451234884867743</c:v>
                </c:pt>
                <c:pt idx="2096">
                  <c:v>-0.460629282122503</c:v>
                </c:pt>
                <c:pt idx="2097">
                  <c:v>-0.461683734512094</c:v>
                </c:pt>
                <c:pt idx="2098">
                  <c:v>-0.463348364708211</c:v>
                </c:pt>
                <c:pt idx="2099">
                  <c:v>-0.457386535681152</c:v>
                </c:pt>
                <c:pt idx="2100">
                  <c:v>-0.450381959093151</c:v>
                </c:pt>
                <c:pt idx="2101">
                  <c:v>-0.460857780733954</c:v>
                </c:pt>
                <c:pt idx="2102">
                  <c:v>-0.456935136419778</c:v>
                </c:pt>
                <c:pt idx="2103">
                  <c:v>-0.44393361631877</c:v>
                </c:pt>
                <c:pt idx="2104">
                  <c:v>-0.437186037055452</c:v>
                </c:pt>
                <c:pt idx="2105">
                  <c:v>-0.424755509030275</c:v>
                </c:pt>
                <c:pt idx="2106">
                  <c:v>-0.421351439515807</c:v>
                </c:pt>
                <c:pt idx="2107">
                  <c:v>-0.412986049370967</c:v>
                </c:pt>
                <c:pt idx="2108">
                  <c:v>-0.418099023868181</c:v>
                </c:pt>
                <c:pt idx="2109">
                  <c:v>-0.418480194157662</c:v>
                </c:pt>
                <c:pt idx="2110">
                  <c:v>-0.414287829878967</c:v>
                </c:pt>
                <c:pt idx="2111">
                  <c:v>-0.423444059316</c:v>
                </c:pt>
                <c:pt idx="2112">
                  <c:v>-0.421579938127258</c:v>
                </c:pt>
                <c:pt idx="2113">
                  <c:v>-0.413915819890168</c:v>
                </c:pt>
                <c:pt idx="2114">
                  <c:v>-0.401267989176596</c:v>
                </c:pt>
                <c:pt idx="2115">
                  <c:v>-0.39351990151659</c:v>
                </c:pt>
                <c:pt idx="2116">
                  <c:v>-0.346749950763384</c:v>
                </c:pt>
                <c:pt idx="2117">
                  <c:v>-0.339592193591759</c:v>
                </c:pt>
                <c:pt idx="2118">
                  <c:v>-0.341321963703835</c:v>
                </c:pt>
                <c:pt idx="2119">
                  <c:v>-0.332271586630236</c:v>
                </c:pt>
                <c:pt idx="2120">
                  <c:v>-0.3358619155919</c:v>
                </c:pt>
                <c:pt idx="2121">
                  <c:v>-0.334710262233963</c:v>
                </c:pt>
                <c:pt idx="2122">
                  <c:v>-0.302891957815798</c:v>
                </c:pt>
                <c:pt idx="2123">
                  <c:v>-0.324173371921948</c:v>
                </c:pt>
                <c:pt idx="2124">
                  <c:v>-0.315013071240167</c:v>
                </c:pt>
                <c:pt idx="2125">
                  <c:v>-0.308755059157731</c:v>
                </c:pt>
                <c:pt idx="2126">
                  <c:v>-0.300508244016161</c:v>
                </c:pt>
                <c:pt idx="2127">
                  <c:v>-0.298498066922103</c:v>
                </c:pt>
                <c:pt idx="2128">
                  <c:v>-0.309215109814193</c:v>
                </c:pt>
                <c:pt idx="2129">
                  <c:v>-0.284957615797651</c:v>
                </c:pt>
                <c:pt idx="2130">
                  <c:v>-0.279389679699908</c:v>
                </c:pt>
                <c:pt idx="2131">
                  <c:v>-0.2042446797737</c:v>
                </c:pt>
                <c:pt idx="2132">
                  <c:v>-0.206294042598452</c:v>
                </c:pt>
                <c:pt idx="2133">
                  <c:v>-0.246075701742645</c:v>
                </c:pt>
                <c:pt idx="2134">
                  <c:v>-0.211813123759225</c:v>
                </c:pt>
                <c:pt idx="2135">
                  <c:v>-0.219625333524003</c:v>
                </c:pt>
                <c:pt idx="2136">
                  <c:v>-0.220089455425213</c:v>
                </c:pt>
                <c:pt idx="2137">
                  <c:v>-0.199806514093377</c:v>
                </c:pt>
                <c:pt idx="2138">
                  <c:v>-0.169480320875155</c:v>
                </c:pt>
                <c:pt idx="2139">
                  <c:v>-0.168469125461005</c:v>
                </c:pt>
                <c:pt idx="2140">
                  <c:v>-0.181002961321648</c:v>
                </c:pt>
                <c:pt idx="2141">
                  <c:v>-0.188466570754926</c:v>
                </c:pt>
                <c:pt idx="2142">
                  <c:v>-0.149385674612888</c:v>
                </c:pt>
                <c:pt idx="2143">
                  <c:v>-0.101226920495206</c:v>
                </c:pt>
                <c:pt idx="2144">
                  <c:v>-0.094004532313215</c:v>
                </c:pt>
                <c:pt idx="2145">
                  <c:v>-0.093922089607079</c:v>
                </c:pt>
                <c:pt idx="2146">
                  <c:v>-0.0482004843763438</c:v>
                </c:pt>
                <c:pt idx="2147">
                  <c:v>-0.0478305100099186</c:v>
                </c:pt>
                <c:pt idx="2148">
                  <c:v>-0.0596707075467137</c:v>
                </c:pt>
                <c:pt idx="2149">
                  <c:v>-0.0640610361012539</c:v>
                </c:pt>
                <c:pt idx="2150">
                  <c:v>-0.0236610566610398</c:v>
                </c:pt>
                <c:pt idx="2151">
                  <c:v>-0.0480335633416978</c:v>
                </c:pt>
                <c:pt idx="2152">
                  <c:v>-0.126056424398766</c:v>
                </c:pt>
                <c:pt idx="2153">
                  <c:v>-0.126871182253851</c:v>
                </c:pt>
                <c:pt idx="2154">
                  <c:v>-0.0983058023889046</c:v>
                </c:pt>
                <c:pt idx="2155">
                  <c:v>-0.0718315156073711</c:v>
                </c:pt>
                <c:pt idx="2156">
                  <c:v>0</c:v>
                </c:pt>
                <c:pt idx="2157">
                  <c:v>-0.0488492928473666</c:v>
                </c:pt>
                <c:pt idx="2158">
                  <c:v>-0.0244025954275865</c:v>
                </c:pt>
                <c:pt idx="2159">
                  <c:v>-0.0150519592436762</c:v>
                </c:pt>
                <c:pt idx="2160">
                  <c:v>-0.0524499417042632</c:v>
                </c:pt>
                <c:pt idx="2161">
                  <c:v>-0.02890353322857</c:v>
                </c:pt>
                <c:pt idx="2162">
                  <c:v>-0.0167242865108733</c:v>
                </c:pt>
                <c:pt idx="2163">
                  <c:v>-0.0265686622395701</c:v>
                </c:pt>
                <c:pt idx="2164">
                  <c:v>-0.0717412683124652</c:v>
                </c:pt>
                <c:pt idx="2165">
                  <c:v>-0.059663912404319</c:v>
                </c:pt>
                <c:pt idx="2166">
                  <c:v>-0.0730065392609115</c:v>
                </c:pt>
                <c:pt idx="2167">
                  <c:v>-0.0851046788665282</c:v>
                </c:pt>
                <c:pt idx="2168">
                  <c:v>-0.0456551933897703</c:v>
                </c:pt>
                <c:pt idx="2169">
                  <c:v>-0.0301089876818573</c:v>
                </c:pt>
                <c:pt idx="2170">
                  <c:v>-0.0222319663405485</c:v>
                </c:pt>
                <c:pt idx="2171">
                  <c:v>-0.0139737415724641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-0.0152522096451341</c:v>
                </c:pt>
                <c:pt idx="2177">
                  <c:v>-0.0435714432681039</c:v>
                </c:pt>
                <c:pt idx="2178">
                  <c:v>0</c:v>
                </c:pt>
                <c:pt idx="2179">
                  <c:v>-0.026989105280665</c:v>
                </c:pt>
                <c:pt idx="2180">
                  <c:v>-0.00419379370545048</c:v>
                </c:pt>
                <c:pt idx="2181">
                  <c:v>0</c:v>
                </c:pt>
                <c:pt idx="2182">
                  <c:v>0</c:v>
                </c:pt>
                <c:pt idx="2183">
                  <c:v>-0.00750553374737439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-0.030385313015896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-0.00787916999453109</c:v>
                </c:pt>
                <c:pt idx="2197">
                  <c:v>-0.0596236922967971</c:v>
                </c:pt>
                <c:pt idx="2198">
                  <c:v>-0.127682045662891</c:v>
                </c:pt>
                <c:pt idx="2199">
                  <c:v>-0.164711833164809</c:v>
                </c:pt>
                <c:pt idx="2200">
                  <c:v>-0.0773620296891413</c:v>
                </c:pt>
                <c:pt idx="2201">
                  <c:v>-0.0367770009481955</c:v>
                </c:pt>
                <c:pt idx="2202">
                  <c:v>-0.0934014348833642</c:v>
                </c:pt>
                <c:pt idx="2203">
                  <c:v>-0.117965009226217</c:v>
                </c:pt>
                <c:pt idx="2204">
                  <c:v>-0.116448289903882</c:v>
                </c:pt>
                <c:pt idx="2205">
                  <c:v>-0.0959199561705493</c:v>
                </c:pt>
                <c:pt idx="2206">
                  <c:v>-0.122795494694433</c:v>
                </c:pt>
                <c:pt idx="2207">
                  <c:v>-0.125318196304005</c:v>
                </c:pt>
                <c:pt idx="2208">
                  <c:v>-0.246379840813324</c:v>
                </c:pt>
                <c:pt idx="2209">
                  <c:v>-0.191340978569208</c:v>
                </c:pt>
                <c:pt idx="2210">
                  <c:v>-0.212591278568815</c:v>
                </c:pt>
                <c:pt idx="2211">
                  <c:v>-0.206968007255072</c:v>
                </c:pt>
                <c:pt idx="2212">
                  <c:v>-0.213632178843044</c:v>
                </c:pt>
                <c:pt idx="2213">
                  <c:v>-0.198857935924018</c:v>
                </c:pt>
                <c:pt idx="2214">
                  <c:v>-0.248720821349743</c:v>
                </c:pt>
                <c:pt idx="2215">
                  <c:v>-0.176604358551661</c:v>
                </c:pt>
                <c:pt idx="2216">
                  <c:v>-0.155817336633001</c:v>
                </c:pt>
                <c:pt idx="2217">
                  <c:v>-0.158298235018708</c:v>
                </c:pt>
                <c:pt idx="2218">
                  <c:v>-0.186654591272667</c:v>
                </c:pt>
                <c:pt idx="2219">
                  <c:v>-0.177273210133495</c:v>
                </c:pt>
                <c:pt idx="2220">
                  <c:v>-0.126778112422148</c:v>
                </c:pt>
                <c:pt idx="2221">
                  <c:v>-0.0712452344324793</c:v>
                </c:pt>
                <c:pt idx="2222">
                  <c:v>-0.0884224250197704</c:v>
                </c:pt>
                <c:pt idx="2223">
                  <c:v>-0.0563079589403818</c:v>
                </c:pt>
                <c:pt idx="2224">
                  <c:v>-0.0410950280720944</c:v>
                </c:pt>
                <c:pt idx="2225">
                  <c:v>-0.0437207623334265</c:v>
                </c:pt>
                <c:pt idx="2226">
                  <c:v>0</c:v>
                </c:pt>
                <c:pt idx="2227">
                  <c:v>-0.00169257520818678</c:v>
                </c:pt>
                <c:pt idx="2228">
                  <c:v>-0.0382896934596323</c:v>
                </c:pt>
                <c:pt idx="2229">
                  <c:v>0</c:v>
                </c:pt>
                <c:pt idx="2230">
                  <c:v>-0.012402485401384</c:v>
                </c:pt>
                <c:pt idx="2231">
                  <c:v>-0.0175966833606949</c:v>
                </c:pt>
                <c:pt idx="2232">
                  <c:v>0</c:v>
                </c:pt>
                <c:pt idx="2233">
                  <c:v>-0.0162492202780676</c:v>
                </c:pt>
                <c:pt idx="2234">
                  <c:v>0</c:v>
                </c:pt>
                <c:pt idx="2235">
                  <c:v>0</c:v>
                </c:pt>
                <c:pt idx="2236">
                  <c:v>-0.0119701916057136</c:v>
                </c:pt>
                <c:pt idx="2237">
                  <c:v>0</c:v>
                </c:pt>
                <c:pt idx="2238">
                  <c:v>-0.00123970386319638</c:v>
                </c:pt>
                <c:pt idx="2239">
                  <c:v>0</c:v>
                </c:pt>
                <c:pt idx="2240">
                  <c:v>-0.0592323709685015</c:v>
                </c:pt>
                <c:pt idx="2241">
                  <c:v>-0.148880566341093</c:v>
                </c:pt>
                <c:pt idx="2242">
                  <c:v>-0.13466607645285</c:v>
                </c:pt>
                <c:pt idx="2243">
                  <c:v>-0.184411229565194</c:v>
                </c:pt>
                <c:pt idx="2244">
                  <c:v>-0.194275238809791</c:v>
                </c:pt>
                <c:pt idx="2245">
                  <c:v>-0.200994395575691</c:v>
                </c:pt>
                <c:pt idx="2246">
                  <c:v>-0.211791867249859</c:v>
                </c:pt>
                <c:pt idx="2247">
                  <c:v>-0.137060995886752</c:v>
                </c:pt>
                <c:pt idx="2248">
                  <c:v>-0.159375979236153</c:v>
                </c:pt>
                <c:pt idx="2249">
                  <c:v>-0.128154259228652</c:v>
                </c:pt>
                <c:pt idx="2250">
                  <c:v>-0.160085591431263</c:v>
                </c:pt>
                <c:pt idx="2251">
                  <c:v>-0.149993213236292</c:v>
                </c:pt>
                <c:pt idx="2252">
                  <c:v>-0.148624389908178</c:v>
                </c:pt>
                <c:pt idx="2253">
                  <c:v>-0.116098498969472</c:v>
                </c:pt>
                <c:pt idx="2254">
                  <c:v>-0.0880433560364049</c:v>
                </c:pt>
                <c:pt idx="2255">
                  <c:v>-0.044117961426503</c:v>
                </c:pt>
                <c:pt idx="2256">
                  <c:v>-0.0259339534054347</c:v>
                </c:pt>
                <c:pt idx="2257">
                  <c:v>0</c:v>
                </c:pt>
                <c:pt idx="2258">
                  <c:v>-0.0127113975889217</c:v>
                </c:pt>
                <c:pt idx="2259">
                  <c:v>0</c:v>
                </c:pt>
                <c:pt idx="2260">
                  <c:v>-0.0316903816148543</c:v>
                </c:pt>
                <c:pt idx="2261">
                  <c:v>-0.0932440616114255</c:v>
                </c:pt>
                <c:pt idx="2262">
                  <c:v>-0.0654946113395307</c:v>
                </c:pt>
                <c:pt idx="2263">
                  <c:v>-0.031228253390876</c:v>
                </c:pt>
                <c:pt idx="2264">
                  <c:v>-0.058363277606395</c:v>
                </c:pt>
                <c:pt idx="2265">
                  <c:v>-0.0511846677469834</c:v>
                </c:pt>
                <c:pt idx="2266">
                  <c:v>-0.0503713220727816</c:v>
                </c:pt>
                <c:pt idx="2267">
                  <c:v>-0.0609876751629554</c:v>
                </c:pt>
                <c:pt idx="2268">
                  <c:v>-0.112873959884326</c:v>
                </c:pt>
                <c:pt idx="2269">
                  <c:v>-0.112242520965899</c:v>
                </c:pt>
                <c:pt idx="2270">
                  <c:v>-0.144536859183559</c:v>
                </c:pt>
                <c:pt idx="2271">
                  <c:v>-0.159397757770216</c:v>
                </c:pt>
                <c:pt idx="2272">
                  <c:v>-0.0951429587526431</c:v>
                </c:pt>
                <c:pt idx="2273">
                  <c:v>-0.085032247552847</c:v>
                </c:pt>
                <c:pt idx="2274">
                  <c:v>-0.0868413364126615</c:v>
                </c:pt>
                <c:pt idx="2275">
                  <c:v>-0.0572466449490939</c:v>
                </c:pt>
                <c:pt idx="2276">
                  <c:v>-0.0381189532771189</c:v>
                </c:pt>
                <c:pt idx="2277">
                  <c:v>-0.0375020734425625</c:v>
                </c:pt>
                <c:pt idx="2278">
                  <c:v>-0.0386286847977974</c:v>
                </c:pt>
                <c:pt idx="2279">
                  <c:v>-0.0345274399470508</c:v>
                </c:pt>
                <c:pt idx="2280">
                  <c:v>-0.0719647336456503</c:v>
                </c:pt>
                <c:pt idx="2281">
                  <c:v>-0.0468480237761291</c:v>
                </c:pt>
                <c:pt idx="2282">
                  <c:v>-0.0315755447960109</c:v>
                </c:pt>
                <c:pt idx="2283">
                  <c:v>-0.0509062457161124</c:v>
                </c:pt>
                <c:pt idx="2284">
                  <c:v>-0.0845426370132482</c:v>
                </c:pt>
                <c:pt idx="2285">
                  <c:v>-0.049428416910654</c:v>
                </c:pt>
                <c:pt idx="2286">
                  <c:v>-0.0491423063748175</c:v>
                </c:pt>
                <c:pt idx="2287">
                  <c:v>-0.0178450200244659</c:v>
                </c:pt>
                <c:pt idx="2288">
                  <c:v>-0.0163069918609814</c:v>
                </c:pt>
                <c:pt idx="2289">
                  <c:v>-0.0200748500496154</c:v>
                </c:pt>
                <c:pt idx="2290">
                  <c:v>0</c:v>
                </c:pt>
                <c:pt idx="2291">
                  <c:v>-0.00593000983020364</c:v>
                </c:pt>
                <c:pt idx="2292">
                  <c:v>-0.00493253791100168</c:v>
                </c:pt>
                <c:pt idx="2293">
                  <c:v>-0.0341631776093787</c:v>
                </c:pt>
                <c:pt idx="2294">
                  <c:v>-0.0543757286650182</c:v>
                </c:pt>
                <c:pt idx="2295">
                  <c:v>-0.114822998215232</c:v>
                </c:pt>
                <c:pt idx="2296">
                  <c:v>-0.123522367090401</c:v>
                </c:pt>
                <c:pt idx="2297">
                  <c:v>-0.112251562732187</c:v>
                </c:pt>
                <c:pt idx="2298">
                  <c:v>-0.153020989008331</c:v>
                </c:pt>
                <c:pt idx="2299">
                  <c:v>-0.188619112441632</c:v>
                </c:pt>
                <c:pt idx="2300">
                  <c:v>-0.195241383491981</c:v>
                </c:pt>
                <c:pt idx="2301">
                  <c:v>-0.211957913282462</c:v>
                </c:pt>
                <c:pt idx="2302">
                  <c:v>-0.226023681082937</c:v>
                </c:pt>
                <c:pt idx="2303">
                  <c:v>-0.152231965157913</c:v>
                </c:pt>
                <c:pt idx="2304">
                  <c:v>-0.134150234036758</c:v>
                </c:pt>
                <c:pt idx="2305">
                  <c:v>-0.136611711985403</c:v>
                </c:pt>
                <c:pt idx="2306">
                  <c:v>-0.158622697057254</c:v>
                </c:pt>
                <c:pt idx="2307">
                  <c:v>-0.0945755749129686</c:v>
                </c:pt>
                <c:pt idx="2308">
                  <c:v>-0.0909820056065775</c:v>
                </c:pt>
                <c:pt idx="2309">
                  <c:v>-0.110417785222776</c:v>
                </c:pt>
                <c:pt idx="2310">
                  <c:v>-0.101281099525078</c:v>
                </c:pt>
                <c:pt idx="2311">
                  <c:v>-0.165443048751715</c:v>
                </c:pt>
                <c:pt idx="2312">
                  <c:v>-0.0964944909704444</c:v>
                </c:pt>
                <c:pt idx="2313">
                  <c:v>-0.112709143157484</c:v>
                </c:pt>
                <c:pt idx="2314">
                  <c:v>-0.0987585166037449</c:v>
                </c:pt>
                <c:pt idx="2315">
                  <c:v>-0.0725055269369256</c:v>
                </c:pt>
                <c:pt idx="2316">
                  <c:v>-0.0824775757316811</c:v>
                </c:pt>
                <c:pt idx="2317">
                  <c:v>-0.121332955498301</c:v>
                </c:pt>
                <c:pt idx="2318">
                  <c:v>-0.109045515193461</c:v>
                </c:pt>
                <c:pt idx="2319">
                  <c:v>-0.228796024689551</c:v>
                </c:pt>
                <c:pt idx="2320">
                  <c:v>-0.220315471307838</c:v>
                </c:pt>
                <c:pt idx="2321">
                  <c:v>-0.215784121315205</c:v>
                </c:pt>
                <c:pt idx="2322">
                  <c:v>-0.261953405023551</c:v>
                </c:pt>
                <c:pt idx="2323">
                  <c:v>-0.269201648609022</c:v>
                </c:pt>
                <c:pt idx="2324">
                  <c:v>-0.31247103797085</c:v>
                </c:pt>
                <c:pt idx="2325">
                  <c:v>-0.324706798234522</c:v>
                </c:pt>
                <c:pt idx="2326">
                  <c:v>-0.415079167853946</c:v>
                </c:pt>
                <c:pt idx="2327">
                  <c:v>-0.359893523406975</c:v>
                </c:pt>
                <c:pt idx="2328">
                  <c:v>-0.412119896438853</c:v>
                </c:pt>
                <c:pt idx="2329">
                  <c:v>-0.412774300850726</c:v>
                </c:pt>
                <c:pt idx="2330">
                  <c:v>-0.451352744712849</c:v>
                </c:pt>
                <c:pt idx="2331">
                  <c:v>-0.391698268985661</c:v>
                </c:pt>
                <c:pt idx="2332">
                  <c:v>-0.397275629294824</c:v>
                </c:pt>
                <c:pt idx="2333">
                  <c:v>-0.384027160139326</c:v>
                </c:pt>
                <c:pt idx="2334">
                  <c:v>-0.39730437533596</c:v>
                </c:pt>
                <c:pt idx="2335">
                  <c:v>-0.438116999214903</c:v>
                </c:pt>
                <c:pt idx="2336">
                  <c:v>-0.45615568981545</c:v>
                </c:pt>
                <c:pt idx="2337">
                  <c:v>-0.441647107315726</c:v>
                </c:pt>
                <c:pt idx="2338">
                  <c:v>-0.416381379225629</c:v>
                </c:pt>
                <c:pt idx="2339">
                  <c:v>-0.422493918562937</c:v>
                </c:pt>
                <c:pt idx="2340">
                  <c:v>-0.410920416820738</c:v>
                </c:pt>
                <c:pt idx="2341">
                  <c:v>-0.38400077033107</c:v>
                </c:pt>
                <c:pt idx="2342">
                  <c:v>-0.420437712669653</c:v>
                </c:pt>
                <c:pt idx="2343">
                  <c:v>-0.44133718415091</c:v>
                </c:pt>
                <c:pt idx="2344">
                  <c:v>-0.436492455185236</c:v>
                </c:pt>
                <c:pt idx="2345">
                  <c:v>-0.468809445792035</c:v>
                </c:pt>
                <c:pt idx="2346">
                  <c:v>-0.474838731567583</c:v>
                </c:pt>
                <c:pt idx="2347">
                  <c:v>-0.413187741180071</c:v>
                </c:pt>
                <c:pt idx="2348">
                  <c:v>-0.423233304440682</c:v>
                </c:pt>
                <c:pt idx="2349">
                  <c:v>-0.414363815551577</c:v>
                </c:pt>
                <c:pt idx="2350">
                  <c:v>-0.440635655081436</c:v>
                </c:pt>
                <c:pt idx="2351">
                  <c:v>-0.385462577209824</c:v>
                </c:pt>
                <c:pt idx="2352">
                  <c:v>-0.363865503713894</c:v>
                </c:pt>
                <c:pt idx="2353">
                  <c:v>-0.370195758969315</c:v>
                </c:pt>
                <c:pt idx="2354">
                  <c:v>-0.396892348746343</c:v>
                </c:pt>
                <c:pt idx="2355">
                  <c:v>-0.402653652302338</c:v>
                </c:pt>
                <c:pt idx="2356">
                  <c:v>-0.438000915475015</c:v>
                </c:pt>
                <c:pt idx="2357">
                  <c:v>-0.442385864864704</c:v>
                </c:pt>
                <c:pt idx="2358">
                  <c:v>-0.441324303411165</c:v>
                </c:pt>
                <c:pt idx="2359">
                  <c:v>-0.502258527756581</c:v>
                </c:pt>
                <c:pt idx="2360">
                  <c:v>-0.489353126108411</c:v>
                </c:pt>
                <c:pt idx="2361">
                  <c:v>-0.470816013712647</c:v>
                </c:pt>
                <c:pt idx="2362">
                  <c:v>-0.454997994060408</c:v>
                </c:pt>
                <c:pt idx="2363">
                  <c:v>-0.501972952331524</c:v>
                </c:pt>
                <c:pt idx="2364">
                  <c:v>-0.493159384702771</c:v>
                </c:pt>
                <c:pt idx="2365">
                  <c:v>-0.456542897418731</c:v>
                </c:pt>
                <c:pt idx="2366">
                  <c:v>-0.457409834036381</c:v>
                </c:pt>
                <c:pt idx="2367">
                  <c:v>-0.435623319416898</c:v>
                </c:pt>
                <c:pt idx="2368">
                  <c:v>-0.450277831272991</c:v>
                </c:pt>
                <c:pt idx="2369">
                  <c:v>-0.473170047441964</c:v>
                </c:pt>
                <c:pt idx="2370">
                  <c:v>-0.468551830997155</c:v>
                </c:pt>
                <c:pt idx="2371">
                  <c:v>-0.455962635801482</c:v>
                </c:pt>
                <c:pt idx="2372">
                  <c:v>-0.448218954982443</c:v>
                </c:pt>
                <c:pt idx="2373">
                  <c:v>-0.471053679069144</c:v>
                </c:pt>
                <c:pt idx="2374">
                  <c:v>-0.462874723496072</c:v>
                </c:pt>
                <c:pt idx="2375">
                  <c:v>-0.469203565011764</c:v>
                </c:pt>
                <c:pt idx="2376">
                  <c:v>-0.483541556250976</c:v>
                </c:pt>
                <c:pt idx="2377">
                  <c:v>-0.469582604341061</c:v>
                </c:pt>
                <c:pt idx="2378">
                  <c:v>-0.473033385934923</c:v>
                </c:pt>
                <c:pt idx="2379">
                  <c:v>-0.462210108741718</c:v>
                </c:pt>
                <c:pt idx="2380">
                  <c:v>-0.480107268287273</c:v>
                </c:pt>
                <c:pt idx="2381">
                  <c:v>-0.485264590815027</c:v>
                </c:pt>
                <c:pt idx="2382">
                  <c:v>-0.484500543033138</c:v>
                </c:pt>
                <c:pt idx="2383">
                  <c:v>-0.499047767752094</c:v>
                </c:pt>
                <c:pt idx="2384">
                  <c:v>-0.506623998954461</c:v>
                </c:pt>
                <c:pt idx="2385">
                  <c:v>-0.505131718130458</c:v>
                </c:pt>
                <c:pt idx="2386">
                  <c:v>-0.501216601577042</c:v>
                </c:pt>
                <c:pt idx="2387">
                  <c:v>-0.515403008500974</c:v>
                </c:pt>
                <c:pt idx="2388">
                  <c:v>-0.532073984455775</c:v>
                </c:pt>
                <c:pt idx="2389">
                  <c:v>-0.495985450419048</c:v>
                </c:pt>
                <c:pt idx="2390">
                  <c:v>-0.492185475112369</c:v>
                </c:pt>
                <c:pt idx="2391">
                  <c:v>-0.470633012958967</c:v>
                </c:pt>
                <c:pt idx="2392">
                  <c:v>-0.461594032384693</c:v>
                </c:pt>
                <c:pt idx="2393">
                  <c:v>-0.444422749648372</c:v>
                </c:pt>
                <c:pt idx="2394">
                  <c:v>-0.414568493647753</c:v>
                </c:pt>
                <c:pt idx="2395">
                  <c:v>-0.381381738943849</c:v>
                </c:pt>
                <c:pt idx="2396">
                  <c:v>-0.371175480600821</c:v>
                </c:pt>
                <c:pt idx="2397">
                  <c:v>-0.371279469011925</c:v>
                </c:pt>
                <c:pt idx="2398">
                  <c:v>-0.337286725580867</c:v>
                </c:pt>
                <c:pt idx="2399">
                  <c:v>-0.348542135884264</c:v>
                </c:pt>
                <c:pt idx="2400">
                  <c:v>-0.374549606084987</c:v>
                </c:pt>
                <c:pt idx="2401">
                  <c:v>-0.385075212524352</c:v>
                </c:pt>
                <c:pt idx="2402">
                  <c:v>-0.399831827805245</c:v>
                </c:pt>
                <c:pt idx="2403">
                  <c:v>-0.375912451182782</c:v>
                </c:pt>
                <c:pt idx="2404">
                  <c:v>-0.357632011088746</c:v>
                </c:pt>
                <c:pt idx="2405">
                  <c:v>-0.327252158073695</c:v>
                </c:pt>
                <c:pt idx="2406">
                  <c:v>-0.301159078078332</c:v>
                </c:pt>
                <c:pt idx="2407">
                  <c:v>-0.309886721748061</c:v>
                </c:pt>
                <c:pt idx="2408">
                  <c:v>-0.274146753095383</c:v>
                </c:pt>
                <c:pt idx="2409">
                  <c:v>-0.284243053904011</c:v>
                </c:pt>
                <c:pt idx="2410">
                  <c:v>-0.285543851535965</c:v>
                </c:pt>
                <c:pt idx="2411">
                  <c:v>-0.301701011640733</c:v>
                </c:pt>
                <c:pt idx="2412">
                  <c:v>-0.249690469540663</c:v>
                </c:pt>
                <c:pt idx="2413">
                  <c:v>-0.259599214212043</c:v>
                </c:pt>
                <c:pt idx="2414">
                  <c:v>-0.260299957870556</c:v>
                </c:pt>
                <c:pt idx="2415">
                  <c:v>-0.27851033930696</c:v>
                </c:pt>
                <c:pt idx="2416">
                  <c:v>-0.297551842621237</c:v>
                </c:pt>
                <c:pt idx="2417">
                  <c:v>-0.297289672442788</c:v>
                </c:pt>
                <c:pt idx="2418">
                  <c:v>-0.265849043385159</c:v>
                </c:pt>
                <c:pt idx="2419">
                  <c:v>-0.224783831341479</c:v>
                </c:pt>
                <c:pt idx="2420">
                  <c:v>-0.231915991187061</c:v>
                </c:pt>
                <c:pt idx="2421">
                  <c:v>-0.225137580437863</c:v>
                </c:pt>
                <c:pt idx="2422">
                  <c:v>-0.222998278065011</c:v>
                </c:pt>
                <c:pt idx="2423">
                  <c:v>-0.249612085526855</c:v>
                </c:pt>
                <c:pt idx="2424">
                  <c:v>-0.230532097075538</c:v>
                </c:pt>
                <c:pt idx="2425">
                  <c:v>-0.265317163083046</c:v>
                </c:pt>
                <c:pt idx="2426">
                  <c:v>-0.229008556895327</c:v>
                </c:pt>
                <c:pt idx="2427">
                  <c:v>-0.230872022939027</c:v>
                </c:pt>
                <c:pt idx="2428">
                  <c:v>-0.233897897203529</c:v>
                </c:pt>
                <c:pt idx="2429">
                  <c:v>-0.262905008942689</c:v>
                </c:pt>
                <c:pt idx="2430">
                  <c:v>-0.260681196350541</c:v>
                </c:pt>
                <c:pt idx="2431">
                  <c:v>-0.232037886968053</c:v>
                </c:pt>
                <c:pt idx="2432">
                  <c:v>-0.226003731644553</c:v>
                </c:pt>
                <c:pt idx="2433">
                  <c:v>-0.215856536205717</c:v>
                </c:pt>
                <c:pt idx="2434">
                  <c:v>-0.215389059602324</c:v>
                </c:pt>
                <c:pt idx="2435">
                  <c:v>-0.18658505513742</c:v>
                </c:pt>
                <c:pt idx="2436">
                  <c:v>-0.172315080487344</c:v>
                </c:pt>
                <c:pt idx="2437">
                  <c:v>-0.262596185353217</c:v>
                </c:pt>
                <c:pt idx="2438">
                  <c:v>-0.277068796030973</c:v>
                </c:pt>
                <c:pt idx="2439">
                  <c:v>-0.270909603282641</c:v>
                </c:pt>
                <c:pt idx="2440">
                  <c:v>-0.294736301411823</c:v>
                </c:pt>
                <c:pt idx="2441">
                  <c:v>-0.291127652215</c:v>
                </c:pt>
                <c:pt idx="2442">
                  <c:v>-0.277262792538093</c:v>
                </c:pt>
                <c:pt idx="2443">
                  <c:v>-0.293616776629437</c:v>
                </c:pt>
                <c:pt idx="2444">
                  <c:v>-0.26019816861014</c:v>
                </c:pt>
                <c:pt idx="2445">
                  <c:v>-0.244329254327693</c:v>
                </c:pt>
                <c:pt idx="2446">
                  <c:v>-0.249575956622695</c:v>
                </c:pt>
                <c:pt idx="2447">
                  <c:v>-0.256407461152788</c:v>
                </c:pt>
                <c:pt idx="2448">
                  <c:v>-0.241292384309751</c:v>
                </c:pt>
                <c:pt idx="2449">
                  <c:v>-0.257460697250151</c:v>
                </c:pt>
                <c:pt idx="2450">
                  <c:v>-0.324685749220794</c:v>
                </c:pt>
                <c:pt idx="2451">
                  <c:v>-0.361364598135058</c:v>
                </c:pt>
                <c:pt idx="2452">
                  <c:v>-0.315999889414137</c:v>
                </c:pt>
                <c:pt idx="2453">
                  <c:v>-0.294815470836592</c:v>
                </c:pt>
                <c:pt idx="2454">
                  <c:v>-0.327426676389007</c:v>
                </c:pt>
                <c:pt idx="2455">
                  <c:v>-0.329537703967299</c:v>
                </c:pt>
                <c:pt idx="2456">
                  <c:v>-0.322315378943509</c:v>
                </c:pt>
                <c:pt idx="2457">
                  <c:v>-0.336885066415922</c:v>
                </c:pt>
                <c:pt idx="2458">
                  <c:v>-0.355865778921895</c:v>
                </c:pt>
                <c:pt idx="2459">
                  <c:v>-0.347755625348919</c:v>
                </c:pt>
                <c:pt idx="2460">
                  <c:v>-0.31144544833928</c:v>
                </c:pt>
                <c:pt idx="2461">
                  <c:v>-0.243722445819996</c:v>
                </c:pt>
                <c:pt idx="2462">
                  <c:v>-0.250830257925818</c:v>
                </c:pt>
                <c:pt idx="2463">
                  <c:v>-0.243180669339787</c:v>
                </c:pt>
                <c:pt idx="2464">
                  <c:v>-0.226390939247834</c:v>
                </c:pt>
                <c:pt idx="2465">
                  <c:v>-0.191941872049015</c:v>
                </c:pt>
                <c:pt idx="2466">
                  <c:v>-0.131671005800417</c:v>
                </c:pt>
                <c:pt idx="2467">
                  <c:v>-0.154195021311341</c:v>
                </c:pt>
                <c:pt idx="2468">
                  <c:v>-0.152019904198713</c:v>
                </c:pt>
                <c:pt idx="2469">
                  <c:v>-0.136812934273355</c:v>
                </c:pt>
                <c:pt idx="2470">
                  <c:v>-0.141462567156564</c:v>
                </c:pt>
                <c:pt idx="2471">
                  <c:v>-0.0977191037392787</c:v>
                </c:pt>
                <c:pt idx="2472">
                  <c:v>-0.120036713249914</c:v>
                </c:pt>
                <c:pt idx="2473">
                  <c:v>-0.0987787802065129</c:v>
                </c:pt>
                <c:pt idx="2474">
                  <c:v>-0.0994935041801143</c:v>
                </c:pt>
                <c:pt idx="2475">
                  <c:v>-0.0310780833584926</c:v>
                </c:pt>
                <c:pt idx="2476">
                  <c:v>-0.0436702631158133</c:v>
                </c:pt>
                <c:pt idx="2477">
                  <c:v>-0.0333003251287211</c:v>
                </c:pt>
                <c:pt idx="2478">
                  <c:v>-0.0255099908986579</c:v>
                </c:pt>
                <c:pt idx="2479">
                  <c:v>0</c:v>
                </c:pt>
                <c:pt idx="2480">
                  <c:v>0</c:v>
                </c:pt>
                <c:pt idx="2481">
                  <c:v>-0.0583754272581981</c:v>
                </c:pt>
                <c:pt idx="2482">
                  <c:v>-0.0808030643660186</c:v>
                </c:pt>
                <c:pt idx="2483">
                  <c:v>-0.0711623044073669</c:v>
                </c:pt>
                <c:pt idx="2484">
                  <c:v>-0.0775054438917435</c:v>
                </c:pt>
                <c:pt idx="2485">
                  <c:v>-0.0439714040581972</c:v>
                </c:pt>
                <c:pt idx="2486">
                  <c:v>-0.085810853907353</c:v>
                </c:pt>
                <c:pt idx="2487">
                  <c:v>-0.113438992733448</c:v>
                </c:pt>
                <c:pt idx="2488">
                  <c:v>-0.0822291647760319</c:v>
                </c:pt>
                <c:pt idx="2489">
                  <c:v>-0.0558860768027716</c:v>
                </c:pt>
                <c:pt idx="2490">
                  <c:v>-0.0597269880526026</c:v>
                </c:pt>
                <c:pt idx="2491">
                  <c:v>-0.0707780920797568</c:v>
                </c:pt>
                <c:pt idx="2492">
                  <c:v>-0.0765874854954544</c:v>
                </c:pt>
                <c:pt idx="2493">
                  <c:v>-0.0401176150292469</c:v>
                </c:pt>
                <c:pt idx="2494">
                  <c:v>-0.046371670582774</c:v>
                </c:pt>
                <c:pt idx="2495">
                  <c:v>-0.0682663191383341</c:v>
                </c:pt>
                <c:pt idx="2496">
                  <c:v>-0.0758298175733809</c:v>
                </c:pt>
                <c:pt idx="2497">
                  <c:v>-0.0676593969835999</c:v>
                </c:pt>
                <c:pt idx="2498">
                  <c:v>-0.0389592209216338</c:v>
                </c:pt>
                <c:pt idx="2499">
                  <c:v>0</c:v>
                </c:pt>
                <c:pt idx="2500">
                  <c:v>-0.00802961810432401</c:v>
                </c:pt>
                <c:pt idx="2501">
                  <c:v>-0.0387083051029727</c:v>
                </c:pt>
                <c:pt idx="2502">
                  <c:v>-0.0402365217865307</c:v>
                </c:pt>
                <c:pt idx="2503">
                  <c:v>-0.0496451936200323</c:v>
                </c:pt>
                <c:pt idx="2504">
                  <c:v>-0.0448454645129925</c:v>
                </c:pt>
                <c:pt idx="2505">
                  <c:v>-0.0266035906352327</c:v>
                </c:pt>
                <c:pt idx="2506">
                  <c:v>-0.0602633148304119</c:v>
                </c:pt>
                <c:pt idx="2507">
                  <c:v>-0.109061375445378</c:v>
                </c:pt>
                <c:pt idx="2508">
                  <c:v>-0.106588262549315</c:v>
                </c:pt>
                <c:pt idx="2509">
                  <c:v>-0.155423947186538</c:v>
                </c:pt>
                <c:pt idx="2510">
                  <c:v>-0.138086234851517</c:v>
                </c:pt>
                <c:pt idx="2511">
                  <c:v>-0.114625138831161</c:v>
                </c:pt>
                <c:pt idx="2512">
                  <c:v>-0.129864497231968</c:v>
                </c:pt>
                <c:pt idx="2513">
                  <c:v>-0.166723152075409</c:v>
                </c:pt>
                <c:pt idx="2514">
                  <c:v>-0.146793974112895</c:v>
                </c:pt>
                <c:pt idx="2515">
                  <c:v>-0.151900620440865</c:v>
                </c:pt>
                <c:pt idx="2516">
                  <c:v>-0.12572378101871</c:v>
                </c:pt>
                <c:pt idx="2517">
                  <c:v>-0.202498264703068</c:v>
                </c:pt>
                <c:pt idx="2518">
                  <c:v>-0.190255052358123</c:v>
                </c:pt>
                <c:pt idx="2519">
                  <c:v>-0.148691765345787</c:v>
                </c:pt>
                <c:pt idx="2520">
                  <c:v>-0.143411663387649</c:v>
                </c:pt>
                <c:pt idx="2521">
                  <c:v>-0.157466753843798</c:v>
                </c:pt>
                <c:pt idx="2522">
                  <c:v>-0.15229715393528</c:v>
                </c:pt>
                <c:pt idx="2523">
                  <c:v>-0.16210576616285</c:v>
                </c:pt>
                <c:pt idx="2524">
                  <c:v>-0.204830213452632</c:v>
                </c:pt>
                <c:pt idx="2525">
                  <c:v>-0.269220024393402</c:v>
                </c:pt>
                <c:pt idx="2526">
                  <c:v>-0.266601747946899</c:v>
                </c:pt>
                <c:pt idx="2527">
                  <c:v>-0.250646348114637</c:v>
                </c:pt>
                <c:pt idx="2528">
                  <c:v>-0.24935498502001</c:v>
                </c:pt>
                <c:pt idx="2529">
                  <c:v>-0.251496591767212</c:v>
                </c:pt>
                <c:pt idx="2530">
                  <c:v>-0.294341169301286</c:v>
                </c:pt>
                <c:pt idx="2531">
                  <c:v>-0.299830573398987</c:v>
                </c:pt>
                <c:pt idx="2532">
                  <c:v>-0.267776387696886</c:v>
                </c:pt>
                <c:pt idx="2533">
                  <c:v>-0.258401044229556</c:v>
                </c:pt>
                <c:pt idx="2534">
                  <c:v>-0.309142074529337</c:v>
                </c:pt>
                <c:pt idx="2535">
                  <c:v>-0.283911760706478</c:v>
                </c:pt>
                <c:pt idx="2536">
                  <c:v>-0.275871329398907</c:v>
                </c:pt>
                <c:pt idx="2537">
                  <c:v>-0.294838724776722</c:v>
                </c:pt>
                <c:pt idx="2538">
                  <c:v>-0.315062821748344</c:v>
                </c:pt>
                <c:pt idx="2539">
                  <c:v>-0.306575494081919</c:v>
                </c:pt>
                <c:pt idx="2540">
                  <c:v>-0.308491652947724</c:v>
                </c:pt>
                <c:pt idx="2541">
                  <c:v>-0.304345011691591</c:v>
                </c:pt>
                <c:pt idx="2542">
                  <c:v>-0.274856665806548</c:v>
                </c:pt>
                <c:pt idx="2543">
                  <c:v>-0.27941198689499</c:v>
                </c:pt>
                <c:pt idx="2544">
                  <c:v>-0.246920236776563</c:v>
                </c:pt>
                <c:pt idx="2545">
                  <c:v>-0.247286996930532</c:v>
                </c:pt>
                <c:pt idx="2546">
                  <c:v>-0.253517623891906</c:v>
                </c:pt>
                <c:pt idx="2547">
                  <c:v>-0.246901424765435</c:v>
                </c:pt>
                <c:pt idx="2548">
                  <c:v>-0.249545030770229</c:v>
                </c:pt>
                <c:pt idx="2549">
                  <c:v>-0.295000626573284</c:v>
                </c:pt>
                <c:pt idx="2550">
                  <c:v>-0.310935288755483</c:v>
                </c:pt>
                <c:pt idx="2551">
                  <c:v>-0.302358048563429</c:v>
                </c:pt>
                <c:pt idx="2552">
                  <c:v>-0.314996461268143</c:v>
                </c:pt>
                <c:pt idx="2553">
                  <c:v>-0.292715337536361</c:v>
                </c:pt>
                <c:pt idx="2554">
                  <c:v>-0.299978106966577</c:v>
                </c:pt>
                <c:pt idx="2555">
                  <c:v>-0.310921068652583</c:v>
                </c:pt>
                <c:pt idx="2556">
                  <c:v>-0.32025834371944</c:v>
                </c:pt>
                <c:pt idx="2557">
                  <c:v>-0.356794379978332</c:v>
                </c:pt>
                <c:pt idx="2558">
                  <c:v>-0.361082926011323</c:v>
                </c:pt>
                <c:pt idx="2559">
                  <c:v>-0.382963664970821</c:v>
                </c:pt>
                <c:pt idx="2560">
                  <c:v>-0.382795986257456</c:v>
                </c:pt>
                <c:pt idx="2561">
                  <c:v>-0.380258586646198</c:v>
                </c:pt>
                <c:pt idx="2562">
                  <c:v>-0.379759549910043</c:v>
                </c:pt>
                <c:pt idx="2563">
                  <c:v>-0.366446422947928</c:v>
                </c:pt>
                <c:pt idx="2564">
                  <c:v>-0.349959843021914</c:v>
                </c:pt>
                <c:pt idx="2565">
                  <c:v>-0.368721639411963</c:v>
                </c:pt>
                <c:pt idx="2566">
                  <c:v>-0.360707426419114</c:v>
                </c:pt>
                <c:pt idx="2567">
                  <c:v>-0.361838220851826</c:v>
                </c:pt>
                <c:pt idx="2568">
                  <c:v>-0.361018639296129</c:v>
                </c:pt>
                <c:pt idx="2569">
                  <c:v>-0.373641943141511</c:v>
                </c:pt>
                <c:pt idx="2570">
                  <c:v>-0.371773480870851</c:v>
                </c:pt>
                <c:pt idx="2571">
                  <c:v>-0.381966332128871</c:v>
                </c:pt>
                <c:pt idx="2572">
                  <c:v>-0.397182879114609</c:v>
                </c:pt>
                <c:pt idx="2573">
                  <c:v>-0.459142978098375</c:v>
                </c:pt>
                <c:pt idx="2574">
                  <c:v>-0.479956616836069</c:v>
                </c:pt>
                <c:pt idx="2575">
                  <c:v>-0.463294211262736</c:v>
                </c:pt>
                <c:pt idx="2576">
                  <c:v>-0.457214376642533</c:v>
                </c:pt>
                <c:pt idx="2577">
                  <c:v>-0.452279556557941</c:v>
                </c:pt>
                <c:pt idx="2578">
                  <c:v>-0.454319845071979</c:v>
                </c:pt>
                <c:pt idx="2579">
                  <c:v>-0.449864509082054</c:v>
                </c:pt>
                <c:pt idx="2580">
                  <c:v>-0.441893548902193</c:v>
                </c:pt>
                <c:pt idx="2581">
                  <c:v>-0.434652850256688</c:v>
                </c:pt>
                <c:pt idx="2582">
                  <c:v>-0.438326673091388</c:v>
                </c:pt>
                <c:pt idx="2583">
                  <c:v>-0.430747061993427</c:v>
                </c:pt>
                <c:pt idx="2584">
                  <c:v>-0.426083905124658</c:v>
                </c:pt>
                <c:pt idx="2585">
                  <c:v>-0.453326215381826</c:v>
                </c:pt>
                <c:pt idx="2586">
                  <c:v>-0.448403541635128</c:v>
                </c:pt>
                <c:pt idx="2587">
                  <c:v>-0.384604457469005</c:v>
                </c:pt>
                <c:pt idx="2588">
                  <c:v>-0.386054463586612</c:v>
                </c:pt>
                <c:pt idx="2589">
                  <c:v>-0.370514409259894</c:v>
                </c:pt>
                <c:pt idx="2590">
                  <c:v>-0.34975676217737</c:v>
                </c:pt>
                <c:pt idx="2591">
                  <c:v>-0.346059091045098</c:v>
                </c:pt>
                <c:pt idx="2592">
                  <c:v>-0.342276691799711</c:v>
                </c:pt>
                <c:pt idx="2593">
                  <c:v>-0.355987981643032</c:v>
                </c:pt>
                <c:pt idx="2594">
                  <c:v>-0.372070769897109</c:v>
                </c:pt>
                <c:pt idx="2595">
                  <c:v>-0.374649052304205</c:v>
                </c:pt>
                <c:pt idx="2596">
                  <c:v>-0.37642878705781</c:v>
                </c:pt>
                <c:pt idx="2597">
                  <c:v>-0.369389391743986</c:v>
                </c:pt>
                <c:pt idx="2598">
                  <c:v>-0.341287357765643</c:v>
                </c:pt>
                <c:pt idx="2599">
                  <c:v>-0.349767723506689</c:v>
                </c:pt>
                <c:pt idx="2600">
                  <c:v>-0.399292194378142</c:v>
                </c:pt>
                <c:pt idx="2601">
                  <c:v>-0.407597771354373</c:v>
                </c:pt>
                <c:pt idx="2602">
                  <c:v>-0.406174724181848</c:v>
                </c:pt>
                <c:pt idx="2603">
                  <c:v>-0.430804831161459</c:v>
                </c:pt>
                <c:pt idx="2604">
                  <c:v>-0.450816663472081</c:v>
                </c:pt>
                <c:pt idx="2605">
                  <c:v>-0.433248022591004</c:v>
                </c:pt>
                <c:pt idx="2606">
                  <c:v>-0.448600697436797</c:v>
                </c:pt>
                <c:pt idx="2607">
                  <c:v>-0.431675664338026</c:v>
                </c:pt>
                <c:pt idx="2608">
                  <c:v>-0.41915619686903</c:v>
                </c:pt>
                <c:pt idx="2609">
                  <c:v>-0.420261069239162</c:v>
                </c:pt>
                <c:pt idx="2610">
                  <c:v>-0.441564709022626</c:v>
                </c:pt>
                <c:pt idx="2611">
                  <c:v>-0.360006197594847</c:v>
                </c:pt>
                <c:pt idx="2612">
                  <c:v>-0.342139527057153</c:v>
                </c:pt>
                <c:pt idx="2613">
                  <c:v>-0.35027831407645</c:v>
                </c:pt>
                <c:pt idx="2614">
                  <c:v>-0.371471451810293</c:v>
                </c:pt>
                <c:pt idx="2615">
                  <c:v>-0.419260329497559</c:v>
                </c:pt>
                <c:pt idx="2616">
                  <c:v>-0.416518219654967</c:v>
                </c:pt>
                <c:pt idx="2617">
                  <c:v>-0.430720251174418</c:v>
                </c:pt>
                <c:pt idx="2618">
                  <c:v>-0.437051455738597</c:v>
                </c:pt>
                <c:pt idx="2619">
                  <c:v>-0.426393488614882</c:v>
                </c:pt>
                <c:pt idx="2620">
                  <c:v>-0.378079948381026</c:v>
                </c:pt>
                <c:pt idx="2621">
                  <c:v>-0.415570509047096</c:v>
                </c:pt>
                <c:pt idx="2622">
                  <c:v>-0.427185222469066</c:v>
                </c:pt>
                <c:pt idx="2623">
                  <c:v>-0.425745140798275</c:v>
                </c:pt>
                <c:pt idx="2624">
                  <c:v>-0.440377626682601</c:v>
                </c:pt>
                <c:pt idx="2625">
                  <c:v>-0.412755965555356</c:v>
                </c:pt>
                <c:pt idx="2626">
                  <c:v>-0.416955635945221</c:v>
                </c:pt>
                <c:pt idx="2627">
                  <c:v>-0.391055940403549</c:v>
                </c:pt>
                <c:pt idx="2628">
                  <c:v>-0.393215322279376</c:v>
                </c:pt>
                <c:pt idx="2629">
                  <c:v>-0.380743699531596</c:v>
                </c:pt>
                <c:pt idx="2630">
                  <c:v>-0.374618390207326</c:v>
                </c:pt>
                <c:pt idx="2631">
                  <c:v>-0.388666963116312</c:v>
                </c:pt>
                <c:pt idx="2632">
                  <c:v>-0.392535275483387</c:v>
                </c:pt>
                <c:pt idx="2633">
                  <c:v>-0.372539737040672</c:v>
                </c:pt>
                <c:pt idx="2634">
                  <c:v>-0.363942499828914</c:v>
                </c:pt>
                <c:pt idx="2635">
                  <c:v>-0.348549238439427</c:v>
                </c:pt>
                <c:pt idx="2636">
                  <c:v>-0.3429851788015</c:v>
                </c:pt>
                <c:pt idx="2637">
                  <c:v>-0.34012175370604</c:v>
                </c:pt>
                <c:pt idx="2638">
                  <c:v>-0.306476990244121</c:v>
                </c:pt>
                <c:pt idx="2639">
                  <c:v>-0.300973662295664</c:v>
                </c:pt>
                <c:pt idx="2640">
                  <c:v>-0.297427079756706</c:v>
                </c:pt>
                <c:pt idx="2641">
                  <c:v>-0.303469438480724</c:v>
                </c:pt>
                <c:pt idx="2642">
                  <c:v>-0.326384393674069</c:v>
                </c:pt>
                <c:pt idx="2643">
                  <c:v>-0.31532530114771</c:v>
                </c:pt>
                <c:pt idx="2644">
                  <c:v>-0.320524081892388</c:v>
                </c:pt>
                <c:pt idx="2645">
                  <c:v>-0.313316415360911</c:v>
                </c:pt>
                <c:pt idx="2646">
                  <c:v>-0.31019332526145</c:v>
                </c:pt>
                <c:pt idx="2647">
                  <c:v>-0.326778112773119</c:v>
                </c:pt>
                <c:pt idx="2648">
                  <c:v>-0.360005901342704</c:v>
                </c:pt>
                <c:pt idx="2649">
                  <c:v>-0.356657659613989</c:v>
                </c:pt>
                <c:pt idx="2650">
                  <c:v>-0.373700749192046</c:v>
                </c:pt>
                <c:pt idx="2651">
                  <c:v>-0.366414872094618</c:v>
                </c:pt>
                <c:pt idx="2652">
                  <c:v>-0.375245704121726</c:v>
                </c:pt>
                <c:pt idx="2653">
                  <c:v>-0.413195603736688</c:v>
                </c:pt>
                <c:pt idx="2654">
                  <c:v>-0.4059374262147</c:v>
                </c:pt>
                <c:pt idx="2655">
                  <c:v>-0.391186439472873</c:v>
                </c:pt>
                <c:pt idx="2656">
                  <c:v>-0.408828106507386</c:v>
                </c:pt>
                <c:pt idx="2657">
                  <c:v>-0.399102889258282</c:v>
                </c:pt>
                <c:pt idx="2658">
                  <c:v>-0.401892843822091</c:v>
                </c:pt>
                <c:pt idx="2659">
                  <c:v>-0.412373059659553</c:v>
                </c:pt>
                <c:pt idx="2660">
                  <c:v>-0.395386702367025</c:v>
                </c:pt>
                <c:pt idx="2661">
                  <c:v>-0.385569350701214</c:v>
                </c:pt>
                <c:pt idx="2662">
                  <c:v>-0.387494989635619</c:v>
                </c:pt>
                <c:pt idx="2663">
                  <c:v>-0.400614960200006</c:v>
                </c:pt>
                <c:pt idx="2664">
                  <c:v>-0.411818031268229</c:v>
                </c:pt>
                <c:pt idx="2665">
                  <c:v>-0.415374538254002</c:v>
                </c:pt>
                <c:pt idx="2666">
                  <c:v>-0.415054437812676</c:v>
                </c:pt>
                <c:pt idx="2667">
                  <c:v>-0.400231461799915</c:v>
                </c:pt>
                <c:pt idx="2668">
                  <c:v>-0.435598487099552</c:v>
                </c:pt>
                <c:pt idx="2669">
                  <c:v>-0.419517328232266</c:v>
                </c:pt>
                <c:pt idx="2670">
                  <c:v>-0.411380911230119</c:v>
                </c:pt>
                <c:pt idx="2671">
                  <c:v>-0.428275282232011</c:v>
                </c:pt>
                <c:pt idx="2672">
                  <c:v>-0.442178987842701</c:v>
                </c:pt>
                <c:pt idx="2673">
                  <c:v>-0.429767652406175</c:v>
                </c:pt>
                <c:pt idx="2674">
                  <c:v>-0.429887042020108</c:v>
                </c:pt>
                <c:pt idx="2675">
                  <c:v>-0.441440134996177</c:v>
                </c:pt>
                <c:pt idx="2676">
                  <c:v>-0.412356765791646</c:v>
                </c:pt>
                <c:pt idx="2677">
                  <c:v>-0.459091133973218</c:v>
                </c:pt>
                <c:pt idx="2678">
                  <c:v>-0.466550318574743</c:v>
                </c:pt>
                <c:pt idx="2679">
                  <c:v>-0.474959139423073</c:v>
                </c:pt>
                <c:pt idx="2680">
                  <c:v>-0.495041775996052</c:v>
                </c:pt>
                <c:pt idx="2681">
                  <c:v>-0.55300395229985</c:v>
                </c:pt>
                <c:pt idx="2682">
                  <c:v>-0.541374574396764</c:v>
                </c:pt>
                <c:pt idx="2683">
                  <c:v>-0.570022304823903</c:v>
                </c:pt>
                <c:pt idx="2684">
                  <c:v>-0.571027932725878</c:v>
                </c:pt>
                <c:pt idx="2685">
                  <c:v>-0.566103185214174</c:v>
                </c:pt>
                <c:pt idx="2686">
                  <c:v>-0.555434849265428</c:v>
                </c:pt>
                <c:pt idx="2687">
                  <c:v>-0.536976415070584</c:v>
                </c:pt>
                <c:pt idx="2688">
                  <c:v>-0.55777450057073</c:v>
                </c:pt>
                <c:pt idx="2689">
                  <c:v>-0.549829462453448</c:v>
                </c:pt>
                <c:pt idx="2690">
                  <c:v>-0.573946016341861</c:v>
                </c:pt>
                <c:pt idx="2691">
                  <c:v>-0.551787689123665</c:v>
                </c:pt>
                <c:pt idx="2692">
                  <c:v>-0.568388029872881</c:v>
                </c:pt>
                <c:pt idx="2693">
                  <c:v>-0.564115333329581</c:v>
                </c:pt>
                <c:pt idx="2694">
                  <c:v>-0.552346420666787</c:v>
                </c:pt>
                <c:pt idx="2695">
                  <c:v>-0.569017121300144</c:v>
                </c:pt>
                <c:pt idx="2696">
                  <c:v>-0.561462987886546</c:v>
                </c:pt>
                <c:pt idx="2697">
                  <c:v>-0.563208357391476</c:v>
                </c:pt>
                <c:pt idx="2698">
                  <c:v>-0.568050154302929</c:v>
                </c:pt>
                <c:pt idx="2699">
                  <c:v>-0.576232786639502</c:v>
                </c:pt>
                <c:pt idx="2700">
                  <c:v>-0.570815075560591</c:v>
                </c:pt>
                <c:pt idx="2701">
                  <c:v>-0.563899513642856</c:v>
                </c:pt>
                <c:pt idx="2702">
                  <c:v>-0.530565666805806</c:v>
                </c:pt>
                <c:pt idx="2703">
                  <c:v>-0.528895841597534</c:v>
                </c:pt>
                <c:pt idx="2704">
                  <c:v>-0.558893000539475</c:v>
                </c:pt>
                <c:pt idx="2705">
                  <c:v>-0.549267472136745</c:v>
                </c:pt>
                <c:pt idx="2706">
                  <c:v>-0.560292643792644</c:v>
                </c:pt>
                <c:pt idx="2707">
                  <c:v>-0.558110006123532</c:v>
                </c:pt>
                <c:pt idx="2708">
                  <c:v>-0.55719221698218</c:v>
                </c:pt>
                <c:pt idx="2709">
                  <c:v>-0.535996857357259</c:v>
                </c:pt>
                <c:pt idx="2710">
                  <c:v>-0.539716599274241</c:v>
                </c:pt>
                <c:pt idx="2711">
                  <c:v>-0.552728437806158</c:v>
                </c:pt>
                <c:pt idx="2712">
                  <c:v>-0.554574384913893</c:v>
                </c:pt>
                <c:pt idx="2713">
                  <c:v>-0.569517787423089</c:v>
                </c:pt>
                <c:pt idx="2714">
                  <c:v>-0.579596729731836</c:v>
                </c:pt>
                <c:pt idx="2715">
                  <c:v>-0.605490648356704</c:v>
                </c:pt>
                <c:pt idx="2716">
                  <c:v>-0.669190043676454</c:v>
                </c:pt>
                <c:pt idx="2717">
                  <c:v>-0.672307060606967</c:v>
                </c:pt>
                <c:pt idx="2718">
                  <c:v>-0.66606354667734</c:v>
                </c:pt>
                <c:pt idx="2719">
                  <c:v>-0.698761636413892</c:v>
                </c:pt>
                <c:pt idx="2720">
                  <c:v>-0.69750848984581</c:v>
                </c:pt>
                <c:pt idx="2721">
                  <c:v>-0.718720291464709</c:v>
                </c:pt>
                <c:pt idx="2722">
                  <c:v>-0.696041152977793</c:v>
                </c:pt>
                <c:pt idx="2723">
                  <c:v>-0.695833035846806</c:v>
                </c:pt>
                <c:pt idx="2724">
                  <c:v>-0.693747568880845</c:v>
                </c:pt>
                <c:pt idx="2725">
                  <c:v>-0.703788887167335</c:v>
                </c:pt>
                <c:pt idx="2726">
                  <c:v>-0.687134776654028</c:v>
                </c:pt>
                <c:pt idx="2727">
                  <c:v>-0.685879111942724</c:v>
                </c:pt>
                <c:pt idx="2728">
                  <c:v>-0.68190281566925</c:v>
                </c:pt>
                <c:pt idx="2729">
                  <c:v>-0.688561675104422</c:v>
                </c:pt>
                <c:pt idx="2730">
                  <c:v>-0.693101442955317</c:v>
                </c:pt>
                <c:pt idx="2731">
                  <c:v>-0.700024855554861</c:v>
                </c:pt>
                <c:pt idx="2732">
                  <c:v>-0.702349101748688</c:v>
                </c:pt>
                <c:pt idx="2733">
                  <c:v>-0.706153719904856</c:v>
                </c:pt>
                <c:pt idx="2734">
                  <c:v>-0.714556615710311</c:v>
                </c:pt>
                <c:pt idx="2735">
                  <c:v>-0.715442113367993</c:v>
                </c:pt>
                <c:pt idx="2736">
                  <c:v>-0.714367458716523</c:v>
                </c:pt>
                <c:pt idx="2737">
                  <c:v>-0.700698088551543</c:v>
                </c:pt>
                <c:pt idx="2738">
                  <c:v>-0.701213419155604</c:v>
                </c:pt>
                <c:pt idx="2739">
                  <c:v>-0.695500196563297</c:v>
                </c:pt>
                <c:pt idx="2740">
                  <c:v>-0.679197589218555</c:v>
                </c:pt>
                <c:pt idx="2741">
                  <c:v>-0.680306312866557</c:v>
                </c:pt>
                <c:pt idx="2742">
                  <c:v>-0.680442144474468</c:v>
                </c:pt>
                <c:pt idx="2743">
                  <c:v>-0.691794822875287</c:v>
                </c:pt>
                <c:pt idx="2744">
                  <c:v>-0.704593507989772</c:v>
                </c:pt>
                <c:pt idx="2745">
                  <c:v>-0.714076539111356</c:v>
                </c:pt>
                <c:pt idx="2746">
                  <c:v>-0.700687275348296</c:v>
                </c:pt>
                <c:pt idx="2747">
                  <c:v>-0.695104996203529</c:v>
                </c:pt>
                <c:pt idx="2748">
                  <c:v>-0.691329114505305</c:v>
                </c:pt>
                <c:pt idx="2749">
                  <c:v>-0.686042643126076</c:v>
                </c:pt>
                <c:pt idx="2750">
                  <c:v>-0.692458872055513</c:v>
                </c:pt>
                <c:pt idx="2751">
                  <c:v>-0.668660492969492</c:v>
                </c:pt>
                <c:pt idx="2752">
                  <c:v>-0.653223238136657</c:v>
                </c:pt>
                <c:pt idx="2753">
                  <c:v>-0.655797817391956</c:v>
                </c:pt>
                <c:pt idx="2754">
                  <c:v>-0.657222642077344</c:v>
                </c:pt>
                <c:pt idx="2755">
                  <c:v>-0.663659756782915</c:v>
                </c:pt>
                <c:pt idx="2756">
                  <c:v>-0.667351354746241</c:v>
                </c:pt>
                <c:pt idx="2757">
                  <c:v>-0.665347801498029</c:v>
                </c:pt>
                <c:pt idx="2758">
                  <c:v>-0.685257130566911</c:v>
                </c:pt>
                <c:pt idx="2759">
                  <c:v>-0.684827713084539</c:v>
                </c:pt>
                <c:pt idx="2760">
                  <c:v>-0.659506449853548</c:v>
                </c:pt>
                <c:pt idx="2761">
                  <c:v>-0.646339819576519</c:v>
                </c:pt>
                <c:pt idx="2762">
                  <c:v>-0.64720072830627</c:v>
                </c:pt>
                <c:pt idx="2763">
                  <c:v>-0.649780936352301</c:v>
                </c:pt>
                <c:pt idx="2764">
                  <c:v>-0.654923429189664</c:v>
                </c:pt>
                <c:pt idx="2765">
                  <c:v>-0.655604068489941</c:v>
                </c:pt>
                <c:pt idx="2766">
                  <c:v>-0.659232712872719</c:v>
                </c:pt>
                <c:pt idx="2767">
                  <c:v>-0.66196919392458</c:v>
                </c:pt>
                <c:pt idx="2768">
                  <c:v>-0.665166495186051</c:v>
                </c:pt>
                <c:pt idx="2769">
                  <c:v>-0.65508636786873</c:v>
                </c:pt>
                <c:pt idx="2770">
                  <c:v>-0.659900168952598</c:v>
                </c:pt>
                <c:pt idx="2771">
                  <c:v>-0.656534003969186</c:v>
                </c:pt>
                <c:pt idx="2772">
                  <c:v>-0.647091115013081</c:v>
                </c:pt>
                <c:pt idx="2773">
                  <c:v>-0.657252415417791</c:v>
                </c:pt>
                <c:pt idx="2774">
                  <c:v>-0.644752944968498</c:v>
                </c:pt>
                <c:pt idx="2775">
                  <c:v>-0.645145034680757</c:v>
                </c:pt>
                <c:pt idx="2776">
                  <c:v>-0.638597714177709</c:v>
                </c:pt>
                <c:pt idx="2777">
                  <c:v>-0.63787500707302</c:v>
                </c:pt>
                <c:pt idx="2778">
                  <c:v>-0.6400283157799</c:v>
                </c:pt>
                <c:pt idx="2779">
                  <c:v>-0.643130668229298</c:v>
                </c:pt>
                <c:pt idx="2780">
                  <c:v>-0.646544529807854</c:v>
                </c:pt>
                <c:pt idx="2781">
                  <c:v>-0.654008750695822</c:v>
                </c:pt>
                <c:pt idx="2782">
                  <c:v>-0.656704497077917</c:v>
                </c:pt>
                <c:pt idx="2783">
                  <c:v>-0.691156547631568</c:v>
                </c:pt>
                <c:pt idx="2784">
                  <c:v>-0.686691879699114</c:v>
                </c:pt>
                <c:pt idx="2785">
                  <c:v>-0.68132364272821</c:v>
                </c:pt>
                <c:pt idx="2786">
                  <c:v>-0.682953622023147</c:v>
                </c:pt>
                <c:pt idx="2787">
                  <c:v>-0.681094343568944</c:v>
                </c:pt>
                <c:pt idx="2788">
                  <c:v>-0.683622411237673</c:v>
                </c:pt>
                <c:pt idx="2789">
                  <c:v>-0.681257134121937</c:v>
                </c:pt>
                <c:pt idx="2790">
                  <c:v>-0.700338290322953</c:v>
                </c:pt>
                <c:pt idx="2791">
                  <c:v>-0.703474859894955</c:v>
                </c:pt>
                <c:pt idx="2792">
                  <c:v>-0.70992723158593</c:v>
                </c:pt>
                <c:pt idx="2793">
                  <c:v>-0.699436350671293</c:v>
                </c:pt>
                <c:pt idx="2794">
                  <c:v>-0.706181567606369</c:v>
                </c:pt>
                <c:pt idx="2795">
                  <c:v>-0.703370431014281</c:v>
                </c:pt>
                <c:pt idx="2796">
                  <c:v>-0.702081289810733</c:v>
                </c:pt>
                <c:pt idx="2797">
                  <c:v>-0.704534850065309</c:v>
                </c:pt>
                <c:pt idx="2798">
                  <c:v>-0.706116244008671</c:v>
                </c:pt>
                <c:pt idx="2799">
                  <c:v>-0.703650981794417</c:v>
                </c:pt>
                <c:pt idx="2800">
                  <c:v>-0.706595728103338</c:v>
                </c:pt>
                <c:pt idx="2801">
                  <c:v>-0.721863674836017</c:v>
                </c:pt>
                <c:pt idx="2802">
                  <c:v>-0.71432065087781</c:v>
                </c:pt>
                <c:pt idx="2803">
                  <c:v>-0.713820281007009</c:v>
                </c:pt>
                <c:pt idx="2804">
                  <c:v>-0.683668626572099</c:v>
                </c:pt>
                <c:pt idx="2805">
                  <c:v>-0.679153151396992</c:v>
                </c:pt>
                <c:pt idx="2806">
                  <c:v>-0.676817351369559</c:v>
                </c:pt>
                <c:pt idx="2807">
                  <c:v>-0.66801096014431</c:v>
                </c:pt>
                <c:pt idx="2808">
                  <c:v>-0.70131725553199</c:v>
                </c:pt>
                <c:pt idx="2809">
                  <c:v>-0.700539001150347</c:v>
                </c:pt>
                <c:pt idx="2810">
                  <c:v>-0.70832865501823</c:v>
                </c:pt>
                <c:pt idx="2811">
                  <c:v>-0.706944861254752</c:v>
                </c:pt>
                <c:pt idx="2812">
                  <c:v>-0.702012114935167</c:v>
                </c:pt>
                <c:pt idx="2813">
                  <c:v>-0.712264364748009</c:v>
                </c:pt>
                <c:pt idx="2814">
                  <c:v>-0.710367610397621</c:v>
                </c:pt>
                <c:pt idx="2815">
                  <c:v>-0.720497656201165</c:v>
                </c:pt>
                <c:pt idx="2816">
                  <c:v>-0.726136519505389</c:v>
                </c:pt>
                <c:pt idx="2817">
                  <c:v>-0.712600610931171</c:v>
                </c:pt>
                <c:pt idx="2818">
                  <c:v>-0.714051061426993</c:v>
                </c:pt>
                <c:pt idx="2819">
                  <c:v>-0.719389080679235</c:v>
                </c:pt>
                <c:pt idx="2820">
                  <c:v>-0.721691700466568</c:v>
                </c:pt>
                <c:pt idx="2821">
                  <c:v>-0.71523044121128</c:v>
                </c:pt>
                <c:pt idx="2822">
                  <c:v>-0.717479587486665</c:v>
                </c:pt>
                <c:pt idx="2823">
                  <c:v>-0.712522548491292</c:v>
                </c:pt>
                <c:pt idx="2824">
                  <c:v>-0.709515737358255</c:v>
                </c:pt>
                <c:pt idx="2825">
                  <c:v>-0.712401381364496</c:v>
                </c:pt>
                <c:pt idx="2826">
                  <c:v>-0.71398692283787</c:v>
                </c:pt>
                <c:pt idx="2827">
                  <c:v>-0.717489660059553</c:v>
                </c:pt>
                <c:pt idx="2828">
                  <c:v>-0.70906795224297</c:v>
                </c:pt>
                <c:pt idx="2829">
                  <c:v>-0.698646838708187</c:v>
                </c:pt>
                <c:pt idx="2830">
                  <c:v>-0.701491451792518</c:v>
                </c:pt>
                <c:pt idx="2831">
                  <c:v>-0.704307920923193</c:v>
                </c:pt>
                <c:pt idx="2832">
                  <c:v>-0.710795398493202</c:v>
                </c:pt>
                <c:pt idx="2833">
                  <c:v>-0.712491442016197</c:v>
                </c:pt>
                <c:pt idx="2834">
                  <c:v>-0.712087057839972</c:v>
                </c:pt>
                <c:pt idx="2835">
                  <c:v>-0.717010027838814</c:v>
                </c:pt>
                <c:pt idx="2836">
                  <c:v>-0.717528172838241</c:v>
                </c:pt>
                <c:pt idx="2837">
                  <c:v>-0.71623014407038</c:v>
                </c:pt>
                <c:pt idx="2838">
                  <c:v>-0.712894196805632</c:v>
                </c:pt>
                <c:pt idx="2839">
                  <c:v>-0.715781025820448</c:v>
                </c:pt>
                <c:pt idx="2840">
                  <c:v>-0.717458257332315</c:v>
                </c:pt>
                <c:pt idx="2841">
                  <c:v>-0.714549357532788</c:v>
                </c:pt>
                <c:pt idx="2842">
                  <c:v>-0.710177120269187</c:v>
                </c:pt>
                <c:pt idx="2843">
                  <c:v>-0.713601646924918</c:v>
                </c:pt>
                <c:pt idx="2844">
                  <c:v>-0.716750807213029</c:v>
                </c:pt>
                <c:pt idx="2845">
                  <c:v>-0.717867677794984</c:v>
                </c:pt>
                <c:pt idx="2846">
                  <c:v>-0.716004251810767</c:v>
                </c:pt>
                <c:pt idx="2847">
                  <c:v>-0.715440632107274</c:v>
                </c:pt>
                <c:pt idx="2848">
                  <c:v>-0.710213559282868</c:v>
                </c:pt>
                <c:pt idx="2849">
                  <c:v>-0.713636012173593</c:v>
                </c:pt>
                <c:pt idx="2850">
                  <c:v>-0.702063070303893</c:v>
                </c:pt>
                <c:pt idx="2851">
                  <c:v>-0.692481979722726</c:v>
                </c:pt>
                <c:pt idx="2852">
                  <c:v>-0.699494119839325</c:v>
                </c:pt>
                <c:pt idx="2853">
                  <c:v>-0.694949019449842</c:v>
                </c:pt>
                <c:pt idx="2854">
                  <c:v>-0.691435765277056</c:v>
                </c:pt>
                <c:pt idx="2855">
                  <c:v>-0.694342591311576</c:v>
                </c:pt>
                <c:pt idx="2856">
                  <c:v>-0.696744603693138</c:v>
                </c:pt>
                <c:pt idx="2857">
                  <c:v>-0.696645359224981</c:v>
                </c:pt>
                <c:pt idx="2858">
                  <c:v>-0.701547295321616</c:v>
                </c:pt>
                <c:pt idx="2859">
                  <c:v>-0.70070653173764</c:v>
                </c:pt>
                <c:pt idx="2860">
                  <c:v>-0.686595449626322</c:v>
                </c:pt>
                <c:pt idx="2861">
                  <c:v>-0.684421551395451</c:v>
                </c:pt>
                <c:pt idx="2862">
                  <c:v>-0.690233722203772</c:v>
                </c:pt>
                <c:pt idx="2863">
                  <c:v>-0.695174763583383</c:v>
                </c:pt>
                <c:pt idx="2864">
                  <c:v>-0.725054310424254</c:v>
                </c:pt>
                <c:pt idx="2865">
                  <c:v>-0.765210992258043</c:v>
                </c:pt>
                <c:pt idx="2866">
                  <c:v>-0.739695831998964</c:v>
                </c:pt>
                <c:pt idx="2867">
                  <c:v>-0.748228041865168</c:v>
                </c:pt>
                <c:pt idx="2868">
                  <c:v>-0.751478076008228</c:v>
                </c:pt>
                <c:pt idx="2869">
                  <c:v>-0.758693445095442</c:v>
                </c:pt>
                <c:pt idx="2870">
                  <c:v>-0.754458965078686</c:v>
                </c:pt>
                <c:pt idx="2871">
                  <c:v>-0.750124055585197</c:v>
                </c:pt>
                <c:pt idx="2872">
                  <c:v>-0.753214854200989</c:v>
                </c:pt>
                <c:pt idx="2873">
                  <c:v>-0.75296481739166</c:v>
                </c:pt>
                <c:pt idx="2874">
                  <c:v>-0.753028363476495</c:v>
                </c:pt>
                <c:pt idx="2875">
                  <c:v>-0.753107314672806</c:v>
                </c:pt>
                <c:pt idx="2876">
                  <c:v>-0.759128935746761</c:v>
                </c:pt>
                <c:pt idx="2877">
                  <c:v>-0.766616264301943</c:v>
                </c:pt>
                <c:pt idx="2878">
                  <c:v>-0.759942147881368</c:v>
                </c:pt>
                <c:pt idx="2879">
                  <c:v>-0.754148344705959</c:v>
                </c:pt>
                <c:pt idx="2880">
                  <c:v>-0.754417341652489</c:v>
                </c:pt>
                <c:pt idx="2881">
                  <c:v>-0.755466222367452</c:v>
                </c:pt>
                <c:pt idx="2882">
                  <c:v>-0.756297209630683</c:v>
                </c:pt>
                <c:pt idx="2883">
                  <c:v>-0.756647083412457</c:v>
                </c:pt>
                <c:pt idx="2884">
                  <c:v>-0.760126268588711</c:v>
                </c:pt>
                <c:pt idx="2885">
                  <c:v>-0.756456593284023</c:v>
                </c:pt>
                <c:pt idx="2886">
                  <c:v>-0.745522667288401</c:v>
                </c:pt>
                <c:pt idx="2887">
                  <c:v>-0.748473783018412</c:v>
                </c:pt>
                <c:pt idx="2888">
                  <c:v>-0.746715230293085</c:v>
                </c:pt>
                <c:pt idx="2889">
                  <c:v>-0.749908680276688</c:v>
                </c:pt>
                <c:pt idx="2890">
                  <c:v>-0.746669607462947</c:v>
                </c:pt>
                <c:pt idx="2891">
                  <c:v>-0.748618354064565</c:v>
                </c:pt>
                <c:pt idx="2892">
                  <c:v>-0.746853283792075</c:v>
                </c:pt>
                <c:pt idx="2893">
                  <c:v>-0.750495703899537</c:v>
                </c:pt>
                <c:pt idx="2894">
                  <c:v>-0.744804996470156</c:v>
                </c:pt>
                <c:pt idx="2895">
                  <c:v>-0.746274703355322</c:v>
                </c:pt>
                <c:pt idx="2896">
                  <c:v>-0.746244781888803</c:v>
                </c:pt>
                <c:pt idx="2897">
                  <c:v>-0.74689075968826</c:v>
                </c:pt>
                <c:pt idx="2898">
                  <c:v>-0.745080659089919</c:v>
                </c:pt>
                <c:pt idx="2899">
                  <c:v>-0.736874030329702</c:v>
                </c:pt>
                <c:pt idx="2900">
                  <c:v>-0.736101700990934</c:v>
                </c:pt>
                <c:pt idx="2901">
                  <c:v>-0.742882764435404</c:v>
                </c:pt>
                <c:pt idx="2902">
                  <c:v>-0.753705892129262</c:v>
                </c:pt>
                <c:pt idx="2903">
                  <c:v>-0.751357501385719</c:v>
                </c:pt>
                <c:pt idx="2904">
                  <c:v>-0.75182069161248</c:v>
                </c:pt>
                <c:pt idx="2905">
                  <c:v>-0.756287137057796</c:v>
                </c:pt>
                <c:pt idx="2906">
                  <c:v>-0.749770330525554</c:v>
                </c:pt>
                <c:pt idx="2907">
                  <c:v>-0.750836690116999</c:v>
                </c:pt>
                <c:pt idx="2908">
                  <c:v>-0.750863649062081</c:v>
                </c:pt>
                <c:pt idx="2909">
                  <c:v>-0.751492296111128</c:v>
                </c:pt>
                <c:pt idx="2910">
                  <c:v>-0.750650347518577</c:v>
                </c:pt>
                <c:pt idx="2911">
                  <c:v>-0.750686490280115</c:v>
                </c:pt>
                <c:pt idx="2912">
                  <c:v>-0.749062287901981</c:v>
                </c:pt>
                <c:pt idx="2913">
                  <c:v>-0.752727519424512</c:v>
                </c:pt>
                <c:pt idx="2914">
                  <c:v>-0.75501399347001</c:v>
                </c:pt>
                <c:pt idx="2915">
                  <c:v>-0.753723963510031</c:v>
                </c:pt>
                <c:pt idx="2916">
                  <c:v>-0.754015475619486</c:v>
                </c:pt>
                <c:pt idx="2917">
                  <c:v>-0.755132790579656</c:v>
                </c:pt>
                <c:pt idx="2918">
                  <c:v>-0.753885865306593</c:v>
                </c:pt>
                <c:pt idx="2919">
                  <c:v>-0.753209669788473</c:v>
                </c:pt>
                <c:pt idx="2920">
                  <c:v>-0.75306820938983</c:v>
                </c:pt>
                <c:pt idx="2921">
                  <c:v>-0.750401643843895</c:v>
                </c:pt>
                <c:pt idx="2922">
                  <c:v>-0.750778180318607</c:v>
                </c:pt>
                <c:pt idx="2923">
                  <c:v>-0.748917420603685</c:v>
                </c:pt>
                <c:pt idx="2924">
                  <c:v>-0.748995334917492</c:v>
                </c:pt>
                <c:pt idx="2925">
                  <c:v>-0.746195752159012</c:v>
                </c:pt>
                <c:pt idx="2926">
                  <c:v>-0.745502374016554</c:v>
                </c:pt>
                <c:pt idx="2927">
                  <c:v>-0.741597770761869</c:v>
                </c:pt>
                <c:pt idx="2928">
                  <c:v>-0.734228943064189</c:v>
                </c:pt>
                <c:pt idx="2929">
                  <c:v>-0.720578829288553</c:v>
                </c:pt>
                <c:pt idx="2930">
                  <c:v>-0.705092692851999</c:v>
                </c:pt>
                <c:pt idx="2931">
                  <c:v>-0.689367036557218</c:v>
                </c:pt>
                <c:pt idx="2932">
                  <c:v>-0.690842372233116</c:v>
                </c:pt>
                <c:pt idx="2933">
                  <c:v>-0.686166328396094</c:v>
                </c:pt>
                <c:pt idx="2934">
                  <c:v>-0.686663439493314</c:v>
                </c:pt>
                <c:pt idx="2935">
                  <c:v>-0.69321772192174</c:v>
                </c:pt>
                <c:pt idx="2936">
                  <c:v>-0.68762966586017</c:v>
                </c:pt>
                <c:pt idx="2937">
                  <c:v>-0.663948602623076</c:v>
                </c:pt>
                <c:pt idx="2938">
                  <c:v>-0.662486005789359</c:v>
                </c:pt>
                <c:pt idx="2939">
                  <c:v>-0.663654424244327</c:v>
                </c:pt>
                <c:pt idx="2940">
                  <c:v>-0.660564366258895</c:v>
                </c:pt>
                <c:pt idx="2941">
                  <c:v>-0.665052289984633</c:v>
                </c:pt>
                <c:pt idx="2942">
                  <c:v>-0.658237305669703</c:v>
                </c:pt>
                <c:pt idx="2943">
                  <c:v>-0.658890097268466</c:v>
                </c:pt>
                <c:pt idx="2944">
                  <c:v>-0.658234343148266</c:v>
                </c:pt>
                <c:pt idx="2945">
                  <c:v>-0.658795889086753</c:v>
                </c:pt>
                <c:pt idx="2946">
                  <c:v>-0.648400253236332</c:v>
                </c:pt>
                <c:pt idx="2947">
                  <c:v>-0.661793812655477</c:v>
                </c:pt>
                <c:pt idx="2948">
                  <c:v>-0.657314183989764</c:v>
                </c:pt>
                <c:pt idx="2949">
                  <c:v>-0.648348409111175</c:v>
                </c:pt>
                <c:pt idx="2950">
                  <c:v>-0.651178209588319</c:v>
                </c:pt>
                <c:pt idx="2951">
                  <c:v>-0.652993938977391</c:v>
                </c:pt>
                <c:pt idx="2952">
                  <c:v>-0.654585553619712</c:v>
                </c:pt>
                <c:pt idx="2953">
                  <c:v>-0.660227971949662</c:v>
                </c:pt>
                <c:pt idx="2954">
                  <c:v>-0.662986671912305</c:v>
                </c:pt>
                <c:pt idx="2955">
                  <c:v>-0.65545253551841</c:v>
                </c:pt>
                <c:pt idx="2956">
                  <c:v>-0.659704346285576</c:v>
                </c:pt>
                <c:pt idx="2957">
                  <c:v>-0.677023542861612</c:v>
                </c:pt>
                <c:pt idx="2958">
                  <c:v>-0.679609527824446</c:v>
                </c:pt>
                <c:pt idx="2959">
                  <c:v>-0.676233290268147</c:v>
                </c:pt>
                <c:pt idx="2960">
                  <c:v>-0.677320980013942</c:v>
                </c:pt>
                <c:pt idx="2961">
                  <c:v>-0.677287651647769</c:v>
                </c:pt>
                <c:pt idx="2962">
                  <c:v>-0.671253587983776</c:v>
                </c:pt>
                <c:pt idx="2963">
                  <c:v>-0.639449883469219</c:v>
                </c:pt>
                <c:pt idx="2964">
                  <c:v>-0.652374623870872</c:v>
                </c:pt>
                <c:pt idx="2965">
                  <c:v>-0.636172149750719</c:v>
                </c:pt>
                <c:pt idx="2966">
                  <c:v>-0.635221328495338</c:v>
                </c:pt>
                <c:pt idx="2967">
                  <c:v>-0.639815902992828</c:v>
                </c:pt>
                <c:pt idx="2968">
                  <c:v>-0.632119568550228</c:v>
                </c:pt>
                <c:pt idx="2969">
                  <c:v>-0.637862712609054</c:v>
                </c:pt>
                <c:pt idx="2970">
                  <c:v>-0.641718138007876</c:v>
                </c:pt>
                <c:pt idx="2971">
                  <c:v>-0.645408699088699</c:v>
                </c:pt>
                <c:pt idx="2972">
                  <c:v>-0.656622287108025</c:v>
                </c:pt>
                <c:pt idx="2973">
                  <c:v>-0.656984307227693</c:v>
                </c:pt>
                <c:pt idx="2974">
                  <c:v>-0.651145473726434</c:v>
                </c:pt>
                <c:pt idx="2975">
                  <c:v>-0.652205760148932</c:v>
                </c:pt>
                <c:pt idx="2976">
                  <c:v>-0.657133618308146</c:v>
                </c:pt>
                <c:pt idx="2977">
                  <c:v>-0.649912027925912</c:v>
                </c:pt>
                <c:pt idx="2978">
                  <c:v>-0.652361588776547</c:v>
                </c:pt>
                <c:pt idx="2979">
                  <c:v>-0.669033770670623</c:v>
                </c:pt>
                <c:pt idx="2980">
                  <c:v>-0.669009774246979</c:v>
                </c:pt>
                <c:pt idx="2981">
                  <c:v>-0.667760627082838</c:v>
                </c:pt>
                <c:pt idx="2982">
                  <c:v>-0.667911271297937</c:v>
                </c:pt>
                <c:pt idx="2983">
                  <c:v>-0.671175673669969</c:v>
                </c:pt>
                <c:pt idx="2984">
                  <c:v>-0.678379192671433</c:v>
                </c:pt>
                <c:pt idx="2985">
                  <c:v>-0.698354734094445</c:v>
                </c:pt>
                <c:pt idx="2986">
                  <c:v>-0.700385098161667</c:v>
                </c:pt>
                <c:pt idx="2987">
                  <c:v>-0.694744901722795</c:v>
                </c:pt>
                <c:pt idx="2988">
                  <c:v>-0.669910528890065</c:v>
                </c:pt>
                <c:pt idx="2989">
                  <c:v>-0.640944327408389</c:v>
                </c:pt>
                <c:pt idx="2990">
                  <c:v>-0.632842423780989</c:v>
                </c:pt>
                <c:pt idx="2991">
                  <c:v>-0.639304571792708</c:v>
                </c:pt>
                <c:pt idx="2992">
                  <c:v>-0.629090686632481</c:v>
                </c:pt>
                <c:pt idx="2993">
                  <c:v>-0.593504879124682</c:v>
                </c:pt>
                <c:pt idx="2994">
                  <c:v>-0.600188919992072</c:v>
                </c:pt>
                <c:pt idx="2995">
                  <c:v>-0.584506220258136</c:v>
                </c:pt>
                <c:pt idx="2996">
                  <c:v>-0.587941856369258</c:v>
                </c:pt>
                <c:pt idx="2997">
                  <c:v>-0.582350245281962</c:v>
                </c:pt>
                <c:pt idx="2998">
                  <c:v>-0.595258988067852</c:v>
                </c:pt>
                <c:pt idx="2999">
                  <c:v>-0.579895055640596</c:v>
                </c:pt>
                <c:pt idx="3000">
                  <c:v>-0.592817277899027</c:v>
                </c:pt>
                <c:pt idx="3001">
                  <c:v>-0.592868825772041</c:v>
                </c:pt>
                <c:pt idx="3002">
                  <c:v>-0.585437488872029</c:v>
                </c:pt>
                <c:pt idx="3003">
                  <c:v>-0.597991173463629</c:v>
                </c:pt>
                <c:pt idx="3004">
                  <c:v>-0.596013986656211</c:v>
                </c:pt>
                <c:pt idx="3005">
                  <c:v>-0.57981566006607</c:v>
                </c:pt>
                <c:pt idx="3006">
                  <c:v>-0.584700709790511</c:v>
                </c:pt>
                <c:pt idx="3007">
                  <c:v>-0.577948530930057</c:v>
                </c:pt>
                <c:pt idx="3008">
                  <c:v>-0.578258114420281</c:v>
                </c:pt>
                <c:pt idx="3009">
                  <c:v>-0.582592431409482</c:v>
                </c:pt>
                <c:pt idx="3010">
                  <c:v>-0.588093833719004</c:v>
                </c:pt>
                <c:pt idx="3011">
                  <c:v>-0.582698934055162</c:v>
                </c:pt>
                <c:pt idx="3012">
                  <c:v>-0.582466968626602</c:v>
                </c:pt>
                <c:pt idx="3013">
                  <c:v>-0.584454968637267</c:v>
                </c:pt>
                <c:pt idx="3014">
                  <c:v>-0.586326097177221</c:v>
                </c:pt>
                <c:pt idx="3015">
                  <c:v>-0.585846909334698</c:v>
                </c:pt>
                <c:pt idx="3016">
                  <c:v>-0.580254557617043</c:v>
                </c:pt>
                <c:pt idx="3017">
                  <c:v>-0.560381371309698</c:v>
                </c:pt>
                <c:pt idx="3018">
                  <c:v>-0.552008545096834</c:v>
                </c:pt>
                <c:pt idx="3019">
                  <c:v>-0.556909592437038</c:v>
                </c:pt>
                <c:pt idx="3020">
                  <c:v>-0.549508177003546</c:v>
                </c:pt>
                <c:pt idx="3021">
                  <c:v>-0.548308503947412</c:v>
                </c:pt>
                <c:pt idx="3022">
                  <c:v>-0.550885897598076</c:v>
                </c:pt>
                <c:pt idx="3023">
                  <c:v>-0.550762952958418</c:v>
                </c:pt>
                <c:pt idx="3024">
                  <c:v>-0.563769014573532</c:v>
                </c:pt>
                <c:pt idx="3025">
                  <c:v>-0.549957887757765</c:v>
                </c:pt>
                <c:pt idx="3026">
                  <c:v>-0.573181982063118</c:v>
                </c:pt>
                <c:pt idx="3027">
                  <c:v>-0.581762481028753</c:v>
                </c:pt>
                <c:pt idx="3028">
                  <c:v>-0.596223140669702</c:v>
                </c:pt>
                <c:pt idx="3029">
                  <c:v>-0.588028954499522</c:v>
                </c:pt>
                <c:pt idx="3030">
                  <c:v>-0.591434076639837</c:v>
                </c:pt>
                <c:pt idx="3031">
                  <c:v>-0.592374677196258</c:v>
                </c:pt>
                <c:pt idx="3032">
                  <c:v>-0.580483264272021</c:v>
                </c:pt>
                <c:pt idx="3033">
                  <c:v>-0.579232487721089</c:v>
                </c:pt>
                <c:pt idx="3034">
                  <c:v>-0.562986612661876</c:v>
                </c:pt>
                <c:pt idx="3035">
                  <c:v>-0.5653335221447</c:v>
                </c:pt>
                <c:pt idx="3036">
                  <c:v>-0.566736276045378</c:v>
                </c:pt>
                <c:pt idx="3037">
                  <c:v>-0.566417804990841</c:v>
                </c:pt>
                <c:pt idx="3038">
                  <c:v>-0.584410975193919</c:v>
                </c:pt>
                <c:pt idx="3039">
                  <c:v>-0.575133246807957</c:v>
                </c:pt>
                <c:pt idx="3040">
                  <c:v>-0.56973168147088</c:v>
                </c:pt>
                <c:pt idx="3041">
                  <c:v>-0.572485048894935</c:v>
                </c:pt>
                <c:pt idx="3042">
                  <c:v>-0.562806639484545</c:v>
                </c:pt>
                <c:pt idx="3043">
                  <c:v>-0.571802187703581</c:v>
                </c:pt>
                <c:pt idx="3044">
                  <c:v>-0.57895164068881</c:v>
                </c:pt>
                <c:pt idx="3045">
                  <c:v>-0.589947039004261</c:v>
                </c:pt>
                <c:pt idx="3046">
                  <c:v>-0.590473627189785</c:v>
                </c:pt>
                <c:pt idx="3047">
                  <c:v>-0.590872826953494</c:v>
                </c:pt>
                <c:pt idx="3048">
                  <c:v>-0.599941845704181</c:v>
                </c:pt>
                <c:pt idx="3049">
                  <c:v>-0.602851189881923</c:v>
                </c:pt>
                <c:pt idx="3050">
                  <c:v>-0.603162995263225</c:v>
                </c:pt>
                <c:pt idx="3051">
                  <c:v>-0.601076047036545</c:v>
                </c:pt>
                <c:pt idx="3052">
                  <c:v>-0.597418518069751</c:v>
                </c:pt>
                <c:pt idx="3053">
                  <c:v>-0.599451104028052</c:v>
                </c:pt>
                <c:pt idx="3054">
                  <c:v>-0.593880823095106</c:v>
                </c:pt>
                <c:pt idx="3055">
                  <c:v>-0.602585303582903</c:v>
                </c:pt>
                <c:pt idx="3056">
                  <c:v>-0.601866892134298</c:v>
                </c:pt>
                <c:pt idx="3057">
                  <c:v>-0.598332752185378</c:v>
                </c:pt>
                <c:pt idx="3058">
                  <c:v>-0.603764979619334</c:v>
                </c:pt>
                <c:pt idx="3059">
                  <c:v>-0.602214247772851</c:v>
                </c:pt>
                <c:pt idx="3060">
                  <c:v>-0.596745285073069</c:v>
                </c:pt>
                <c:pt idx="3061">
                  <c:v>-0.610108034269263</c:v>
                </c:pt>
                <c:pt idx="3062">
                  <c:v>-0.607636254507847</c:v>
                </c:pt>
                <c:pt idx="3063">
                  <c:v>-0.604087746329954</c:v>
                </c:pt>
                <c:pt idx="3064">
                  <c:v>-0.601781423390825</c:v>
                </c:pt>
                <c:pt idx="3065">
                  <c:v>-0.583774329336991</c:v>
                </c:pt>
                <c:pt idx="3066">
                  <c:v>-0.588871347470288</c:v>
                </c:pt>
                <c:pt idx="3067">
                  <c:v>-0.589740403133992</c:v>
                </c:pt>
                <c:pt idx="3068">
                  <c:v>-0.596757875789179</c:v>
                </c:pt>
                <c:pt idx="3069">
                  <c:v>-0.602472579642205</c:v>
                </c:pt>
                <c:pt idx="3070">
                  <c:v>-0.596349195956869</c:v>
                </c:pt>
                <c:pt idx="3071">
                  <c:v>-0.59896806490766</c:v>
                </c:pt>
                <c:pt idx="3072">
                  <c:v>-0.598464732515421</c:v>
                </c:pt>
                <c:pt idx="3073">
                  <c:v>-0.618556997283072</c:v>
                </c:pt>
                <c:pt idx="3074">
                  <c:v>-0.59641866708458</c:v>
                </c:pt>
                <c:pt idx="3075">
                  <c:v>-0.609722017725951</c:v>
                </c:pt>
                <c:pt idx="3076">
                  <c:v>-0.607394660884615</c:v>
                </c:pt>
                <c:pt idx="3077">
                  <c:v>-0.607714761325942</c:v>
                </c:pt>
                <c:pt idx="3078">
                  <c:v>-0.617374654977347</c:v>
                </c:pt>
                <c:pt idx="3079">
                  <c:v>-0.615661132577871</c:v>
                </c:pt>
                <c:pt idx="3080">
                  <c:v>-0.616251118722158</c:v>
                </c:pt>
                <c:pt idx="3081">
                  <c:v>-0.615864065296343</c:v>
                </c:pt>
                <c:pt idx="3082">
                  <c:v>-0.628147123554623</c:v>
                </c:pt>
                <c:pt idx="3083">
                  <c:v>-0.621651054672444</c:v>
                </c:pt>
                <c:pt idx="3084">
                  <c:v>-0.609816225907665</c:v>
                </c:pt>
                <c:pt idx="3085">
                  <c:v>-0.607302082089692</c:v>
                </c:pt>
                <c:pt idx="3086">
                  <c:v>-0.610039303771912</c:v>
                </c:pt>
                <c:pt idx="3087">
                  <c:v>-0.602693435615374</c:v>
                </c:pt>
                <c:pt idx="3088">
                  <c:v>-0.580580879353388</c:v>
                </c:pt>
                <c:pt idx="3089">
                  <c:v>-0.555648150808931</c:v>
                </c:pt>
                <c:pt idx="3090">
                  <c:v>-0.557320938538642</c:v>
                </c:pt>
                <c:pt idx="3091">
                  <c:v>-0.545368793924935</c:v>
                </c:pt>
                <c:pt idx="3092">
                  <c:v>-0.5473757540728</c:v>
                </c:pt>
                <c:pt idx="3093">
                  <c:v>-0.548387751395866</c:v>
                </c:pt>
                <c:pt idx="3094">
                  <c:v>-0.551474550607717</c:v>
                </c:pt>
                <c:pt idx="3095">
                  <c:v>-0.545221852861633</c:v>
                </c:pt>
                <c:pt idx="3096">
                  <c:v>-0.554102010870676</c:v>
                </c:pt>
                <c:pt idx="3097">
                  <c:v>-0.549083499555474</c:v>
                </c:pt>
                <c:pt idx="3098">
                  <c:v>-0.548573649616072</c:v>
                </c:pt>
                <c:pt idx="3099">
                  <c:v>-0.546956409163316</c:v>
                </c:pt>
                <c:pt idx="3100">
                  <c:v>-0.546497070214424</c:v>
                </c:pt>
                <c:pt idx="3101">
                  <c:v>-0.538391907813443</c:v>
                </c:pt>
                <c:pt idx="3102">
                  <c:v>-0.544261847789796</c:v>
                </c:pt>
                <c:pt idx="3103">
                  <c:v>-0.548323464680671</c:v>
                </c:pt>
                <c:pt idx="3104">
                  <c:v>-0.556941735794636</c:v>
                </c:pt>
                <c:pt idx="3105">
                  <c:v>-0.550625047585501</c:v>
                </c:pt>
                <c:pt idx="3106">
                  <c:v>-0.551155783301037</c:v>
                </c:pt>
                <c:pt idx="3107">
                  <c:v>-0.553087347278317</c:v>
                </c:pt>
                <c:pt idx="3108">
                  <c:v>-0.549289098543239</c:v>
                </c:pt>
                <c:pt idx="3109">
                  <c:v>-0.54619770742316</c:v>
                </c:pt>
                <c:pt idx="3110">
                  <c:v>-0.550007658117916</c:v>
                </c:pt>
                <c:pt idx="3111">
                  <c:v>-0.533824588513179</c:v>
                </c:pt>
                <c:pt idx="3112">
                  <c:v>-0.550988104587672</c:v>
                </c:pt>
                <c:pt idx="3113">
                  <c:v>-0.551168077765003</c:v>
                </c:pt>
                <c:pt idx="3114">
                  <c:v>-0.552124231558971</c:v>
                </c:pt>
                <c:pt idx="3115">
                  <c:v>-0.553393968247103</c:v>
                </c:pt>
                <c:pt idx="3116">
                  <c:v>-0.55768295865831</c:v>
                </c:pt>
                <c:pt idx="3117">
                  <c:v>-0.556827974971434</c:v>
                </c:pt>
                <c:pt idx="3118">
                  <c:v>-0.5584672862089</c:v>
                </c:pt>
                <c:pt idx="3119">
                  <c:v>-0.55699728307159</c:v>
                </c:pt>
                <c:pt idx="3120">
                  <c:v>-0.55849409702791</c:v>
                </c:pt>
                <c:pt idx="3121">
                  <c:v>-0.554395744871209</c:v>
                </c:pt>
                <c:pt idx="3122">
                  <c:v>-0.567897584448896</c:v>
                </c:pt>
                <c:pt idx="3123">
                  <c:v>-0.567149844038059</c:v>
                </c:pt>
                <c:pt idx="3124">
                  <c:v>-0.565227908255451</c:v>
                </c:pt>
                <c:pt idx="3125">
                  <c:v>-0.56727693620773</c:v>
                </c:pt>
                <c:pt idx="3126">
                  <c:v>-0.565824411946901</c:v>
                </c:pt>
                <c:pt idx="3127">
                  <c:v>-0.565133255695522</c:v>
                </c:pt>
                <c:pt idx="3128">
                  <c:v>-0.566318708648755</c:v>
                </c:pt>
                <c:pt idx="3129">
                  <c:v>-0.567126588244774</c:v>
                </c:pt>
                <c:pt idx="3130">
                  <c:v>-0.559637778428874</c:v>
                </c:pt>
                <c:pt idx="3131">
                  <c:v>-0.568126142977802</c:v>
                </c:pt>
                <c:pt idx="3132">
                  <c:v>-0.567943799783321</c:v>
                </c:pt>
                <c:pt idx="3133">
                  <c:v>-0.56934270240613</c:v>
                </c:pt>
                <c:pt idx="3134">
                  <c:v>-0.569757307281315</c:v>
                </c:pt>
                <c:pt idx="3135">
                  <c:v>-0.569835369721194</c:v>
                </c:pt>
                <c:pt idx="3136">
                  <c:v>-0.567782786743191</c:v>
                </c:pt>
                <c:pt idx="3137">
                  <c:v>-0.558963212297545</c:v>
                </c:pt>
                <c:pt idx="3138">
                  <c:v>-0.562116520115669</c:v>
                </c:pt>
                <c:pt idx="3139">
                  <c:v>-0.564241388616748</c:v>
                </c:pt>
                <c:pt idx="3140">
                  <c:v>-0.564508608050415</c:v>
                </c:pt>
                <c:pt idx="3141">
                  <c:v>-0.564257830610727</c:v>
                </c:pt>
                <c:pt idx="3142">
                  <c:v>-0.566471130376717</c:v>
                </c:pt>
                <c:pt idx="3143">
                  <c:v>-0.564548602089822</c:v>
                </c:pt>
                <c:pt idx="3144">
                  <c:v>-0.56797609126699</c:v>
                </c:pt>
                <c:pt idx="3145">
                  <c:v>-0.574962161194939</c:v>
                </c:pt>
                <c:pt idx="3146">
                  <c:v>-0.605970132451371</c:v>
                </c:pt>
                <c:pt idx="3147">
                  <c:v>-0.614220606528864</c:v>
                </c:pt>
                <c:pt idx="3148">
                  <c:v>-0.613668836911121</c:v>
                </c:pt>
                <c:pt idx="3149">
                  <c:v>-0.612099293053509</c:v>
                </c:pt>
                <c:pt idx="3150">
                  <c:v>-0.612973533129729</c:v>
                </c:pt>
                <c:pt idx="3151">
                  <c:v>-0.6143031127509</c:v>
                </c:pt>
                <c:pt idx="3152">
                  <c:v>-0.608509605827635</c:v>
                </c:pt>
                <c:pt idx="3153">
                  <c:v>-0.612381917598651</c:v>
                </c:pt>
                <c:pt idx="3154">
                  <c:v>-0.614066703540183</c:v>
                </c:pt>
                <c:pt idx="3155">
                  <c:v>-0.614810740799223</c:v>
                </c:pt>
                <c:pt idx="3156">
                  <c:v>-0.613549743549332</c:v>
                </c:pt>
                <c:pt idx="3157">
                  <c:v>-0.613353772756238</c:v>
                </c:pt>
                <c:pt idx="3158">
                  <c:v>-0.589488144433585</c:v>
                </c:pt>
                <c:pt idx="3159">
                  <c:v>-0.595658632209777</c:v>
                </c:pt>
                <c:pt idx="3160">
                  <c:v>-0.616020042050029</c:v>
                </c:pt>
                <c:pt idx="3161">
                  <c:v>-0.617804813090079</c:v>
                </c:pt>
                <c:pt idx="3162">
                  <c:v>-0.616776670025178</c:v>
                </c:pt>
                <c:pt idx="3163">
                  <c:v>-0.615277486051709</c:v>
                </c:pt>
                <c:pt idx="3164">
                  <c:v>-0.617615656096291</c:v>
                </c:pt>
                <c:pt idx="3165">
                  <c:v>-0.618160167536512</c:v>
                </c:pt>
                <c:pt idx="3166">
                  <c:v>-0.618603508869641</c:v>
                </c:pt>
                <c:pt idx="3167">
                  <c:v>-0.610911914461341</c:v>
                </c:pt>
                <c:pt idx="3168">
                  <c:v>-0.616259413782183</c:v>
                </c:pt>
                <c:pt idx="3169">
                  <c:v>-0.61637598900075</c:v>
                </c:pt>
                <c:pt idx="3170">
                  <c:v>-0.617311405144655</c:v>
                </c:pt>
                <c:pt idx="3171">
                  <c:v>-0.627289917976669</c:v>
                </c:pt>
                <c:pt idx="3172">
                  <c:v>-0.617059146444248</c:v>
                </c:pt>
                <c:pt idx="3173">
                  <c:v>-0.611670764327568</c:v>
                </c:pt>
                <c:pt idx="3174">
                  <c:v>-0.60700212679414</c:v>
                </c:pt>
                <c:pt idx="3175">
                  <c:v>-0.605688100410517</c:v>
                </c:pt>
                <c:pt idx="3176">
                  <c:v>-0.606430952660981</c:v>
                </c:pt>
                <c:pt idx="3177">
                  <c:v>-0.60696820592368</c:v>
                </c:pt>
                <c:pt idx="3178">
                  <c:v>-0.603502944598183</c:v>
                </c:pt>
                <c:pt idx="3179">
                  <c:v>-0.59710671268845</c:v>
                </c:pt>
                <c:pt idx="3180">
                  <c:v>-0.598290832507037</c:v>
                </c:pt>
                <c:pt idx="3181">
                  <c:v>-0.606469169187526</c:v>
                </c:pt>
                <c:pt idx="3182">
                  <c:v>-0.606241943793266</c:v>
                </c:pt>
                <c:pt idx="3183">
                  <c:v>-0.606276309041941</c:v>
                </c:pt>
                <c:pt idx="3184">
                  <c:v>-0.611475830416978</c:v>
                </c:pt>
                <c:pt idx="3185">
                  <c:v>-0.610474942549303</c:v>
                </c:pt>
                <c:pt idx="3186">
                  <c:v>-0.611907766042572</c:v>
                </c:pt>
                <c:pt idx="3187">
                  <c:v>-0.609660841658265</c:v>
                </c:pt>
                <c:pt idx="3188">
                  <c:v>-0.599529018341859</c:v>
                </c:pt>
                <c:pt idx="3189">
                  <c:v>-0.60153642286794</c:v>
                </c:pt>
                <c:pt idx="3190">
                  <c:v>-0.600660997783145</c:v>
                </c:pt>
                <c:pt idx="3191">
                  <c:v>-0.585322691166324</c:v>
                </c:pt>
                <c:pt idx="3192">
                  <c:v>-0.592399710502405</c:v>
                </c:pt>
                <c:pt idx="3193">
                  <c:v>-0.593809870706677</c:v>
                </c:pt>
                <c:pt idx="3194">
                  <c:v>-0.588471851454435</c:v>
                </c:pt>
                <c:pt idx="3195">
                  <c:v>-0.593847346602862</c:v>
                </c:pt>
                <c:pt idx="3196">
                  <c:v>-0.586000664197306</c:v>
                </c:pt>
                <c:pt idx="3197">
                  <c:v>-0.585630941521901</c:v>
                </c:pt>
                <c:pt idx="3198">
                  <c:v>-0.586171009179965</c:v>
                </c:pt>
                <c:pt idx="3199">
                  <c:v>-0.591358236091036</c:v>
                </c:pt>
                <c:pt idx="3200">
                  <c:v>-0.594257063317675</c:v>
                </c:pt>
                <c:pt idx="3201">
                  <c:v>-0.602254093686185</c:v>
                </c:pt>
                <c:pt idx="3202">
                  <c:v>-0.603829414460601</c:v>
                </c:pt>
                <c:pt idx="3203">
                  <c:v>-0.602146702284074</c:v>
                </c:pt>
                <c:pt idx="3204">
                  <c:v>-0.602173513103084</c:v>
                </c:pt>
                <c:pt idx="3205">
                  <c:v>-0.597758615530782</c:v>
                </c:pt>
                <c:pt idx="3206">
                  <c:v>-0.577332770849263</c:v>
                </c:pt>
                <c:pt idx="3207">
                  <c:v>-0.579200640615636</c:v>
                </c:pt>
                <c:pt idx="3208">
                  <c:v>-0.580664718710071</c:v>
                </c:pt>
                <c:pt idx="3209">
                  <c:v>-0.574366990638136</c:v>
                </c:pt>
                <c:pt idx="3210">
                  <c:v>-0.56026316670434</c:v>
                </c:pt>
                <c:pt idx="3211">
                  <c:v>-0.556672294469891</c:v>
                </c:pt>
                <c:pt idx="3212">
                  <c:v>-0.555797610015456</c:v>
                </c:pt>
                <c:pt idx="3213">
                  <c:v>-0.50960108760087</c:v>
                </c:pt>
                <c:pt idx="3214">
                  <c:v>-0.497557549200815</c:v>
                </c:pt>
                <c:pt idx="3215">
                  <c:v>-0.489114511229882</c:v>
                </c:pt>
                <c:pt idx="3216">
                  <c:v>-0.49429759061094</c:v>
                </c:pt>
                <c:pt idx="3217">
                  <c:v>-0.497776183282906</c:v>
                </c:pt>
                <c:pt idx="3218">
                  <c:v>-0.495314920472593</c:v>
                </c:pt>
                <c:pt idx="3219">
                  <c:v>-0.488110068336482</c:v>
                </c:pt>
                <c:pt idx="3220">
                  <c:v>-0.489179982953652</c:v>
                </c:pt>
                <c:pt idx="3221">
                  <c:v>-0.486478311528682</c:v>
                </c:pt>
                <c:pt idx="3222">
                  <c:v>-0.474605266237358</c:v>
                </c:pt>
                <c:pt idx="3223">
                  <c:v>-0.482517864744899</c:v>
                </c:pt>
                <c:pt idx="3224">
                  <c:v>-0.485470609861701</c:v>
                </c:pt>
                <c:pt idx="3225">
                  <c:v>-0.480151550746659</c:v>
                </c:pt>
                <c:pt idx="3226">
                  <c:v>-0.481323820479496</c:v>
                </c:pt>
                <c:pt idx="3227">
                  <c:v>-0.480611334073766</c:v>
                </c:pt>
                <c:pt idx="3228">
                  <c:v>-0.475323381433819</c:v>
                </c:pt>
                <c:pt idx="3229">
                  <c:v>-0.472942551080535</c:v>
                </c:pt>
                <c:pt idx="3230">
                  <c:v>-0.456832063251018</c:v>
                </c:pt>
                <c:pt idx="3231">
                  <c:v>-0.447403690649956</c:v>
                </c:pt>
                <c:pt idx="3232">
                  <c:v>-0.449615805407372</c:v>
                </c:pt>
                <c:pt idx="3233">
                  <c:v>-0.450550925299133</c:v>
                </c:pt>
                <c:pt idx="3234">
                  <c:v>-0.459777550190298</c:v>
                </c:pt>
                <c:pt idx="3235">
                  <c:v>-0.473370339176117</c:v>
                </c:pt>
                <c:pt idx="3236">
                  <c:v>-0.438952950123285</c:v>
                </c:pt>
                <c:pt idx="3237">
                  <c:v>-0.46452380578539</c:v>
                </c:pt>
                <c:pt idx="3238">
                  <c:v>-0.457464561577934</c:v>
                </c:pt>
                <c:pt idx="3239">
                  <c:v>-0.457924493031113</c:v>
                </c:pt>
                <c:pt idx="3240">
                  <c:v>-0.446119289480709</c:v>
                </c:pt>
                <c:pt idx="3241">
                  <c:v>-0.444881548024102</c:v>
                </c:pt>
                <c:pt idx="3242">
                  <c:v>-0.470683628484407</c:v>
                </c:pt>
                <c:pt idx="3243">
                  <c:v>-0.445358810227691</c:v>
                </c:pt>
                <c:pt idx="3244">
                  <c:v>-0.447519377112093</c:v>
                </c:pt>
                <c:pt idx="3245">
                  <c:v>-0.440884217848421</c:v>
                </c:pt>
                <c:pt idx="3246">
                  <c:v>-0.440057526241274</c:v>
                </c:pt>
                <c:pt idx="3247">
                  <c:v>-0.444963906120066</c:v>
                </c:pt>
                <c:pt idx="3248">
                  <c:v>-0.448313480983427</c:v>
                </c:pt>
                <c:pt idx="3249">
                  <c:v>-0.439484130217037</c:v>
                </c:pt>
                <c:pt idx="3250">
                  <c:v>-0.439124183862375</c:v>
                </c:pt>
                <c:pt idx="3251">
                  <c:v>-0.440927766913553</c:v>
                </c:pt>
                <c:pt idx="3252">
                  <c:v>-0.426544725334269</c:v>
                </c:pt>
                <c:pt idx="3253">
                  <c:v>-0.415381203927237</c:v>
                </c:pt>
                <c:pt idx="3254">
                  <c:v>-0.407068516899556</c:v>
                </c:pt>
                <c:pt idx="3255">
                  <c:v>-0.379998921642197</c:v>
                </c:pt>
                <c:pt idx="3256">
                  <c:v>-0.34735563855224</c:v>
                </c:pt>
                <c:pt idx="3257">
                  <c:v>-0.351526128105944</c:v>
                </c:pt>
                <c:pt idx="3258">
                  <c:v>-0.358526566262865</c:v>
                </c:pt>
                <c:pt idx="3259">
                  <c:v>-0.344928148486315</c:v>
                </c:pt>
                <c:pt idx="3260">
                  <c:v>-0.352175068426839</c:v>
                </c:pt>
                <c:pt idx="3261">
                  <c:v>-0.351598413629021</c:v>
                </c:pt>
                <c:pt idx="3262">
                  <c:v>-0.389638670147827</c:v>
                </c:pt>
                <c:pt idx="3263">
                  <c:v>-0.385978178659595</c:v>
                </c:pt>
                <c:pt idx="3264">
                  <c:v>-0.364137581865577</c:v>
                </c:pt>
                <c:pt idx="3265">
                  <c:v>-0.3625936638184</c:v>
                </c:pt>
                <c:pt idx="3266">
                  <c:v>-0.378762068942021</c:v>
                </c:pt>
                <c:pt idx="3267">
                  <c:v>-0.374463598462214</c:v>
                </c:pt>
                <c:pt idx="3268">
                  <c:v>-0.386942479387516</c:v>
                </c:pt>
                <c:pt idx="3269">
                  <c:v>-0.368415907199609</c:v>
                </c:pt>
                <c:pt idx="3270">
                  <c:v>-0.374134758582647</c:v>
                </c:pt>
                <c:pt idx="3271">
                  <c:v>-0.353473985951131</c:v>
                </c:pt>
                <c:pt idx="3272">
                  <c:v>-0.350067530676169</c:v>
                </c:pt>
                <c:pt idx="3273">
                  <c:v>-0.348014207067806</c:v>
                </c:pt>
                <c:pt idx="3274">
                  <c:v>-0.352458137350196</c:v>
                </c:pt>
                <c:pt idx="3275">
                  <c:v>-0.362960868350584</c:v>
                </c:pt>
                <c:pt idx="3276">
                  <c:v>-0.354115816220575</c:v>
                </c:pt>
                <c:pt idx="3277">
                  <c:v>-0.370164091099904</c:v>
                </c:pt>
                <c:pt idx="3278">
                  <c:v>-0.356474427663077</c:v>
                </c:pt>
                <c:pt idx="3279">
                  <c:v>-0.368789777405027</c:v>
                </c:pt>
                <c:pt idx="3280">
                  <c:v>-0.377036548330723</c:v>
                </c:pt>
                <c:pt idx="3281">
                  <c:v>-0.375429972955142</c:v>
                </c:pt>
                <c:pt idx="3282">
                  <c:v>-0.373415162125467</c:v>
                </c:pt>
                <c:pt idx="3283">
                  <c:v>-0.344844753507848</c:v>
                </c:pt>
                <c:pt idx="3284">
                  <c:v>-0.332987705832286</c:v>
                </c:pt>
                <c:pt idx="3285">
                  <c:v>-0.365482714724294</c:v>
                </c:pt>
                <c:pt idx="3286">
                  <c:v>-0.344836754699966</c:v>
                </c:pt>
                <c:pt idx="3287">
                  <c:v>-0.345660483785676</c:v>
                </c:pt>
                <c:pt idx="3288">
                  <c:v>-0.348245283739934</c:v>
                </c:pt>
                <c:pt idx="3289">
                  <c:v>-0.349375781920502</c:v>
                </c:pt>
                <c:pt idx="3290">
                  <c:v>-0.30380287026852</c:v>
                </c:pt>
                <c:pt idx="3291">
                  <c:v>-0.317094370824141</c:v>
                </c:pt>
                <c:pt idx="3292">
                  <c:v>-0.309875594837273</c:v>
                </c:pt>
                <c:pt idx="3293">
                  <c:v>-0.313806268280609</c:v>
                </c:pt>
                <c:pt idx="3294">
                  <c:v>-0.366058777017825</c:v>
                </c:pt>
                <c:pt idx="3295">
                  <c:v>-0.365578996671015</c:v>
                </c:pt>
                <c:pt idx="3296">
                  <c:v>-0.382079944826001</c:v>
                </c:pt>
                <c:pt idx="3297">
                  <c:v>-0.370464194521528</c:v>
                </c:pt>
                <c:pt idx="3298">
                  <c:v>-0.360797635196888</c:v>
                </c:pt>
                <c:pt idx="3299">
                  <c:v>-0.36742657316554</c:v>
                </c:pt>
                <c:pt idx="3300">
                  <c:v>-0.389202883244364</c:v>
                </c:pt>
                <c:pt idx="3301">
                  <c:v>-0.383296652380401</c:v>
                </c:pt>
                <c:pt idx="3302">
                  <c:v>-0.382835832170791</c:v>
                </c:pt>
                <c:pt idx="3303">
                  <c:v>-0.384301391525944</c:v>
                </c:pt>
                <c:pt idx="3304">
                  <c:v>-0.414196343478291</c:v>
                </c:pt>
                <c:pt idx="3305">
                  <c:v>-0.409469048020399</c:v>
                </c:pt>
                <c:pt idx="3306">
                  <c:v>-0.406728419438525</c:v>
                </c:pt>
                <c:pt idx="3307">
                  <c:v>-0.408317812189769</c:v>
                </c:pt>
                <c:pt idx="3308">
                  <c:v>-0.380947224754355</c:v>
                </c:pt>
                <c:pt idx="3309">
                  <c:v>-0.375735557041425</c:v>
                </c:pt>
                <c:pt idx="3310">
                  <c:v>-0.377992850250763</c:v>
                </c:pt>
                <c:pt idx="3311">
                  <c:v>-0.359023677360085</c:v>
                </c:pt>
                <c:pt idx="3312">
                  <c:v>-0.363265859932579</c:v>
                </c:pt>
                <c:pt idx="3313">
                  <c:v>-0.368990488232421</c:v>
                </c:pt>
                <c:pt idx="3314">
                  <c:v>-0.361722682515761</c:v>
                </c:pt>
                <c:pt idx="3315">
                  <c:v>-0.360281860214611</c:v>
                </c:pt>
                <c:pt idx="3316">
                  <c:v>-0.363238900987497</c:v>
                </c:pt>
                <c:pt idx="3317">
                  <c:v>-0.369477230504609</c:v>
                </c:pt>
                <c:pt idx="3318">
                  <c:v>-0.368174165450305</c:v>
                </c:pt>
                <c:pt idx="3319">
                  <c:v>-0.361674837794545</c:v>
                </c:pt>
                <c:pt idx="3320">
                  <c:v>-0.342421855350151</c:v>
                </c:pt>
                <c:pt idx="3321">
                  <c:v>-0.328310476986689</c:v>
                </c:pt>
                <c:pt idx="3322">
                  <c:v>-0.301519654996604</c:v>
                </c:pt>
                <c:pt idx="3323">
                  <c:v>-0.291981224724137</c:v>
                </c:pt>
                <c:pt idx="3324">
                  <c:v>-0.284369174016435</c:v>
                </c:pt>
                <c:pt idx="3325">
                  <c:v>-0.259947332293883</c:v>
                </c:pt>
                <c:pt idx="3326">
                  <c:v>-0.263939774309192</c:v>
                </c:pt>
                <c:pt idx="3327">
                  <c:v>-0.232211317839149</c:v>
                </c:pt>
                <c:pt idx="3328">
                  <c:v>-0.230694506863125</c:v>
                </c:pt>
                <c:pt idx="3329">
                  <c:v>-0.227061566824263</c:v>
                </c:pt>
                <c:pt idx="3330">
                  <c:v>-0.234518529534709</c:v>
                </c:pt>
                <c:pt idx="3331">
                  <c:v>-0.227364040263036</c:v>
                </c:pt>
                <c:pt idx="3332">
                  <c:v>-0.233207317546452</c:v>
                </c:pt>
                <c:pt idx="3333">
                  <c:v>-0.225532017006058</c:v>
                </c:pt>
                <c:pt idx="3334">
                  <c:v>-0.232203467157339</c:v>
                </c:pt>
                <c:pt idx="3335">
                  <c:v>-0.240668575912982</c:v>
                </c:pt>
                <c:pt idx="3336">
                  <c:v>-0.248242558220212</c:v>
                </c:pt>
                <c:pt idx="3337">
                  <c:v>-0.236362995381725</c:v>
                </c:pt>
                <c:pt idx="3338">
                  <c:v>-0.233744570809151</c:v>
                </c:pt>
                <c:pt idx="3339">
                  <c:v>-0.191838964444706</c:v>
                </c:pt>
                <c:pt idx="3340">
                  <c:v>-0.154729087783361</c:v>
                </c:pt>
                <c:pt idx="3341">
                  <c:v>-0.0745173386010914</c:v>
                </c:pt>
                <c:pt idx="3342">
                  <c:v>-0.0928740101845562</c:v>
                </c:pt>
                <c:pt idx="3343">
                  <c:v>-0.0746790922715814</c:v>
                </c:pt>
                <c:pt idx="3344">
                  <c:v>-0.0812323378175045</c:v>
                </c:pt>
                <c:pt idx="3345">
                  <c:v>-0.0637068016233432</c:v>
                </c:pt>
                <c:pt idx="3346">
                  <c:v>0</c:v>
                </c:pt>
                <c:pt idx="3347">
                  <c:v>-0.0642069925997703</c:v>
                </c:pt>
                <c:pt idx="3348">
                  <c:v>-0.0320002413675581</c:v>
                </c:pt>
                <c:pt idx="3349">
                  <c:v>-0.0199599839537442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-0.0101183911457534</c:v>
                </c:pt>
                <c:pt idx="3355">
                  <c:v>0</c:v>
                </c:pt>
                <c:pt idx="3356">
                  <c:v>-0.0224618897684329</c:v>
                </c:pt>
                <c:pt idx="3357">
                  <c:v>-0.0493315319278869</c:v>
                </c:pt>
                <c:pt idx="3358">
                  <c:v>-0.103659610979599</c:v>
                </c:pt>
                <c:pt idx="3359">
                  <c:v>-0.0648218677050465</c:v>
                </c:pt>
                <c:pt idx="3360">
                  <c:v>-0.0756722985211183</c:v>
                </c:pt>
                <c:pt idx="3361">
                  <c:v>-0.15213065989881</c:v>
                </c:pt>
                <c:pt idx="3362">
                  <c:v>-0.0716314484240985</c:v>
                </c:pt>
                <c:pt idx="3363">
                  <c:v>-0.103878630581648</c:v>
                </c:pt>
                <c:pt idx="3364">
                  <c:v>-0.128402669932398</c:v>
                </c:pt>
                <c:pt idx="3365">
                  <c:v>-0.124024877124668</c:v>
                </c:pt>
                <c:pt idx="3366">
                  <c:v>-0.0793576008694025</c:v>
                </c:pt>
                <c:pt idx="3367">
                  <c:v>-0.0435580876647503</c:v>
                </c:pt>
                <c:pt idx="3368">
                  <c:v>-0.0427125160468453</c:v>
                </c:pt>
                <c:pt idx="3369">
                  <c:v>-0.0509753417581323</c:v>
                </c:pt>
                <c:pt idx="3370">
                  <c:v>-0.0318433433909979</c:v>
                </c:pt>
                <c:pt idx="3371">
                  <c:v>-0.0432969331236437</c:v>
                </c:pt>
                <c:pt idx="3372">
                  <c:v>-0.0471187636186142</c:v>
                </c:pt>
                <c:pt idx="3373">
                  <c:v>-0.025792191574982</c:v>
                </c:pt>
                <c:pt idx="3374">
                  <c:v>-0.0464626624247179</c:v>
                </c:pt>
                <c:pt idx="3375">
                  <c:v>-0.104239924003892</c:v>
                </c:pt>
                <c:pt idx="3376">
                  <c:v>-0.0973515454767322</c:v>
                </c:pt>
                <c:pt idx="3377">
                  <c:v>-0.0640582403355036</c:v>
                </c:pt>
                <c:pt idx="3378">
                  <c:v>-0.071407777562543</c:v>
                </c:pt>
                <c:pt idx="3379">
                  <c:v>-0.0568050115405957</c:v>
                </c:pt>
                <c:pt idx="3380">
                  <c:v>-0.0513514097693959</c:v>
                </c:pt>
                <c:pt idx="3381">
                  <c:v>-0.0203916688828549</c:v>
                </c:pt>
                <c:pt idx="3382">
                  <c:v>-0.054688825266955</c:v>
                </c:pt>
                <c:pt idx="3383">
                  <c:v>-0.0347983979967845</c:v>
                </c:pt>
                <c:pt idx="3384">
                  <c:v>-0.0423691436538762</c:v>
                </c:pt>
                <c:pt idx="3385">
                  <c:v>-0.0819608013737083</c:v>
                </c:pt>
                <c:pt idx="3386">
                  <c:v>-0.124003672853389</c:v>
                </c:pt>
                <c:pt idx="3387">
                  <c:v>-0.101989672015068</c:v>
                </c:pt>
                <c:pt idx="3388">
                  <c:v>-0.133233960541998</c:v>
                </c:pt>
                <c:pt idx="3389">
                  <c:v>-0.126657626807014</c:v>
                </c:pt>
                <c:pt idx="3390">
                  <c:v>-0.161845772990081</c:v>
                </c:pt>
                <c:pt idx="3391">
                  <c:v>-0.132029010726352</c:v>
                </c:pt>
                <c:pt idx="3392">
                  <c:v>-0.12670550741958</c:v>
                </c:pt>
                <c:pt idx="3393">
                  <c:v>-0.112075244245845</c:v>
                </c:pt>
                <c:pt idx="3394">
                  <c:v>-0.111463056413759</c:v>
                </c:pt>
                <c:pt idx="3395">
                  <c:v>-0.0857699093059117</c:v>
                </c:pt>
                <c:pt idx="3396">
                  <c:v>-0.0906473021053241</c:v>
                </c:pt>
                <c:pt idx="3397">
                  <c:v>-0.121753284062815</c:v>
                </c:pt>
                <c:pt idx="3398">
                  <c:v>-0.117489994319991</c:v>
                </c:pt>
                <c:pt idx="3399">
                  <c:v>-0.127925505427746</c:v>
                </c:pt>
                <c:pt idx="3400">
                  <c:v>-0.132054729455387</c:v>
                </c:pt>
                <c:pt idx="3401">
                  <c:v>-0.138268401750625</c:v>
                </c:pt>
                <c:pt idx="3402">
                  <c:v>-0.12714464103768</c:v>
                </c:pt>
                <c:pt idx="3403">
                  <c:v>-0.169739233975864</c:v>
                </c:pt>
                <c:pt idx="3404">
                  <c:v>-0.2027455290452</c:v>
                </c:pt>
                <c:pt idx="3405">
                  <c:v>-0.191895508634379</c:v>
                </c:pt>
                <c:pt idx="3406">
                  <c:v>-0.140120834249905</c:v>
                </c:pt>
                <c:pt idx="3407">
                  <c:v>-0.124547186206881</c:v>
                </c:pt>
                <c:pt idx="3408">
                  <c:v>-0.12366796135843</c:v>
                </c:pt>
                <c:pt idx="3409">
                  <c:v>-0.136156182727739</c:v>
                </c:pt>
                <c:pt idx="3410">
                  <c:v>-0.14712289503147</c:v>
                </c:pt>
                <c:pt idx="3411">
                  <c:v>-0.163363041201404</c:v>
                </c:pt>
                <c:pt idx="3412">
                  <c:v>-0.136936636712555</c:v>
                </c:pt>
                <c:pt idx="3413">
                  <c:v>-0.168230310671303</c:v>
                </c:pt>
                <c:pt idx="3414">
                  <c:v>-0.16838202381226</c:v>
                </c:pt>
                <c:pt idx="3415">
                  <c:v>-0.158756242263861</c:v>
                </c:pt>
                <c:pt idx="3416">
                  <c:v>-0.139393459344161</c:v>
                </c:pt>
                <c:pt idx="3417">
                  <c:v>-0.157873870975156</c:v>
                </c:pt>
                <c:pt idx="3418">
                  <c:v>-0.0930948222179175</c:v>
                </c:pt>
                <c:pt idx="3419">
                  <c:v>-0.106922332721556</c:v>
                </c:pt>
                <c:pt idx="3420">
                  <c:v>-0.0842323944355614</c:v>
                </c:pt>
                <c:pt idx="3421">
                  <c:v>-0.0836643935687854</c:v>
                </c:pt>
                <c:pt idx="3422">
                  <c:v>-0.0934544740191586</c:v>
                </c:pt>
                <c:pt idx="3423">
                  <c:v>-0.0223297392777523</c:v>
                </c:pt>
                <c:pt idx="3424">
                  <c:v>-0.0397722360300787</c:v>
                </c:pt>
                <c:pt idx="3425">
                  <c:v>-0.0540718493736121</c:v>
                </c:pt>
                <c:pt idx="3426">
                  <c:v>-0.0710638579625731</c:v>
                </c:pt>
                <c:pt idx="3427">
                  <c:v>-0.0619830945869189</c:v>
                </c:pt>
                <c:pt idx="3428">
                  <c:v>-0.0519009423998965</c:v>
                </c:pt>
                <c:pt idx="3429">
                  <c:v>-0.0632554876654069</c:v>
                </c:pt>
                <c:pt idx="3430">
                  <c:v>-0.0510906656335398</c:v>
                </c:pt>
                <c:pt idx="3431">
                  <c:v>-0.0649556598167292</c:v>
                </c:pt>
                <c:pt idx="3432">
                  <c:v>-0.0755817357624945</c:v>
                </c:pt>
                <c:pt idx="3433">
                  <c:v>-0.0648764516033712</c:v>
                </c:pt>
                <c:pt idx="3434">
                  <c:v>-0.0765056947832568</c:v>
                </c:pt>
                <c:pt idx="3435">
                  <c:v>-0.0735790949415089</c:v>
                </c:pt>
                <c:pt idx="3436">
                  <c:v>-0.0735533762124739</c:v>
                </c:pt>
                <c:pt idx="3437">
                  <c:v>-0.0588782420646775</c:v>
                </c:pt>
                <c:pt idx="3438">
                  <c:v>-0.0342267034827537</c:v>
                </c:pt>
                <c:pt idx="3439">
                  <c:v>-0.0264586897018926</c:v>
                </c:pt>
                <c:pt idx="3440">
                  <c:v>-0.0318444378049995</c:v>
                </c:pt>
                <c:pt idx="3441">
                  <c:v>-0.0521884996787895</c:v>
                </c:pt>
                <c:pt idx="3442">
                  <c:v>-0.0518831581723724</c:v>
                </c:pt>
                <c:pt idx="3443">
                  <c:v>-0.0471075458750988</c:v>
                </c:pt>
                <c:pt idx="3444">
                  <c:v>-0.0493561562429206</c:v>
                </c:pt>
                <c:pt idx="3445">
                  <c:v>-0.0790993191650496</c:v>
                </c:pt>
                <c:pt idx="3446">
                  <c:v>-0.0660410449027121</c:v>
                </c:pt>
                <c:pt idx="3447">
                  <c:v>-0.0866526909998675</c:v>
                </c:pt>
                <c:pt idx="3448">
                  <c:v>-0.0968017392427312</c:v>
                </c:pt>
                <c:pt idx="3449">
                  <c:v>-0.0949884320440041</c:v>
                </c:pt>
                <c:pt idx="3450">
                  <c:v>-0.0887140197716834</c:v>
                </c:pt>
                <c:pt idx="3451">
                  <c:v>-0.0900282741857286</c:v>
                </c:pt>
                <c:pt idx="3452">
                  <c:v>-0.109056713627971</c:v>
                </c:pt>
                <c:pt idx="3453">
                  <c:v>-0.11210835026939</c:v>
                </c:pt>
                <c:pt idx="3454">
                  <c:v>-0.11294284094553</c:v>
                </c:pt>
                <c:pt idx="3455">
                  <c:v>-0.122603096534976</c:v>
                </c:pt>
                <c:pt idx="3456">
                  <c:v>-0.120936167208949</c:v>
                </c:pt>
                <c:pt idx="3457">
                  <c:v>-0.135216491505706</c:v>
                </c:pt>
                <c:pt idx="3458">
                  <c:v>-0.175960840772612</c:v>
                </c:pt>
                <c:pt idx="3459">
                  <c:v>-0.154278173773244</c:v>
                </c:pt>
                <c:pt idx="3460">
                  <c:v>-0.168322925456179</c:v>
                </c:pt>
                <c:pt idx="3461">
                  <c:v>-0.15699149968645</c:v>
                </c:pt>
                <c:pt idx="3462">
                  <c:v>-0.17478065207375</c:v>
                </c:pt>
                <c:pt idx="3463">
                  <c:v>-0.167010859870137</c:v>
                </c:pt>
                <c:pt idx="3464">
                  <c:v>-0.142552622161227</c:v>
                </c:pt>
                <c:pt idx="3465">
                  <c:v>-0.139922745315634</c:v>
                </c:pt>
                <c:pt idx="3466">
                  <c:v>-0.151055671745842</c:v>
                </c:pt>
                <c:pt idx="3467">
                  <c:v>-0.176626654890772</c:v>
                </c:pt>
                <c:pt idx="3468">
                  <c:v>-0.217888114773385</c:v>
                </c:pt>
                <c:pt idx="3469">
                  <c:v>-0.225364330421098</c:v>
                </c:pt>
                <c:pt idx="3470">
                  <c:v>-0.203549376129298</c:v>
                </c:pt>
                <c:pt idx="3471">
                  <c:v>-0.235093944497888</c:v>
                </c:pt>
                <c:pt idx="3472">
                  <c:v>-0.224542972712976</c:v>
                </c:pt>
                <c:pt idx="3473">
                  <c:v>-0.20661045209148</c:v>
                </c:pt>
                <c:pt idx="3474">
                  <c:v>-0.211292491991625</c:v>
                </c:pt>
                <c:pt idx="3475">
                  <c:v>-0.214965618984143</c:v>
                </c:pt>
                <c:pt idx="3476">
                  <c:v>-0.207772993364568</c:v>
                </c:pt>
                <c:pt idx="3477">
                  <c:v>-0.189433077131016</c:v>
                </c:pt>
                <c:pt idx="3478">
                  <c:v>-0.168270940791108</c:v>
                </c:pt>
                <c:pt idx="3479">
                  <c:v>-0.113899905989837</c:v>
                </c:pt>
                <c:pt idx="3480">
                  <c:v>-0.110161934967731</c:v>
                </c:pt>
                <c:pt idx="3481">
                  <c:v>-0.122316496868334</c:v>
                </c:pt>
                <c:pt idx="3482">
                  <c:v>-0.124474407675782</c:v>
                </c:pt>
                <c:pt idx="3483">
                  <c:v>-0.0865574769817376</c:v>
                </c:pt>
                <c:pt idx="3484">
                  <c:v>-0.0804707567106729</c:v>
                </c:pt>
                <c:pt idx="3485">
                  <c:v>-0.0664697815877977</c:v>
                </c:pt>
                <c:pt idx="3486">
                  <c:v>-0.075417984067521</c:v>
                </c:pt>
                <c:pt idx="3487">
                  <c:v>-0.0981516989135751</c:v>
                </c:pt>
                <c:pt idx="3488">
                  <c:v>-0.104896709206539</c:v>
                </c:pt>
                <c:pt idx="3489">
                  <c:v>-0.0996227281333345</c:v>
                </c:pt>
                <c:pt idx="3490">
                  <c:v>-0.0707098150330896</c:v>
                </c:pt>
                <c:pt idx="3491">
                  <c:v>-0.0724091663739109</c:v>
                </c:pt>
                <c:pt idx="3492">
                  <c:v>-0.0659916594708946</c:v>
                </c:pt>
                <c:pt idx="3493">
                  <c:v>-0.0857827686704292</c:v>
                </c:pt>
                <c:pt idx="3494">
                  <c:v>-0.0943613328211476</c:v>
                </c:pt>
                <c:pt idx="3495">
                  <c:v>-0.116155219643418</c:v>
                </c:pt>
                <c:pt idx="3496">
                  <c:v>-0.106104531858939</c:v>
                </c:pt>
                <c:pt idx="3497">
                  <c:v>-0.159125333385865</c:v>
                </c:pt>
                <c:pt idx="3498">
                  <c:v>-0.170555803622729</c:v>
                </c:pt>
                <c:pt idx="3499">
                  <c:v>-0.204073053229014</c:v>
                </c:pt>
                <c:pt idx="3500">
                  <c:v>-0.260916232457912</c:v>
                </c:pt>
                <c:pt idx="3501">
                  <c:v>-0.232584863597711</c:v>
                </c:pt>
                <c:pt idx="3502">
                  <c:v>-0.246208949898821</c:v>
                </c:pt>
                <c:pt idx="3503">
                  <c:v>-0.156689851827288</c:v>
                </c:pt>
                <c:pt idx="3504">
                  <c:v>-0.167990223599725</c:v>
                </c:pt>
                <c:pt idx="3505">
                  <c:v>-0.166305920451424</c:v>
                </c:pt>
                <c:pt idx="3506">
                  <c:v>-0.1965229646362</c:v>
                </c:pt>
                <c:pt idx="3507">
                  <c:v>-0.188247005956895</c:v>
                </c:pt>
                <c:pt idx="3508">
                  <c:v>-0.171035977765885</c:v>
                </c:pt>
                <c:pt idx="3509">
                  <c:v>-0.195888888524084</c:v>
                </c:pt>
                <c:pt idx="3510">
                  <c:v>-0.213358472022948</c:v>
                </c:pt>
                <c:pt idx="3511">
                  <c:v>-0.194515125348708</c:v>
                </c:pt>
                <c:pt idx="3512">
                  <c:v>-0.186342178387293</c:v>
                </c:pt>
                <c:pt idx="3513">
                  <c:v>-0.200420446499024</c:v>
                </c:pt>
                <c:pt idx="3514">
                  <c:v>-0.186446694924436</c:v>
                </c:pt>
                <c:pt idx="3515">
                  <c:v>-0.192014799760542</c:v>
                </c:pt>
                <c:pt idx="3516">
                  <c:v>-0.162857148329213</c:v>
                </c:pt>
                <c:pt idx="3517">
                  <c:v>-0.174008816599196</c:v>
                </c:pt>
                <c:pt idx="3518">
                  <c:v>-0.122678474299329</c:v>
                </c:pt>
                <c:pt idx="3519">
                  <c:v>-0.122309109573824</c:v>
                </c:pt>
                <c:pt idx="3520">
                  <c:v>-0.120543956591163</c:v>
                </c:pt>
                <c:pt idx="3521">
                  <c:v>-0.140357638079478</c:v>
                </c:pt>
                <c:pt idx="3522">
                  <c:v>-0.187414430505258</c:v>
                </c:pt>
                <c:pt idx="3523">
                  <c:v>-0.192541349697011</c:v>
                </c:pt>
                <c:pt idx="3524">
                  <c:v>-0.187790635318272</c:v>
                </c:pt>
                <c:pt idx="3525">
                  <c:v>-0.191312049169832</c:v>
                </c:pt>
                <c:pt idx="3526">
                  <c:v>-0.193464487907272</c:v>
                </c:pt>
                <c:pt idx="3527">
                  <c:v>-0.215476299917591</c:v>
                </c:pt>
                <c:pt idx="3528">
                  <c:v>-0.190946241289833</c:v>
                </c:pt>
                <c:pt idx="3529">
                  <c:v>-0.213736865663965</c:v>
                </c:pt>
                <c:pt idx="3530">
                  <c:v>-0.206631793164509</c:v>
                </c:pt>
                <c:pt idx="3531">
                  <c:v>-0.231830675548931</c:v>
                </c:pt>
                <c:pt idx="3532">
                  <c:v>-0.262222825973946</c:v>
                </c:pt>
                <c:pt idx="3533">
                  <c:v>-0.258826722525557</c:v>
                </c:pt>
                <c:pt idx="3534">
                  <c:v>-0.219492662501327</c:v>
                </c:pt>
                <c:pt idx="3535">
                  <c:v>-0.21139823974452</c:v>
                </c:pt>
                <c:pt idx="3536">
                  <c:v>-0.215403794989992</c:v>
                </c:pt>
                <c:pt idx="3537">
                  <c:v>-0.204668277644077</c:v>
                </c:pt>
                <c:pt idx="3538">
                  <c:v>-0.171756375782369</c:v>
                </c:pt>
                <c:pt idx="3539">
                  <c:v>-0.179020548717292</c:v>
                </c:pt>
                <c:pt idx="3540">
                  <c:v>-0.191196178087424</c:v>
                </c:pt>
                <c:pt idx="3541">
                  <c:v>-0.203694112380996</c:v>
                </c:pt>
                <c:pt idx="3542">
                  <c:v>-0.174913076167931</c:v>
                </c:pt>
                <c:pt idx="3543">
                  <c:v>-0.154986806839212</c:v>
                </c:pt>
                <c:pt idx="3544">
                  <c:v>-0.138694265598956</c:v>
                </c:pt>
                <c:pt idx="3545">
                  <c:v>-0.135266697748024</c:v>
                </c:pt>
                <c:pt idx="3546">
                  <c:v>-0.133186627136433</c:v>
                </c:pt>
                <c:pt idx="3547">
                  <c:v>-0.130246483921417</c:v>
                </c:pt>
                <c:pt idx="3548">
                  <c:v>-0.133513172914129</c:v>
                </c:pt>
                <c:pt idx="3549">
                  <c:v>-0.120735068636174</c:v>
                </c:pt>
                <c:pt idx="3550">
                  <c:v>-0.136358375714515</c:v>
                </c:pt>
                <c:pt idx="3551">
                  <c:v>-0.108364359970276</c:v>
                </c:pt>
                <c:pt idx="3552">
                  <c:v>-0.0999949656955931</c:v>
                </c:pt>
                <c:pt idx="3553">
                  <c:v>-0.0990374902460351</c:v>
                </c:pt>
                <c:pt idx="3554">
                  <c:v>-0.102580381972375</c:v>
                </c:pt>
                <c:pt idx="3555">
                  <c:v>-0.134027821098332</c:v>
                </c:pt>
                <c:pt idx="3556">
                  <c:v>-0.16838216061401</c:v>
                </c:pt>
                <c:pt idx="3557">
                  <c:v>-0.170552246777224</c:v>
                </c:pt>
                <c:pt idx="3558">
                  <c:v>-0.168997905291601</c:v>
                </c:pt>
                <c:pt idx="3559">
                  <c:v>-0.150588220165453</c:v>
                </c:pt>
                <c:pt idx="3560">
                  <c:v>-0.15112749266469</c:v>
                </c:pt>
                <c:pt idx="3561">
                  <c:v>-0.140736442125746</c:v>
                </c:pt>
                <c:pt idx="3562">
                  <c:v>-0.149089283388656</c:v>
                </c:pt>
                <c:pt idx="3563">
                  <c:v>-0.150159893885618</c:v>
                </c:pt>
                <c:pt idx="3564">
                  <c:v>-0.171278527268966</c:v>
                </c:pt>
                <c:pt idx="3565">
                  <c:v>-0.175365479555799</c:v>
                </c:pt>
                <c:pt idx="3566">
                  <c:v>-0.144732558050455</c:v>
                </c:pt>
                <c:pt idx="3567">
                  <c:v>-0.135584351411958</c:v>
                </c:pt>
                <c:pt idx="3568">
                  <c:v>-0.140265296898102</c:v>
                </c:pt>
                <c:pt idx="3569">
                  <c:v>-0.0962103452766734</c:v>
                </c:pt>
                <c:pt idx="3570">
                  <c:v>-0.0826539758419052</c:v>
                </c:pt>
                <c:pt idx="3571">
                  <c:v>-0.0751047080595929</c:v>
                </c:pt>
                <c:pt idx="3572">
                  <c:v>-0.0779243289326945</c:v>
                </c:pt>
                <c:pt idx="3573">
                  <c:v>-0.0639188393520631</c:v>
                </c:pt>
                <c:pt idx="3574">
                  <c:v>-0.0647722086697289</c:v>
                </c:pt>
                <c:pt idx="3575">
                  <c:v>-0.055864636309811</c:v>
                </c:pt>
                <c:pt idx="3576">
                  <c:v>-0.0786928811652445</c:v>
                </c:pt>
                <c:pt idx="3577">
                  <c:v>-0.0782287128268604</c:v>
                </c:pt>
                <c:pt idx="3578">
                  <c:v>-0.0888851587611671</c:v>
                </c:pt>
                <c:pt idx="3579">
                  <c:v>-0.067602500079345</c:v>
                </c:pt>
                <c:pt idx="3580">
                  <c:v>-0.0893858531668511</c:v>
                </c:pt>
                <c:pt idx="3581">
                  <c:v>-0.0832564507497283</c:v>
                </c:pt>
                <c:pt idx="3582">
                  <c:v>-0.0705252694720875</c:v>
                </c:pt>
                <c:pt idx="3583">
                  <c:v>-0.0434206019058125</c:v>
                </c:pt>
                <c:pt idx="3584">
                  <c:v>-0.00511816387974129</c:v>
                </c:pt>
                <c:pt idx="3585">
                  <c:v>-0.0106099333392431</c:v>
                </c:pt>
                <c:pt idx="3586">
                  <c:v>-0.0396813996679547</c:v>
                </c:pt>
                <c:pt idx="3587">
                  <c:v>-0.0496753147261065</c:v>
                </c:pt>
                <c:pt idx="3588">
                  <c:v>-0.0511575616893811</c:v>
                </c:pt>
                <c:pt idx="3589">
                  <c:v>-0.0596496671339815</c:v>
                </c:pt>
                <c:pt idx="3590">
                  <c:v>-0.0723818060238736</c:v>
                </c:pt>
                <c:pt idx="3591">
                  <c:v>-0.0508594706757241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-0.0082831356687052</c:v>
                </c:pt>
                <c:pt idx="3599">
                  <c:v>0</c:v>
                </c:pt>
                <c:pt idx="3600">
                  <c:v>-0.034846799483103</c:v>
                </c:pt>
                <c:pt idx="3601">
                  <c:v>0</c:v>
                </c:pt>
                <c:pt idx="3602">
                  <c:v>-0.00463570835231375</c:v>
                </c:pt>
                <c:pt idx="3603">
                  <c:v>-0.0128672425025006</c:v>
                </c:pt>
                <c:pt idx="3604">
                  <c:v>-0.00590895772776934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-0.0125753314624742</c:v>
                </c:pt>
                <c:pt idx="3610">
                  <c:v>-0.0100566498858914</c:v>
                </c:pt>
                <c:pt idx="3611">
                  <c:v>-0.0608339208169977</c:v>
                </c:pt>
                <c:pt idx="3612">
                  <c:v>-0.0716441251684061</c:v>
                </c:pt>
                <c:pt idx="3613">
                  <c:v>-0.0310312557467112</c:v>
                </c:pt>
                <c:pt idx="3614">
                  <c:v>-0.033916010083613</c:v>
                </c:pt>
                <c:pt idx="3615">
                  <c:v>-0.0154858371245848</c:v>
                </c:pt>
                <c:pt idx="3616">
                  <c:v>-0.0258382738008138</c:v>
                </c:pt>
                <c:pt idx="3617">
                  <c:v>-0.017782047448483</c:v>
                </c:pt>
                <c:pt idx="3618">
                  <c:v>-0.0319229584980535</c:v>
                </c:pt>
                <c:pt idx="3619">
                  <c:v>-0.0313005843127168</c:v>
                </c:pt>
                <c:pt idx="3620">
                  <c:v>-0.0028052786783167</c:v>
                </c:pt>
                <c:pt idx="3621">
                  <c:v>-0.019993126920809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-0.0380546615324598</c:v>
                </c:pt>
                <c:pt idx="3626">
                  <c:v>-0.0446180424628657</c:v>
                </c:pt>
                <c:pt idx="3627">
                  <c:v>0</c:v>
                </c:pt>
                <c:pt idx="3628">
                  <c:v>-0.0115772289727951</c:v>
                </c:pt>
                <c:pt idx="3629">
                  <c:v>0</c:v>
                </c:pt>
                <c:pt idx="3630">
                  <c:v>-0.000283548796569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-0.0564012602957744</c:v>
                </c:pt>
                <c:pt idx="3635">
                  <c:v>-0.0825798809632721</c:v>
                </c:pt>
                <c:pt idx="3636">
                  <c:v>-0.0788790976642545</c:v>
                </c:pt>
                <c:pt idx="3637">
                  <c:v>-0.0839189993987959</c:v>
                </c:pt>
                <c:pt idx="3638">
                  <c:v>-0.1041035740697</c:v>
                </c:pt>
                <c:pt idx="3639">
                  <c:v>-0.107148601067356</c:v>
                </c:pt>
                <c:pt idx="3640">
                  <c:v>-0.0710640088813523</c:v>
                </c:pt>
                <c:pt idx="3641">
                  <c:v>-0.0639806159944804</c:v>
                </c:pt>
                <c:pt idx="3642">
                  <c:v>-0.0986225443174901</c:v>
                </c:pt>
                <c:pt idx="3643">
                  <c:v>-0.112732610939881</c:v>
                </c:pt>
                <c:pt idx="3644">
                  <c:v>-0.103697777749303</c:v>
                </c:pt>
                <c:pt idx="3645">
                  <c:v>-0.118466144555258</c:v>
                </c:pt>
                <c:pt idx="3646">
                  <c:v>-0.127347496852888</c:v>
                </c:pt>
                <c:pt idx="3647">
                  <c:v>-0.120436522648702</c:v>
                </c:pt>
                <c:pt idx="3648">
                  <c:v>-0.110738018856574</c:v>
                </c:pt>
                <c:pt idx="3649">
                  <c:v>-0.086998887004427</c:v>
                </c:pt>
                <c:pt idx="3650">
                  <c:v>-0.0753788099700209</c:v>
                </c:pt>
                <c:pt idx="3651">
                  <c:v>-0.0746878161892475</c:v>
                </c:pt>
                <c:pt idx="3652">
                  <c:v>-0.0734113526302188</c:v>
                </c:pt>
                <c:pt idx="3653">
                  <c:v>-0.036345293002939</c:v>
                </c:pt>
                <c:pt idx="3654">
                  <c:v>-0.0866334159278496</c:v>
                </c:pt>
                <c:pt idx="3655">
                  <c:v>-0.104585215766906</c:v>
                </c:pt>
                <c:pt idx="3656">
                  <c:v>-0.128037831108646</c:v>
                </c:pt>
                <c:pt idx="3657">
                  <c:v>-0.107745753860176</c:v>
                </c:pt>
                <c:pt idx="3658">
                  <c:v>-0.109028624233644</c:v>
                </c:pt>
                <c:pt idx="3659">
                  <c:v>-0.10955059117467</c:v>
                </c:pt>
                <c:pt idx="3660">
                  <c:v>-0.109580458236097</c:v>
                </c:pt>
                <c:pt idx="3661">
                  <c:v>-0.0904682712407804</c:v>
                </c:pt>
                <c:pt idx="3662">
                  <c:v>-0.0530141282506693</c:v>
                </c:pt>
                <c:pt idx="3663">
                  <c:v>-0.0579930710301847</c:v>
                </c:pt>
                <c:pt idx="3664">
                  <c:v>-0.019126131238506</c:v>
                </c:pt>
                <c:pt idx="3665">
                  <c:v>-0.0160357854504825</c:v>
                </c:pt>
                <c:pt idx="3666">
                  <c:v>-0.0464103984859567</c:v>
                </c:pt>
                <c:pt idx="3667">
                  <c:v>-0.0376076238830592</c:v>
                </c:pt>
                <c:pt idx="3668">
                  <c:v>0</c:v>
                </c:pt>
                <c:pt idx="3669">
                  <c:v>-0.0234755781078353</c:v>
                </c:pt>
                <c:pt idx="3670">
                  <c:v>-0.0210334925092733</c:v>
                </c:pt>
                <c:pt idx="3671">
                  <c:v>-0.0123304363651366</c:v>
                </c:pt>
                <c:pt idx="3672">
                  <c:v>-0.0134298223254382</c:v>
                </c:pt>
                <c:pt idx="3673">
                  <c:v>-0.0338760839139233</c:v>
                </c:pt>
                <c:pt idx="3674">
                  <c:v>-0.0385914521257966</c:v>
                </c:pt>
                <c:pt idx="3675">
                  <c:v>-0.0458675013371419</c:v>
                </c:pt>
                <c:pt idx="3676">
                  <c:v>-0.0227206745789298</c:v>
                </c:pt>
                <c:pt idx="3677">
                  <c:v>-0.0133442904556794</c:v>
                </c:pt>
                <c:pt idx="3678">
                  <c:v>-0.0353054457990758</c:v>
                </c:pt>
                <c:pt idx="3679">
                  <c:v>-0.0521425073987892</c:v>
                </c:pt>
                <c:pt idx="3680">
                  <c:v>-0.0799057943697045</c:v>
                </c:pt>
                <c:pt idx="3681">
                  <c:v>-0.0442642497696385</c:v>
                </c:pt>
                <c:pt idx="3682">
                  <c:v>-0.0787892643562134</c:v>
                </c:pt>
                <c:pt idx="3683">
                  <c:v>-0.0896853463371918</c:v>
                </c:pt>
                <c:pt idx="3684">
                  <c:v>-0.0903796804913674</c:v>
                </c:pt>
                <c:pt idx="3685">
                  <c:v>-0.0906391020434769</c:v>
                </c:pt>
                <c:pt idx="3686">
                  <c:v>-0.0912121090520035</c:v>
                </c:pt>
                <c:pt idx="3687">
                  <c:v>-0.0912161595700647</c:v>
                </c:pt>
                <c:pt idx="3688">
                  <c:v>-0.0820922263399349</c:v>
                </c:pt>
                <c:pt idx="3689">
                  <c:v>-0.0978264166498523</c:v>
                </c:pt>
                <c:pt idx="3690">
                  <c:v>-0.078153615614879</c:v>
                </c:pt>
                <c:pt idx="3691">
                  <c:v>-0.089808180652352</c:v>
                </c:pt>
                <c:pt idx="3692">
                  <c:v>-0.0814835182536126</c:v>
                </c:pt>
                <c:pt idx="3693">
                  <c:v>-0.0806554228053209</c:v>
                </c:pt>
                <c:pt idx="3694">
                  <c:v>-0.0945690465438436</c:v>
                </c:pt>
                <c:pt idx="3695">
                  <c:v>-0.0977536957209385</c:v>
                </c:pt>
                <c:pt idx="3696">
                  <c:v>-0.0993965104881101</c:v>
                </c:pt>
                <c:pt idx="3697">
                  <c:v>-0.089744691136694</c:v>
                </c:pt>
                <c:pt idx="3698">
                  <c:v>-0.0735881165712723</c:v>
                </c:pt>
                <c:pt idx="3699">
                  <c:v>-0.0942191006229697</c:v>
                </c:pt>
                <c:pt idx="3700">
                  <c:v>-0.0902148338260835</c:v>
                </c:pt>
                <c:pt idx="3701">
                  <c:v>-0.0931928123839597</c:v>
                </c:pt>
                <c:pt idx="3702">
                  <c:v>-0.137985513463451</c:v>
                </c:pt>
                <c:pt idx="3703">
                  <c:v>-0.165558049293109</c:v>
                </c:pt>
                <c:pt idx="3704">
                  <c:v>-0.207683060337836</c:v>
                </c:pt>
                <c:pt idx="3705">
                  <c:v>-0.202846835970786</c:v>
                </c:pt>
                <c:pt idx="3706">
                  <c:v>-0.205931446771577</c:v>
                </c:pt>
                <c:pt idx="3707">
                  <c:v>-0.189719672122809</c:v>
                </c:pt>
                <c:pt idx="3708">
                  <c:v>-0.112037141178264</c:v>
                </c:pt>
                <c:pt idx="3709">
                  <c:v>-0.188378856446437</c:v>
                </c:pt>
                <c:pt idx="3710">
                  <c:v>-0.178122002734382</c:v>
                </c:pt>
                <c:pt idx="3711">
                  <c:v>-0.146530128412726</c:v>
                </c:pt>
                <c:pt idx="3712">
                  <c:v>-0.15295330807694</c:v>
                </c:pt>
                <c:pt idx="3713">
                  <c:v>-0.182765780394475</c:v>
                </c:pt>
                <c:pt idx="3714">
                  <c:v>-0.187949407333849</c:v>
                </c:pt>
                <c:pt idx="3715">
                  <c:v>-0.239829196247223</c:v>
                </c:pt>
                <c:pt idx="3716">
                  <c:v>-0.260123798903647</c:v>
                </c:pt>
                <c:pt idx="3717">
                  <c:v>-0.2189611155918</c:v>
                </c:pt>
                <c:pt idx="3718">
                  <c:v>-0.211944111140187</c:v>
                </c:pt>
                <c:pt idx="3719">
                  <c:v>-0.236303738364416</c:v>
                </c:pt>
                <c:pt idx="3720">
                  <c:v>-0.208919787119842</c:v>
                </c:pt>
                <c:pt idx="3721">
                  <c:v>-0.205425320410108</c:v>
                </c:pt>
                <c:pt idx="3722">
                  <c:v>-0.2222763233278</c:v>
                </c:pt>
                <c:pt idx="3723">
                  <c:v>-0.208628620809904</c:v>
                </c:pt>
                <c:pt idx="3724">
                  <c:v>-0.220993439479514</c:v>
                </c:pt>
                <c:pt idx="3725">
                  <c:v>-0.181626171847844</c:v>
                </c:pt>
                <c:pt idx="3726">
                  <c:v>-0.207008225189211</c:v>
                </c:pt>
                <c:pt idx="3727">
                  <c:v>-0.208152355244375</c:v>
                </c:pt>
                <c:pt idx="3728">
                  <c:v>-0.21012985584112</c:v>
                </c:pt>
                <c:pt idx="3729">
                  <c:v>-0.189020910658194</c:v>
                </c:pt>
                <c:pt idx="3730">
                  <c:v>-0.175544177681721</c:v>
                </c:pt>
                <c:pt idx="3731">
                  <c:v>-0.176446030237965</c:v>
                </c:pt>
                <c:pt idx="3732">
                  <c:v>-0.181173550004022</c:v>
                </c:pt>
                <c:pt idx="3733">
                  <c:v>-0.178427958145149</c:v>
                </c:pt>
                <c:pt idx="3734">
                  <c:v>-0.205139523391553</c:v>
                </c:pt>
                <c:pt idx="3735">
                  <c:v>-0.221765204467326</c:v>
                </c:pt>
                <c:pt idx="3736">
                  <c:v>-0.223996286334324</c:v>
                </c:pt>
                <c:pt idx="3737">
                  <c:v>-0.222542432944615</c:v>
                </c:pt>
                <c:pt idx="3738">
                  <c:v>-0.197711344257675</c:v>
                </c:pt>
                <c:pt idx="3739">
                  <c:v>-0.222959165314453</c:v>
                </c:pt>
                <c:pt idx="3740">
                  <c:v>-0.216513660701855</c:v>
                </c:pt>
                <c:pt idx="3741">
                  <c:v>-0.210053272790334</c:v>
                </c:pt>
                <c:pt idx="3742">
                  <c:v>-0.213462396026498</c:v>
                </c:pt>
                <c:pt idx="3743">
                  <c:v>-0.261762468954663</c:v>
                </c:pt>
                <c:pt idx="3744">
                  <c:v>-0.254516186341163</c:v>
                </c:pt>
                <c:pt idx="3745">
                  <c:v>-0.281724081347214</c:v>
                </c:pt>
                <c:pt idx="3746">
                  <c:v>-0.221973193859867</c:v>
                </c:pt>
                <c:pt idx="3747">
                  <c:v>-0.250632116312793</c:v>
                </c:pt>
                <c:pt idx="3748">
                  <c:v>-0.214571861182906</c:v>
                </c:pt>
                <c:pt idx="3749">
                  <c:v>-0.196763334635151</c:v>
                </c:pt>
                <c:pt idx="3750">
                  <c:v>-0.211250436372672</c:v>
                </c:pt>
                <c:pt idx="3751">
                  <c:v>-0.203174927933748</c:v>
                </c:pt>
                <c:pt idx="3752">
                  <c:v>-0.212223408490225</c:v>
                </c:pt>
                <c:pt idx="3753">
                  <c:v>-0.20846546971032</c:v>
                </c:pt>
                <c:pt idx="3754">
                  <c:v>-0.199674432545969</c:v>
                </c:pt>
                <c:pt idx="3755">
                  <c:v>-0.204341948125863</c:v>
                </c:pt>
                <c:pt idx="3756">
                  <c:v>-0.198609805682519</c:v>
                </c:pt>
                <c:pt idx="3757">
                  <c:v>-0.197645688185845</c:v>
                </c:pt>
                <c:pt idx="3758">
                  <c:v>-0.17555877838636</c:v>
                </c:pt>
                <c:pt idx="3759">
                  <c:v>-0.11935049283501</c:v>
                </c:pt>
                <c:pt idx="3760">
                  <c:v>-0.116978396420623</c:v>
                </c:pt>
                <c:pt idx="3761">
                  <c:v>-0.114331053174259</c:v>
                </c:pt>
                <c:pt idx="3762">
                  <c:v>-0.107861245453293</c:v>
                </c:pt>
                <c:pt idx="3763">
                  <c:v>-0.108258290421391</c:v>
                </c:pt>
                <c:pt idx="3764">
                  <c:v>-0.116604900976137</c:v>
                </c:pt>
                <c:pt idx="3765">
                  <c:v>-0.104717101456811</c:v>
                </c:pt>
                <c:pt idx="3766">
                  <c:v>-0.111984296047278</c:v>
                </c:pt>
                <c:pt idx="3767">
                  <c:v>-0.112818420173615</c:v>
                </c:pt>
                <c:pt idx="3768">
                  <c:v>-0.0907530817377589</c:v>
                </c:pt>
                <c:pt idx="3769">
                  <c:v>-0.0869396602802243</c:v>
                </c:pt>
                <c:pt idx="3770">
                  <c:v>-0.0970045382757943</c:v>
                </c:pt>
                <c:pt idx="3771">
                  <c:v>-0.111970543125489</c:v>
                </c:pt>
                <c:pt idx="3772">
                  <c:v>-0.107623866255285</c:v>
                </c:pt>
                <c:pt idx="3773">
                  <c:v>-0.0877934718083001</c:v>
                </c:pt>
                <c:pt idx="3774">
                  <c:v>-0.085729120568474</c:v>
                </c:pt>
                <c:pt idx="3775">
                  <c:v>-0.0273717996903896</c:v>
                </c:pt>
                <c:pt idx="3776">
                  <c:v>-0.0298824615017097</c:v>
                </c:pt>
                <c:pt idx="3777">
                  <c:v>-0.0126043644237911</c:v>
                </c:pt>
                <c:pt idx="3778">
                  <c:v>-0.0190434635659669</c:v>
                </c:pt>
                <c:pt idx="3779">
                  <c:v>-0.0316416109155243</c:v>
                </c:pt>
                <c:pt idx="3780">
                  <c:v>-0.0191052575159246</c:v>
                </c:pt>
                <c:pt idx="3781">
                  <c:v>-0.0246222515115496</c:v>
                </c:pt>
                <c:pt idx="3782">
                  <c:v>-0.0223516064448829</c:v>
                </c:pt>
                <c:pt idx="3783">
                  <c:v>-0.025049439869871</c:v>
                </c:pt>
                <c:pt idx="3784">
                  <c:v>-0.0282423784792771</c:v>
                </c:pt>
                <c:pt idx="3785">
                  <c:v>0</c:v>
                </c:pt>
                <c:pt idx="3786">
                  <c:v>-0.00805158393462568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-0.0393199115702088</c:v>
                </c:pt>
                <c:pt idx="3791">
                  <c:v>-0.0351631850800371</c:v>
                </c:pt>
                <c:pt idx="3792">
                  <c:v>-0.0239329524671524</c:v>
                </c:pt>
                <c:pt idx="3793">
                  <c:v>-0.0202126643569563</c:v>
                </c:pt>
                <c:pt idx="3794">
                  <c:v>-0.0245614738584956</c:v>
                </c:pt>
                <c:pt idx="3795">
                  <c:v>-0.0349369102185567</c:v>
                </c:pt>
                <c:pt idx="3796">
                  <c:v>-0.0550466409953301</c:v>
                </c:pt>
                <c:pt idx="3797">
                  <c:v>-0.0688247034863962</c:v>
                </c:pt>
                <c:pt idx="3798">
                  <c:v>-0.0633413869163185</c:v>
                </c:pt>
                <c:pt idx="3799">
                  <c:v>-0.0539245754638746</c:v>
                </c:pt>
                <c:pt idx="3800">
                  <c:v>-0.052071771020581</c:v>
                </c:pt>
                <c:pt idx="3801">
                  <c:v>-0.0561633360791238</c:v>
                </c:pt>
                <c:pt idx="3802">
                  <c:v>-0.0623790922027991</c:v>
                </c:pt>
                <c:pt idx="3803">
                  <c:v>-0.0908709281825251</c:v>
                </c:pt>
                <c:pt idx="3804">
                  <c:v>-0.0655600978602973</c:v>
                </c:pt>
                <c:pt idx="3805">
                  <c:v>-0.0546309683463129</c:v>
                </c:pt>
                <c:pt idx="3806">
                  <c:v>-0.0531506939558207</c:v>
                </c:pt>
                <c:pt idx="3807">
                  <c:v>-0.0127224114956939</c:v>
                </c:pt>
                <c:pt idx="3808">
                  <c:v>-0.0127305566746474</c:v>
                </c:pt>
                <c:pt idx="3809">
                  <c:v>-0.0273280599714311</c:v>
                </c:pt>
                <c:pt idx="3810">
                  <c:v>-0.0537177237214374</c:v>
                </c:pt>
                <c:pt idx="3811">
                  <c:v>-0.0501584595336322</c:v>
                </c:pt>
                <c:pt idx="3812">
                  <c:v>-0.0560058029477134</c:v>
                </c:pt>
                <c:pt idx="3813">
                  <c:v>-0.0548079245967666</c:v>
                </c:pt>
                <c:pt idx="3814">
                  <c:v>-0.0435825253867773</c:v>
                </c:pt>
                <c:pt idx="3815">
                  <c:v>-0.0638375267728004</c:v>
                </c:pt>
                <c:pt idx="3816">
                  <c:v>-0.060927102169992</c:v>
                </c:pt>
                <c:pt idx="3817">
                  <c:v>-0.0631083989952609</c:v>
                </c:pt>
                <c:pt idx="3818">
                  <c:v>-0.0752286042931537</c:v>
                </c:pt>
                <c:pt idx="3819">
                  <c:v>-0.0855915096086707</c:v>
                </c:pt>
                <c:pt idx="3820">
                  <c:v>-0.0960026594456821</c:v>
                </c:pt>
                <c:pt idx="3821">
                  <c:v>-0.0564178057908284</c:v>
                </c:pt>
                <c:pt idx="3822">
                  <c:v>-0.0499588578955381</c:v>
                </c:pt>
                <c:pt idx="3823">
                  <c:v>-0.0386878993878853</c:v>
                </c:pt>
                <c:pt idx="3824">
                  <c:v>-0.042004866878686</c:v>
                </c:pt>
                <c:pt idx="3825">
                  <c:v>-0.0412553314000318</c:v>
                </c:pt>
                <c:pt idx="3826">
                  <c:v>-0.0391177142157451</c:v>
                </c:pt>
                <c:pt idx="3827">
                  <c:v>-0.0298604945663152</c:v>
                </c:pt>
                <c:pt idx="3828">
                  <c:v>-0.0407198082606972</c:v>
                </c:pt>
                <c:pt idx="3829">
                  <c:v>-0.053800697137811</c:v>
                </c:pt>
                <c:pt idx="3830">
                  <c:v>-0.0253682941122081</c:v>
                </c:pt>
                <c:pt idx="3831">
                  <c:v>-0.0187401771155737</c:v>
                </c:pt>
                <c:pt idx="3832">
                  <c:v>-0.0330634295517653</c:v>
                </c:pt>
                <c:pt idx="3833">
                  <c:v>-0.0311117193640352</c:v>
                </c:pt>
                <c:pt idx="3834">
                  <c:v>-0.0224175911519369</c:v>
                </c:pt>
                <c:pt idx="3835">
                  <c:v>-0.0309041515619097</c:v>
                </c:pt>
                <c:pt idx="3836">
                  <c:v>-0.0247442480939163</c:v>
                </c:pt>
                <c:pt idx="3837">
                  <c:v>-0.00393546404650869</c:v>
                </c:pt>
                <c:pt idx="3838">
                  <c:v>0</c:v>
                </c:pt>
                <c:pt idx="3839">
                  <c:v>0</c:v>
                </c:pt>
                <c:pt idx="3840">
                  <c:v>-0.000931348769235174</c:v>
                </c:pt>
                <c:pt idx="3841">
                  <c:v>0</c:v>
                </c:pt>
                <c:pt idx="3842">
                  <c:v>0</c:v>
                </c:pt>
                <c:pt idx="3843">
                  <c:v>-0.0173703116648067</c:v>
                </c:pt>
                <c:pt idx="3844">
                  <c:v>-0.00986145014199891</c:v>
                </c:pt>
                <c:pt idx="3845">
                  <c:v>-0.00492242397636455</c:v>
                </c:pt>
                <c:pt idx="3846">
                  <c:v>-0.0153562742217808</c:v>
                </c:pt>
                <c:pt idx="3847">
                  <c:v>-0.016264639230673</c:v>
                </c:pt>
                <c:pt idx="3848">
                  <c:v>-0.0212825883664038</c:v>
                </c:pt>
                <c:pt idx="3849">
                  <c:v>-0.0203140717069412</c:v>
                </c:pt>
                <c:pt idx="3850">
                  <c:v>0</c:v>
                </c:pt>
                <c:pt idx="3851">
                  <c:v>-0.0101309361722194</c:v>
                </c:pt>
                <c:pt idx="3852">
                  <c:v>-0.0135751778650067</c:v>
                </c:pt>
                <c:pt idx="3853">
                  <c:v>-0.019938526867668</c:v>
                </c:pt>
                <c:pt idx="3854">
                  <c:v>-0.0171361438589936</c:v>
                </c:pt>
                <c:pt idx="3855">
                  <c:v>-0.0046731377974949</c:v>
                </c:pt>
                <c:pt idx="3856">
                  <c:v>-0.0162949957184426</c:v>
                </c:pt>
                <c:pt idx="3857">
                  <c:v>-0.0174380773832961</c:v>
                </c:pt>
                <c:pt idx="3858">
                  <c:v>-0.0182982213416013</c:v>
                </c:pt>
                <c:pt idx="3859">
                  <c:v>-0.035536259433548</c:v>
                </c:pt>
                <c:pt idx="3860">
                  <c:v>-0.0564683175587508</c:v>
                </c:pt>
                <c:pt idx="3861">
                  <c:v>-0.0623502725483273</c:v>
                </c:pt>
                <c:pt idx="3862">
                  <c:v>-0.0484117580112778</c:v>
                </c:pt>
                <c:pt idx="3863">
                  <c:v>-0.0414456250548837</c:v>
                </c:pt>
                <c:pt idx="3864">
                  <c:v>-0.0492680694800362</c:v>
                </c:pt>
                <c:pt idx="3865">
                  <c:v>-0.0416374161622083</c:v>
                </c:pt>
                <c:pt idx="3866">
                  <c:v>-0.0209198108216507</c:v>
                </c:pt>
                <c:pt idx="3867">
                  <c:v>-0.0278491185523988</c:v>
                </c:pt>
                <c:pt idx="3868">
                  <c:v>-0.0294427676839816</c:v>
                </c:pt>
                <c:pt idx="3869">
                  <c:v>-0.00597410136868204</c:v>
                </c:pt>
                <c:pt idx="3870">
                  <c:v>-0.0110357369652448</c:v>
                </c:pt>
                <c:pt idx="3871">
                  <c:v>0</c:v>
                </c:pt>
                <c:pt idx="3872">
                  <c:v>0</c:v>
                </c:pt>
                <c:pt idx="3873">
                  <c:v>-0.04033408656852</c:v>
                </c:pt>
                <c:pt idx="3874">
                  <c:v>-0.048057712670863</c:v>
                </c:pt>
                <c:pt idx="3875">
                  <c:v>-0.0479059686235138</c:v>
                </c:pt>
                <c:pt idx="3876">
                  <c:v>-0.0476391195829827</c:v>
                </c:pt>
                <c:pt idx="3877">
                  <c:v>-0.0573812171185768</c:v>
                </c:pt>
                <c:pt idx="3878">
                  <c:v>-0.0851893675734482</c:v>
                </c:pt>
                <c:pt idx="3879">
                  <c:v>-0.0736804083925159</c:v>
                </c:pt>
                <c:pt idx="3880">
                  <c:v>-0.0882363264387334</c:v>
                </c:pt>
                <c:pt idx="3881">
                  <c:v>-0.0523399426566379</c:v>
                </c:pt>
                <c:pt idx="3882">
                  <c:v>-0.0647000303082796</c:v>
                </c:pt>
                <c:pt idx="3883">
                  <c:v>-0.0801489847699072</c:v>
                </c:pt>
                <c:pt idx="3884">
                  <c:v>-0.107306143534467</c:v>
                </c:pt>
                <c:pt idx="3885">
                  <c:v>-0.0938480190957564</c:v>
                </c:pt>
                <c:pt idx="3886">
                  <c:v>-0.0981831001065694</c:v>
                </c:pt>
                <c:pt idx="3887">
                  <c:v>-0.0874699055158231</c:v>
                </c:pt>
                <c:pt idx="3888">
                  <c:v>-0.121486916574738</c:v>
                </c:pt>
                <c:pt idx="3889">
                  <c:v>-0.117842384463161</c:v>
                </c:pt>
                <c:pt idx="3890">
                  <c:v>-0.122543693895942</c:v>
                </c:pt>
                <c:pt idx="3891">
                  <c:v>-0.114497692752836</c:v>
                </c:pt>
                <c:pt idx="3892">
                  <c:v>-0.0982258186498136</c:v>
                </c:pt>
                <c:pt idx="3893">
                  <c:v>-0.0941041682355126</c:v>
                </c:pt>
                <c:pt idx="3894">
                  <c:v>-0.102498888872047</c:v>
                </c:pt>
                <c:pt idx="3895">
                  <c:v>-0.102910429752598</c:v>
                </c:pt>
                <c:pt idx="3896">
                  <c:v>-0.106618269610426</c:v>
                </c:pt>
                <c:pt idx="3897">
                  <c:v>-0.0991849999063759</c:v>
                </c:pt>
                <c:pt idx="3898">
                  <c:v>-0.0915413798802794</c:v>
                </c:pt>
                <c:pt idx="3899">
                  <c:v>-0.0957828367593145</c:v>
                </c:pt>
                <c:pt idx="3900">
                  <c:v>-0.0760475993191945</c:v>
                </c:pt>
                <c:pt idx="3901">
                  <c:v>-0.0634344428022619</c:v>
                </c:pt>
                <c:pt idx="3902">
                  <c:v>-0.0588462118663035</c:v>
                </c:pt>
                <c:pt idx="3903">
                  <c:v>-0.0599622439410393</c:v>
                </c:pt>
                <c:pt idx="3904">
                  <c:v>-0.0652653417325393</c:v>
                </c:pt>
                <c:pt idx="3905">
                  <c:v>-0.0647226460076441</c:v>
                </c:pt>
                <c:pt idx="3906">
                  <c:v>-0.052956970267975</c:v>
                </c:pt>
                <c:pt idx="3907">
                  <c:v>-0.0557791501571386</c:v>
                </c:pt>
                <c:pt idx="3908">
                  <c:v>-0.0506432788451694</c:v>
                </c:pt>
                <c:pt idx="3909">
                  <c:v>-0.0622140866949733</c:v>
                </c:pt>
                <c:pt idx="3910">
                  <c:v>-0.0617127314957984</c:v>
                </c:pt>
                <c:pt idx="3911">
                  <c:v>-0.0655235984285089</c:v>
                </c:pt>
                <c:pt idx="3912">
                  <c:v>-0.0861588434315134</c:v>
                </c:pt>
                <c:pt idx="3913">
                  <c:v>-0.0919901272339792</c:v>
                </c:pt>
                <c:pt idx="3914">
                  <c:v>-0.0812013848589758</c:v>
                </c:pt>
                <c:pt idx="3915">
                  <c:v>-0.116158041749554</c:v>
                </c:pt>
                <c:pt idx="3916">
                  <c:v>-0.110795364965104</c:v>
                </c:pt>
                <c:pt idx="3917">
                  <c:v>-0.110926114510176</c:v>
                </c:pt>
                <c:pt idx="3918">
                  <c:v>-0.0905273211023201</c:v>
                </c:pt>
                <c:pt idx="3919">
                  <c:v>-0.0729584082697912</c:v>
                </c:pt>
                <c:pt idx="3920">
                  <c:v>-0.0753688040988402</c:v>
                </c:pt>
                <c:pt idx="3921">
                  <c:v>-0.0381440114236031</c:v>
                </c:pt>
                <c:pt idx="3922">
                  <c:v>-0.0222453368900236</c:v>
                </c:pt>
                <c:pt idx="3923">
                  <c:v>-0.00848883112743815</c:v>
                </c:pt>
                <c:pt idx="3924">
                  <c:v>-0.00735269620882262</c:v>
                </c:pt>
                <c:pt idx="3925">
                  <c:v>0</c:v>
                </c:pt>
                <c:pt idx="3926">
                  <c:v>0</c:v>
                </c:pt>
                <c:pt idx="3927">
                  <c:v>-0.0266688389977909</c:v>
                </c:pt>
                <c:pt idx="3928">
                  <c:v>-0.0110394403980946</c:v>
                </c:pt>
                <c:pt idx="3929">
                  <c:v>-0.0240986035208923</c:v>
                </c:pt>
                <c:pt idx="3930">
                  <c:v>-0.0941292617733037</c:v>
                </c:pt>
                <c:pt idx="3931">
                  <c:v>-0.111860086053498</c:v>
                </c:pt>
                <c:pt idx="3932">
                  <c:v>-0.0773901782784153</c:v>
                </c:pt>
                <c:pt idx="3933">
                  <c:v>-0.0757380787650169</c:v>
                </c:pt>
                <c:pt idx="3934">
                  <c:v>-0.0934259268093857</c:v>
                </c:pt>
                <c:pt idx="3935">
                  <c:v>-0.111577613518399</c:v>
                </c:pt>
                <c:pt idx="3936">
                  <c:v>-0.13247336495668</c:v>
                </c:pt>
                <c:pt idx="3937">
                  <c:v>-0.146382110532473</c:v>
                </c:pt>
                <c:pt idx="3938">
                  <c:v>-0.140403843518715</c:v>
                </c:pt>
                <c:pt idx="3939">
                  <c:v>-0.128634528727489</c:v>
                </c:pt>
                <c:pt idx="3940">
                  <c:v>-0.113470331844693</c:v>
                </c:pt>
                <c:pt idx="3941">
                  <c:v>-0.131156255579995</c:v>
                </c:pt>
                <c:pt idx="3942">
                  <c:v>-0.137380513436127</c:v>
                </c:pt>
                <c:pt idx="3943">
                  <c:v>-0.11709468779248</c:v>
                </c:pt>
                <c:pt idx="3944">
                  <c:v>-0.109669260180938</c:v>
                </c:pt>
                <c:pt idx="3945">
                  <c:v>-0.104665415170884</c:v>
                </c:pt>
                <c:pt idx="3946">
                  <c:v>-0.0815586326148418</c:v>
                </c:pt>
                <c:pt idx="3947">
                  <c:v>-0.0852551501526337</c:v>
                </c:pt>
                <c:pt idx="3948">
                  <c:v>-0.0947188219636468</c:v>
                </c:pt>
                <c:pt idx="3949">
                  <c:v>-0.117767394170418</c:v>
                </c:pt>
                <c:pt idx="3950">
                  <c:v>-0.131589946735927</c:v>
                </c:pt>
                <c:pt idx="3951">
                  <c:v>-0.121590835927075</c:v>
                </c:pt>
                <c:pt idx="3952">
                  <c:v>-0.117606072926984</c:v>
                </c:pt>
                <c:pt idx="3953">
                  <c:v>-0.113727307284656</c:v>
                </c:pt>
                <c:pt idx="3954">
                  <c:v>-0.145622970605618</c:v>
                </c:pt>
                <c:pt idx="3955">
                  <c:v>-0.186432995678563</c:v>
                </c:pt>
                <c:pt idx="3956">
                  <c:v>-0.195864515492251</c:v>
                </c:pt>
                <c:pt idx="3957">
                  <c:v>-0.17036621766389</c:v>
                </c:pt>
                <c:pt idx="3958">
                  <c:v>-0.186595118717442</c:v>
                </c:pt>
                <c:pt idx="3959">
                  <c:v>-0.175095608093291</c:v>
                </c:pt>
                <c:pt idx="3960">
                  <c:v>-0.183464107506658</c:v>
                </c:pt>
                <c:pt idx="3961">
                  <c:v>-0.146115994624443</c:v>
                </c:pt>
                <c:pt idx="3962">
                  <c:v>-0.149527473881714</c:v>
                </c:pt>
                <c:pt idx="3963">
                  <c:v>-0.176276011346688</c:v>
                </c:pt>
                <c:pt idx="3964">
                  <c:v>-0.182606106201495</c:v>
                </c:pt>
                <c:pt idx="3965">
                  <c:v>-0.206973070657662</c:v>
                </c:pt>
                <c:pt idx="3966">
                  <c:v>-0.23966355380276</c:v>
                </c:pt>
                <c:pt idx="3967">
                  <c:v>-0.237529735586304</c:v>
                </c:pt>
                <c:pt idx="3968">
                  <c:v>-0.236707093460244</c:v>
                </c:pt>
                <c:pt idx="3969">
                  <c:v>-0.263505181883689</c:v>
                </c:pt>
                <c:pt idx="3970">
                  <c:v>-0.260868798282618</c:v>
                </c:pt>
                <c:pt idx="3971">
                  <c:v>-0.264082795321908</c:v>
                </c:pt>
                <c:pt idx="3972">
                  <c:v>-0.300722121031183</c:v>
                </c:pt>
                <c:pt idx="3973">
                  <c:v>-0.319868996245914</c:v>
                </c:pt>
                <c:pt idx="3974">
                  <c:v>-0.3174001077132</c:v>
                </c:pt>
                <c:pt idx="3975">
                  <c:v>-0.306452953970768</c:v>
                </c:pt>
                <c:pt idx="3976">
                  <c:v>-0.294571387817312</c:v>
                </c:pt>
                <c:pt idx="3977">
                  <c:v>-0.299502429801005</c:v>
                </c:pt>
                <c:pt idx="3978">
                  <c:v>-0.27328844935888</c:v>
                </c:pt>
                <c:pt idx="3979">
                  <c:v>-0.269612457784468</c:v>
                </c:pt>
                <c:pt idx="3980">
                  <c:v>-0.271009345807881</c:v>
                </c:pt>
                <c:pt idx="3981">
                  <c:v>-0.270793101576498</c:v>
                </c:pt>
                <c:pt idx="3982">
                  <c:v>-0.29885481962048</c:v>
                </c:pt>
                <c:pt idx="3983">
                  <c:v>-0.305418637847359</c:v>
                </c:pt>
                <c:pt idx="3984">
                  <c:v>-0.266094580271711</c:v>
                </c:pt>
                <c:pt idx="3985">
                  <c:v>-0.253127302906853</c:v>
                </c:pt>
                <c:pt idx="3986">
                  <c:v>-0.259515367572297</c:v>
                </c:pt>
                <c:pt idx="3987">
                  <c:v>-0.283618380968134</c:v>
                </c:pt>
                <c:pt idx="3988">
                  <c:v>-0.282549747999701</c:v>
                </c:pt>
                <c:pt idx="3989">
                  <c:v>-0.274892922222875</c:v>
                </c:pt>
                <c:pt idx="3990">
                  <c:v>-0.275671064701765</c:v>
                </c:pt>
                <c:pt idx="3991">
                  <c:v>-0.260395257893095</c:v>
                </c:pt>
                <c:pt idx="3992">
                  <c:v>-0.268802884924153</c:v>
                </c:pt>
                <c:pt idx="3993">
                  <c:v>-0.264075338624275</c:v>
                </c:pt>
                <c:pt idx="3994">
                  <c:v>-0.27557781589157</c:v>
                </c:pt>
                <c:pt idx="3995">
                  <c:v>-0.275770166618706</c:v>
                </c:pt>
                <c:pt idx="3996">
                  <c:v>-0.290731669613131</c:v>
                </c:pt>
                <c:pt idx="3997">
                  <c:v>-0.3108568154497</c:v>
                </c:pt>
                <c:pt idx="3998">
                  <c:v>-0.297628232949479</c:v>
                </c:pt>
                <c:pt idx="3999">
                  <c:v>-0.309940042538456</c:v>
                </c:pt>
                <c:pt idx="4000">
                  <c:v>-0.315649547719217</c:v>
                </c:pt>
                <c:pt idx="4001">
                  <c:v>-0.294290999950369</c:v>
                </c:pt>
                <c:pt idx="4002">
                  <c:v>-0.291835100503856</c:v>
                </c:pt>
                <c:pt idx="4003">
                  <c:v>-0.288679153454748</c:v>
                </c:pt>
                <c:pt idx="4004">
                  <c:v>-0.287701203551088</c:v>
                </c:pt>
                <c:pt idx="4005">
                  <c:v>-0.297669365055782</c:v>
                </c:pt>
                <c:pt idx="4006">
                  <c:v>-0.298300698788784</c:v>
                </c:pt>
                <c:pt idx="4007">
                  <c:v>-0.301160302241604</c:v>
                </c:pt>
                <c:pt idx="4008">
                  <c:v>-0.300187724367421</c:v>
                </c:pt>
                <c:pt idx="4009">
                  <c:v>-0.29566551788088</c:v>
                </c:pt>
                <c:pt idx="4010">
                  <c:v>-0.29418363954035</c:v>
                </c:pt>
                <c:pt idx="4011">
                  <c:v>-0.30199513165842</c:v>
                </c:pt>
                <c:pt idx="4012">
                  <c:v>-0.292934602596903</c:v>
                </c:pt>
                <c:pt idx="4013">
                  <c:v>-0.296857466988678</c:v>
                </c:pt>
                <c:pt idx="4014">
                  <c:v>-0.289265426283769</c:v>
                </c:pt>
                <c:pt idx="4015">
                  <c:v>-0.277486008869942</c:v>
                </c:pt>
                <c:pt idx="4016">
                  <c:v>-0.267543985896739</c:v>
                </c:pt>
                <c:pt idx="4017">
                  <c:v>-0.25920210609213</c:v>
                </c:pt>
                <c:pt idx="4018">
                  <c:v>-0.247178702324541</c:v>
                </c:pt>
                <c:pt idx="4019">
                  <c:v>-0.256158410405252</c:v>
                </c:pt>
                <c:pt idx="4020">
                  <c:v>-0.267336000158435</c:v>
                </c:pt>
                <c:pt idx="4021">
                  <c:v>-0.268389479192967</c:v>
                </c:pt>
                <c:pt idx="4022">
                  <c:v>-0.274567473451952</c:v>
                </c:pt>
                <c:pt idx="4023">
                  <c:v>-0.274295664796265</c:v>
                </c:pt>
                <c:pt idx="4024">
                  <c:v>-0.266052085113152</c:v>
                </c:pt>
                <c:pt idx="4025">
                  <c:v>-0.268009027254551</c:v>
                </c:pt>
                <c:pt idx="4026">
                  <c:v>-0.236508729267274</c:v>
                </c:pt>
                <c:pt idx="4027">
                  <c:v>-0.223437779751442</c:v>
                </c:pt>
                <c:pt idx="4028">
                  <c:v>-0.233724173868059</c:v>
                </c:pt>
                <c:pt idx="4029">
                  <c:v>-0.234543849350975</c:v>
                </c:pt>
                <c:pt idx="4030">
                  <c:v>-0.238169488171473</c:v>
                </c:pt>
                <c:pt idx="4031">
                  <c:v>-0.257339054197283</c:v>
                </c:pt>
                <c:pt idx="4032">
                  <c:v>-0.25776023734428</c:v>
                </c:pt>
                <c:pt idx="4033">
                  <c:v>-0.287075402206653</c:v>
                </c:pt>
                <c:pt idx="4034">
                  <c:v>-0.278893480593223</c:v>
                </c:pt>
                <c:pt idx="4035">
                  <c:v>-0.282214036247087</c:v>
                </c:pt>
                <c:pt idx="4036">
                  <c:v>-0.283467563245023</c:v>
                </c:pt>
                <c:pt idx="4037">
                  <c:v>-0.285158229119302</c:v>
                </c:pt>
                <c:pt idx="4038">
                  <c:v>-0.302607222300754</c:v>
                </c:pt>
                <c:pt idx="4039">
                  <c:v>-0.293325718414732</c:v>
                </c:pt>
                <c:pt idx="4040">
                  <c:v>-0.284028739876631</c:v>
                </c:pt>
                <c:pt idx="4041">
                  <c:v>-0.286691021470558</c:v>
                </c:pt>
                <c:pt idx="4042">
                  <c:v>-0.326941152784607</c:v>
                </c:pt>
                <c:pt idx="4043">
                  <c:v>-0.32660391762065</c:v>
                </c:pt>
                <c:pt idx="4044">
                  <c:v>-0.368768095019816</c:v>
                </c:pt>
                <c:pt idx="4045">
                  <c:v>-0.375951941663929</c:v>
                </c:pt>
                <c:pt idx="4046">
                  <c:v>-0.367077429145537</c:v>
                </c:pt>
                <c:pt idx="4047">
                  <c:v>-0.388117984841095</c:v>
                </c:pt>
                <c:pt idx="4048">
                  <c:v>-0.415861630632242</c:v>
                </c:pt>
                <c:pt idx="4049">
                  <c:v>-0.48808576068218</c:v>
                </c:pt>
                <c:pt idx="4050">
                  <c:v>-0.439254734341516</c:v>
                </c:pt>
                <c:pt idx="4051">
                  <c:v>-0.445157632583492</c:v>
                </c:pt>
                <c:pt idx="4052">
                  <c:v>-0.434911248059555</c:v>
                </c:pt>
                <c:pt idx="4053">
                  <c:v>-0.438849025846598</c:v>
                </c:pt>
                <c:pt idx="4054">
                  <c:v>-0.445005211269492</c:v>
                </c:pt>
                <c:pt idx="4055">
                  <c:v>-0.458955409669765</c:v>
                </c:pt>
                <c:pt idx="4056">
                  <c:v>-0.470799050898696</c:v>
                </c:pt>
                <c:pt idx="4057">
                  <c:v>-0.447000238694504</c:v>
                </c:pt>
                <c:pt idx="4058">
                  <c:v>-0.440335314062073</c:v>
                </c:pt>
                <c:pt idx="4059">
                  <c:v>-0.44745293240247</c:v>
                </c:pt>
                <c:pt idx="4060">
                  <c:v>-0.448282309610264</c:v>
                </c:pt>
                <c:pt idx="4061">
                  <c:v>-0.461262656240867</c:v>
                </c:pt>
                <c:pt idx="4062">
                  <c:v>-0.466538550445241</c:v>
                </c:pt>
                <c:pt idx="4063">
                  <c:v>-0.461078884724987</c:v>
                </c:pt>
                <c:pt idx="4064">
                  <c:v>-0.455698596753739</c:v>
                </c:pt>
                <c:pt idx="4065">
                  <c:v>-0.455023805707645</c:v>
                </c:pt>
                <c:pt idx="4066">
                  <c:v>-0.468899517311124</c:v>
                </c:pt>
                <c:pt idx="4067">
                  <c:v>-0.480885637590544</c:v>
                </c:pt>
                <c:pt idx="4068">
                  <c:v>-0.484525628549498</c:v>
                </c:pt>
                <c:pt idx="4069">
                  <c:v>-0.451184889298909</c:v>
                </c:pt>
                <c:pt idx="4070">
                  <c:v>-0.462244935839928</c:v>
                </c:pt>
                <c:pt idx="4071">
                  <c:v>-0.471215904350294</c:v>
                </c:pt>
                <c:pt idx="4072">
                  <c:v>-0.465359911141822</c:v>
                </c:pt>
                <c:pt idx="4073">
                  <c:v>-0.467012171014309</c:v>
                </c:pt>
                <c:pt idx="4074">
                  <c:v>-0.446625479503743</c:v>
                </c:pt>
                <c:pt idx="4075">
                  <c:v>-0.452992617308086</c:v>
                </c:pt>
                <c:pt idx="4076">
                  <c:v>-0.416480055458587</c:v>
                </c:pt>
                <c:pt idx="4077">
                  <c:v>-0.431082113555242</c:v>
                </c:pt>
                <c:pt idx="4078">
                  <c:v>-0.451972813682222</c:v>
                </c:pt>
                <c:pt idx="4079">
                  <c:v>-0.461242611354755</c:v>
                </c:pt>
                <c:pt idx="4080">
                  <c:v>-0.470372896619943</c:v>
                </c:pt>
                <c:pt idx="4081">
                  <c:v>-0.450926149908968</c:v>
                </c:pt>
                <c:pt idx="4082">
                  <c:v>-0.43996231882129</c:v>
                </c:pt>
                <c:pt idx="4083">
                  <c:v>-0.437053645487267</c:v>
                </c:pt>
                <c:pt idx="4084">
                  <c:v>-0.434729881930008</c:v>
                </c:pt>
                <c:pt idx="4085">
                  <c:v>-0.432017889018521</c:v>
                </c:pt>
                <c:pt idx="4086">
                  <c:v>-0.429774866262524</c:v>
                </c:pt>
                <c:pt idx="4087">
                  <c:v>-0.415064004524051</c:v>
                </c:pt>
                <c:pt idx="4088">
                  <c:v>-0.400589431903072</c:v>
                </c:pt>
                <c:pt idx="4089">
                  <c:v>-0.407911347722729</c:v>
                </c:pt>
                <c:pt idx="4090">
                  <c:v>-0.429081954639385</c:v>
                </c:pt>
                <c:pt idx="4091">
                  <c:v>-0.439874121322395</c:v>
                </c:pt>
                <c:pt idx="4092">
                  <c:v>-0.434245196583806</c:v>
                </c:pt>
                <c:pt idx="4093">
                  <c:v>-0.451582499659838</c:v>
                </c:pt>
                <c:pt idx="4094">
                  <c:v>-0.454957817942562</c:v>
                </c:pt>
                <c:pt idx="4095">
                  <c:v>-0.431478922120726</c:v>
                </c:pt>
                <c:pt idx="4096">
                  <c:v>-0.434289696230976</c:v>
                </c:pt>
                <c:pt idx="4097">
                  <c:v>-0.428499770967131</c:v>
                </c:pt>
                <c:pt idx="4098">
                  <c:v>-0.448667812859981</c:v>
                </c:pt>
                <c:pt idx="4099">
                  <c:v>-0.467687844035392</c:v>
                </c:pt>
                <c:pt idx="4100">
                  <c:v>-0.467671647767413</c:v>
                </c:pt>
                <c:pt idx="4101">
                  <c:v>-0.471915150157445</c:v>
                </c:pt>
                <c:pt idx="4102">
                  <c:v>-0.465332569917164</c:v>
                </c:pt>
                <c:pt idx="4103">
                  <c:v>-0.453705012560526</c:v>
                </c:pt>
                <c:pt idx="4104">
                  <c:v>-0.453972090623091</c:v>
                </c:pt>
                <c:pt idx="4105">
                  <c:v>-0.463117850540358</c:v>
                </c:pt>
                <c:pt idx="4106">
                  <c:v>-0.463506560971853</c:v>
                </c:pt>
                <c:pt idx="4107">
                  <c:v>-0.460518670247913</c:v>
                </c:pt>
                <c:pt idx="4108">
                  <c:v>-0.444523733105067</c:v>
                </c:pt>
                <c:pt idx="4109">
                  <c:v>-0.447490296070184</c:v>
                </c:pt>
                <c:pt idx="4110">
                  <c:v>-0.42373325740865</c:v>
                </c:pt>
                <c:pt idx="4111">
                  <c:v>-0.430597107490862</c:v>
                </c:pt>
                <c:pt idx="4112">
                  <c:v>-0.424321053649015</c:v>
                </c:pt>
                <c:pt idx="4113">
                  <c:v>-0.415448946516957</c:v>
                </c:pt>
                <c:pt idx="4114">
                  <c:v>-0.414705441601269</c:v>
                </c:pt>
                <c:pt idx="4115">
                  <c:v>-0.433441236291603</c:v>
                </c:pt>
                <c:pt idx="4116">
                  <c:v>-0.40262150227762</c:v>
                </c:pt>
                <c:pt idx="4117">
                  <c:v>-0.403576360472479</c:v>
                </c:pt>
                <c:pt idx="4118">
                  <c:v>-0.400858193736069</c:v>
                </c:pt>
                <c:pt idx="4119">
                  <c:v>-0.397653417344391</c:v>
                </c:pt>
                <c:pt idx="4120">
                  <c:v>-0.392745627428588</c:v>
                </c:pt>
                <c:pt idx="4121">
                  <c:v>-0.408089426490953</c:v>
                </c:pt>
                <c:pt idx="4122">
                  <c:v>-0.405056234324398</c:v>
                </c:pt>
                <c:pt idx="4123">
                  <c:v>-0.391800791676786</c:v>
                </c:pt>
                <c:pt idx="4124">
                  <c:v>-0.387155509589514</c:v>
                </c:pt>
                <c:pt idx="4125">
                  <c:v>-0.371261197774954</c:v>
                </c:pt>
                <c:pt idx="4126">
                  <c:v>-0.372345786472733</c:v>
                </c:pt>
                <c:pt idx="4127">
                  <c:v>-0.378688629875107</c:v>
                </c:pt>
                <c:pt idx="4128">
                  <c:v>-0.37740174818668</c:v>
                </c:pt>
                <c:pt idx="4129">
                  <c:v>-0.368037659369874</c:v>
                </c:pt>
                <c:pt idx="4130">
                  <c:v>-0.380192317051728</c:v>
                </c:pt>
                <c:pt idx="4131">
                  <c:v>-0.387733042848189</c:v>
                </c:pt>
                <c:pt idx="4132">
                  <c:v>-0.392283953611644</c:v>
                </c:pt>
                <c:pt idx="4133">
                  <c:v>-0.387090884876687</c:v>
                </c:pt>
                <c:pt idx="4134">
                  <c:v>-0.372313153398141</c:v>
                </c:pt>
                <c:pt idx="4135">
                  <c:v>-0.368946414326673</c:v>
                </c:pt>
                <c:pt idx="4136">
                  <c:v>-0.370620162317073</c:v>
                </c:pt>
                <c:pt idx="4137">
                  <c:v>-0.359155449615214</c:v>
                </c:pt>
                <c:pt idx="4138">
                  <c:v>-0.350319102559981</c:v>
                </c:pt>
                <c:pt idx="4139">
                  <c:v>-0.346725054479996</c:v>
                </c:pt>
                <c:pt idx="4140">
                  <c:v>-0.358185196947821</c:v>
                </c:pt>
                <c:pt idx="4141">
                  <c:v>-0.357358786383172</c:v>
                </c:pt>
                <c:pt idx="4142">
                  <c:v>-0.353387092648827</c:v>
                </c:pt>
                <c:pt idx="4143">
                  <c:v>-0.341695632195262</c:v>
                </c:pt>
                <c:pt idx="4144">
                  <c:v>-0.344658506901334</c:v>
                </c:pt>
                <c:pt idx="4145">
                  <c:v>-0.355238037432462</c:v>
                </c:pt>
                <c:pt idx="4146">
                  <c:v>-0.36360188643225</c:v>
                </c:pt>
                <c:pt idx="4147">
                  <c:v>-0.365440002488773</c:v>
                </c:pt>
                <c:pt idx="4148">
                  <c:v>-0.366373132027086</c:v>
                </c:pt>
                <c:pt idx="4149">
                  <c:v>-0.373127617210667</c:v>
                </c:pt>
                <c:pt idx="4150">
                  <c:v>-0.380460036550647</c:v>
                </c:pt>
                <c:pt idx="4151">
                  <c:v>-0.383001247032455</c:v>
                </c:pt>
                <c:pt idx="4152">
                  <c:v>-0.384227272446644</c:v>
                </c:pt>
                <c:pt idx="4153">
                  <c:v>-0.37865174728466</c:v>
                </c:pt>
                <c:pt idx="4154">
                  <c:v>-0.379000929200741</c:v>
                </c:pt>
                <c:pt idx="4155">
                  <c:v>-0.394817306498095</c:v>
                </c:pt>
                <c:pt idx="4156">
                  <c:v>-0.385600266965811</c:v>
                </c:pt>
                <c:pt idx="4157">
                  <c:v>-0.381990664054203</c:v>
                </c:pt>
                <c:pt idx="4158">
                  <c:v>-0.381039333759301</c:v>
                </c:pt>
                <c:pt idx="4159">
                  <c:v>-0.391962193099764</c:v>
                </c:pt>
                <c:pt idx="4160">
                  <c:v>-0.403282181723891</c:v>
                </c:pt>
                <c:pt idx="4161">
                  <c:v>-0.406470120411234</c:v>
                </c:pt>
                <c:pt idx="4162">
                  <c:v>-0.40749393301432</c:v>
                </c:pt>
                <c:pt idx="4163">
                  <c:v>-0.408609230477624</c:v>
                </c:pt>
                <c:pt idx="4164">
                  <c:v>-0.409170166570598</c:v>
                </c:pt>
                <c:pt idx="4165">
                  <c:v>-0.42861146107255</c:v>
                </c:pt>
                <c:pt idx="4166">
                  <c:v>-0.465514978380789</c:v>
                </c:pt>
                <c:pt idx="4167">
                  <c:v>-0.484788777814384</c:v>
                </c:pt>
                <c:pt idx="4168">
                  <c:v>-0.488914255914985</c:v>
                </c:pt>
                <c:pt idx="4169">
                  <c:v>-0.50872132949872</c:v>
                </c:pt>
                <c:pt idx="4170">
                  <c:v>-0.511853783941304</c:v>
                </c:pt>
                <c:pt idx="4171">
                  <c:v>-0.493130737798538</c:v>
                </c:pt>
                <c:pt idx="4172">
                  <c:v>-0.494469094754502</c:v>
                </c:pt>
                <c:pt idx="4173">
                  <c:v>-0.504875758187795</c:v>
                </c:pt>
                <c:pt idx="4174">
                  <c:v>-0.506334384460435</c:v>
                </c:pt>
                <c:pt idx="4175">
                  <c:v>-0.490998442993426</c:v>
                </c:pt>
                <c:pt idx="4176">
                  <c:v>-0.490419225964317</c:v>
                </c:pt>
                <c:pt idx="4177">
                  <c:v>-0.483852040196571</c:v>
                </c:pt>
                <c:pt idx="4178">
                  <c:v>-0.473981777915651</c:v>
                </c:pt>
                <c:pt idx="4179">
                  <c:v>-0.468955322274062</c:v>
                </c:pt>
                <c:pt idx="4180">
                  <c:v>-0.473387727670819</c:v>
                </c:pt>
                <c:pt idx="4181">
                  <c:v>-0.482601720380414</c:v>
                </c:pt>
                <c:pt idx="4182">
                  <c:v>-0.49604983447334</c:v>
                </c:pt>
                <c:pt idx="4183">
                  <c:v>-0.490677404097447</c:v>
                </c:pt>
                <c:pt idx="4184">
                  <c:v>-0.485407683717996</c:v>
                </c:pt>
                <c:pt idx="4185">
                  <c:v>-0.492293743534021</c:v>
                </c:pt>
                <c:pt idx="4186">
                  <c:v>-0.487388840081818</c:v>
                </c:pt>
                <c:pt idx="4187">
                  <c:v>-0.497354516020635</c:v>
                </c:pt>
                <c:pt idx="4188">
                  <c:v>-0.511305676575442</c:v>
                </c:pt>
                <c:pt idx="4189">
                  <c:v>-0.520696705719183</c:v>
                </c:pt>
                <c:pt idx="4190">
                  <c:v>-0.518956087988711</c:v>
                </c:pt>
                <c:pt idx="4191">
                  <c:v>-0.519206087808307</c:v>
                </c:pt>
                <c:pt idx="4192">
                  <c:v>-0.523997697564202</c:v>
                </c:pt>
                <c:pt idx="4193">
                  <c:v>-0.517895713513356</c:v>
                </c:pt>
                <c:pt idx="4194">
                  <c:v>-0.53026044160167</c:v>
                </c:pt>
                <c:pt idx="4195">
                  <c:v>-0.519869012281822</c:v>
                </c:pt>
                <c:pt idx="4196">
                  <c:v>-0.50751871651151</c:v>
                </c:pt>
                <c:pt idx="4197">
                  <c:v>-0.498573245096279</c:v>
                </c:pt>
                <c:pt idx="4198">
                  <c:v>-0.494651663577215</c:v>
                </c:pt>
                <c:pt idx="4199">
                  <c:v>-0.490241948991538</c:v>
                </c:pt>
                <c:pt idx="4200">
                  <c:v>-0.487011194427457</c:v>
                </c:pt>
                <c:pt idx="4201">
                  <c:v>-0.491918342906905</c:v>
                </c:pt>
                <c:pt idx="4202">
                  <c:v>-0.501536360340984</c:v>
                </c:pt>
                <c:pt idx="4203">
                  <c:v>-0.493616625837906</c:v>
                </c:pt>
                <c:pt idx="4204">
                  <c:v>-0.48639381193519</c:v>
                </c:pt>
                <c:pt idx="4205">
                  <c:v>-0.488205709280678</c:v>
                </c:pt>
                <c:pt idx="4206">
                  <c:v>-0.488380661046669</c:v>
                </c:pt>
                <c:pt idx="4207">
                  <c:v>-0.50101631581568</c:v>
                </c:pt>
                <c:pt idx="4208">
                  <c:v>-0.479091620283468</c:v>
                </c:pt>
                <c:pt idx="4209">
                  <c:v>-0.48079278967807</c:v>
                </c:pt>
                <c:pt idx="4210">
                  <c:v>-0.488881221942672</c:v>
                </c:pt>
                <c:pt idx="4211">
                  <c:v>-0.487651267730804</c:v>
                </c:pt>
                <c:pt idx="4212">
                  <c:v>-0.480486583997815</c:v>
                </c:pt>
                <c:pt idx="4213">
                  <c:v>-0.482271220298189</c:v>
                </c:pt>
                <c:pt idx="4214">
                  <c:v>-0.477619844565539</c:v>
                </c:pt>
                <c:pt idx="4215">
                  <c:v>-0.466375224713196</c:v>
                </c:pt>
                <c:pt idx="4216">
                  <c:v>-0.470304503468527</c:v>
                </c:pt>
                <c:pt idx="4217">
                  <c:v>-0.478825023298171</c:v>
                </c:pt>
                <c:pt idx="4218">
                  <c:v>-0.485981929615349</c:v>
                </c:pt>
                <c:pt idx="4219">
                  <c:v>-0.484285971891136</c:v>
                </c:pt>
                <c:pt idx="4220">
                  <c:v>-0.476882112577052</c:v>
                </c:pt>
                <c:pt idx="4221">
                  <c:v>-0.489314993278148</c:v>
                </c:pt>
                <c:pt idx="4222">
                  <c:v>-0.487287092239911</c:v>
                </c:pt>
                <c:pt idx="4223">
                  <c:v>-0.487683580087218</c:v>
                </c:pt>
                <c:pt idx="4224">
                  <c:v>-0.480294553988856</c:v>
                </c:pt>
                <c:pt idx="4225">
                  <c:v>-0.49577778527902</c:v>
                </c:pt>
                <c:pt idx="4226">
                  <c:v>-0.496191832446561</c:v>
                </c:pt>
                <c:pt idx="4227">
                  <c:v>-0.491309459446349</c:v>
                </c:pt>
                <c:pt idx="4228">
                  <c:v>-0.490835518159103</c:v>
                </c:pt>
                <c:pt idx="4229">
                  <c:v>-0.486663375563632</c:v>
                </c:pt>
                <c:pt idx="4230">
                  <c:v>-0.48239734272161</c:v>
                </c:pt>
                <c:pt idx="4231">
                  <c:v>-0.484510955692864</c:v>
                </c:pt>
                <c:pt idx="4232">
                  <c:v>-0.479816443365299</c:v>
                </c:pt>
                <c:pt idx="4233">
                  <c:v>-0.479553614818591</c:v>
                </c:pt>
                <c:pt idx="4234">
                  <c:v>-0.479991555490379</c:v>
                </c:pt>
                <c:pt idx="4235">
                  <c:v>-0.487843057201129</c:v>
                </c:pt>
                <c:pt idx="4236">
                  <c:v>-0.490631541398022</c:v>
                </c:pt>
                <c:pt idx="4237">
                  <c:v>-0.491641723478551</c:v>
                </c:pt>
                <c:pt idx="4238">
                  <c:v>-0.491759427049804</c:v>
                </c:pt>
                <c:pt idx="4239">
                  <c:v>-0.495121996784961</c:v>
                </c:pt>
                <c:pt idx="4240">
                  <c:v>-0.494876807738032</c:v>
                </c:pt>
                <c:pt idx="4241">
                  <c:v>-0.495995633101291</c:v>
                </c:pt>
                <c:pt idx="4242">
                  <c:v>-0.483451944269764</c:v>
                </c:pt>
                <c:pt idx="4243">
                  <c:v>-0.48183648680818</c:v>
                </c:pt>
                <c:pt idx="4244">
                  <c:v>-0.442851588705557</c:v>
                </c:pt>
                <c:pt idx="4245">
                  <c:v>-0.41399200401475</c:v>
                </c:pt>
                <c:pt idx="4246">
                  <c:v>-0.373584239716312</c:v>
                </c:pt>
                <c:pt idx="4247">
                  <c:v>-0.381673553955902</c:v>
                </c:pt>
                <c:pt idx="4248">
                  <c:v>-0.377504538362665</c:v>
                </c:pt>
                <c:pt idx="4249">
                  <c:v>-0.366730812974878</c:v>
                </c:pt>
                <c:pt idx="4250">
                  <c:v>-0.370502779463998</c:v>
                </c:pt>
                <c:pt idx="4251">
                  <c:v>-0.366886842368379</c:v>
                </c:pt>
                <c:pt idx="4252">
                  <c:v>-0.356883000966404</c:v>
                </c:pt>
                <c:pt idx="4253">
                  <c:v>-0.375893250237392</c:v>
                </c:pt>
                <c:pt idx="4254">
                  <c:v>-0.372875693082005</c:v>
                </c:pt>
                <c:pt idx="4255">
                  <c:v>-0.376540058622472</c:v>
                </c:pt>
                <c:pt idx="4256">
                  <c:v>-0.369764566398244</c:v>
                </c:pt>
                <c:pt idx="4257">
                  <c:v>-0.379469257919875</c:v>
                </c:pt>
                <c:pt idx="4258">
                  <c:v>-0.379969738636334</c:v>
                </c:pt>
                <c:pt idx="4259">
                  <c:v>-0.349509850417844</c:v>
                </c:pt>
                <c:pt idx="4260">
                  <c:v>-0.361301374942882</c:v>
                </c:pt>
                <c:pt idx="4261">
                  <c:v>-0.359531892576408</c:v>
                </c:pt>
                <c:pt idx="4262">
                  <c:v>-0.356085615396846</c:v>
                </c:pt>
                <c:pt idx="4263">
                  <c:v>-0.366042551765317</c:v>
                </c:pt>
                <c:pt idx="4264">
                  <c:v>-0.370198417913265</c:v>
                </c:pt>
                <c:pt idx="4265">
                  <c:v>-0.372165382497719</c:v>
                </c:pt>
                <c:pt idx="4266">
                  <c:v>-0.38530440444679</c:v>
                </c:pt>
                <c:pt idx="4267">
                  <c:v>-0.380400543328665</c:v>
                </c:pt>
                <c:pt idx="4268">
                  <c:v>-0.380446806925813</c:v>
                </c:pt>
                <c:pt idx="4269">
                  <c:v>-0.384181650285852</c:v>
                </c:pt>
                <c:pt idx="4270">
                  <c:v>-0.372992915575991</c:v>
                </c:pt>
                <c:pt idx="4271">
                  <c:v>-0.393392916890936</c:v>
                </c:pt>
                <c:pt idx="4272">
                  <c:v>-0.388962596162334</c:v>
                </c:pt>
                <c:pt idx="4273">
                  <c:v>-0.387697683669087</c:v>
                </c:pt>
                <c:pt idx="4274">
                  <c:v>-0.351796490846022</c:v>
                </c:pt>
                <c:pt idx="4275">
                  <c:v>-0.349054350425822</c:v>
                </c:pt>
                <c:pt idx="4276">
                  <c:v>-0.34851418083486</c:v>
                </c:pt>
                <c:pt idx="4277">
                  <c:v>-0.307274874480928</c:v>
                </c:pt>
                <c:pt idx="4278">
                  <c:v>-0.30845158947528</c:v>
                </c:pt>
                <c:pt idx="4279">
                  <c:v>-0.322859933792543</c:v>
                </c:pt>
                <c:pt idx="4280">
                  <c:v>-0.322717294382966</c:v>
                </c:pt>
                <c:pt idx="4281">
                  <c:v>-0.326106403547335</c:v>
                </c:pt>
                <c:pt idx="4282">
                  <c:v>-0.323786889505933</c:v>
                </c:pt>
                <c:pt idx="4283">
                  <c:v>-0.322050601470862</c:v>
                </c:pt>
                <c:pt idx="4284">
                  <c:v>-0.330604796709175</c:v>
                </c:pt>
                <c:pt idx="4285">
                  <c:v>-0.329404749467387</c:v>
                </c:pt>
                <c:pt idx="4286">
                  <c:v>-0.330641037863267</c:v>
                </c:pt>
                <c:pt idx="4287">
                  <c:v>-0.320401067702886</c:v>
                </c:pt>
                <c:pt idx="4288">
                  <c:v>-0.322654914697384</c:v>
                </c:pt>
                <c:pt idx="4289">
                  <c:v>-0.319967536906043</c:v>
                </c:pt>
                <c:pt idx="4290">
                  <c:v>-0.307058870788179</c:v>
                </c:pt>
                <c:pt idx="4291">
                  <c:v>-0.311893937857165</c:v>
                </c:pt>
                <c:pt idx="4292">
                  <c:v>-0.314472191288509</c:v>
                </c:pt>
                <c:pt idx="4293">
                  <c:v>-0.332589561152498</c:v>
                </c:pt>
                <c:pt idx="4294">
                  <c:v>-0.345276370470868</c:v>
                </c:pt>
                <c:pt idx="4295">
                  <c:v>-0.338171580857583</c:v>
                </c:pt>
                <c:pt idx="4296">
                  <c:v>-0.33510094484377</c:v>
                </c:pt>
                <c:pt idx="4297">
                  <c:v>-0.329029028122093</c:v>
                </c:pt>
                <c:pt idx="4298">
                  <c:v>-0.344269395572117</c:v>
                </c:pt>
                <c:pt idx="4299">
                  <c:v>-0.333227710146778</c:v>
                </c:pt>
                <c:pt idx="4300">
                  <c:v>-0.344980828670024</c:v>
                </c:pt>
                <c:pt idx="4301">
                  <c:v>-0.341403297576196</c:v>
                </c:pt>
                <c:pt idx="4302">
                  <c:v>-0.346736760693486</c:v>
                </c:pt>
                <c:pt idx="4303">
                  <c:v>-0.34805619527696</c:v>
                </c:pt>
                <c:pt idx="4304">
                  <c:v>-0.342706295353058</c:v>
                </c:pt>
                <c:pt idx="4305">
                  <c:v>-0.344096448294737</c:v>
                </c:pt>
                <c:pt idx="4306">
                  <c:v>-0.335709988663414</c:v>
                </c:pt>
                <c:pt idx="4307">
                  <c:v>-0.32542094862183</c:v>
                </c:pt>
                <c:pt idx="4308">
                  <c:v>-0.34873667907071</c:v>
                </c:pt>
                <c:pt idx="4309">
                  <c:v>-0.350331610568915</c:v>
                </c:pt>
                <c:pt idx="4310">
                  <c:v>-0.353099889520606</c:v>
                </c:pt>
                <c:pt idx="4311">
                  <c:v>-0.359250061477666</c:v>
                </c:pt>
                <c:pt idx="4312">
                  <c:v>-0.358111191228294</c:v>
                </c:pt>
              </c:numCache>
            </c:numRef>
          </c:yVal>
          <c:smooth val="0"/>
        </c:ser>
        <c:axId val="53559028"/>
        <c:axId val="24079187"/>
      </c:scatterChart>
      <c:valAx>
        <c:axId val="53559028"/>
        <c:scaling>
          <c:orientation val="minMax"/>
          <c:max val="46388"/>
          <c:min val="41822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4079187"/>
        <c:crosses val="autoZero"/>
        <c:crossBetween val="midCat"/>
        <c:majorUnit val="365.25"/>
      </c:valAx>
      <c:valAx>
        <c:axId val="24079187"/>
        <c:scaling>
          <c:orientation val="minMax"/>
          <c:max val="0"/>
          <c:min val="-1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Drawdown from running peak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355902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50" spc="-1" strike="noStrike">
                <a:solidFill>
                  <a:srgbClr val="000000"/>
                </a:solidFill>
                <a:latin typeface="Arial"/>
              </a:defRPr>
            </a:pPr>
            <a:r>
              <a:rPr b="1" sz="1050" spc="-1" strike="noStrike">
                <a:solidFill>
                  <a:srgbClr val="000000"/>
                </a:solidFill>
                <a:latin typeface="Arial"/>
              </a:rPr>
              <a:t>Figure 8: One-day VaR and Expected Shortfall - historical vs normal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"95% confidence"</c:f>
              <c:strCache>
                <c:ptCount val="1"/>
                <c:pt idx="0">
                  <c:v>95% confidence</c:v>
                </c:pt>
              </c:strCache>
            </c:strRef>
          </c:tx>
          <c:spPr>
            <a:solidFill>
              <a:srgbClr val="7f7f7f"/>
            </a:solidFill>
            <a:ln w="0">
              <a:solidFill>
                <a:srgbClr val="7f7f7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Obj3_Risk!$A$11:$A$14</c:f>
              <c:strCache>
                <c:ptCount val="4"/>
                <c:pt idx="0">
                  <c:v>Historical VaR (loss)</c:v>
                </c:pt>
                <c:pt idx="1">
                  <c:v>Parametric (normal) VaR (loss)</c:v>
                </c:pt>
                <c:pt idx="2">
                  <c:v>Historical Expected Shortfall (loss)</c:v>
                </c:pt>
                <c:pt idx="3">
                  <c:v>Parametric (normal) Expected Shortfall</c:v>
                </c:pt>
              </c:strCache>
            </c:strRef>
          </c:cat>
          <c:val>
            <c:numRef>
              <c:f>Obj3_Risk!$B$11:$B$14</c:f>
              <c:numCache>
                <c:formatCode>0.00%</c:formatCode>
                <c:ptCount val="4"/>
                <c:pt idx="0">
                  <c:v>0.0521586460673185</c:v>
                </c:pt>
                <c:pt idx="1">
                  <c:v>0.0546331859449249</c:v>
                </c:pt>
                <c:pt idx="2">
                  <c:v>0.0797152679331818</c:v>
                </c:pt>
                <c:pt idx="3">
                  <c:v>0.0690111836963967</c:v>
                </c:pt>
              </c:numCache>
            </c:numRef>
          </c:val>
        </c:ser>
        <c:ser>
          <c:idx val="1"/>
          <c:order val="1"/>
          <c:tx>
            <c:strRef>
              <c:f>"99% confidence"</c:f>
              <c:strCache>
                <c:ptCount val="1"/>
                <c:pt idx="0">
                  <c:v>99% confidence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Obj3_Risk!$A$11:$A$14</c:f>
              <c:strCache>
                <c:ptCount val="4"/>
                <c:pt idx="0">
                  <c:v>Historical VaR (loss)</c:v>
                </c:pt>
                <c:pt idx="1">
                  <c:v>Parametric (normal) VaR (loss)</c:v>
                </c:pt>
                <c:pt idx="2">
                  <c:v>Historical Expected Shortfall (loss)</c:v>
                </c:pt>
                <c:pt idx="3">
                  <c:v>Parametric (normal) Expected Shortfall</c:v>
                </c:pt>
              </c:strCache>
            </c:strRef>
          </c:cat>
          <c:val>
            <c:numRef>
              <c:f>Obj3_Risk!$C$11:$C$14</c:f>
              <c:numCache>
                <c:formatCode>0.00%</c:formatCode>
                <c:ptCount val="4"/>
                <c:pt idx="0">
                  <c:v>0.0982574752247599</c:v>
                </c:pt>
                <c:pt idx="1">
                  <c:v>0.0780825277525048</c:v>
                </c:pt>
                <c:pt idx="2">
                  <c:v>0.126499791006411</c:v>
                </c:pt>
                <c:pt idx="3">
                  <c:v>0.0897424835269354</c:v>
                </c:pt>
              </c:numCache>
            </c:numRef>
          </c:val>
        </c:ser>
        <c:gapWidth val="80"/>
        <c:overlap val="0"/>
        <c:axId val="86451619"/>
        <c:axId val="4306038"/>
      </c:barChart>
      <c:catAx>
        <c:axId val="864516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Risk measure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306038"/>
        <c:crosses val="autoZero"/>
        <c:auto val="1"/>
        <c:lblAlgn val="ctr"/>
        <c:lblOffset val="100"/>
        <c:noMultiLvlLbl val="0"/>
      </c:catAx>
      <c:valAx>
        <c:axId val="430603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One-day loss (% of position)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64516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50" spc="-1" strike="noStrike">
                <a:solidFill>
                  <a:srgbClr val="000000"/>
                </a:solidFill>
                <a:latin typeface="Arial"/>
              </a:defRPr>
            </a:pPr>
            <a:r>
              <a:rPr b="1" sz="1050" spc="-1" strike="noStrike">
                <a:solidFill>
                  <a:srgbClr val="000000"/>
                </a:solidFill>
                <a:latin typeface="Arial"/>
              </a:rPr>
              <a:t>Figure 9: Probability of loss by holding horizon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 day"</c:f>
              <c:strCache>
                <c:ptCount val="1"/>
                <c:pt idx="0">
                  <c:v>1 day</c:v>
                </c:pt>
              </c:strCache>
            </c:strRef>
          </c:tx>
          <c:spPr>
            <a:solidFill>
              <a:srgbClr val="bfbfbf"/>
            </a:solidFill>
            <a:ln w="0">
              <a:solidFill>
                <a:srgbClr val="bfbfb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Obj3_Risk!$C$35:$F$35</c:f>
              <c:multiLvlStrCache>
                <c:ptCount val="1"/>
                <c:lvl>
                  <c:pt idx="0">
                    <c:v>P(loss &gt; 20%)</c:v>
                  </c:pt>
                </c:lvl>
                <c:lvl>
                  <c:pt idx="0">
                    <c:v>P(loss &gt; 10%)</c:v>
                  </c:pt>
                </c:lvl>
                <c:lvl>
                  <c:pt idx="0">
                    <c:v>P(loss &gt; 5%)</c:v>
                  </c:pt>
                </c:lvl>
                <c:lvl>
                  <c:pt idx="0">
                    <c:v>P(any loss)</c:v>
                  </c:pt>
                </c:lvl>
              </c:multiLvlStrCache>
            </c:multiLvlStrRef>
          </c:cat>
          <c:val>
            <c:numRef>
              <c:f>Obj3_Risk!$C$37:$F$37</c:f>
              <c:numCache>
                <c:formatCode>0.0%</c:formatCode>
                <c:ptCount val="4"/>
                <c:pt idx="0">
                  <c:v>0.478817504655494</c:v>
                </c:pt>
                <c:pt idx="1">
                  <c:v>0.0535381750465549</c:v>
                </c:pt>
                <c:pt idx="2">
                  <c:v>0.00977653631284916</c:v>
                </c:pt>
                <c:pt idx="3">
                  <c:v>0.000232774674115456</c:v>
                </c:pt>
              </c:numCache>
            </c:numRef>
          </c:val>
        </c:ser>
        <c:ser>
          <c:idx val="1"/>
          <c:order val="1"/>
          <c:tx>
            <c:strRef>
              <c:f>"7 days"</c:f>
              <c:strCache>
                <c:ptCount val="1"/>
                <c:pt idx="0">
                  <c:v>7 days</c:v>
                </c:pt>
              </c:strCache>
            </c:strRef>
          </c:tx>
          <c:spPr>
            <a:solidFill>
              <a:srgbClr val="7f7f7f"/>
            </a:solidFill>
            <a:ln w="0">
              <a:solidFill>
                <a:srgbClr val="7f7f7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Obj3_Risk!$C$35:$F$35</c:f>
              <c:multiLvlStrCache>
                <c:ptCount val="1"/>
                <c:lvl>
                  <c:pt idx="0">
                    <c:v>P(loss &gt; 20%)</c:v>
                  </c:pt>
                </c:lvl>
                <c:lvl>
                  <c:pt idx="0">
                    <c:v>P(loss &gt; 10%)</c:v>
                  </c:pt>
                </c:lvl>
                <c:lvl>
                  <c:pt idx="0">
                    <c:v>P(loss &gt; 5%)</c:v>
                  </c:pt>
                </c:lvl>
                <c:lvl>
                  <c:pt idx="0">
                    <c:v>P(any loss)</c:v>
                  </c:pt>
                </c:lvl>
              </c:multiLvlStrCache>
            </c:multiLvlStrRef>
          </c:cat>
          <c:val>
            <c:numRef>
              <c:f>Obj3_Risk!$C$38:$F$38</c:f>
              <c:numCache>
                <c:formatCode>0.0%</c:formatCode>
                <c:ptCount val="4"/>
                <c:pt idx="0">
                  <c:v>0.454312354312354</c:v>
                </c:pt>
                <c:pt idx="1">
                  <c:v>0.188111888111888</c:v>
                </c:pt>
                <c:pt idx="2">
                  <c:v>0.082983682983683</c:v>
                </c:pt>
                <c:pt idx="3">
                  <c:v>0.0142191142191142</c:v>
                </c:pt>
              </c:numCache>
            </c:numRef>
          </c:val>
        </c:ser>
        <c:ser>
          <c:idx val="2"/>
          <c:order val="2"/>
          <c:tx>
            <c:strRef>
              <c:f>"30 days"</c:f>
              <c:strCache>
                <c:ptCount val="1"/>
                <c:pt idx="0">
                  <c:v>30 days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Obj3_Risk!$C$35:$F$35</c:f>
              <c:multiLvlStrCache>
                <c:ptCount val="1"/>
                <c:lvl>
                  <c:pt idx="0">
                    <c:v>P(loss &gt; 20%)</c:v>
                  </c:pt>
                </c:lvl>
                <c:lvl>
                  <c:pt idx="0">
                    <c:v>P(loss &gt; 10%)</c:v>
                  </c:pt>
                </c:lvl>
                <c:lvl>
                  <c:pt idx="0">
                    <c:v>P(loss &gt; 5%)</c:v>
                  </c:pt>
                </c:lvl>
                <c:lvl>
                  <c:pt idx="0">
                    <c:v>P(any loss)</c:v>
                  </c:pt>
                </c:lvl>
              </c:multiLvlStrCache>
            </c:multiLvlStrRef>
          </c:cat>
          <c:val>
            <c:numRef>
              <c:f>Obj3_Risk!$C$39:$F$39</c:f>
              <c:numCache>
                <c:formatCode>0.0%</c:formatCode>
                <c:ptCount val="4"/>
                <c:pt idx="0">
                  <c:v>0.419967190063276</c:v>
                </c:pt>
                <c:pt idx="1">
                  <c:v>0.291539723459105</c:v>
                </c:pt>
                <c:pt idx="2">
                  <c:v>0.204827747832201</c:v>
                </c:pt>
                <c:pt idx="3">
                  <c:v>0.0761659245371455</c:v>
                </c:pt>
              </c:numCache>
            </c:numRef>
          </c:val>
        </c:ser>
        <c:gapWidth val="80"/>
        <c:overlap val="0"/>
        <c:axId val="60880502"/>
        <c:axId val="35062461"/>
      </c:barChart>
      <c:catAx>
        <c:axId val="608805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Loss event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5062461"/>
        <c:crosses val="autoZero"/>
        <c:auto val="1"/>
        <c:lblAlgn val="ctr"/>
        <c:lblOffset val="100"/>
        <c:noMultiLvlLbl val="0"/>
      </c:catAx>
      <c:valAx>
        <c:axId val="3506246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Probability (% of windows)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08805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50" spc="-1" strike="noStrike">
                <a:solidFill>
                  <a:srgbClr val="000000"/>
                </a:solidFill>
                <a:latin typeface="Arial"/>
              </a:defRPr>
            </a:pPr>
            <a:r>
              <a:rPr b="1" sz="1050" spc="-1" strike="noStrike">
                <a:solidFill>
                  <a:srgbClr val="000000"/>
                </a:solidFill>
                <a:latin typeface="Arial"/>
              </a:rPr>
              <a:t>Figure 10: Annual return vs annualised volatility, 2015-2025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"Calendar year (2015-2025)"</c:f>
              <c:strCache>
                <c:ptCount val="1"/>
                <c:pt idx="0">
                  <c:v>Calendar year (2015-2025)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Obj3_Risk!$C$55:$C$65</c:f>
              <c:numCache>
                <c:formatCode>0.0%</c:formatCode>
                <c:ptCount val="11"/>
                <c:pt idx="0">
                  <c:v>0.571771896878321</c:v>
                </c:pt>
                <c:pt idx="1">
                  <c:v>0.498781296202321</c:v>
                </c:pt>
                <c:pt idx="2">
                  <c:v>0.931440575977634</c:v>
                </c:pt>
                <c:pt idx="3">
                  <c:v>0.837178879166633</c:v>
                </c:pt>
                <c:pt idx="4">
                  <c:v>0.704365894347834</c:v>
                </c:pt>
                <c:pt idx="5">
                  <c:v>0.792671479328381</c:v>
                </c:pt>
                <c:pt idx="6">
                  <c:v>0.805498753726479</c:v>
                </c:pt>
                <c:pt idx="7">
                  <c:v>0.644658651506153</c:v>
                </c:pt>
                <c:pt idx="8">
                  <c:v>0.437918775374223</c:v>
                </c:pt>
                <c:pt idx="9">
                  <c:v>0.529544450498059</c:v>
                </c:pt>
                <c:pt idx="10">
                  <c:v>0.419018131586984</c:v>
                </c:pt>
              </c:numCache>
            </c:numRef>
          </c:xVal>
          <c:yVal>
            <c:numRef>
              <c:f>Obj3_Risk!$B$55:$B$65</c:f>
              <c:numCache>
                <c:formatCode>0.0%</c:formatCode>
                <c:ptCount val="11"/>
                <c:pt idx="0">
                  <c:v>0.265735294117647</c:v>
                </c:pt>
                <c:pt idx="1">
                  <c:v>1.26181015452539</c:v>
                </c:pt>
                <c:pt idx="2">
                  <c:v>13.242405251857</c:v>
                </c:pt>
                <c:pt idx="3">
                  <c:v>-0.733692174855173</c:v>
                </c:pt>
                <c:pt idx="4">
                  <c:v>0.938862795447281</c:v>
                </c:pt>
                <c:pt idx="5">
                  <c:v>3.05517315566757</c:v>
                </c:pt>
                <c:pt idx="6">
                  <c:v>0.593160774273029</c:v>
                </c:pt>
                <c:pt idx="7">
                  <c:v>-0.642531467978012</c:v>
                </c:pt>
                <c:pt idx="8">
                  <c:v>1.55887605105559</c:v>
                </c:pt>
                <c:pt idx="9">
                  <c:v>1.23124940012926</c:v>
                </c:pt>
                <c:pt idx="10">
                  <c:v>-0.0708554315427078</c:v>
                </c:pt>
              </c:numCache>
            </c:numRef>
          </c:yVal>
          <c:smooth val="1"/>
        </c:ser>
        <c:axId val="42472730"/>
        <c:axId val="94963710"/>
      </c:scatterChart>
      <c:valAx>
        <c:axId val="42472730"/>
        <c:scaling>
          <c:orientation val="minMax"/>
          <c:max val="1"/>
          <c:min val="0.3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Annualised volatility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4963710"/>
        <c:crosses val="autoZero"/>
        <c:crossBetween val="midCat"/>
      </c:valAx>
      <c:valAx>
        <c:axId val="94963710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</a:rPr>
                  <a:t>Annual return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247273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22</xdr:col>
      <xdr:colOff>184320</xdr:colOff>
      <xdr:row>19</xdr:row>
      <xdr:rowOff>151560</xdr:rowOff>
    </xdr:to>
    <xdr:graphicFrame>
      <xdr:nvGraphicFramePr>
        <xdr:cNvPr id="0" name="Chart 1"/>
        <xdr:cNvGraphicFramePr/>
      </xdr:nvGraphicFramePr>
      <xdr:xfrm>
        <a:off x="13110120" y="5716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24</xdr:row>
      <xdr:rowOff>160560</xdr:rowOff>
    </xdr:from>
    <xdr:to>
      <xdr:col>22</xdr:col>
      <xdr:colOff>184320</xdr:colOff>
      <xdr:row>40</xdr:row>
      <xdr:rowOff>189360</xdr:rowOff>
    </xdr:to>
    <xdr:graphicFrame>
      <xdr:nvGraphicFramePr>
        <xdr:cNvPr id="1" name="Chart 2"/>
        <xdr:cNvGraphicFramePr/>
      </xdr:nvGraphicFramePr>
      <xdr:xfrm>
        <a:off x="13110120" y="49528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46</xdr:row>
      <xdr:rowOff>160920</xdr:rowOff>
    </xdr:from>
    <xdr:to>
      <xdr:col>22</xdr:col>
      <xdr:colOff>184320</xdr:colOff>
      <xdr:row>64</xdr:row>
      <xdr:rowOff>151560</xdr:rowOff>
    </xdr:to>
    <xdr:graphicFrame>
      <xdr:nvGraphicFramePr>
        <xdr:cNvPr id="2" name="Chart 3"/>
        <xdr:cNvGraphicFramePr/>
      </xdr:nvGraphicFramePr>
      <xdr:xfrm>
        <a:off x="13110120" y="94870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21</xdr:col>
      <xdr:colOff>184680</xdr:colOff>
      <xdr:row>19</xdr:row>
      <xdr:rowOff>151560</xdr:rowOff>
    </xdr:to>
    <xdr:graphicFrame>
      <xdr:nvGraphicFramePr>
        <xdr:cNvPr id="3" name="Chart 1"/>
        <xdr:cNvGraphicFramePr/>
      </xdr:nvGraphicFramePr>
      <xdr:xfrm>
        <a:off x="11841480" y="5716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24</xdr:row>
      <xdr:rowOff>160560</xdr:rowOff>
    </xdr:from>
    <xdr:to>
      <xdr:col>21</xdr:col>
      <xdr:colOff>184680</xdr:colOff>
      <xdr:row>40</xdr:row>
      <xdr:rowOff>189360</xdr:rowOff>
    </xdr:to>
    <xdr:graphicFrame>
      <xdr:nvGraphicFramePr>
        <xdr:cNvPr id="4" name="Chart 2"/>
        <xdr:cNvGraphicFramePr/>
      </xdr:nvGraphicFramePr>
      <xdr:xfrm>
        <a:off x="11841480" y="49528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46</xdr:row>
      <xdr:rowOff>160920</xdr:rowOff>
    </xdr:from>
    <xdr:to>
      <xdr:col>22</xdr:col>
      <xdr:colOff>293040</xdr:colOff>
      <xdr:row>64</xdr:row>
      <xdr:rowOff>113400</xdr:rowOff>
    </xdr:to>
    <xdr:graphicFrame>
      <xdr:nvGraphicFramePr>
        <xdr:cNvPr id="5" name="Chart 3"/>
        <xdr:cNvGraphicFramePr/>
      </xdr:nvGraphicFramePr>
      <xdr:xfrm>
        <a:off x="11841480" y="9487080"/>
        <a:ext cx="70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22</xdr:col>
      <xdr:colOff>184320</xdr:colOff>
      <xdr:row>19</xdr:row>
      <xdr:rowOff>151560</xdr:rowOff>
    </xdr:to>
    <xdr:graphicFrame>
      <xdr:nvGraphicFramePr>
        <xdr:cNvPr id="6" name="Chart 1"/>
        <xdr:cNvGraphicFramePr/>
      </xdr:nvGraphicFramePr>
      <xdr:xfrm>
        <a:off x="13039560" y="5716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24</xdr:row>
      <xdr:rowOff>160920</xdr:rowOff>
    </xdr:from>
    <xdr:to>
      <xdr:col>22</xdr:col>
      <xdr:colOff>184320</xdr:colOff>
      <xdr:row>41</xdr:row>
      <xdr:rowOff>151560</xdr:rowOff>
    </xdr:to>
    <xdr:graphicFrame>
      <xdr:nvGraphicFramePr>
        <xdr:cNvPr id="7" name="Chart 2"/>
        <xdr:cNvGraphicFramePr/>
      </xdr:nvGraphicFramePr>
      <xdr:xfrm>
        <a:off x="13039560" y="51436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46</xdr:row>
      <xdr:rowOff>160560</xdr:rowOff>
    </xdr:from>
    <xdr:to>
      <xdr:col>22</xdr:col>
      <xdr:colOff>184320</xdr:colOff>
      <xdr:row>62</xdr:row>
      <xdr:rowOff>189360</xdr:rowOff>
    </xdr:to>
    <xdr:graphicFrame>
      <xdr:nvGraphicFramePr>
        <xdr:cNvPr id="8" name="Chart 3"/>
        <xdr:cNvGraphicFramePr/>
      </xdr:nvGraphicFramePr>
      <xdr:xfrm>
        <a:off x="13039560" y="986796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68</xdr:row>
      <xdr:rowOff>160560</xdr:rowOff>
    </xdr:from>
    <xdr:to>
      <xdr:col>22</xdr:col>
      <xdr:colOff>184320</xdr:colOff>
      <xdr:row>86</xdr:row>
      <xdr:rowOff>151200</xdr:rowOff>
    </xdr:to>
    <xdr:graphicFrame>
      <xdr:nvGraphicFramePr>
        <xdr:cNvPr id="9" name="Chart 4"/>
        <xdr:cNvGraphicFramePr/>
      </xdr:nvGraphicFramePr>
      <xdr:xfrm>
        <a:off x="13039560" y="144018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62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1" customFormat="false" ht="15" hidden="false" customHeight="false" outlineLevel="0" collapsed="false">
      <c r="A11" s="3" t="s">
        <v>13</v>
      </c>
    </row>
    <row r="12" customFormat="false" ht="18" hidden="false" customHeight="true" outlineLevel="0" collapsed="false">
      <c r="A12" s="6" t="s">
        <v>14</v>
      </c>
      <c r="B12" s="7" t="s">
        <v>15</v>
      </c>
      <c r="C12" s="7" t="s">
        <v>16</v>
      </c>
      <c r="D12" s="7" t="s">
        <v>17</v>
      </c>
    </row>
    <row r="13" customFormat="false" ht="66" hidden="false" customHeight="true" outlineLevel="0" collapsed="false">
      <c r="A13" s="8" t="s">
        <v>18</v>
      </c>
      <c r="B13" s="9" t="s">
        <v>19</v>
      </c>
      <c r="C13" s="9" t="s">
        <v>20</v>
      </c>
      <c r="D13" s="9" t="s">
        <v>21</v>
      </c>
    </row>
    <row r="14" customFormat="false" ht="66" hidden="false" customHeight="true" outlineLevel="0" collapsed="false">
      <c r="A14" s="8" t="s">
        <v>22</v>
      </c>
      <c r="B14" s="9" t="s">
        <v>23</v>
      </c>
      <c r="C14" s="9" t="s">
        <v>24</v>
      </c>
      <c r="D14" s="9" t="s">
        <v>25</v>
      </c>
    </row>
    <row r="15" customFormat="false" ht="66" hidden="false" customHeight="true" outlineLevel="0" collapsed="false">
      <c r="A15" s="10" t="s">
        <v>26</v>
      </c>
      <c r="B15" s="11" t="s">
        <v>27</v>
      </c>
      <c r="C15" s="11" t="s">
        <v>28</v>
      </c>
      <c r="D15" s="11" t="s">
        <v>29</v>
      </c>
    </row>
    <row r="17" customFormat="false" ht="15" hidden="false" customHeight="false" outlineLevel="0" collapsed="false">
      <c r="A17" s="3" t="s">
        <v>30</v>
      </c>
    </row>
    <row r="18" customFormat="false" ht="18" hidden="false" customHeight="true" outlineLevel="0" collapsed="false">
      <c r="A18" s="6" t="s">
        <v>31</v>
      </c>
      <c r="B18" s="7" t="s">
        <v>32</v>
      </c>
    </row>
    <row r="19" customFormat="false" ht="15" hidden="false" customHeight="false" outlineLevel="0" collapsed="false">
      <c r="A19" s="4" t="s">
        <v>33</v>
      </c>
      <c r="B19" s="5" t="s">
        <v>34</v>
      </c>
    </row>
    <row r="20" customFormat="false" ht="15" hidden="false" customHeight="false" outlineLevel="0" collapsed="false">
      <c r="A20" s="4" t="s">
        <v>35</v>
      </c>
      <c r="B20" s="5" t="s">
        <v>36</v>
      </c>
    </row>
    <row r="21" customFormat="false" ht="15" hidden="false" customHeight="false" outlineLevel="0" collapsed="false">
      <c r="A21" s="4" t="s">
        <v>37</v>
      </c>
      <c r="B21" s="5" t="s">
        <v>38</v>
      </c>
    </row>
    <row r="22" customFormat="false" ht="15" hidden="false" customHeight="false" outlineLevel="0" collapsed="false">
      <c r="A22" s="4" t="s">
        <v>39</v>
      </c>
      <c r="B22" s="5" t="s">
        <v>40</v>
      </c>
    </row>
    <row r="23" customFormat="false" ht="15" hidden="false" customHeight="false" outlineLevel="0" collapsed="false">
      <c r="A23" s="4" t="s">
        <v>41</v>
      </c>
      <c r="B23" s="5" t="s">
        <v>42</v>
      </c>
    </row>
    <row r="24" customFormat="false" ht="15" hidden="false" customHeight="false" outlineLevel="0" collapsed="false">
      <c r="A24" s="4" t="s">
        <v>43</v>
      </c>
      <c r="B24" s="5" t="s">
        <v>44</v>
      </c>
    </row>
    <row r="25" customFormat="false" ht="15" hidden="false" customHeight="false" outlineLevel="0" collapsed="false">
      <c r="A25" s="12" t="s">
        <v>45</v>
      </c>
      <c r="B25" s="13" t="s">
        <v>46</v>
      </c>
    </row>
    <row r="27" customFormat="false" ht="15" hidden="false" customHeight="false" outlineLevel="0" collapsed="false">
      <c r="A27" s="3" t="s">
        <v>47</v>
      </c>
    </row>
    <row r="28" customFormat="false" ht="15" hidden="false" customHeight="false" outlineLevel="0" collapsed="false">
      <c r="A28" s="5" t="s">
        <v>48</v>
      </c>
    </row>
    <row r="29" customFormat="false" ht="15" hidden="false" customHeight="false" outlineLevel="0" collapsed="false">
      <c r="A29" s="5" t="s">
        <v>49</v>
      </c>
    </row>
    <row r="30" customFormat="false" ht="15" hidden="false" customHeight="false" outlineLevel="0" collapsed="false">
      <c r="A30" s="5" t="s">
        <v>50</v>
      </c>
    </row>
    <row r="31" customFormat="false" ht="15" hidden="false" customHeight="false" outlineLevel="0" collapsed="false">
      <c r="A31" s="5" t="s">
        <v>51</v>
      </c>
    </row>
    <row r="32" customFormat="false" ht="15" hidden="false" customHeight="false" outlineLevel="0" collapsed="false">
      <c r="A32" s="5" t="s">
        <v>52</v>
      </c>
    </row>
    <row r="33" customFormat="false" ht="15" hidden="false" customHeight="false" outlineLevel="0" collapsed="false">
      <c r="A33" s="5" t="s">
        <v>53</v>
      </c>
    </row>
    <row r="34" customFormat="false" ht="15" hidden="false" customHeight="false" outlineLevel="0" collapsed="false">
      <c r="A34" s="5" t="s">
        <v>54</v>
      </c>
    </row>
    <row r="36" customFormat="false" ht="15" hidden="false" customHeight="false" outlineLevel="0" collapsed="false">
      <c r="A36" s="3" t="s">
        <v>55</v>
      </c>
    </row>
    <row r="37" customFormat="false" ht="15" hidden="false" customHeight="false" outlineLevel="0" collapsed="false">
      <c r="A37" s="14" t="s">
        <v>56</v>
      </c>
      <c r="B37" s="5" t="s">
        <v>57</v>
      </c>
    </row>
    <row r="38" customFormat="false" ht="15" hidden="false" customHeight="false" outlineLevel="0" collapsed="false">
      <c r="A38" s="5" t="s">
        <v>58</v>
      </c>
      <c r="B38" s="5" t="s">
        <v>59</v>
      </c>
    </row>
    <row r="39" customFormat="false" ht="15" hidden="false" customHeight="false" outlineLevel="0" collapsed="false">
      <c r="A39" s="15" t="s">
        <v>60</v>
      </c>
      <c r="B39" s="5" t="s">
        <v>61</v>
      </c>
    </row>
    <row r="41" customFormat="false" ht="15" hidden="false" customHeight="false" outlineLevel="0" collapsed="false">
      <c r="A41" s="3" t="s">
        <v>62</v>
      </c>
    </row>
    <row r="42" customFormat="false" ht="15" hidden="false" customHeight="false" outlineLevel="0" collapsed="false">
      <c r="A42" s="5" t="s">
        <v>63</v>
      </c>
    </row>
    <row r="43" customFormat="false" ht="15" hidden="false" customHeight="false" outlineLevel="0" collapsed="false">
      <c r="A43" s="5" t="s">
        <v>64</v>
      </c>
    </row>
    <row r="44" customFormat="false" ht="15" hidden="false" customHeight="false" outlineLevel="0" collapsed="false">
      <c r="A44" s="5" t="s">
        <v>65</v>
      </c>
    </row>
    <row r="45" customFormat="false" ht="15" hidden="false" customHeight="false" outlineLevel="0" collapsed="false">
      <c r="A45" s="5" t="s">
        <v>66</v>
      </c>
    </row>
    <row r="46" customFormat="false" ht="15" hidden="false" customHeight="false" outlineLevel="0" collapsed="false">
      <c r="A46" s="5" t="s">
        <v>67</v>
      </c>
    </row>
    <row r="47" customFormat="false" ht="15" hidden="false" customHeight="false" outlineLevel="0" collapsed="false">
      <c r="A47" s="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18" hidden="false" customHeight="true" outlineLevel="0" collapsed="false">
      <c r="A1" s="6" t="s">
        <v>69</v>
      </c>
      <c r="B1" s="7" t="s">
        <v>70</v>
      </c>
      <c r="D1" s="3" t="s">
        <v>71</v>
      </c>
    </row>
    <row r="2" customFormat="false" ht="18" hidden="false" customHeight="true" outlineLevel="0" collapsed="false">
      <c r="A2" s="16" t="n">
        <v>41974</v>
      </c>
      <c r="B2" s="17" t="n">
        <v>370</v>
      </c>
      <c r="D2" s="6" t="s">
        <v>72</v>
      </c>
      <c r="E2" s="7" t="s">
        <v>73</v>
      </c>
    </row>
    <row r="3" customFormat="false" ht="15" hidden="false" customHeight="false" outlineLevel="0" collapsed="false">
      <c r="A3" s="16" t="n">
        <v>41975</v>
      </c>
      <c r="B3" s="17" t="n">
        <v>378</v>
      </c>
      <c r="D3" s="5" t="s">
        <v>74</v>
      </c>
      <c r="E3" s="18" t="n">
        <f aca="false">COUNTA(A2:A4349)</f>
        <v>4348</v>
      </c>
    </row>
    <row r="4" customFormat="false" ht="15" hidden="false" customHeight="false" outlineLevel="0" collapsed="false">
      <c r="A4" s="16" t="n">
        <v>41976</v>
      </c>
      <c r="B4" s="17" t="n">
        <v>378</v>
      </c>
      <c r="D4" s="5" t="s">
        <v>75</v>
      </c>
      <c r="E4" s="18" t="n">
        <f aca="false">COUNT(B2:B4349)</f>
        <v>4313</v>
      </c>
    </row>
    <row r="5" customFormat="false" ht="15" hidden="false" customHeight="false" outlineLevel="0" collapsed="false">
      <c r="A5" s="16" t="n">
        <v>41977</v>
      </c>
      <c r="B5" s="17" t="n">
        <v>377.1</v>
      </c>
      <c r="D5" s="5" t="s">
        <v>76</v>
      </c>
      <c r="E5" s="18" t="n">
        <f aca="false">COUNTBLANK(B2:B4349)</f>
        <v>35</v>
      </c>
    </row>
    <row r="6" customFormat="false" ht="15" hidden="false" customHeight="false" outlineLevel="0" collapsed="false">
      <c r="A6" s="16" t="n">
        <v>41978</v>
      </c>
      <c r="D6" s="5" t="s">
        <v>77</v>
      </c>
      <c r="E6" s="19" t="n">
        <f aca="false">E5/E3</f>
        <v>0.00804967801287949</v>
      </c>
    </row>
    <row r="7" customFormat="false" ht="15" hidden="false" customHeight="false" outlineLevel="0" collapsed="false">
      <c r="A7" s="16" t="n">
        <v>41979</v>
      </c>
      <c r="B7" s="17" t="n">
        <v>378</v>
      </c>
      <c r="D7" s="5" t="s">
        <v>78</v>
      </c>
      <c r="E7" s="20" t="n">
        <f aca="false">MIN(A2:A4349)</f>
        <v>41974</v>
      </c>
    </row>
    <row r="8" customFormat="false" ht="15" hidden="false" customHeight="false" outlineLevel="0" collapsed="false">
      <c r="A8" s="16" t="n">
        <v>41980</v>
      </c>
      <c r="D8" s="13" t="s">
        <v>79</v>
      </c>
      <c r="E8" s="21" t="n">
        <f aca="false">MAX(A2:A4349)</f>
        <v>46321</v>
      </c>
    </row>
    <row r="9" customFormat="false" ht="15" hidden="false" customHeight="false" outlineLevel="0" collapsed="false">
      <c r="A9" s="16" t="n">
        <v>41981</v>
      </c>
      <c r="B9" s="17" t="n">
        <v>375</v>
      </c>
    </row>
    <row r="10" customFormat="false" ht="15" hidden="false" customHeight="false" outlineLevel="0" collapsed="false">
      <c r="A10" s="16" t="n">
        <v>41982</v>
      </c>
      <c r="D10" s="22" t="s">
        <v>80</v>
      </c>
    </row>
    <row r="11" customFormat="false" ht="15" hidden="false" customHeight="false" outlineLevel="0" collapsed="false">
      <c r="A11" s="16" t="n">
        <v>41983</v>
      </c>
      <c r="B11" s="17" t="n">
        <v>360.5</v>
      </c>
      <c r="D11" s="22" t="s">
        <v>81</v>
      </c>
    </row>
    <row r="12" customFormat="false" ht="15" hidden="false" customHeight="false" outlineLevel="0" collapsed="false">
      <c r="A12" s="16" t="n">
        <v>41984</v>
      </c>
    </row>
    <row r="13" customFormat="false" ht="15" hidden="false" customHeight="false" outlineLevel="0" collapsed="false">
      <c r="A13" s="16" t="n">
        <v>41985</v>
      </c>
      <c r="B13" s="17" t="n">
        <v>350</v>
      </c>
    </row>
    <row r="14" customFormat="false" ht="15" hidden="false" customHeight="false" outlineLevel="0" collapsed="false">
      <c r="A14" s="16" t="n">
        <v>41986</v>
      </c>
    </row>
    <row r="15" customFormat="false" ht="15" hidden="false" customHeight="false" outlineLevel="0" collapsed="false">
      <c r="A15" s="16" t="n">
        <v>41987</v>
      </c>
    </row>
    <row r="16" customFormat="false" ht="15" hidden="false" customHeight="false" outlineLevel="0" collapsed="false">
      <c r="A16" s="16" t="n">
        <v>41988</v>
      </c>
    </row>
    <row r="17" customFormat="false" ht="15" hidden="false" customHeight="false" outlineLevel="0" collapsed="false">
      <c r="A17" s="16" t="n">
        <v>41989</v>
      </c>
    </row>
    <row r="18" customFormat="false" ht="15" hidden="false" customHeight="false" outlineLevel="0" collapsed="false">
      <c r="A18" s="16" t="n">
        <v>41990</v>
      </c>
    </row>
    <row r="19" customFormat="false" ht="15" hidden="false" customHeight="false" outlineLevel="0" collapsed="false">
      <c r="A19" s="16" t="n">
        <v>41991</v>
      </c>
      <c r="B19" s="17" t="n">
        <v>340</v>
      </c>
    </row>
    <row r="20" customFormat="false" ht="15" hidden="false" customHeight="false" outlineLevel="0" collapsed="false">
      <c r="A20" s="16" t="n">
        <v>41992</v>
      </c>
    </row>
    <row r="21" customFormat="false" ht="15" hidden="false" customHeight="false" outlineLevel="0" collapsed="false">
      <c r="A21" s="16" t="n">
        <v>41993</v>
      </c>
    </row>
    <row r="22" customFormat="false" ht="15" hidden="false" customHeight="false" outlineLevel="0" collapsed="false">
      <c r="A22" s="16" t="n">
        <v>41994</v>
      </c>
    </row>
    <row r="23" customFormat="false" ht="15" hidden="false" customHeight="false" outlineLevel="0" collapsed="false">
      <c r="A23" s="16" t="n">
        <v>41995</v>
      </c>
    </row>
    <row r="24" customFormat="false" ht="15" hidden="false" customHeight="false" outlineLevel="0" collapsed="false">
      <c r="A24" s="16" t="n">
        <v>41996</v>
      </c>
    </row>
    <row r="25" customFormat="false" ht="15" hidden="false" customHeight="false" outlineLevel="0" collapsed="false">
      <c r="A25" s="16" t="n">
        <v>41997</v>
      </c>
    </row>
    <row r="26" customFormat="false" ht="15" hidden="false" customHeight="false" outlineLevel="0" collapsed="false">
      <c r="A26" s="16" t="n">
        <v>41998</v>
      </c>
    </row>
    <row r="27" customFormat="false" ht="15" hidden="false" customHeight="false" outlineLevel="0" collapsed="false">
      <c r="A27" s="16" t="n">
        <v>41999</v>
      </c>
    </row>
    <row r="28" customFormat="false" ht="15" hidden="false" customHeight="false" outlineLevel="0" collapsed="false">
      <c r="A28" s="16" t="n">
        <v>42000</v>
      </c>
    </row>
    <row r="29" customFormat="false" ht="15" hidden="false" customHeight="false" outlineLevel="0" collapsed="false">
      <c r="A29" s="16" t="n">
        <v>42001</v>
      </c>
    </row>
    <row r="30" customFormat="false" ht="15" hidden="false" customHeight="false" outlineLevel="0" collapsed="false">
      <c r="A30" s="16" t="n">
        <v>42002</v>
      </c>
    </row>
    <row r="31" customFormat="false" ht="15" hidden="false" customHeight="false" outlineLevel="0" collapsed="false">
      <c r="A31" s="16" t="n">
        <v>42003</v>
      </c>
    </row>
    <row r="32" customFormat="false" ht="15" hidden="false" customHeight="false" outlineLevel="0" collapsed="false">
      <c r="A32" s="16" t="n">
        <v>42004</v>
      </c>
    </row>
    <row r="33" customFormat="false" ht="15" hidden="false" customHeight="false" outlineLevel="0" collapsed="false">
      <c r="A33" s="16" t="n">
        <v>42005</v>
      </c>
    </row>
    <row r="34" customFormat="false" ht="15" hidden="false" customHeight="false" outlineLevel="0" collapsed="false">
      <c r="A34" s="16" t="n">
        <v>42006</v>
      </c>
    </row>
    <row r="35" customFormat="false" ht="15" hidden="false" customHeight="false" outlineLevel="0" collapsed="false">
      <c r="A35" s="16" t="n">
        <v>42007</v>
      </c>
    </row>
    <row r="36" customFormat="false" ht="15" hidden="false" customHeight="false" outlineLevel="0" collapsed="false">
      <c r="A36" s="16" t="n">
        <v>42008</v>
      </c>
    </row>
    <row r="37" customFormat="false" ht="15" hidden="false" customHeight="false" outlineLevel="0" collapsed="false">
      <c r="A37" s="16" t="n">
        <v>42009</v>
      </c>
    </row>
    <row r="38" customFormat="false" ht="15" hidden="false" customHeight="false" outlineLevel="0" collapsed="false">
      <c r="A38" s="16" t="n">
        <v>42010</v>
      </c>
    </row>
    <row r="39" customFormat="false" ht="15" hidden="false" customHeight="false" outlineLevel="0" collapsed="false">
      <c r="A39" s="16" t="n">
        <v>42011</v>
      </c>
    </row>
    <row r="40" customFormat="false" ht="15" hidden="false" customHeight="false" outlineLevel="0" collapsed="false">
      <c r="A40" s="16" t="n">
        <v>42012</v>
      </c>
      <c r="B40" s="17" t="n">
        <v>288.99</v>
      </c>
    </row>
    <row r="41" customFormat="false" ht="15" hidden="false" customHeight="false" outlineLevel="0" collapsed="false">
      <c r="A41" s="16" t="n">
        <v>42013</v>
      </c>
    </row>
    <row r="42" customFormat="false" ht="15" hidden="false" customHeight="false" outlineLevel="0" collapsed="false">
      <c r="A42" s="16" t="n">
        <v>42014</v>
      </c>
    </row>
    <row r="43" customFormat="false" ht="15" hidden="false" customHeight="false" outlineLevel="0" collapsed="false">
      <c r="A43" s="16" t="n">
        <v>42015</v>
      </c>
    </row>
    <row r="44" customFormat="false" ht="15" hidden="false" customHeight="false" outlineLevel="0" collapsed="false">
      <c r="A44" s="16" t="n">
        <v>42016</v>
      </c>
    </row>
    <row r="45" customFormat="false" ht="15" hidden="false" customHeight="false" outlineLevel="0" collapsed="false">
      <c r="A45" s="16" t="n">
        <v>42017</v>
      </c>
      <c r="B45" s="17" t="n">
        <v>260</v>
      </c>
    </row>
    <row r="46" customFormat="false" ht="15" hidden="false" customHeight="false" outlineLevel="0" collapsed="false">
      <c r="A46" s="16" t="n">
        <v>42018</v>
      </c>
      <c r="B46" s="17" t="n">
        <v>120</v>
      </c>
    </row>
    <row r="47" customFormat="false" ht="15" hidden="false" customHeight="false" outlineLevel="0" collapsed="false">
      <c r="A47" s="16" t="n">
        <v>42019</v>
      </c>
      <c r="B47" s="17" t="n">
        <v>204.22</v>
      </c>
    </row>
    <row r="48" customFormat="false" ht="15" hidden="false" customHeight="false" outlineLevel="0" collapsed="false">
      <c r="A48" s="16" t="n">
        <v>42020</v>
      </c>
      <c r="B48" s="17" t="n">
        <v>199.46</v>
      </c>
    </row>
    <row r="49" customFormat="false" ht="15" hidden="false" customHeight="false" outlineLevel="0" collapsed="false">
      <c r="A49" s="16" t="n">
        <v>42021</v>
      </c>
      <c r="B49" s="17" t="n">
        <v>184</v>
      </c>
    </row>
    <row r="50" customFormat="false" ht="15" hidden="false" customHeight="false" outlineLevel="0" collapsed="false">
      <c r="A50" s="16" t="n">
        <v>42022</v>
      </c>
    </row>
    <row r="51" customFormat="false" ht="15" hidden="false" customHeight="false" outlineLevel="0" collapsed="false">
      <c r="A51" s="16" t="n">
        <v>42023</v>
      </c>
      <c r="B51" s="17" t="n">
        <v>225.51</v>
      </c>
    </row>
    <row r="52" customFormat="false" ht="15" hidden="false" customHeight="false" outlineLevel="0" collapsed="false">
      <c r="A52" s="16" t="n">
        <v>42024</v>
      </c>
      <c r="B52" s="17" t="n">
        <v>218</v>
      </c>
    </row>
    <row r="53" customFormat="false" ht="15" hidden="false" customHeight="false" outlineLevel="0" collapsed="false">
      <c r="A53" s="16" t="n">
        <v>42025</v>
      </c>
      <c r="B53" s="17" t="n">
        <v>225.51</v>
      </c>
    </row>
    <row r="54" customFormat="false" ht="15" hidden="false" customHeight="false" outlineLevel="0" collapsed="false">
      <c r="A54" s="16" t="n">
        <v>42026</v>
      </c>
      <c r="B54" s="17" t="n">
        <v>226.32</v>
      </c>
    </row>
    <row r="55" customFormat="false" ht="15" hidden="false" customHeight="false" outlineLevel="0" collapsed="false">
      <c r="A55" s="16" t="n">
        <v>42027</v>
      </c>
      <c r="B55" s="17" t="n">
        <v>235</v>
      </c>
    </row>
    <row r="56" customFormat="false" ht="15" hidden="false" customHeight="false" outlineLevel="0" collapsed="false">
      <c r="A56" s="16" t="n">
        <v>42028</v>
      </c>
      <c r="B56" s="17" t="n">
        <v>240</v>
      </c>
    </row>
    <row r="57" customFormat="false" ht="15" hidden="false" customHeight="false" outlineLevel="0" collapsed="false">
      <c r="A57" s="16" t="n">
        <v>42029</v>
      </c>
      <c r="B57" s="17" t="n">
        <v>254.53</v>
      </c>
    </row>
    <row r="58" customFormat="false" ht="15" hidden="false" customHeight="false" outlineLevel="0" collapsed="false">
      <c r="A58" s="16" t="n">
        <v>42030</v>
      </c>
      <c r="B58" s="17" t="n">
        <v>274.48</v>
      </c>
    </row>
    <row r="59" customFormat="false" ht="15" hidden="false" customHeight="false" outlineLevel="0" collapsed="false">
      <c r="A59" s="16" t="n">
        <v>42031</v>
      </c>
      <c r="B59" s="17" t="n">
        <v>263.65</v>
      </c>
    </row>
    <row r="60" customFormat="false" ht="15" hidden="false" customHeight="false" outlineLevel="0" collapsed="false">
      <c r="A60" s="16" t="n">
        <v>42032</v>
      </c>
      <c r="B60" s="17" t="n">
        <v>236.09</v>
      </c>
    </row>
    <row r="61" customFormat="false" ht="15" hidden="false" customHeight="false" outlineLevel="0" collapsed="false">
      <c r="A61" s="16" t="n">
        <v>42033</v>
      </c>
      <c r="B61" s="17" t="n">
        <v>235.03</v>
      </c>
    </row>
    <row r="62" customFormat="false" ht="15" hidden="false" customHeight="false" outlineLevel="0" collapsed="false">
      <c r="A62" s="16" t="n">
        <v>42034</v>
      </c>
      <c r="B62" s="17" t="n">
        <v>229.07</v>
      </c>
    </row>
    <row r="63" customFormat="false" ht="15" hidden="false" customHeight="false" outlineLevel="0" collapsed="false">
      <c r="A63" s="16" t="n">
        <v>42035</v>
      </c>
      <c r="B63" s="17" t="n">
        <v>218.45</v>
      </c>
    </row>
    <row r="64" customFormat="false" ht="15" hidden="false" customHeight="false" outlineLevel="0" collapsed="false">
      <c r="A64" s="16" t="n">
        <v>42036</v>
      </c>
      <c r="B64" s="17" t="n">
        <v>228.99</v>
      </c>
    </row>
    <row r="65" customFormat="false" ht="15" hidden="false" customHeight="false" outlineLevel="0" collapsed="false">
      <c r="A65" s="16" t="n">
        <v>42037</v>
      </c>
      <c r="B65" s="17" t="n">
        <v>237.83</v>
      </c>
    </row>
    <row r="66" customFormat="false" ht="15" hidden="false" customHeight="false" outlineLevel="0" collapsed="false">
      <c r="A66" s="16" t="n">
        <v>42038</v>
      </c>
      <c r="B66" s="17" t="n">
        <v>228.58</v>
      </c>
    </row>
    <row r="67" customFormat="false" ht="15" hidden="false" customHeight="false" outlineLevel="0" collapsed="false">
      <c r="A67" s="16" t="n">
        <v>42039</v>
      </c>
      <c r="B67" s="17" t="n">
        <v>227.11</v>
      </c>
    </row>
    <row r="68" customFormat="false" ht="15" hidden="false" customHeight="false" outlineLevel="0" collapsed="false">
      <c r="A68" s="16" t="n">
        <v>42040</v>
      </c>
      <c r="B68" s="17" t="n">
        <v>216.76</v>
      </c>
    </row>
    <row r="69" customFormat="false" ht="15" hidden="false" customHeight="false" outlineLevel="0" collapsed="false">
      <c r="A69" s="16" t="n">
        <v>42041</v>
      </c>
      <c r="B69" s="17" t="n">
        <v>223.2</v>
      </c>
    </row>
    <row r="70" customFormat="false" ht="15" hidden="false" customHeight="false" outlineLevel="0" collapsed="false">
      <c r="A70" s="16" t="n">
        <v>42042</v>
      </c>
      <c r="B70" s="17" t="n">
        <v>229</v>
      </c>
    </row>
    <row r="71" customFormat="false" ht="15" hidden="false" customHeight="false" outlineLevel="0" collapsed="false">
      <c r="A71" s="16" t="n">
        <v>42043</v>
      </c>
      <c r="B71" s="17" t="n">
        <v>223.99</v>
      </c>
    </row>
    <row r="72" customFormat="false" ht="15" hidden="false" customHeight="false" outlineLevel="0" collapsed="false">
      <c r="A72" s="16" t="n">
        <v>42044</v>
      </c>
      <c r="B72" s="17" t="n">
        <v>221.1</v>
      </c>
    </row>
    <row r="73" customFormat="false" ht="15" hidden="false" customHeight="false" outlineLevel="0" collapsed="false">
      <c r="A73" s="16" t="n">
        <v>42045</v>
      </c>
      <c r="B73" s="17" t="n">
        <v>220.87</v>
      </c>
    </row>
    <row r="74" customFormat="false" ht="15" hidden="false" customHeight="false" outlineLevel="0" collapsed="false">
      <c r="A74" s="16" t="n">
        <v>42046</v>
      </c>
      <c r="B74" s="17" t="n">
        <v>219.81</v>
      </c>
    </row>
    <row r="75" customFormat="false" ht="15" hidden="false" customHeight="false" outlineLevel="0" collapsed="false">
      <c r="A75" s="16" t="n">
        <v>42047</v>
      </c>
      <c r="B75" s="17" t="n">
        <v>223.21</v>
      </c>
    </row>
    <row r="76" customFormat="false" ht="15" hidden="false" customHeight="false" outlineLevel="0" collapsed="false">
      <c r="A76" s="16" t="n">
        <v>42048</v>
      </c>
      <c r="B76" s="17" t="n">
        <v>236.49</v>
      </c>
    </row>
    <row r="77" customFormat="false" ht="15" hidden="false" customHeight="false" outlineLevel="0" collapsed="false">
      <c r="A77" s="16" t="n">
        <v>42049</v>
      </c>
      <c r="B77" s="17" t="n">
        <v>256.66</v>
      </c>
    </row>
    <row r="78" customFormat="false" ht="15" hidden="false" customHeight="false" outlineLevel="0" collapsed="false">
      <c r="A78" s="16" t="n">
        <v>42050</v>
      </c>
      <c r="B78" s="17" t="n">
        <v>235.54</v>
      </c>
    </row>
    <row r="79" customFormat="false" ht="15" hidden="false" customHeight="false" outlineLevel="0" collapsed="false">
      <c r="A79" s="16" t="n">
        <v>42051</v>
      </c>
      <c r="B79" s="17" t="n">
        <v>234.68</v>
      </c>
    </row>
    <row r="80" customFormat="false" ht="15" hidden="false" customHeight="false" outlineLevel="0" collapsed="false">
      <c r="A80" s="16" t="n">
        <v>42052</v>
      </c>
      <c r="B80" s="17" t="n">
        <v>244.82</v>
      </c>
    </row>
    <row r="81" customFormat="false" ht="15" hidden="false" customHeight="false" outlineLevel="0" collapsed="false">
      <c r="A81" s="16" t="n">
        <v>42053</v>
      </c>
      <c r="B81" s="17" t="n">
        <v>237.49</v>
      </c>
    </row>
    <row r="82" customFormat="false" ht="15" hidden="false" customHeight="false" outlineLevel="0" collapsed="false">
      <c r="A82" s="16" t="n">
        <v>42054</v>
      </c>
      <c r="B82" s="17" t="n">
        <v>240.9</v>
      </c>
    </row>
    <row r="83" customFormat="false" ht="15" hidden="false" customHeight="false" outlineLevel="0" collapsed="false">
      <c r="A83" s="16" t="n">
        <v>42055</v>
      </c>
      <c r="B83" s="17" t="n">
        <v>245.34</v>
      </c>
    </row>
    <row r="84" customFormat="false" ht="15" hidden="false" customHeight="false" outlineLevel="0" collapsed="false">
      <c r="A84" s="16" t="n">
        <v>42056</v>
      </c>
      <c r="B84" s="17" t="n">
        <v>245.99</v>
      </c>
    </row>
    <row r="85" customFormat="false" ht="15" hidden="false" customHeight="false" outlineLevel="0" collapsed="false">
      <c r="A85" s="16" t="n">
        <v>42057</v>
      </c>
      <c r="B85" s="17" t="n">
        <v>236.83</v>
      </c>
    </row>
    <row r="86" customFormat="false" ht="15" hidden="false" customHeight="false" outlineLevel="0" collapsed="false">
      <c r="A86" s="16" t="n">
        <v>42058</v>
      </c>
      <c r="B86" s="17" t="n">
        <v>239.49</v>
      </c>
    </row>
    <row r="87" customFormat="false" ht="15" hidden="false" customHeight="false" outlineLevel="0" collapsed="false">
      <c r="A87" s="16" t="n">
        <v>42059</v>
      </c>
      <c r="B87" s="17" t="n">
        <v>239.87</v>
      </c>
    </row>
    <row r="88" customFormat="false" ht="15" hidden="false" customHeight="false" outlineLevel="0" collapsed="false">
      <c r="A88" s="16" t="n">
        <v>42060</v>
      </c>
      <c r="B88" s="17" t="n">
        <v>238.19</v>
      </c>
    </row>
    <row r="89" customFormat="false" ht="15" hidden="false" customHeight="false" outlineLevel="0" collapsed="false">
      <c r="A89" s="16" t="n">
        <v>42061</v>
      </c>
      <c r="B89" s="17" t="n">
        <v>237.11</v>
      </c>
    </row>
    <row r="90" customFormat="false" ht="15" hidden="false" customHeight="false" outlineLevel="0" collapsed="false">
      <c r="A90" s="16" t="n">
        <v>42062</v>
      </c>
      <c r="B90" s="17" t="n">
        <v>254.42</v>
      </c>
    </row>
    <row r="91" customFormat="false" ht="15" hidden="false" customHeight="false" outlineLevel="0" collapsed="false">
      <c r="A91" s="16" t="n">
        <v>42063</v>
      </c>
      <c r="B91" s="17" t="n">
        <v>255.59</v>
      </c>
    </row>
    <row r="92" customFormat="false" ht="15" hidden="false" customHeight="false" outlineLevel="0" collapsed="false">
      <c r="A92" s="16" t="n">
        <v>42064</v>
      </c>
      <c r="B92" s="17" t="n">
        <v>260.24</v>
      </c>
    </row>
    <row r="93" customFormat="false" ht="15" hidden="false" customHeight="false" outlineLevel="0" collapsed="false">
      <c r="A93" s="16" t="n">
        <v>42065</v>
      </c>
      <c r="B93" s="17" t="n">
        <v>276.7</v>
      </c>
    </row>
    <row r="94" customFormat="false" ht="15" hidden="false" customHeight="false" outlineLevel="0" collapsed="false">
      <c r="A94" s="16" t="n">
        <v>42066</v>
      </c>
      <c r="B94" s="17" t="n">
        <v>283.27</v>
      </c>
    </row>
    <row r="95" customFormat="false" ht="15" hidden="false" customHeight="false" outlineLevel="0" collapsed="false">
      <c r="A95" s="16" t="n">
        <v>42067</v>
      </c>
      <c r="B95" s="17" t="n">
        <v>273.37</v>
      </c>
    </row>
    <row r="96" customFormat="false" ht="15" hidden="false" customHeight="false" outlineLevel="0" collapsed="false">
      <c r="A96" s="16" t="n">
        <v>42068</v>
      </c>
      <c r="B96" s="17" t="n">
        <v>276.86</v>
      </c>
    </row>
    <row r="97" customFormat="false" ht="15" hidden="false" customHeight="false" outlineLevel="0" collapsed="false">
      <c r="A97" s="16" t="n">
        <v>42069</v>
      </c>
      <c r="B97" s="17" t="n">
        <v>273.23</v>
      </c>
    </row>
    <row r="98" customFormat="false" ht="15" hidden="false" customHeight="false" outlineLevel="0" collapsed="false">
      <c r="A98" s="16" t="n">
        <v>42070</v>
      </c>
      <c r="B98" s="17" t="n">
        <v>276.89</v>
      </c>
    </row>
    <row r="99" customFormat="false" ht="15" hidden="false" customHeight="false" outlineLevel="0" collapsed="false">
      <c r="A99" s="16" t="n">
        <v>42071</v>
      </c>
      <c r="B99" s="17" t="n">
        <v>275.5</v>
      </c>
    </row>
    <row r="100" customFormat="false" ht="15" hidden="false" customHeight="false" outlineLevel="0" collapsed="false">
      <c r="A100" s="16" t="n">
        <v>42072</v>
      </c>
      <c r="B100" s="17" t="n">
        <v>290.19</v>
      </c>
    </row>
    <row r="101" customFormat="false" ht="15" hidden="false" customHeight="false" outlineLevel="0" collapsed="false">
      <c r="A101" s="16" t="n">
        <v>42073</v>
      </c>
      <c r="B101" s="17" t="n">
        <v>293.47</v>
      </c>
    </row>
    <row r="102" customFormat="false" ht="15" hidden="false" customHeight="false" outlineLevel="0" collapsed="false">
      <c r="A102" s="16" t="n">
        <v>42074</v>
      </c>
      <c r="B102" s="17" t="n">
        <v>296.99</v>
      </c>
    </row>
    <row r="103" customFormat="false" ht="15" hidden="false" customHeight="false" outlineLevel="0" collapsed="false">
      <c r="A103" s="16" t="n">
        <v>42075</v>
      </c>
      <c r="B103" s="17" t="n">
        <v>296.05</v>
      </c>
    </row>
    <row r="104" customFormat="false" ht="15" hidden="false" customHeight="false" outlineLevel="0" collapsed="false">
      <c r="A104" s="16" t="n">
        <v>42076</v>
      </c>
      <c r="B104" s="17" t="n">
        <v>284</v>
      </c>
    </row>
    <row r="105" customFormat="false" ht="15" hidden="false" customHeight="false" outlineLevel="0" collapsed="false">
      <c r="A105" s="16" t="n">
        <v>42077</v>
      </c>
      <c r="B105" s="17" t="n">
        <v>283.95</v>
      </c>
    </row>
    <row r="106" customFormat="false" ht="15" hidden="false" customHeight="false" outlineLevel="0" collapsed="false">
      <c r="A106" s="16" t="n">
        <v>42078</v>
      </c>
      <c r="B106" s="17" t="n">
        <v>288</v>
      </c>
    </row>
    <row r="107" customFormat="false" ht="15" hidden="false" customHeight="false" outlineLevel="0" collapsed="false">
      <c r="A107" s="16" t="n">
        <v>42079</v>
      </c>
      <c r="B107" s="17" t="n">
        <v>292.37</v>
      </c>
    </row>
    <row r="108" customFormat="false" ht="15" hidden="false" customHeight="false" outlineLevel="0" collapsed="false">
      <c r="A108" s="16" t="n">
        <v>42080</v>
      </c>
      <c r="B108" s="17" t="n">
        <v>286.74</v>
      </c>
    </row>
    <row r="109" customFormat="false" ht="15" hidden="false" customHeight="false" outlineLevel="0" collapsed="false">
      <c r="A109" s="16" t="n">
        <v>42081</v>
      </c>
      <c r="B109" s="17" t="n">
        <v>258.5</v>
      </c>
    </row>
    <row r="110" customFormat="false" ht="15" hidden="false" customHeight="false" outlineLevel="0" collapsed="false">
      <c r="A110" s="16" t="n">
        <v>42082</v>
      </c>
      <c r="B110" s="17" t="n">
        <v>263.05</v>
      </c>
    </row>
    <row r="111" customFormat="false" ht="15" hidden="false" customHeight="false" outlineLevel="0" collapsed="false">
      <c r="A111" s="16" t="n">
        <v>42083</v>
      </c>
      <c r="B111" s="17" t="n">
        <v>263.31</v>
      </c>
    </row>
    <row r="112" customFormat="false" ht="15" hidden="false" customHeight="false" outlineLevel="0" collapsed="false">
      <c r="A112" s="16" t="n">
        <v>42084</v>
      </c>
      <c r="B112" s="17" t="n">
        <v>261.9</v>
      </c>
    </row>
    <row r="113" customFormat="false" ht="15" hidden="false" customHeight="false" outlineLevel="0" collapsed="false">
      <c r="A113" s="16" t="n">
        <v>42085</v>
      </c>
      <c r="B113" s="17" t="n">
        <v>269.45</v>
      </c>
    </row>
    <row r="114" customFormat="false" ht="15" hidden="false" customHeight="false" outlineLevel="0" collapsed="false">
      <c r="A114" s="16" t="n">
        <v>42086</v>
      </c>
      <c r="B114" s="17" t="n">
        <v>267.53</v>
      </c>
    </row>
    <row r="115" customFormat="false" ht="15" hidden="false" customHeight="false" outlineLevel="0" collapsed="false">
      <c r="A115" s="16" t="n">
        <v>42087</v>
      </c>
      <c r="B115" s="17" t="n">
        <v>246.15</v>
      </c>
    </row>
    <row r="116" customFormat="false" ht="15" hidden="false" customHeight="false" outlineLevel="0" collapsed="false">
      <c r="A116" s="16" t="n">
        <v>42088</v>
      </c>
      <c r="B116" s="17" t="n">
        <v>246.88</v>
      </c>
    </row>
    <row r="117" customFormat="false" ht="15" hidden="false" customHeight="false" outlineLevel="0" collapsed="false">
      <c r="A117" s="16" t="n">
        <v>42089</v>
      </c>
      <c r="B117" s="17" t="n">
        <v>249.88</v>
      </c>
    </row>
    <row r="118" customFormat="false" ht="15" hidden="false" customHeight="false" outlineLevel="0" collapsed="false">
      <c r="A118" s="16" t="n">
        <v>42090</v>
      </c>
      <c r="B118" s="17" t="n">
        <v>247.81</v>
      </c>
    </row>
    <row r="119" customFormat="false" ht="15" hidden="false" customHeight="false" outlineLevel="0" collapsed="false">
      <c r="A119" s="16" t="n">
        <v>42091</v>
      </c>
      <c r="B119" s="17" t="n">
        <v>253.52</v>
      </c>
    </row>
    <row r="120" customFormat="false" ht="15" hidden="false" customHeight="false" outlineLevel="0" collapsed="false">
      <c r="A120" s="16" t="n">
        <v>42092</v>
      </c>
      <c r="B120" s="17" t="n">
        <v>243.69</v>
      </c>
    </row>
    <row r="121" customFormat="false" ht="15" hidden="false" customHeight="false" outlineLevel="0" collapsed="false">
      <c r="A121" s="16" t="n">
        <v>42093</v>
      </c>
      <c r="B121" s="17" t="n">
        <v>248.78</v>
      </c>
    </row>
    <row r="122" customFormat="false" ht="15" hidden="false" customHeight="false" outlineLevel="0" collapsed="false">
      <c r="A122" s="16" t="n">
        <v>42094</v>
      </c>
      <c r="B122" s="17" t="n">
        <v>245.5</v>
      </c>
    </row>
    <row r="123" customFormat="false" ht="15" hidden="false" customHeight="false" outlineLevel="0" collapsed="false">
      <c r="A123" s="16" t="n">
        <v>42095</v>
      </c>
      <c r="B123" s="17" t="n">
        <v>247.87</v>
      </c>
    </row>
    <row r="124" customFormat="false" ht="15" hidden="false" customHeight="false" outlineLevel="0" collapsed="false">
      <c r="A124" s="16" t="n">
        <v>42096</v>
      </c>
      <c r="B124" s="17" t="n">
        <v>254.39</v>
      </c>
    </row>
    <row r="125" customFormat="false" ht="15" hidden="false" customHeight="false" outlineLevel="0" collapsed="false">
      <c r="A125" s="16" t="n">
        <v>42097</v>
      </c>
      <c r="B125" s="17" t="n">
        <v>254.84</v>
      </c>
    </row>
    <row r="126" customFormat="false" ht="15" hidden="false" customHeight="false" outlineLevel="0" collapsed="false">
      <c r="A126" s="16" t="n">
        <v>42098</v>
      </c>
      <c r="B126" s="17" t="n">
        <v>254.36</v>
      </c>
    </row>
    <row r="127" customFormat="false" ht="15" hidden="false" customHeight="false" outlineLevel="0" collapsed="false">
      <c r="A127" s="16" t="n">
        <v>42099</v>
      </c>
      <c r="B127" s="17" t="n">
        <v>261.47</v>
      </c>
    </row>
    <row r="128" customFormat="false" ht="15" hidden="false" customHeight="false" outlineLevel="0" collapsed="false">
      <c r="A128" s="16" t="n">
        <v>42100</v>
      </c>
      <c r="B128" s="17" t="n">
        <v>256.85</v>
      </c>
    </row>
    <row r="129" customFormat="false" ht="15" hidden="false" customHeight="false" outlineLevel="0" collapsed="false">
      <c r="A129" s="16" t="n">
        <v>42101</v>
      </c>
      <c r="B129" s="17" t="n">
        <v>254.27</v>
      </c>
    </row>
    <row r="130" customFormat="false" ht="15" hidden="false" customHeight="false" outlineLevel="0" collapsed="false">
      <c r="A130" s="16" t="n">
        <v>42102</v>
      </c>
      <c r="B130" s="17" t="n">
        <v>246.58</v>
      </c>
    </row>
    <row r="131" customFormat="false" ht="15" hidden="false" customHeight="false" outlineLevel="0" collapsed="false">
      <c r="A131" s="16" t="n">
        <v>42103</v>
      </c>
      <c r="B131" s="17" t="n">
        <v>244.74</v>
      </c>
    </row>
    <row r="132" customFormat="false" ht="15" hidden="false" customHeight="false" outlineLevel="0" collapsed="false">
      <c r="A132" s="16" t="n">
        <v>42104</v>
      </c>
      <c r="B132" s="17" t="n">
        <v>236.78</v>
      </c>
    </row>
    <row r="133" customFormat="false" ht="15" hidden="false" customHeight="false" outlineLevel="0" collapsed="false">
      <c r="A133" s="16" t="n">
        <v>42105</v>
      </c>
      <c r="B133" s="17" t="n">
        <v>237.91</v>
      </c>
    </row>
    <row r="134" customFormat="false" ht="15" hidden="false" customHeight="false" outlineLevel="0" collapsed="false">
      <c r="A134" s="16" t="n">
        <v>42106</v>
      </c>
      <c r="B134" s="17" t="n">
        <v>237.55</v>
      </c>
    </row>
    <row r="135" customFormat="false" ht="15" hidden="false" customHeight="false" outlineLevel="0" collapsed="false">
      <c r="A135" s="16" t="n">
        <v>42107</v>
      </c>
      <c r="B135" s="17" t="n">
        <v>225.73</v>
      </c>
    </row>
    <row r="136" customFormat="false" ht="15" hidden="false" customHeight="false" outlineLevel="0" collapsed="false">
      <c r="A136" s="16" t="n">
        <v>42108</v>
      </c>
      <c r="B136" s="17" t="n">
        <v>221.05</v>
      </c>
    </row>
    <row r="137" customFormat="false" ht="15" hidden="false" customHeight="false" outlineLevel="0" collapsed="false">
      <c r="A137" s="16" t="n">
        <v>42109</v>
      </c>
      <c r="B137" s="17" t="n">
        <v>224.35</v>
      </c>
    </row>
    <row r="138" customFormat="false" ht="15" hidden="false" customHeight="false" outlineLevel="0" collapsed="false">
      <c r="A138" s="16" t="n">
        <v>42110</v>
      </c>
      <c r="B138" s="17" t="n">
        <v>229.45</v>
      </c>
    </row>
    <row r="139" customFormat="false" ht="15" hidden="false" customHeight="false" outlineLevel="0" collapsed="false">
      <c r="A139" s="16" t="n">
        <v>42111</v>
      </c>
      <c r="B139" s="17" t="n">
        <v>223.62</v>
      </c>
    </row>
    <row r="140" customFormat="false" ht="15" hidden="false" customHeight="false" outlineLevel="0" collapsed="false">
      <c r="A140" s="16" t="n">
        <v>42112</v>
      </c>
      <c r="B140" s="17" t="n">
        <v>224.02</v>
      </c>
    </row>
    <row r="141" customFormat="false" ht="15" hidden="false" customHeight="false" outlineLevel="0" collapsed="false">
      <c r="A141" s="16" t="n">
        <v>42113</v>
      </c>
      <c r="B141" s="17" t="n">
        <v>224.03</v>
      </c>
    </row>
    <row r="142" customFormat="false" ht="15" hidden="false" customHeight="false" outlineLevel="0" collapsed="false">
      <c r="A142" s="16" t="n">
        <v>42114</v>
      </c>
      <c r="B142" s="17" t="n">
        <v>225.37</v>
      </c>
    </row>
    <row r="143" customFormat="false" ht="15" hidden="false" customHeight="false" outlineLevel="0" collapsed="false">
      <c r="A143" s="16" t="n">
        <v>42115</v>
      </c>
      <c r="B143" s="17" t="n">
        <v>235.89</v>
      </c>
    </row>
    <row r="144" customFormat="false" ht="15" hidden="false" customHeight="false" outlineLevel="0" collapsed="false">
      <c r="A144" s="16" t="n">
        <v>42116</v>
      </c>
      <c r="B144" s="17" t="n">
        <v>233.98</v>
      </c>
    </row>
    <row r="145" customFormat="false" ht="15" hidden="false" customHeight="false" outlineLevel="0" collapsed="false">
      <c r="A145" s="16" t="n">
        <v>42117</v>
      </c>
      <c r="B145" s="17" t="n">
        <v>235.99</v>
      </c>
    </row>
    <row r="146" customFormat="false" ht="15" hidden="false" customHeight="false" outlineLevel="0" collapsed="false">
      <c r="A146" s="16" t="n">
        <v>42118</v>
      </c>
      <c r="B146" s="17" t="n">
        <v>231.51</v>
      </c>
    </row>
    <row r="147" customFormat="false" ht="15" hidden="false" customHeight="false" outlineLevel="0" collapsed="false">
      <c r="A147" s="16" t="n">
        <v>42119</v>
      </c>
      <c r="B147" s="17" t="n">
        <v>227.05</v>
      </c>
    </row>
    <row r="148" customFormat="false" ht="15" hidden="false" customHeight="false" outlineLevel="0" collapsed="false">
      <c r="A148" s="16" t="n">
        <v>42120</v>
      </c>
      <c r="B148" s="17" t="n">
        <v>221.27</v>
      </c>
    </row>
    <row r="149" customFormat="false" ht="15" hidden="false" customHeight="false" outlineLevel="0" collapsed="false">
      <c r="A149" s="16" t="n">
        <v>42121</v>
      </c>
      <c r="B149" s="17" t="n">
        <v>227.58</v>
      </c>
    </row>
    <row r="150" customFormat="false" ht="15" hidden="false" customHeight="false" outlineLevel="0" collapsed="false">
      <c r="A150" s="16" t="n">
        <v>42122</v>
      </c>
      <c r="B150" s="17" t="n">
        <v>225.64</v>
      </c>
    </row>
    <row r="151" customFormat="false" ht="15" hidden="false" customHeight="false" outlineLevel="0" collapsed="false">
      <c r="A151" s="16" t="n">
        <v>42123</v>
      </c>
      <c r="B151" s="17" t="n">
        <v>225.6</v>
      </c>
    </row>
    <row r="152" customFormat="false" ht="15" hidden="false" customHeight="false" outlineLevel="0" collapsed="false">
      <c r="A152" s="16" t="n">
        <v>42124</v>
      </c>
      <c r="B152" s="17" t="n">
        <v>236.81</v>
      </c>
    </row>
    <row r="153" customFormat="false" ht="15" hidden="false" customHeight="false" outlineLevel="0" collapsed="false">
      <c r="A153" s="16" t="n">
        <v>42125</v>
      </c>
      <c r="B153" s="17" t="n">
        <v>233.14</v>
      </c>
    </row>
    <row r="154" customFormat="false" ht="15" hidden="false" customHeight="false" outlineLevel="0" collapsed="false">
      <c r="A154" s="16" t="n">
        <v>42126</v>
      </c>
      <c r="B154" s="17" t="n">
        <v>235.94</v>
      </c>
    </row>
    <row r="155" customFormat="false" ht="15" hidden="false" customHeight="false" outlineLevel="0" collapsed="false">
      <c r="A155" s="16" t="n">
        <v>42127</v>
      </c>
      <c r="B155" s="17" t="n">
        <v>240.78</v>
      </c>
    </row>
    <row r="156" customFormat="false" ht="15" hidden="false" customHeight="false" outlineLevel="0" collapsed="false">
      <c r="A156" s="16" t="n">
        <v>42128</v>
      </c>
      <c r="B156" s="17" t="n">
        <v>239.75</v>
      </c>
    </row>
    <row r="157" customFormat="false" ht="15" hidden="false" customHeight="false" outlineLevel="0" collapsed="false">
      <c r="A157" s="16" t="n">
        <v>42129</v>
      </c>
      <c r="B157" s="17" t="n">
        <v>236.76</v>
      </c>
    </row>
    <row r="158" customFormat="false" ht="15" hidden="false" customHeight="false" outlineLevel="0" collapsed="false">
      <c r="A158" s="16" t="n">
        <v>42130</v>
      </c>
      <c r="B158" s="17" t="n">
        <v>230</v>
      </c>
    </row>
    <row r="159" customFormat="false" ht="15" hidden="false" customHeight="false" outlineLevel="0" collapsed="false">
      <c r="A159" s="16" t="n">
        <v>42131</v>
      </c>
      <c r="B159" s="17" t="n">
        <v>237.99</v>
      </c>
    </row>
    <row r="160" customFormat="false" ht="15" hidden="false" customHeight="false" outlineLevel="0" collapsed="false">
      <c r="A160" s="16" t="n">
        <v>42132</v>
      </c>
      <c r="B160" s="17" t="n">
        <v>244.54</v>
      </c>
    </row>
    <row r="161" customFormat="false" ht="15" hidden="false" customHeight="false" outlineLevel="0" collapsed="false">
      <c r="A161" s="16" t="n">
        <v>42133</v>
      </c>
      <c r="B161" s="17" t="n">
        <v>242.5</v>
      </c>
    </row>
    <row r="162" customFormat="false" ht="15" hidden="false" customHeight="false" outlineLevel="0" collapsed="false">
      <c r="A162" s="16" t="n">
        <v>42134</v>
      </c>
      <c r="B162" s="17" t="n">
        <v>241.57</v>
      </c>
    </row>
    <row r="163" customFormat="false" ht="15" hidden="false" customHeight="false" outlineLevel="0" collapsed="false">
      <c r="A163" s="16" t="n">
        <v>42135</v>
      </c>
      <c r="B163" s="17" t="n">
        <v>242.86</v>
      </c>
    </row>
    <row r="164" customFormat="false" ht="15" hidden="false" customHeight="false" outlineLevel="0" collapsed="false">
      <c r="A164" s="16" t="n">
        <v>42136</v>
      </c>
      <c r="B164" s="17" t="n">
        <v>242.03</v>
      </c>
    </row>
    <row r="165" customFormat="false" ht="15" hidden="false" customHeight="false" outlineLevel="0" collapsed="false">
      <c r="A165" s="16" t="n">
        <v>42137</v>
      </c>
      <c r="B165" s="17" t="n">
        <v>236.32</v>
      </c>
    </row>
    <row r="166" customFormat="false" ht="15" hidden="false" customHeight="false" outlineLevel="0" collapsed="false">
      <c r="A166" s="16" t="n">
        <v>42138</v>
      </c>
      <c r="B166" s="17" t="n">
        <v>237.46</v>
      </c>
    </row>
    <row r="167" customFormat="false" ht="15" hidden="false" customHeight="false" outlineLevel="0" collapsed="false">
      <c r="A167" s="16" t="n">
        <v>42139</v>
      </c>
      <c r="B167" s="17" t="n">
        <v>237.82</v>
      </c>
    </row>
    <row r="168" customFormat="false" ht="15" hidden="false" customHeight="false" outlineLevel="0" collapsed="false">
      <c r="A168" s="16" t="n">
        <v>42140</v>
      </c>
      <c r="B168" s="17" t="n">
        <v>236.73</v>
      </c>
    </row>
    <row r="169" customFormat="false" ht="15" hidden="false" customHeight="false" outlineLevel="0" collapsed="false">
      <c r="A169" s="16" t="n">
        <v>42141</v>
      </c>
      <c r="B169" s="17" t="n">
        <v>237.12</v>
      </c>
    </row>
    <row r="170" customFormat="false" ht="15" hidden="false" customHeight="false" outlineLevel="0" collapsed="false">
      <c r="A170" s="16" t="n">
        <v>42142</v>
      </c>
      <c r="B170" s="17" t="n">
        <v>234.04</v>
      </c>
    </row>
    <row r="171" customFormat="false" ht="15" hidden="false" customHeight="false" outlineLevel="0" collapsed="false">
      <c r="A171" s="16" t="n">
        <v>42143</v>
      </c>
      <c r="B171" s="17" t="n">
        <v>232.59</v>
      </c>
    </row>
    <row r="172" customFormat="false" ht="15" hidden="false" customHeight="false" outlineLevel="0" collapsed="false">
      <c r="A172" s="16" t="n">
        <v>42144</v>
      </c>
      <c r="B172" s="17" t="n">
        <v>234.54</v>
      </c>
    </row>
    <row r="173" customFormat="false" ht="15" hidden="false" customHeight="false" outlineLevel="0" collapsed="false">
      <c r="A173" s="16" t="n">
        <v>42145</v>
      </c>
      <c r="B173" s="17" t="n">
        <v>235.77</v>
      </c>
    </row>
    <row r="174" customFormat="false" ht="15" hidden="false" customHeight="false" outlineLevel="0" collapsed="false">
      <c r="A174" s="16" t="n">
        <v>42146</v>
      </c>
      <c r="B174" s="17" t="n">
        <v>240.45</v>
      </c>
    </row>
    <row r="175" customFormat="false" ht="15" hidden="false" customHeight="false" outlineLevel="0" collapsed="false">
      <c r="A175" s="16" t="n">
        <v>42147</v>
      </c>
      <c r="B175" s="17" t="n">
        <v>239.36</v>
      </c>
    </row>
    <row r="176" customFormat="false" ht="15" hidden="false" customHeight="false" outlineLevel="0" collapsed="false">
      <c r="A176" s="16" t="n">
        <v>42148</v>
      </c>
      <c r="B176" s="17" t="n">
        <v>240.82</v>
      </c>
    </row>
    <row r="177" customFormat="false" ht="15" hidden="false" customHeight="false" outlineLevel="0" collapsed="false">
      <c r="A177" s="16" t="n">
        <v>42149</v>
      </c>
      <c r="B177" s="17" t="n">
        <v>237.43</v>
      </c>
    </row>
    <row r="178" customFormat="false" ht="15" hidden="false" customHeight="false" outlineLevel="0" collapsed="false">
      <c r="A178" s="16" t="n">
        <v>42150</v>
      </c>
      <c r="B178" s="17" t="n">
        <v>236.79</v>
      </c>
    </row>
    <row r="179" customFormat="false" ht="15" hidden="false" customHeight="false" outlineLevel="0" collapsed="false">
      <c r="A179" s="16" t="n">
        <v>42151</v>
      </c>
      <c r="B179" s="17" t="n">
        <v>237.35</v>
      </c>
    </row>
    <row r="180" customFormat="false" ht="15" hidden="false" customHeight="false" outlineLevel="0" collapsed="false">
      <c r="A180" s="16" t="n">
        <v>42152</v>
      </c>
      <c r="B180" s="17" t="n">
        <v>237.34</v>
      </c>
    </row>
    <row r="181" customFormat="false" ht="15" hidden="false" customHeight="false" outlineLevel="0" collapsed="false">
      <c r="A181" s="16" t="n">
        <v>42153</v>
      </c>
      <c r="B181" s="17" t="n">
        <v>236.89</v>
      </c>
    </row>
    <row r="182" customFormat="false" ht="15" hidden="false" customHeight="false" outlineLevel="0" collapsed="false">
      <c r="A182" s="16" t="n">
        <v>42154</v>
      </c>
      <c r="B182" s="17" t="n">
        <v>233.55</v>
      </c>
    </row>
    <row r="183" customFormat="false" ht="15" hidden="false" customHeight="false" outlineLevel="0" collapsed="false">
      <c r="A183" s="16" t="n">
        <v>42155</v>
      </c>
      <c r="B183" s="17" t="n">
        <v>230.21</v>
      </c>
    </row>
    <row r="184" customFormat="false" ht="15" hidden="false" customHeight="false" outlineLevel="0" collapsed="false">
      <c r="A184" s="16" t="n">
        <v>42156</v>
      </c>
      <c r="B184" s="17" t="n">
        <v>223.56</v>
      </c>
    </row>
    <row r="185" customFormat="false" ht="15" hidden="false" customHeight="false" outlineLevel="0" collapsed="false">
      <c r="A185" s="16" t="n">
        <v>42157</v>
      </c>
      <c r="B185" s="17" t="n">
        <v>225.85</v>
      </c>
    </row>
    <row r="186" customFormat="false" ht="15" hidden="false" customHeight="false" outlineLevel="0" collapsed="false">
      <c r="A186" s="16" t="n">
        <v>42158</v>
      </c>
      <c r="B186" s="17" t="n">
        <v>225.86</v>
      </c>
    </row>
    <row r="187" customFormat="false" ht="15" hidden="false" customHeight="false" outlineLevel="0" collapsed="false">
      <c r="A187" s="16" t="n">
        <v>42159</v>
      </c>
      <c r="B187" s="17" t="n">
        <v>224.57</v>
      </c>
    </row>
    <row r="188" customFormat="false" ht="15" hidden="false" customHeight="false" outlineLevel="0" collapsed="false">
      <c r="A188" s="16" t="n">
        <v>42160</v>
      </c>
      <c r="B188" s="17" t="n">
        <v>224.97</v>
      </c>
    </row>
    <row r="189" customFormat="false" ht="15" hidden="false" customHeight="false" outlineLevel="0" collapsed="false">
      <c r="A189" s="16" t="n">
        <v>42161</v>
      </c>
      <c r="B189" s="17" t="n">
        <v>225.48</v>
      </c>
    </row>
    <row r="190" customFormat="false" ht="15" hidden="false" customHeight="false" outlineLevel="0" collapsed="false">
      <c r="A190" s="16" t="n">
        <v>42162</v>
      </c>
      <c r="B190" s="17" t="n">
        <v>223.89</v>
      </c>
    </row>
    <row r="191" customFormat="false" ht="15" hidden="false" customHeight="false" outlineLevel="0" collapsed="false">
      <c r="A191" s="16" t="n">
        <v>42163</v>
      </c>
      <c r="B191" s="17" t="n">
        <v>229.1</v>
      </c>
    </row>
    <row r="192" customFormat="false" ht="15" hidden="false" customHeight="false" outlineLevel="0" collapsed="false">
      <c r="A192" s="16" t="n">
        <v>42164</v>
      </c>
      <c r="B192" s="17" t="n">
        <v>229.18</v>
      </c>
    </row>
    <row r="193" customFormat="false" ht="15" hidden="false" customHeight="false" outlineLevel="0" collapsed="false">
      <c r="A193" s="16" t="n">
        <v>42165</v>
      </c>
      <c r="B193" s="17" t="n">
        <v>228.73</v>
      </c>
    </row>
    <row r="194" customFormat="false" ht="15" hidden="false" customHeight="false" outlineLevel="0" collapsed="false">
      <c r="A194" s="16" t="n">
        <v>42166</v>
      </c>
      <c r="B194" s="17" t="n">
        <v>229.69</v>
      </c>
    </row>
    <row r="195" customFormat="false" ht="15" hidden="false" customHeight="false" outlineLevel="0" collapsed="false">
      <c r="A195" s="16" t="n">
        <v>42167</v>
      </c>
      <c r="B195" s="17" t="n">
        <v>229.47</v>
      </c>
    </row>
    <row r="196" customFormat="false" ht="15" hidden="false" customHeight="false" outlineLevel="0" collapsed="false">
      <c r="A196" s="16" t="n">
        <v>42168</v>
      </c>
      <c r="B196" s="17" t="n">
        <v>233.47</v>
      </c>
    </row>
    <row r="197" customFormat="false" ht="15" hidden="false" customHeight="false" outlineLevel="0" collapsed="false">
      <c r="A197" s="16" t="n">
        <v>42169</v>
      </c>
      <c r="B197" s="17" t="n">
        <v>233.6</v>
      </c>
    </row>
    <row r="198" customFormat="false" ht="15" hidden="false" customHeight="false" outlineLevel="0" collapsed="false">
      <c r="A198" s="16" t="n">
        <v>42170</v>
      </c>
      <c r="B198" s="17" t="n">
        <v>236.99</v>
      </c>
    </row>
    <row r="199" customFormat="false" ht="15" hidden="false" customHeight="false" outlineLevel="0" collapsed="false">
      <c r="A199" s="16" t="n">
        <v>42171</v>
      </c>
      <c r="B199" s="17" t="n">
        <v>251.91</v>
      </c>
    </row>
    <row r="200" customFormat="false" ht="15" hidden="false" customHeight="false" outlineLevel="0" collapsed="false">
      <c r="A200" s="16" t="n">
        <v>42172</v>
      </c>
      <c r="B200" s="17" t="n">
        <v>250.25</v>
      </c>
    </row>
    <row r="201" customFormat="false" ht="15" hidden="false" customHeight="false" outlineLevel="0" collapsed="false">
      <c r="A201" s="16" t="n">
        <v>42173</v>
      </c>
      <c r="B201" s="17" t="n">
        <v>249.27</v>
      </c>
    </row>
    <row r="202" customFormat="false" ht="15" hidden="false" customHeight="false" outlineLevel="0" collapsed="false">
      <c r="A202" s="16" t="n">
        <v>42174</v>
      </c>
      <c r="B202" s="17" t="n">
        <v>246.33</v>
      </c>
    </row>
    <row r="203" customFormat="false" ht="15" hidden="false" customHeight="false" outlineLevel="0" collapsed="false">
      <c r="A203" s="16" t="n">
        <v>42175</v>
      </c>
      <c r="B203" s="17" t="n">
        <v>246.13</v>
      </c>
    </row>
    <row r="204" customFormat="false" ht="15" hidden="false" customHeight="false" outlineLevel="0" collapsed="false">
      <c r="A204" s="16" t="n">
        <v>42176</v>
      </c>
      <c r="B204" s="17" t="n">
        <v>244.66</v>
      </c>
    </row>
    <row r="205" customFormat="false" ht="15" hidden="false" customHeight="false" outlineLevel="0" collapsed="false">
      <c r="A205" s="16" t="n">
        <v>42177</v>
      </c>
      <c r="B205" s="17" t="n">
        <v>247.5</v>
      </c>
    </row>
    <row r="206" customFormat="false" ht="15" hidden="false" customHeight="false" outlineLevel="0" collapsed="false">
      <c r="A206" s="16" t="n">
        <v>42178</v>
      </c>
      <c r="B206" s="17" t="n">
        <v>244.52</v>
      </c>
    </row>
    <row r="207" customFormat="false" ht="15" hidden="false" customHeight="false" outlineLevel="0" collapsed="false">
      <c r="A207" s="16" t="n">
        <v>42179</v>
      </c>
      <c r="B207" s="17" t="n">
        <v>240.04</v>
      </c>
    </row>
    <row r="208" customFormat="false" ht="15" hidden="false" customHeight="false" outlineLevel="0" collapsed="false">
      <c r="A208" s="16" t="n">
        <v>42180</v>
      </c>
      <c r="B208" s="17" t="n">
        <v>242.44</v>
      </c>
    </row>
    <row r="209" customFormat="false" ht="15" hidden="false" customHeight="false" outlineLevel="0" collapsed="false">
      <c r="A209" s="16" t="n">
        <v>42181</v>
      </c>
      <c r="B209" s="17" t="n">
        <v>243</v>
      </c>
    </row>
    <row r="210" customFormat="false" ht="15" hidden="false" customHeight="false" outlineLevel="0" collapsed="false">
      <c r="A210" s="16" t="n">
        <v>42182</v>
      </c>
      <c r="B210" s="17" t="n">
        <v>251.59</v>
      </c>
    </row>
    <row r="211" customFormat="false" ht="15" hidden="false" customHeight="false" outlineLevel="0" collapsed="false">
      <c r="A211" s="16" t="n">
        <v>42183</v>
      </c>
      <c r="B211" s="17" t="n">
        <v>249.11</v>
      </c>
    </row>
    <row r="212" customFormat="false" ht="15" hidden="false" customHeight="false" outlineLevel="0" collapsed="false">
      <c r="A212" s="16" t="n">
        <v>42184</v>
      </c>
      <c r="B212" s="17" t="n">
        <v>257.54</v>
      </c>
    </row>
    <row r="213" customFormat="false" ht="15" hidden="false" customHeight="false" outlineLevel="0" collapsed="false">
      <c r="A213" s="16" t="n">
        <v>42185</v>
      </c>
      <c r="B213" s="17" t="n">
        <v>263.82</v>
      </c>
    </row>
    <row r="214" customFormat="false" ht="15" hidden="false" customHeight="false" outlineLevel="0" collapsed="false">
      <c r="A214" s="16" t="n">
        <v>42186</v>
      </c>
      <c r="B214" s="17" t="n">
        <v>259.02</v>
      </c>
    </row>
    <row r="215" customFormat="false" ht="15" hidden="false" customHeight="false" outlineLevel="0" collapsed="false">
      <c r="A215" s="16" t="n">
        <v>42187</v>
      </c>
      <c r="B215" s="17" t="n">
        <v>254.85</v>
      </c>
    </row>
    <row r="216" customFormat="false" ht="15" hidden="false" customHeight="false" outlineLevel="0" collapsed="false">
      <c r="A216" s="16" t="n">
        <v>42188</v>
      </c>
      <c r="B216" s="17" t="n">
        <v>256.95</v>
      </c>
    </row>
    <row r="217" customFormat="false" ht="15" hidden="false" customHeight="false" outlineLevel="0" collapsed="false">
      <c r="A217" s="16" t="n">
        <v>42189</v>
      </c>
      <c r="B217" s="17" t="n">
        <v>260.64</v>
      </c>
    </row>
    <row r="218" customFormat="false" ht="15" hidden="false" customHeight="false" outlineLevel="0" collapsed="false">
      <c r="A218" s="16" t="n">
        <v>42190</v>
      </c>
      <c r="B218" s="17" t="n">
        <v>271.74</v>
      </c>
    </row>
    <row r="219" customFormat="false" ht="15" hidden="false" customHeight="false" outlineLevel="0" collapsed="false">
      <c r="A219" s="16" t="n">
        <v>42191</v>
      </c>
      <c r="B219" s="17" t="n">
        <v>269.94</v>
      </c>
    </row>
    <row r="220" customFormat="false" ht="15" hidden="false" customHeight="false" outlineLevel="0" collapsed="false">
      <c r="A220" s="16" t="n">
        <v>42192</v>
      </c>
      <c r="B220" s="17" t="n">
        <v>266.18</v>
      </c>
    </row>
    <row r="221" customFormat="false" ht="15" hidden="false" customHeight="false" outlineLevel="0" collapsed="false">
      <c r="A221" s="16" t="n">
        <v>42193</v>
      </c>
      <c r="B221" s="17" t="n">
        <v>270.97</v>
      </c>
    </row>
    <row r="222" customFormat="false" ht="15" hidden="false" customHeight="false" outlineLevel="0" collapsed="false">
      <c r="A222" s="16" t="n">
        <v>42194</v>
      </c>
      <c r="B222" s="17" t="n">
        <v>269.75</v>
      </c>
    </row>
    <row r="223" customFormat="false" ht="15" hidden="false" customHeight="false" outlineLevel="0" collapsed="false">
      <c r="A223" s="16" t="n">
        <v>42195</v>
      </c>
      <c r="B223" s="17" t="n">
        <v>286.67</v>
      </c>
    </row>
    <row r="224" customFormat="false" ht="15" hidden="false" customHeight="false" outlineLevel="0" collapsed="false">
      <c r="A224" s="16" t="n">
        <v>42196</v>
      </c>
      <c r="B224" s="17" t="n">
        <v>294.23</v>
      </c>
    </row>
    <row r="225" customFormat="false" ht="15" hidden="false" customHeight="false" outlineLevel="0" collapsed="false">
      <c r="A225" s="16" t="n">
        <v>42197</v>
      </c>
      <c r="B225" s="17" t="n">
        <v>312.16</v>
      </c>
    </row>
    <row r="226" customFormat="false" ht="15" hidden="false" customHeight="false" outlineLevel="0" collapsed="false">
      <c r="A226" s="16" t="n">
        <v>42198</v>
      </c>
      <c r="B226" s="17" t="n">
        <v>293.08</v>
      </c>
    </row>
    <row r="227" customFormat="false" ht="15" hidden="false" customHeight="false" outlineLevel="0" collapsed="false">
      <c r="A227" s="16" t="n">
        <v>42199</v>
      </c>
      <c r="B227" s="17" t="n">
        <v>287.51</v>
      </c>
    </row>
    <row r="228" customFormat="false" ht="15" hidden="false" customHeight="false" outlineLevel="0" collapsed="false">
      <c r="A228" s="16" t="n">
        <v>42200</v>
      </c>
      <c r="B228" s="17" t="n">
        <v>285.7</v>
      </c>
    </row>
    <row r="229" customFormat="false" ht="15" hidden="false" customHeight="false" outlineLevel="0" collapsed="false">
      <c r="A229" s="16" t="n">
        <v>42201</v>
      </c>
      <c r="B229" s="17" t="n">
        <v>279.38</v>
      </c>
    </row>
    <row r="230" customFormat="false" ht="15" hidden="false" customHeight="false" outlineLevel="0" collapsed="false">
      <c r="A230" s="16" t="n">
        <v>42202</v>
      </c>
      <c r="B230" s="17" t="n">
        <v>280.58</v>
      </c>
    </row>
    <row r="231" customFormat="false" ht="15" hidden="false" customHeight="false" outlineLevel="0" collapsed="false">
      <c r="A231" s="16" t="n">
        <v>42203</v>
      </c>
      <c r="B231" s="17" t="n">
        <v>277.71</v>
      </c>
    </row>
    <row r="232" customFormat="false" ht="15" hidden="false" customHeight="false" outlineLevel="0" collapsed="false">
      <c r="A232" s="16" t="n">
        <v>42204</v>
      </c>
      <c r="B232" s="17" t="n">
        <v>275.61</v>
      </c>
    </row>
    <row r="233" customFormat="false" ht="15" hidden="false" customHeight="false" outlineLevel="0" collapsed="false">
      <c r="A233" s="16" t="n">
        <v>42205</v>
      </c>
      <c r="B233" s="17" t="n">
        <v>280</v>
      </c>
    </row>
    <row r="234" customFormat="false" ht="15" hidden="false" customHeight="false" outlineLevel="0" collapsed="false">
      <c r="A234" s="16" t="n">
        <v>42206</v>
      </c>
      <c r="B234" s="17" t="n">
        <v>277.32</v>
      </c>
    </row>
    <row r="235" customFormat="false" ht="15" hidden="false" customHeight="false" outlineLevel="0" collapsed="false">
      <c r="A235" s="16" t="n">
        <v>42207</v>
      </c>
      <c r="B235" s="17" t="n">
        <v>277.89</v>
      </c>
    </row>
    <row r="236" customFormat="false" ht="15" hidden="false" customHeight="false" outlineLevel="0" collapsed="false">
      <c r="A236" s="16" t="n">
        <v>42208</v>
      </c>
      <c r="B236" s="17" t="n">
        <v>277.39</v>
      </c>
    </row>
    <row r="237" customFormat="false" ht="15" hidden="false" customHeight="false" outlineLevel="0" collapsed="false">
      <c r="A237" s="16" t="n">
        <v>42209</v>
      </c>
      <c r="B237" s="17" t="n">
        <v>289.12</v>
      </c>
    </row>
    <row r="238" customFormat="false" ht="15" hidden="false" customHeight="false" outlineLevel="0" collapsed="false">
      <c r="A238" s="16" t="n">
        <v>42210</v>
      </c>
      <c r="B238" s="17" t="n">
        <v>289.7</v>
      </c>
    </row>
    <row r="239" customFormat="false" ht="15" hidden="false" customHeight="false" outlineLevel="0" collapsed="false">
      <c r="A239" s="16" t="n">
        <v>42211</v>
      </c>
      <c r="B239" s="17" t="n">
        <v>293.89</v>
      </c>
    </row>
    <row r="240" customFormat="false" ht="15" hidden="false" customHeight="false" outlineLevel="0" collapsed="false">
      <c r="A240" s="16" t="n">
        <v>42212</v>
      </c>
      <c r="B240" s="17" t="n">
        <v>294.21</v>
      </c>
    </row>
    <row r="241" customFormat="false" ht="15" hidden="false" customHeight="false" outlineLevel="0" collapsed="false">
      <c r="A241" s="16" t="n">
        <v>42213</v>
      </c>
      <c r="B241" s="17" t="n">
        <v>295.76</v>
      </c>
    </row>
    <row r="242" customFormat="false" ht="15" hidden="false" customHeight="false" outlineLevel="0" collapsed="false">
      <c r="A242" s="16" t="n">
        <v>42214</v>
      </c>
      <c r="B242" s="17" t="n">
        <v>290.19</v>
      </c>
    </row>
    <row r="243" customFormat="false" ht="15" hidden="false" customHeight="false" outlineLevel="0" collapsed="false">
      <c r="A243" s="16" t="n">
        <v>42215</v>
      </c>
      <c r="B243" s="17" t="n">
        <v>288.49</v>
      </c>
    </row>
    <row r="244" customFormat="false" ht="15" hidden="false" customHeight="false" outlineLevel="0" collapsed="false">
      <c r="A244" s="16" t="n">
        <v>42216</v>
      </c>
      <c r="B244" s="17" t="n">
        <v>285.19</v>
      </c>
    </row>
    <row r="245" customFormat="false" ht="15" hidden="false" customHeight="false" outlineLevel="0" collapsed="false">
      <c r="A245" s="16" t="n">
        <v>42217</v>
      </c>
      <c r="B245" s="17" t="n">
        <v>281.53</v>
      </c>
    </row>
    <row r="246" customFormat="false" ht="15" hidden="false" customHeight="false" outlineLevel="0" collapsed="false">
      <c r="A246" s="16" t="n">
        <v>42218</v>
      </c>
      <c r="B246" s="17" t="n">
        <v>282.62</v>
      </c>
    </row>
    <row r="247" customFormat="false" ht="15" hidden="false" customHeight="false" outlineLevel="0" collapsed="false">
      <c r="A247" s="16" t="n">
        <v>42219</v>
      </c>
      <c r="B247" s="17" t="n">
        <v>280.95</v>
      </c>
    </row>
    <row r="248" customFormat="false" ht="15" hidden="false" customHeight="false" outlineLevel="0" collapsed="false">
      <c r="A248" s="16" t="n">
        <v>42220</v>
      </c>
      <c r="B248" s="17" t="n">
        <v>285.51</v>
      </c>
    </row>
    <row r="249" customFormat="false" ht="15" hidden="false" customHeight="false" outlineLevel="0" collapsed="false">
      <c r="A249" s="16" t="n">
        <v>42221</v>
      </c>
      <c r="B249" s="17" t="n">
        <v>282.77</v>
      </c>
    </row>
    <row r="250" customFormat="false" ht="15" hidden="false" customHeight="false" outlineLevel="0" collapsed="false">
      <c r="A250" s="16" t="n">
        <v>42222</v>
      </c>
      <c r="B250" s="17" t="n">
        <v>279.65</v>
      </c>
    </row>
    <row r="251" customFormat="false" ht="15" hidden="false" customHeight="false" outlineLevel="0" collapsed="false">
      <c r="A251" s="16" t="n">
        <v>42223</v>
      </c>
      <c r="B251" s="17" t="n">
        <v>279.94</v>
      </c>
    </row>
    <row r="252" customFormat="false" ht="15" hidden="false" customHeight="false" outlineLevel="0" collapsed="false">
      <c r="A252" s="16" t="n">
        <v>42224</v>
      </c>
      <c r="B252" s="17" t="n">
        <v>262.02</v>
      </c>
    </row>
    <row r="253" customFormat="false" ht="15" hidden="false" customHeight="false" outlineLevel="0" collapsed="false">
      <c r="A253" s="16" t="n">
        <v>42225</v>
      </c>
      <c r="B253" s="17" t="n">
        <v>267.63</v>
      </c>
    </row>
    <row r="254" customFormat="false" ht="15" hidden="false" customHeight="false" outlineLevel="0" collapsed="false">
      <c r="A254" s="16" t="n">
        <v>42226</v>
      </c>
      <c r="B254" s="17" t="n">
        <v>265.15</v>
      </c>
    </row>
    <row r="255" customFormat="false" ht="15" hidden="false" customHeight="false" outlineLevel="0" collapsed="false">
      <c r="A255" s="16" t="n">
        <v>42227</v>
      </c>
      <c r="B255" s="17" t="n">
        <v>271.99</v>
      </c>
    </row>
    <row r="256" customFormat="false" ht="15" hidden="false" customHeight="false" outlineLevel="0" collapsed="false">
      <c r="A256" s="16" t="n">
        <v>42228</v>
      </c>
      <c r="B256" s="17" t="n">
        <v>266.94</v>
      </c>
    </row>
    <row r="257" customFormat="false" ht="15" hidden="false" customHeight="false" outlineLevel="0" collapsed="false">
      <c r="A257" s="16" t="n">
        <v>42229</v>
      </c>
      <c r="B257" s="17" t="n">
        <v>264.67</v>
      </c>
    </row>
    <row r="258" customFormat="false" ht="15" hidden="false" customHeight="false" outlineLevel="0" collapsed="false">
      <c r="A258" s="16" t="n">
        <v>42230</v>
      </c>
      <c r="B258" s="17" t="n">
        <v>266.17</v>
      </c>
    </row>
    <row r="259" customFormat="false" ht="15" hidden="false" customHeight="false" outlineLevel="0" collapsed="false">
      <c r="A259" s="16" t="n">
        <v>42231</v>
      </c>
      <c r="B259" s="17" t="n">
        <v>262.46</v>
      </c>
    </row>
    <row r="260" customFormat="false" ht="15" hidden="false" customHeight="false" outlineLevel="0" collapsed="false">
      <c r="A260" s="16" t="n">
        <v>42232</v>
      </c>
      <c r="B260" s="17" t="n">
        <v>259.2</v>
      </c>
    </row>
    <row r="261" customFormat="false" ht="15" hidden="false" customHeight="false" outlineLevel="0" collapsed="false">
      <c r="A261" s="16" t="n">
        <v>42233</v>
      </c>
      <c r="B261" s="17" t="n">
        <v>257.31</v>
      </c>
    </row>
    <row r="262" customFormat="false" ht="15" hidden="false" customHeight="false" outlineLevel="0" collapsed="false">
      <c r="A262" s="16" t="n">
        <v>42234</v>
      </c>
      <c r="B262" s="17" t="n">
        <v>221.99</v>
      </c>
    </row>
    <row r="263" customFormat="false" ht="15" hidden="false" customHeight="false" outlineLevel="0" collapsed="false">
      <c r="A263" s="16" t="n">
        <v>42235</v>
      </c>
      <c r="B263" s="17" t="n">
        <v>227.34</v>
      </c>
    </row>
    <row r="264" customFormat="false" ht="15" hidden="false" customHeight="false" outlineLevel="0" collapsed="false">
      <c r="A264" s="16" t="n">
        <v>42236</v>
      </c>
      <c r="B264" s="17" t="n">
        <v>235.56</v>
      </c>
    </row>
    <row r="265" customFormat="false" ht="15" hidden="false" customHeight="false" outlineLevel="0" collapsed="false">
      <c r="A265" s="16" t="n">
        <v>42237</v>
      </c>
      <c r="B265" s="17" t="n">
        <v>232.85</v>
      </c>
    </row>
    <row r="266" customFormat="false" ht="15" hidden="false" customHeight="false" outlineLevel="0" collapsed="false">
      <c r="A266" s="16" t="n">
        <v>42238</v>
      </c>
      <c r="B266" s="17" t="n">
        <v>231.15</v>
      </c>
    </row>
    <row r="267" customFormat="false" ht="15" hidden="false" customHeight="false" outlineLevel="0" collapsed="false">
      <c r="A267" s="16" t="n">
        <v>42239</v>
      </c>
      <c r="B267" s="17" t="n">
        <v>229.21</v>
      </c>
    </row>
    <row r="268" customFormat="false" ht="15" hidden="false" customHeight="false" outlineLevel="0" collapsed="false">
      <c r="A268" s="16" t="n">
        <v>42240</v>
      </c>
      <c r="B268" s="17" t="n">
        <v>211.16</v>
      </c>
    </row>
    <row r="269" customFormat="false" ht="15" hidden="false" customHeight="false" outlineLevel="0" collapsed="false">
      <c r="A269" s="16" t="n">
        <v>42241</v>
      </c>
      <c r="B269" s="17" t="n">
        <v>223.73</v>
      </c>
    </row>
    <row r="270" customFormat="false" ht="15" hidden="false" customHeight="false" outlineLevel="0" collapsed="false">
      <c r="A270" s="16" t="n">
        <v>42242</v>
      </c>
      <c r="B270" s="17" t="n">
        <v>226.81</v>
      </c>
    </row>
    <row r="271" customFormat="false" ht="15" hidden="false" customHeight="false" outlineLevel="0" collapsed="false">
      <c r="A271" s="16" t="n">
        <v>42243</v>
      </c>
      <c r="B271" s="17" t="n">
        <v>225.8</v>
      </c>
    </row>
    <row r="272" customFormat="false" ht="15" hidden="false" customHeight="false" outlineLevel="0" collapsed="false">
      <c r="A272" s="16" t="n">
        <v>42244</v>
      </c>
      <c r="B272" s="17" t="n">
        <v>231.55</v>
      </c>
    </row>
    <row r="273" customFormat="false" ht="15" hidden="false" customHeight="false" outlineLevel="0" collapsed="false">
      <c r="A273" s="16" t="n">
        <v>42245</v>
      </c>
      <c r="B273" s="17" t="n">
        <v>230.61</v>
      </c>
    </row>
    <row r="274" customFormat="false" ht="15" hidden="false" customHeight="false" outlineLevel="0" collapsed="false">
      <c r="A274" s="16" t="n">
        <v>42246</v>
      </c>
      <c r="B274" s="17" t="n">
        <v>229.39</v>
      </c>
    </row>
    <row r="275" customFormat="false" ht="15" hidden="false" customHeight="false" outlineLevel="0" collapsed="false">
      <c r="A275" s="16" t="n">
        <v>42247</v>
      </c>
      <c r="B275" s="17" t="n">
        <v>230.75</v>
      </c>
    </row>
    <row r="276" customFormat="false" ht="15" hidden="false" customHeight="false" outlineLevel="0" collapsed="false">
      <c r="A276" s="16" t="n">
        <v>42248</v>
      </c>
      <c r="B276" s="17" t="n">
        <v>228.22</v>
      </c>
    </row>
    <row r="277" customFormat="false" ht="15" hidden="false" customHeight="false" outlineLevel="0" collapsed="false">
      <c r="A277" s="16" t="n">
        <v>42249</v>
      </c>
      <c r="B277" s="17" t="n">
        <v>229.97</v>
      </c>
    </row>
    <row r="278" customFormat="false" ht="15" hidden="false" customHeight="false" outlineLevel="0" collapsed="false">
      <c r="A278" s="16" t="n">
        <v>42250</v>
      </c>
      <c r="B278" s="17" t="n">
        <v>227.25</v>
      </c>
    </row>
    <row r="279" customFormat="false" ht="15" hidden="false" customHeight="false" outlineLevel="0" collapsed="false">
      <c r="A279" s="16" t="n">
        <v>42251</v>
      </c>
      <c r="B279" s="17" t="n">
        <v>231.39</v>
      </c>
    </row>
    <row r="280" customFormat="false" ht="15" hidden="false" customHeight="false" outlineLevel="0" collapsed="false">
      <c r="A280" s="16" t="n">
        <v>42252</v>
      </c>
      <c r="B280" s="17" t="n">
        <v>236.01</v>
      </c>
    </row>
    <row r="281" customFormat="false" ht="15" hidden="false" customHeight="false" outlineLevel="0" collapsed="false">
      <c r="A281" s="16" t="n">
        <v>42253</v>
      </c>
      <c r="B281" s="17" t="n">
        <v>241.29</v>
      </c>
    </row>
    <row r="282" customFormat="false" ht="15" hidden="false" customHeight="false" outlineLevel="0" collapsed="false">
      <c r="A282" s="16" t="n">
        <v>42254</v>
      </c>
      <c r="B282" s="17" t="n">
        <v>241.31</v>
      </c>
    </row>
    <row r="283" customFormat="false" ht="15" hidden="false" customHeight="false" outlineLevel="0" collapsed="false">
      <c r="A283" s="16" t="n">
        <v>42255</v>
      </c>
      <c r="B283" s="17" t="n">
        <v>244.14</v>
      </c>
    </row>
    <row r="284" customFormat="false" ht="15" hidden="false" customHeight="false" outlineLevel="0" collapsed="false">
      <c r="A284" s="16" t="n">
        <v>42256</v>
      </c>
      <c r="B284" s="17" t="n">
        <v>238.75</v>
      </c>
    </row>
    <row r="285" customFormat="false" ht="15" hidden="false" customHeight="false" outlineLevel="0" collapsed="false">
      <c r="A285" s="16" t="n">
        <v>42257</v>
      </c>
      <c r="B285" s="17" t="n">
        <v>238.52</v>
      </c>
    </row>
    <row r="286" customFormat="false" ht="15" hidden="false" customHeight="false" outlineLevel="0" collapsed="false">
      <c r="A286" s="16" t="n">
        <v>42258</v>
      </c>
      <c r="B286" s="17" t="n">
        <v>240.9</v>
      </c>
    </row>
    <row r="287" customFormat="false" ht="15" hidden="false" customHeight="false" outlineLevel="0" collapsed="false">
      <c r="A287" s="16" t="n">
        <v>42259</v>
      </c>
      <c r="B287" s="17" t="n">
        <v>236.5</v>
      </c>
    </row>
    <row r="288" customFormat="false" ht="15" hidden="false" customHeight="false" outlineLevel="0" collapsed="false">
      <c r="A288" s="16" t="n">
        <v>42260</v>
      </c>
      <c r="B288" s="17" t="n">
        <v>230.82</v>
      </c>
    </row>
    <row r="289" customFormat="false" ht="15" hidden="false" customHeight="false" outlineLevel="0" collapsed="false">
      <c r="A289" s="16" t="n">
        <v>42261</v>
      </c>
      <c r="B289" s="17" t="n">
        <v>231.01</v>
      </c>
    </row>
    <row r="290" customFormat="false" ht="15" hidden="false" customHeight="false" outlineLevel="0" collapsed="false">
      <c r="A290" s="16" t="n">
        <v>42262</v>
      </c>
      <c r="B290" s="17" t="n">
        <v>230.6</v>
      </c>
    </row>
    <row r="291" customFormat="false" ht="15" hidden="false" customHeight="false" outlineLevel="0" collapsed="false">
      <c r="A291" s="16" t="n">
        <v>42263</v>
      </c>
      <c r="B291" s="17" t="n">
        <v>229.73</v>
      </c>
    </row>
    <row r="292" customFormat="false" ht="15" hidden="false" customHeight="false" outlineLevel="0" collapsed="false">
      <c r="A292" s="16" t="n">
        <v>42264</v>
      </c>
      <c r="B292" s="17" t="n">
        <v>233.34</v>
      </c>
    </row>
    <row r="293" customFormat="false" ht="15" hidden="false" customHeight="false" outlineLevel="0" collapsed="false">
      <c r="A293" s="16" t="n">
        <v>42265</v>
      </c>
      <c r="B293" s="17" t="n">
        <v>233.78</v>
      </c>
    </row>
    <row r="294" customFormat="false" ht="15" hidden="false" customHeight="false" outlineLevel="0" collapsed="false">
      <c r="A294" s="16" t="n">
        <v>42266</v>
      </c>
      <c r="B294" s="17" t="n">
        <v>232.88</v>
      </c>
    </row>
    <row r="295" customFormat="false" ht="15" hidden="false" customHeight="false" outlineLevel="0" collapsed="false">
      <c r="A295" s="16" t="n">
        <v>42267</v>
      </c>
      <c r="B295" s="17" t="n">
        <v>232.24</v>
      </c>
    </row>
    <row r="296" customFormat="false" ht="15" hidden="false" customHeight="false" outlineLevel="0" collapsed="false">
      <c r="A296" s="16" t="n">
        <v>42268</v>
      </c>
      <c r="B296" s="17" t="n">
        <v>227.31</v>
      </c>
    </row>
    <row r="297" customFormat="false" ht="15" hidden="false" customHeight="false" outlineLevel="0" collapsed="false">
      <c r="A297" s="16" t="n">
        <v>42269</v>
      </c>
      <c r="B297" s="17" t="n">
        <v>231.28</v>
      </c>
    </row>
    <row r="298" customFormat="false" ht="15" hidden="false" customHeight="false" outlineLevel="0" collapsed="false">
      <c r="A298" s="16" t="n">
        <v>42270</v>
      </c>
      <c r="B298" s="17" t="n">
        <v>230.26</v>
      </c>
    </row>
    <row r="299" customFormat="false" ht="15" hidden="false" customHeight="false" outlineLevel="0" collapsed="false">
      <c r="A299" s="16" t="n">
        <v>42271</v>
      </c>
      <c r="B299" s="17" t="n">
        <v>235.27</v>
      </c>
    </row>
    <row r="300" customFormat="false" ht="15" hidden="false" customHeight="false" outlineLevel="0" collapsed="false">
      <c r="A300" s="16" t="n">
        <v>42272</v>
      </c>
      <c r="B300" s="17" t="n">
        <v>235.89</v>
      </c>
    </row>
    <row r="301" customFormat="false" ht="15" hidden="false" customHeight="false" outlineLevel="0" collapsed="false">
      <c r="A301" s="16" t="n">
        <v>42273</v>
      </c>
      <c r="B301" s="17" t="n">
        <v>234.69</v>
      </c>
    </row>
    <row r="302" customFormat="false" ht="15" hidden="false" customHeight="false" outlineLevel="0" collapsed="false">
      <c r="A302" s="16" t="n">
        <v>42274</v>
      </c>
      <c r="B302" s="17" t="n">
        <v>233.58</v>
      </c>
    </row>
    <row r="303" customFormat="false" ht="15" hidden="false" customHeight="false" outlineLevel="0" collapsed="false">
      <c r="A303" s="16" t="n">
        <v>42275</v>
      </c>
      <c r="B303" s="17" t="n">
        <v>239.99</v>
      </c>
    </row>
    <row r="304" customFormat="false" ht="15" hidden="false" customHeight="false" outlineLevel="0" collapsed="false">
      <c r="A304" s="16" t="n">
        <v>42276</v>
      </c>
      <c r="B304" s="17" t="n">
        <v>236.89</v>
      </c>
    </row>
    <row r="305" customFormat="false" ht="15" hidden="false" customHeight="false" outlineLevel="0" collapsed="false">
      <c r="A305" s="16" t="n">
        <v>42277</v>
      </c>
      <c r="B305" s="17" t="n">
        <v>237.14</v>
      </c>
    </row>
    <row r="306" customFormat="false" ht="15" hidden="false" customHeight="false" outlineLevel="0" collapsed="false">
      <c r="A306" s="16" t="n">
        <v>42278</v>
      </c>
      <c r="B306" s="17" t="n">
        <v>238.34</v>
      </c>
    </row>
    <row r="307" customFormat="false" ht="15" hidden="false" customHeight="false" outlineLevel="0" collapsed="false">
      <c r="A307" s="16" t="n">
        <v>42279</v>
      </c>
      <c r="B307" s="17" t="n">
        <v>238.28</v>
      </c>
    </row>
    <row r="308" customFormat="false" ht="15" hidden="false" customHeight="false" outlineLevel="0" collapsed="false">
      <c r="A308" s="16" t="n">
        <v>42280</v>
      </c>
      <c r="B308" s="17" t="n">
        <v>239.92</v>
      </c>
    </row>
    <row r="309" customFormat="false" ht="15" hidden="false" customHeight="false" outlineLevel="0" collapsed="false">
      <c r="A309" s="16" t="n">
        <v>42281</v>
      </c>
      <c r="B309" s="17" t="n">
        <v>239.87</v>
      </c>
    </row>
    <row r="310" customFormat="false" ht="15" hidden="false" customHeight="false" outlineLevel="0" collapsed="false">
      <c r="A310" s="16" t="n">
        <v>42282</v>
      </c>
      <c r="B310" s="17" t="n">
        <v>240.95</v>
      </c>
    </row>
    <row r="311" customFormat="false" ht="15" hidden="false" customHeight="false" outlineLevel="0" collapsed="false">
      <c r="A311" s="16" t="n">
        <v>42283</v>
      </c>
      <c r="B311" s="17" t="n">
        <v>246.64</v>
      </c>
    </row>
    <row r="312" customFormat="false" ht="15" hidden="false" customHeight="false" outlineLevel="0" collapsed="false">
      <c r="A312" s="16" t="n">
        <v>42284</v>
      </c>
      <c r="B312" s="17" t="n">
        <v>244</v>
      </c>
    </row>
    <row r="313" customFormat="false" ht="15" hidden="false" customHeight="false" outlineLevel="0" collapsed="false">
      <c r="A313" s="16" t="n">
        <v>42285</v>
      </c>
      <c r="B313" s="17" t="n">
        <v>242.94</v>
      </c>
    </row>
    <row r="314" customFormat="false" ht="15" hidden="false" customHeight="false" outlineLevel="0" collapsed="false">
      <c r="A314" s="16" t="n">
        <v>42286</v>
      </c>
      <c r="B314" s="17" t="n">
        <v>244.35</v>
      </c>
    </row>
    <row r="315" customFormat="false" ht="15" hidden="false" customHeight="false" outlineLevel="0" collapsed="false">
      <c r="A315" s="16" t="n">
        <v>42287</v>
      </c>
      <c r="B315" s="17" t="n">
        <v>246.07</v>
      </c>
    </row>
    <row r="316" customFormat="false" ht="15" hidden="false" customHeight="false" outlineLevel="0" collapsed="false">
      <c r="A316" s="16" t="n">
        <v>42288</v>
      </c>
      <c r="B316" s="17" t="n">
        <v>249.02</v>
      </c>
    </row>
    <row r="317" customFormat="false" ht="15" hidden="false" customHeight="false" outlineLevel="0" collapsed="false">
      <c r="A317" s="16" t="n">
        <v>42289</v>
      </c>
      <c r="B317" s="17" t="n">
        <v>246.39</v>
      </c>
    </row>
    <row r="318" customFormat="false" ht="15" hidden="false" customHeight="false" outlineLevel="0" collapsed="false">
      <c r="A318" s="16" t="n">
        <v>42290</v>
      </c>
      <c r="B318" s="17" t="n">
        <v>250.99</v>
      </c>
    </row>
    <row r="319" customFormat="false" ht="15" hidden="false" customHeight="false" outlineLevel="0" collapsed="false">
      <c r="A319" s="16" t="n">
        <v>42291</v>
      </c>
      <c r="B319" s="17" t="n">
        <v>253.27</v>
      </c>
    </row>
    <row r="320" customFormat="false" ht="15" hidden="false" customHeight="false" outlineLevel="0" collapsed="false">
      <c r="A320" s="16" t="n">
        <v>42292</v>
      </c>
      <c r="B320" s="17" t="n">
        <v>254.99</v>
      </c>
    </row>
    <row r="321" customFormat="false" ht="15" hidden="false" customHeight="false" outlineLevel="0" collapsed="false">
      <c r="A321" s="16" t="n">
        <v>42293</v>
      </c>
      <c r="B321" s="17" t="n">
        <v>263.43</v>
      </c>
    </row>
    <row r="322" customFormat="false" ht="15" hidden="false" customHeight="false" outlineLevel="0" collapsed="false">
      <c r="A322" s="16" t="n">
        <v>42294</v>
      </c>
      <c r="B322" s="17" t="n">
        <v>272.87</v>
      </c>
    </row>
    <row r="323" customFormat="false" ht="15" hidden="false" customHeight="false" outlineLevel="0" collapsed="false">
      <c r="A323" s="16" t="n">
        <v>42295</v>
      </c>
      <c r="B323" s="17" t="n">
        <v>265</v>
      </c>
    </row>
    <row r="324" customFormat="false" ht="15" hidden="false" customHeight="false" outlineLevel="0" collapsed="false">
      <c r="A324" s="16" t="n">
        <v>42296</v>
      </c>
      <c r="B324" s="17" t="n">
        <v>265.17</v>
      </c>
    </row>
    <row r="325" customFormat="false" ht="15" hidden="false" customHeight="false" outlineLevel="0" collapsed="false">
      <c r="A325" s="16" t="n">
        <v>42297</v>
      </c>
      <c r="B325" s="17" t="n">
        <v>271.14</v>
      </c>
    </row>
    <row r="326" customFormat="false" ht="15" hidden="false" customHeight="false" outlineLevel="0" collapsed="false">
      <c r="A326" s="16" t="n">
        <v>42298</v>
      </c>
      <c r="B326" s="17" t="n">
        <v>268.77</v>
      </c>
    </row>
    <row r="327" customFormat="false" ht="15" hidden="false" customHeight="false" outlineLevel="0" collapsed="false">
      <c r="A327" s="16" t="n">
        <v>42299</v>
      </c>
      <c r="B327" s="17" t="n">
        <v>275.84</v>
      </c>
    </row>
    <row r="328" customFormat="false" ht="15" hidden="false" customHeight="false" outlineLevel="0" collapsed="false">
      <c r="A328" s="16" t="n">
        <v>42300</v>
      </c>
      <c r="B328" s="17" t="n">
        <v>278.76</v>
      </c>
    </row>
    <row r="329" customFormat="false" ht="15" hidden="false" customHeight="false" outlineLevel="0" collapsed="false">
      <c r="A329" s="16" t="n">
        <v>42301</v>
      </c>
      <c r="B329" s="17" t="n">
        <v>284.29</v>
      </c>
    </row>
    <row r="330" customFormat="false" ht="15" hidden="false" customHeight="false" outlineLevel="0" collapsed="false">
      <c r="A330" s="16" t="n">
        <v>42302</v>
      </c>
      <c r="B330" s="17" t="n">
        <v>284.97</v>
      </c>
    </row>
    <row r="331" customFormat="false" ht="15" hidden="false" customHeight="false" outlineLevel="0" collapsed="false">
      <c r="A331" s="16" t="n">
        <v>42303</v>
      </c>
      <c r="B331" s="17" t="n">
        <v>287.1</v>
      </c>
    </row>
    <row r="332" customFormat="false" ht="15" hidden="false" customHeight="false" outlineLevel="0" collapsed="false">
      <c r="A332" s="16" t="n">
        <v>42304</v>
      </c>
      <c r="B332" s="17" t="n">
        <v>295.61</v>
      </c>
    </row>
    <row r="333" customFormat="false" ht="15" hidden="false" customHeight="false" outlineLevel="0" collapsed="false">
      <c r="A333" s="16" t="n">
        <v>42305</v>
      </c>
      <c r="B333" s="17" t="n">
        <v>304.09</v>
      </c>
    </row>
    <row r="334" customFormat="false" ht="15" hidden="false" customHeight="false" outlineLevel="0" collapsed="false">
      <c r="A334" s="16" t="n">
        <v>42306</v>
      </c>
      <c r="B334" s="17" t="n">
        <v>316.08</v>
      </c>
    </row>
    <row r="335" customFormat="false" ht="15" hidden="false" customHeight="false" outlineLevel="0" collapsed="false">
      <c r="A335" s="16" t="n">
        <v>42307</v>
      </c>
      <c r="B335" s="17" t="n">
        <v>329.11</v>
      </c>
    </row>
    <row r="336" customFormat="false" ht="15" hidden="false" customHeight="false" outlineLevel="0" collapsed="false">
      <c r="A336" s="16" t="n">
        <v>42308</v>
      </c>
      <c r="B336" s="17" t="n">
        <v>314.85</v>
      </c>
    </row>
    <row r="337" customFormat="false" ht="15" hidden="false" customHeight="false" outlineLevel="0" collapsed="false">
      <c r="A337" s="16" t="n">
        <v>42309</v>
      </c>
      <c r="B337" s="17" t="n">
        <v>329.46</v>
      </c>
    </row>
    <row r="338" customFormat="false" ht="15" hidden="false" customHeight="false" outlineLevel="0" collapsed="false">
      <c r="A338" s="16" t="n">
        <v>42310</v>
      </c>
      <c r="B338" s="17" t="n">
        <v>365.21</v>
      </c>
    </row>
    <row r="339" customFormat="false" ht="15" hidden="false" customHeight="false" outlineLevel="0" collapsed="false">
      <c r="A339" s="16" t="n">
        <v>42311</v>
      </c>
      <c r="B339" s="17" t="n">
        <v>404.1</v>
      </c>
    </row>
    <row r="340" customFormat="false" ht="15" hidden="false" customHeight="false" outlineLevel="0" collapsed="false">
      <c r="A340" s="16" t="n">
        <v>42312</v>
      </c>
      <c r="B340" s="17" t="n">
        <v>410</v>
      </c>
    </row>
    <row r="341" customFormat="false" ht="15" hidden="false" customHeight="false" outlineLevel="0" collapsed="false">
      <c r="A341" s="16" t="n">
        <v>42313</v>
      </c>
      <c r="B341" s="17" t="n">
        <v>387.21</v>
      </c>
    </row>
    <row r="342" customFormat="false" ht="15" hidden="false" customHeight="false" outlineLevel="0" collapsed="false">
      <c r="A342" s="16" t="n">
        <v>42314</v>
      </c>
      <c r="B342" s="17" t="n">
        <v>374.09</v>
      </c>
    </row>
    <row r="343" customFormat="false" ht="15" hidden="false" customHeight="false" outlineLevel="0" collapsed="false">
      <c r="A343" s="16" t="n">
        <v>42315</v>
      </c>
      <c r="B343" s="17" t="n">
        <v>384.81</v>
      </c>
    </row>
    <row r="344" customFormat="false" ht="15" hidden="false" customHeight="false" outlineLevel="0" collapsed="false">
      <c r="A344" s="16" t="n">
        <v>42316</v>
      </c>
      <c r="B344" s="17" t="n">
        <v>373.83</v>
      </c>
    </row>
    <row r="345" customFormat="false" ht="15" hidden="false" customHeight="false" outlineLevel="0" collapsed="false">
      <c r="A345" s="16" t="n">
        <v>42317</v>
      </c>
      <c r="B345" s="17" t="n">
        <v>379.53</v>
      </c>
    </row>
    <row r="346" customFormat="false" ht="15" hidden="false" customHeight="false" outlineLevel="0" collapsed="false">
      <c r="A346" s="16" t="n">
        <v>42318</v>
      </c>
      <c r="B346" s="17" t="n">
        <v>337.14</v>
      </c>
    </row>
    <row r="347" customFormat="false" ht="15" hidden="false" customHeight="false" outlineLevel="0" collapsed="false">
      <c r="A347" s="16" t="n">
        <v>42319</v>
      </c>
      <c r="B347" s="17" t="n">
        <v>313.2</v>
      </c>
    </row>
    <row r="348" customFormat="false" ht="15" hidden="false" customHeight="false" outlineLevel="0" collapsed="false">
      <c r="A348" s="16" t="n">
        <v>42320</v>
      </c>
      <c r="B348" s="17" t="n">
        <v>336.49</v>
      </c>
    </row>
    <row r="349" customFormat="false" ht="15" hidden="false" customHeight="false" outlineLevel="0" collapsed="false">
      <c r="A349" s="16" t="n">
        <v>42321</v>
      </c>
      <c r="B349" s="17" t="n">
        <v>338.07</v>
      </c>
    </row>
    <row r="350" customFormat="false" ht="15" hidden="false" customHeight="false" outlineLevel="0" collapsed="false">
      <c r="A350" s="16" t="n">
        <v>42322</v>
      </c>
      <c r="B350" s="17" t="n">
        <v>334.71</v>
      </c>
    </row>
    <row r="351" customFormat="false" ht="15" hidden="false" customHeight="false" outlineLevel="0" collapsed="false">
      <c r="A351" s="16" t="n">
        <v>42323</v>
      </c>
      <c r="B351" s="17" t="n">
        <v>322.93</v>
      </c>
    </row>
    <row r="352" customFormat="false" ht="15" hidden="false" customHeight="false" outlineLevel="0" collapsed="false">
      <c r="A352" s="16" t="n">
        <v>42324</v>
      </c>
      <c r="B352" s="17" t="n">
        <v>332.89</v>
      </c>
    </row>
    <row r="353" customFormat="false" ht="15" hidden="false" customHeight="false" outlineLevel="0" collapsed="false">
      <c r="A353" s="16" t="n">
        <v>42325</v>
      </c>
      <c r="B353" s="17" t="n">
        <v>336.49</v>
      </c>
    </row>
    <row r="354" customFormat="false" ht="15" hidden="false" customHeight="false" outlineLevel="0" collapsed="false">
      <c r="A354" s="16" t="n">
        <v>42326</v>
      </c>
      <c r="B354" s="17" t="n">
        <v>335.49</v>
      </c>
    </row>
    <row r="355" customFormat="false" ht="15" hidden="false" customHeight="false" outlineLevel="0" collapsed="false">
      <c r="A355" s="16" t="n">
        <v>42327</v>
      </c>
      <c r="B355" s="17" t="n">
        <v>326.41</v>
      </c>
    </row>
    <row r="356" customFormat="false" ht="15" hidden="false" customHeight="false" outlineLevel="0" collapsed="false">
      <c r="A356" s="16" t="n">
        <v>42328</v>
      </c>
      <c r="B356" s="17" t="n">
        <v>322.39</v>
      </c>
    </row>
    <row r="357" customFormat="false" ht="15" hidden="false" customHeight="false" outlineLevel="0" collapsed="false">
      <c r="A357" s="16" t="n">
        <v>42329</v>
      </c>
      <c r="B357" s="17" t="n">
        <v>327</v>
      </c>
    </row>
    <row r="358" customFormat="false" ht="15" hidden="false" customHeight="false" outlineLevel="0" collapsed="false">
      <c r="A358" s="16" t="n">
        <v>42330</v>
      </c>
      <c r="B358" s="17" t="n">
        <v>323.71</v>
      </c>
    </row>
    <row r="359" customFormat="false" ht="15" hidden="false" customHeight="false" outlineLevel="0" collapsed="false">
      <c r="A359" s="16" t="n">
        <v>42331</v>
      </c>
      <c r="B359" s="17" t="n">
        <v>323</v>
      </c>
    </row>
    <row r="360" customFormat="false" ht="15" hidden="false" customHeight="false" outlineLevel="0" collapsed="false">
      <c r="A360" s="16" t="n">
        <v>42332</v>
      </c>
      <c r="B360" s="17" t="n">
        <v>321</v>
      </c>
    </row>
    <row r="361" customFormat="false" ht="15" hidden="false" customHeight="false" outlineLevel="0" collapsed="false">
      <c r="A361" s="16" t="n">
        <v>42333</v>
      </c>
      <c r="B361" s="17" t="n">
        <v>328.98</v>
      </c>
    </row>
    <row r="362" customFormat="false" ht="15" hidden="false" customHeight="false" outlineLevel="0" collapsed="false">
      <c r="A362" s="16" t="n">
        <v>42334</v>
      </c>
      <c r="B362" s="17" t="n">
        <v>352.57</v>
      </c>
    </row>
    <row r="363" customFormat="false" ht="15" hidden="false" customHeight="false" outlineLevel="0" collapsed="false">
      <c r="A363" s="16" t="n">
        <v>42335</v>
      </c>
      <c r="B363" s="17" t="n">
        <v>358.19</v>
      </c>
    </row>
    <row r="364" customFormat="false" ht="15" hidden="false" customHeight="false" outlineLevel="0" collapsed="false">
      <c r="A364" s="16" t="n">
        <v>42336</v>
      </c>
      <c r="B364" s="17" t="n">
        <v>357.24</v>
      </c>
    </row>
    <row r="365" customFormat="false" ht="15" hidden="false" customHeight="false" outlineLevel="0" collapsed="false">
      <c r="A365" s="16" t="n">
        <v>42337</v>
      </c>
      <c r="B365" s="17" t="n">
        <v>372.24</v>
      </c>
    </row>
    <row r="366" customFormat="false" ht="15" hidden="false" customHeight="false" outlineLevel="0" collapsed="false">
      <c r="A366" s="16" t="n">
        <v>42338</v>
      </c>
      <c r="B366" s="17" t="n">
        <v>376.86</v>
      </c>
    </row>
    <row r="367" customFormat="false" ht="15" hidden="false" customHeight="false" outlineLevel="0" collapsed="false">
      <c r="A367" s="16" t="n">
        <v>42339</v>
      </c>
      <c r="B367" s="17" t="n">
        <v>362.68</v>
      </c>
    </row>
    <row r="368" customFormat="false" ht="15" hidden="false" customHeight="false" outlineLevel="0" collapsed="false">
      <c r="A368" s="16" t="n">
        <v>42340</v>
      </c>
      <c r="B368" s="17" t="n">
        <v>360</v>
      </c>
    </row>
    <row r="369" customFormat="false" ht="15" hidden="false" customHeight="false" outlineLevel="0" collapsed="false">
      <c r="A369" s="16" t="n">
        <v>42341</v>
      </c>
      <c r="B369" s="17" t="n">
        <v>361.77</v>
      </c>
    </row>
    <row r="370" customFormat="false" ht="15" hidden="false" customHeight="false" outlineLevel="0" collapsed="false">
      <c r="A370" s="16" t="n">
        <v>42342</v>
      </c>
      <c r="B370" s="17" t="n">
        <v>363.98</v>
      </c>
    </row>
    <row r="371" customFormat="false" ht="15" hidden="false" customHeight="false" outlineLevel="0" collapsed="false">
      <c r="A371" s="16" t="n">
        <v>42343</v>
      </c>
      <c r="B371" s="17" t="n">
        <v>387.99</v>
      </c>
    </row>
    <row r="372" customFormat="false" ht="15" hidden="false" customHeight="false" outlineLevel="0" collapsed="false">
      <c r="A372" s="16" t="n">
        <v>42344</v>
      </c>
      <c r="B372" s="17" t="n">
        <v>387.55</v>
      </c>
    </row>
    <row r="373" customFormat="false" ht="15" hidden="false" customHeight="false" outlineLevel="0" collapsed="false">
      <c r="A373" s="16" t="n">
        <v>42345</v>
      </c>
      <c r="B373" s="17" t="n">
        <v>394.73</v>
      </c>
    </row>
    <row r="374" customFormat="false" ht="15" hidden="false" customHeight="false" outlineLevel="0" collapsed="false">
      <c r="A374" s="16" t="n">
        <v>42346</v>
      </c>
      <c r="B374" s="17" t="n">
        <v>418.94</v>
      </c>
    </row>
    <row r="375" customFormat="false" ht="15" hidden="false" customHeight="false" outlineLevel="0" collapsed="false">
      <c r="A375" s="16" t="n">
        <v>42347</v>
      </c>
      <c r="B375" s="17" t="n">
        <v>418.39</v>
      </c>
    </row>
    <row r="376" customFormat="false" ht="15" hidden="false" customHeight="false" outlineLevel="0" collapsed="false">
      <c r="A376" s="16" t="n">
        <v>42348</v>
      </c>
      <c r="B376" s="17" t="n">
        <v>415.68</v>
      </c>
    </row>
    <row r="377" customFormat="false" ht="15" hidden="false" customHeight="false" outlineLevel="0" collapsed="false">
      <c r="A377" s="16" t="n">
        <v>42349</v>
      </c>
      <c r="B377" s="17" t="n">
        <v>452.95</v>
      </c>
    </row>
    <row r="378" customFormat="false" ht="15" hidden="false" customHeight="false" outlineLevel="0" collapsed="false">
      <c r="A378" s="16" t="n">
        <v>42350</v>
      </c>
      <c r="B378" s="17" t="n">
        <v>436.87</v>
      </c>
    </row>
    <row r="379" customFormat="false" ht="15" hidden="false" customHeight="false" outlineLevel="0" collapsed="false">
      <c r="A379" s="16" t="n">
        <v>42351</v>
      </c>
      <c r="B379" s="17" t="n">
        <v>433.83</v>
      </c>
    </row>
    <row r="380" customFormat="false" ht="15" hidden="false" customHeight="false" outlineLevel="0" collapsed="false">
      <c r="A380" s="16" t="n">
        <v>42352</v>
      </c>
      <c r="B380" s="17" t="n">
        <v>444.01</v>
      </c>
    </row>
    <row r="381" customFormat="false" ht="15" hidden="false" customHeight="false" outlineLevel="0" collapsed="false">
      <c r="A381" s="16" t="n">
        <v>42353</v>
      </c>
      <c r="B381" s="17" t="n">
        <v>464.27</v>
      </c>
    </row>
    <row r="382" customFormat="false" ht="15" hidden="false" customHeight="false" outlineLevel="0" collapsed="false">
      <c r="A382" s="16" t="n">
        <v>42354</v>
      </c>
      <c r="B382" s="17" t="n">
        <v>453.97</v>
      </c>
    </row>
    <row r="383" customFormat="false" ht="15" hidden="false" customHeight="false" outlineLevel="0" collapsed="false">
      <c r="A383" s="16" t="n">
        <v>42355</v>
      </c>
      <c r="B383" s="17" t="n">
        <v>455.5</v>
      </c>
    </row>
    <row r="384" customFormat="false" ht="15" hidden="false" customHeight="false" outlineLevel="0" collapsed="false">
      <c r="A384" s="16" t="n">
        <v>42356</v>
      </c>
      <c r="B384" s="17" t="n">
        <v>463.17</v>
      </c>
    </row>
    <row r="385" customFormat="false" ht="15" hidden="false" customHeight="false" outlineLevel="0" collapsed="false">
      <c r="A385" s="16" t="n">
        <v>42357</v>
      </c>
      <c r="B385" s="17" t="n">
        <v>461.29</v>
      </c>
    </row>
    <row r="386" customFormat="false" ht="15" hidden="false" customHeight="false" outlineLevel="0" collapsed="false">
      <c r="A386" s="16" t="n">
        <v>42358</v>
      </c>
      <c r="B386" s="17" t="n">
        <v>442.22</v>
      </c>
    </row>
    <row r="387" customFormat="false" ht="15" hidden="false" customHeight="false" outlineLevel="0" collapsed="false">
      <c r="A387" s="16" t="n">
        <v>42359</v>
      </c>
      <c r="B387" s="17" t="n">
        <v>436.81</v>
      </c>
    </row>
    <row r="388" customFormat="false" ht="15" hidden="false" customHeight="false" outlineLevel="0" collapsed="false">
      <c r="A388" s="16" t="n">
        <v>42360</v>
      </c>
      <c r="B388" s="17" t="n">
        <v>433.92</v>
      </c>
    </row>
    <row r="389" customFormat="false" ht="15" hidden="false" customHeight="false" outlineLevel="0" collapsed="false">
      <c r="A389" s="16" t="n">
        <v>42361</v>
      </c>
      <c r="B389" s="17" t="n">
        <v>442.43</v>
      </c>
    </row>
    <row r="390" customFormat="false" ht="15" hidden="false" customHeight="false" outlineLevel="0" collapsed="false">
      <c r="A390" s="16" t="n">
        <v>42362</v>
      </c>
      <c r="B390" s="17" t="n">
        <v>455.74</v>
      </c>
    </row>
    <row r="391" customFormat="false" ht="15" hidden="false" customHeight="false" outlineLevel="0" collapsed="false">
      <c r="A391" s="16" t="n">
        <v>42363</v>
      </c>
      <c r="B391" s="17" t="n">
        <v>455.84</v>
      </c>
    </row>
    <row r="392" customFormat="false" ht="15" hidden="false" customHeight="false" outlineLevel="0" collapsed="false">
      <c r="A392" s="16" t="n">
        <v>42364</v>
      </c>
      <c r="B392" s="17" t="n">
        <v>419.41</v>
      </c>
    </row>
    <row r="393" customFormat="false" ht="15" hidden="false" customHeight="false" outlineLevel="0" collapsed="false">
      <c r="A393" s="16" t="n">
        <v>42365</v>
      </c>
      <c r="B393" s="17" t="n">
        <v>424.72</v>
      </c>
    </row>
    <row r="394" customFormat="false" ht="15" hidden="false" customHeight="false" outlineLevel="0" collapsed="false">
      <c r="A394" s="16" t="n">
        <v>42366</v>
      </c>
      <c r="B394" s="17" t="n">
        <v>421.94</v>
      </c>
    </row>
    <row r="395" customFormat="false" ht="15" hidden="false" customHeight="false" outlineLevel="0" collapsed="false">
      <c r="A395" s="16" t="n">
        <v>42367</v>
      </c>
      <c r="B395" s="17" t="n">
        <v>433.89</v>
      </c>
    </row>
    <row r="396" customFormat="false" ht="15" hidden="false" customHeight="false" outlineLevel="0" collapsed="false">
      <c r="A396" s="16" t="n">
        <v>42368</v>
      </c>
      <c r="B396" s="17" t="n">
        <v>427.95</v>
      </c>
    </row>
    <row r="397" customFormat="false" ht="15" hidden="false" customHeight="false" outlineLevel="0" collapsed="false">
      <c r="A397" s="16" t="n">
        <v>42369</v>
      </c>
      <c r="B397" s="17" t="n">
        <v>430.35</v>
      </c>
    </row>
    <row r="398" customFormat="false" ht="15" hidden="false" customHeight="false" outlineLevel="0" collapsed="false">
      <c r="A398" s="16" t="n">
        <v>42370</v>
      </c>
      <c r="B398" s="17" t="n">
        <v>435.66</v>
      </c>
    </row>
    <row r="399" customFormat="false" ht="15" hidden="false" customHeight="false" outlineLevel="0" collapsed="false">
      <c r="A399" s="16" t="n">
        <v>42371</v>
      </c>
      <c r="B399" s="17" t="n">
        <v>435.4</v>
      </c>
    </row>
    <row r="400" customFormat="false" ht="15" hidden="false" customHeight="false" outlineLevel="0" collapsed="false">
      <c r="A400" s="16" t="n">
        <v>42372</v>
      </c>
      <c r="B400" s="17" t="n">
        <v>431.91</v>
      </c>
    </row>
    <row r="401" customFormat="false" ht="15" hidden="false" customHeight="false" outlineLevel="0" collapsed="false">
      <c r="A401" s="16" t="n">
        <v>42373</v>
      </c>
      <c r="B401" s="17" t="n">
        <v>433.85</v>
      </c>
    </row>
    <row r="402" customFormat="false" ht="15" hidden="false" customHeight="false" outlineLevel="0" collapsed="false">
      <c r="A402" s="16" t="n">
        <v>42374</v>
      </c>
      <c r="B402" s="17" t="n">
        <v>433.34</v>
      </c>
    </row>
    <row r="403" customFormat="false" ht="15" hidden="false" customHeight="false" outlineLevel="0" collapsed="false">
      <c r="A403" s="16" t="n">
        <v>42375</v>
      </c>
      <c r="B403" s="17" t="n">
        <v>430.87</v>
      </c>
    </row>
    <row r="404" customFormat="false" ht="15" hidden="false" customHeight="false" outlineLevel="0" collapsed="false">
      <c r="A404" s="16" t="n">
        <v>42376</v>
      </c>
      <c r="B404" s="17" t="n">
        <v>459.07</v>
      </c>
    </row>
    <row r="405" customFormat="false" ht="15" hidden="false" customHeight="false" outlineLevel="0" collapsed="false">
      <c r="A405" s="16" t="n">
        <v>42377</v>
      </c>
      <c r="B405" s="17" t="n">
        <v>454.44</v>
      </c>
    </row>
    <row r="406" customFormat="false" ht="15" hidden="false" customHeight="false" outlineLevel="0" collapsed="false">
      <c r="A406" s="16" t="n">
        <v>42378</v>
      </c>
      <c r="B406" s="17" t="n">
        <v>450.38</v>
      </c>
    </row>
    <row r="407" customFormat="false" ht="15" hidden="false" customHeight="false" outlineLevel="0" collapsed="false">
      <c r="A407" s="16" t="n">
        <v>42379</v>
      </c>
      <c r="B407" s="17" t="n">
        <v>449.99</v>
      </c>
    </row>
    <row r="408" customFormat="false" ht="15" hidden="false" customHeight="false" outlineLevel="0" collapsed="false">
      <c r="A408" s="16" t="n">
        <v>42380</v>
      </c>
      <c r="B408" s="17" t="n">
        <v>449.19</v>
      </c>
    </row>
    <row r="409" customFormat="false" ht="15" hidden="false" customHeight="false" outlineLevel="0" collapsed="false">
      <c r="A409" s="16" t="n">
        <v>42381</v>
      </c>
      <c r="B409" s="17" t="n">
        <v>434.01</v>
      </c>
    </row>
    <row r="410" customFormat="false" ht="15" hidden="false" customHeight="false" outlineLevel="0" collapsed="false">
      <c r="A410" s="16" t="n">
        <v>42382</v>
      </c>
      <c r="B410" s="17" t="n">
        <v>432.77</v>
      </c>
    </row>
    <row r="411" customFormat="false" ht="15" hidden="false" customHeight="false" outlineLevel="0" collapsed="false">
      <c r="A411" s="16" t="n">
        <v>42383</v>
      </c>
      <c r="B411" s="17" t="n">
        <v>430.03</v>
      </c>
    </row>
    <row r="412" customFormat="false" ht="15" hidden="false" customHeight="false" outlineLevel="0" collapsed="false">
      <c r="A412" s="16" t="n">
        <v>42384</v>
      </c>
      <c r="B412" s="17" t="n">
        <v>357.53</v>
      </c>
    </row>
    <row r="413" customFormat="false" ht="15" hidden="false" customHeight="false" outlineLevel="0" collapsed="false">
      <c r="A413" s="16" t="n">
        <v>42385</v>
      </c>
      <c r="B413" s="17" t="n">
        <v>388.7</v>
      </c>
    </row>
    <row r="414" customFormat="false" ht="15" hidden="false" customHeight="false" outlineLevel="0" collapsed="false">
      <c r="A414" s="16" t="n">
        <v>42386</v>
      </c>
      <c r="B414" s="17" t="n">
        <v>378.46</v>
      </c>
    </row>
    <row r="415" customFormat="false" ht="15" hidden="false" customHeight="false" outlineLevel="0" collapsed="false">
      <c r="A415" s="16" t="n">
        <v>42387</v>
      </c>
      <c r="B415" s="17" t="n">
        <v>384.89</v>
      </c>
    </row>
    <row r="416" customFormat="false" ht="15" hidden="false" customHeight="false" outlineLevel="0" collapsed="false">
      <c r="A416" s="16" t="n">
        <v>42388</v>
      </c>
      <c r="B416" s="17" t="n">
        <v>375.27</v>
      </c>
    </row>
    <row r="417" customFormat="false" ht="15" hidden="false" customHeight="false" outlineLevel="0" collapsed="false">
      <c r="A417" s="16" t="n">
        <v>42389</v>
      </c>
      <c r="B417" s="17" t="n">
        <v>418.54</v>
      </c>
    </row>
    <row r="418" customFormat="false" ht="15" hidden="false" customHeight="false" outlineLevel="0" collapsed="false">
      <c r="A418" s="16" t="n">
        <v>42390</v>
      </c>
      <c r="B418" s="17" t="n">
        <v>409.38</v>
      </c>
    </row>
    <row r="419" customFormat="false" ht="15" hidden="false" customHeight="false" outlineLevel="0" collapsed="false">
      <c r="A419" s="16" t="n">
        <v>42391</v>
      </c>
      <c r="B419" s="17" t="n">
        <v>382.9</v>
      </c>
    </row>
    <row r="420" customFormat="false" ht="15" hidden="false" customHeight="false" outlineLevel="0" collapsed="false">
      <c r="A420" s="16" t="n">
        <v>42392</v>
      </c>
      <c r="B420" s="17" t="n">
        <v>387.5</v>
      </c>
    </row>
    <row r="421" customFormat="false" ht="15" hidden="false" customHeight="false" outlineLevel="0" collapsed="false">
      <c r="A421" s="16" t="n">
        <v>42393</v>
      </c>
      <c r="B421" s="17" t="n">
        <v>403.05</v>
      </c>
    </row>
    <row r="422" customFormat="false" ht="15" hidden="false" customHeight="false" outlineLevel="0" collapsed="false">
      <c r="A422" s="16" t="n">
        <v>42394</v>
      </c>
      <c r="B422" s="17" t="n">
        <v>391.4</v>
      </c>
    </row>
    <row r="423" customFormat="false" ht="15" hidden="false" customHeight="false" outlineLevel="0" collapsed="false">
      <c r="A423" s="16" t="n">
        <v>42395</v>
      </c>
      <c r="B423" s="17" t="n">
        <v>391.54</v>
      </c>
    </row>
    <row r="424" customFormat="false" ht="15" hidden="false" customHeight="false" outlineLevel="0" collapsed="false">
      <c r="A424" s="16" t="n">
        <v>42396</v>
      </c>
      <c r="B424" s="17" t="n">
        <v>394.79</v>
      </c>
    </row>
    <row r="425" customFormat="false" ht="15" hidden="false" customHeight="false" outlineLevel="0" collapsed="false">
      <c r="A425" s="16" t="n">
        <v>42397</v>
      </c>
      <c r="B425" s="17" t="n">
        <v>379.61</v>
      </c>
    </row>
    <row r="426" customFormat="false" ht="15" hidden="false" customHeight="false" outlineLevel="0" collapsed="false">
      <c r="A426" s="16" t="n">
        <v>42398</v>
      </c>
      <c r="B426" s="17" t="n">
        <v>378.68</v>
      </c>
    </row>
    <row r="427" customFormat="false" ht="15" hidden="false" customHeight="false" outlineLevel="0" collapsed="false">
      <c r="A427" s="16" t="n">
        <v>42399</v>
      </c>
      <c r="B427" s="17" t="n">
        <v>378.46</v>
      </c>
    </row>
    <row r="428" customFormat="false" ht="15" hidden="false" customHeight="false" outlineLevel="0" collapsed="false">
      <c r="A428" s="16" t="n">
        <v>42400</v>
      </c>
      <c r="B428" s="17" t="n">
        <v>367.95</v>
      </c>
    </row>
    <row r="429" customFormat="false" ht="15" hidden="false" customHeight="false" outlineLevel="0" collapsed="false">
      <c r="A429" s="16" t="n">
        <v>42401</v>
      </c>
      <c r="B429" s="17" t="n">
        <v>371.33</v>
      </c>
    </row>
    <row r="430" customFormat="false" ht="15" hidden="false" customHeight="false" outlineLevel="0" collapsed="false">
      <c r="A430" s="16" t="n">
        <v>42402</v>
      </c>
      <c r="B430" s="17" t="n">
        <v>372.93</v>
      </c>
    </row>
    <row r="431" customFormat="false" ht="15" hidden="false" customHeight="false" outlineLevel="0" collapsed="false">
      <c r="A431" s="16" t="n">
        <v>42403</v>
      </c>
      <c r="B431" s="17" t="n">
        <v>368.87</v>
      </c>
    </row>
    <row r="432" customFormat="false" ht="15" hidden="false" customHeight="false" outlineLevel="0" collapsed="false">
      <c r="A432" s="16" t="n">
        <v>42404</v>
      </c>
      <c r="B432" s="17" t="n">
        <v>387.99</v>
      </c>
    </row>
    <row r="433" customFormat="false" ht="15" hidden="false" customHeight="false" outlineLevel="0" collapsed="false">
      <c r="A433" s="16" t="n">
        <v>42405</v>
      </c>
      <c r="B433" s="17" t="n">
        <v>384.5</v>
      </c>
    </row>
    <row r="434" customFormat="false" ht="15" hidden="false" customHeight="false" outlineLevel="0" collapsed="false">
      <c r="A434" s="16" t="n">
        <v>42406</v>
      </c>
      <c r="B434" s="17" t="n">
        <v>375.44</v>
      </c>
    </row>
    <row r="435" customFormat="false" ht="15" hidden="false" customHeight="false" outlineLevel="0" collapsed="false">
      <c r="A435" s="16" t="n">
        <v>42407</v>
      </c>
      <c r="B435" s="17" t="n">
        <v>377.49</v>
      </c>
    </row>
    <row r="436" customFormat="false" ht="15" hidden="false" customHeight="false" outlineLevel="0" collapsed="false">
      <c r="A436" s="16" t="n">
        <v>42408</v>
      </c>
      <c r="B436" s="17" t="n">
        <v>371.14</v>
      </c>
    </row>
    <row r="437" customFormat="false" ht="15" hidden="false" customHeight="false" outlineLevel="0" collapsed="false">
      <c r="A437" s="16" t="n">
        <v>42409</v>
      </c>
      <c r="B437" s="17" t="n">
        <v>372.68</v>
      </c>
    </row>
    <row r="438" customFormat="false" ht="15" hidden="false" customHeight="false" outlineLevel="0" collapsed="false">
      <c r="A438" s="16" t="n">
        <v>42410</v>
      </c>
      <c r="B438" s="17" t="n">
        <v>378.44</v>
      </c>
    </row>
    <row r="439" customFormat="false" ht="15" hidden="false" customHeight="false" outlineLevel="0" collapsed="false">
      <c r="A439" s="16" t="n">
        <v>42411</v>
      </c>
      <c r="B439" s="17" t="n">
        <v>378.23</v>
      </c>
    </row>
    <row r="440" customFormat="false" ht="15" hidden="false" customHeight="false" outlineLevel="0" collapsed="false">
      <c r="A440" s="16" t="n">
        <v>42412</v>
      </c>
      <c r="B440" s="17" t="n">
        <v>382.05</v>
      </c>
    </row>
    <row r="441" customFormat="false" ht="15" hidden="false" customHeight="false" outlineLevel="0" collapsed="false">
      <c r="A441" s="16" t="n">
        <v>42413</v>
      </c>
      <c r="B441" s="17" t="n">
        <v>391</v>
      </c>
    </row>
    <row r="442" customFormat="false" ht="15" hidden="false" customHeight="false" outlineLevel="0" collapsed="false">
      <c r="A442" s="16" t="n">
        <v>42414</v>
      </c>
      <c r="B442" s="17" t="n">
        <v>406.59</v>
      </c>
    </row>
    <row r="443" customFormat="false" ht="15" hidden="false" customHeight="false" outlineLevel="0" collapsed="false">
      <c r="A443" s="16" t="n">
        <v>42415</v>
      </c>
      <c r="B443" s="17" t="n">
        <v>398.95</v>
      </c>
    </row>
    <row r="444" customFormat="false" ht="15" hidden="false" customHeight="false" outlineLevel="0" collapsed="false">
      <c r="A444" s="16" t="n">
        <v>42416</v>
      </c>
      <c r="B444" s="17" t="n">
        <v>407.42</v>
      </c>
    </row>
    <row r="445" customFormat="false" ht="15" hidden="false" customHeight="false" outlineLevel="0" collapsed="false">
      <c r="A445" s="16" t="n">
        <v>42417</v>
      </c>
      <c r="B445" s="17" t="n">
        <v>415.2</v>
      </c>
    </row>
    <row r="446" customFormat="false" ht="15" hidden="false" customHeight="false" outlineLevel="0" collapsed="false">
      <c r="A446" s="16" t="n">
        <v>42418</v>
      </c>
      <c r="B446" s="17" t="n">
        <v>421.19</v>
      </c>
    </row>
    <row r="447" customFormat="false" ht="15" hidden="false" customHeight="false" outlineLevel="0" collapsed="false">
      <c r="A447" s="16" t="n">
        <v>42419</v>
      </c>
      <c r="B447" s="17" t="n">
        <v>420.72</v>
      </c>
    </row>
    <row r="448" customFormat="false" ht="15" hidden="false" customHeight="false" outlineLevel="0" collapsed="false">
      <c r="A448" s="16" t="n">
        <v>42420</v>
      </c>
      <c r="B448" s="17" t="n">
        <v>437.46</v>
      </c>
    </row>
    <row r="449" customFormat="false" ht="15" hidden="false" customHeight="false" outlineLevel="0" collapsed="false">
      <c r="A449" s="16" t="n">
        <v>42421</v>
      </c>
      <c r="B449" s="17" t="n">
        <v>438.56</v>
      </c>
    </row>
    <row r="450" customFormat="false" ht="15" hidden="false" customHeight="false" outlineLevel="0" collapsed="false">
      <c r="A450" s="16" t="n">
        <v>42422</v>
      </c>
      <c r="B450" s="17" t="n">
        <v>437.55</v>
      </c>
    </row>
    <row r="451" customFormat="false" ht="15" hidden="false" customHeight="false" outlineLevel="0" collapsed="false">
      <c r="A451" s="16" t="n">
        <v>42423</v>
      </c>
      <c r="B451" s="17" t="n">
        <v>419.97</v>
      </c>
    </row>
    <row r="452" customFormat="false" ht="15" hidden="false" customHeight="false" outlineLevel="0" collapsed="false">
      <c r="A452" s="16" t="n">
        <v>42424</v>
      </c>
      <c r="B452" s="17" t="n">
        <v>423.94</v>
      </c>
    </row>
    <row r="453" customFormat="false" ht="15" hidden="false" customHeight="false" outlineLevel="0" collapsed="false">
      <c r="A453" s="16" t="n">
        <v>42425</v>
      </c>
      <c r="B453" s="17" t="n">
        <v>423.54</v>
      </c>
    </row>
    <row r="454" customFormat="false" ht="15" hidden="false" customHeight="false" outlineLevel="0" collapsed="false">
      <c r="A454" s="16" t="n">
        <v>42426</v>
      </c>
      <c r="B454" s="17" t="n">
        <v>430.85</v>
      </c>
    </row>
    <row r="455" customFormat="false" ht="15" hidden="false" customHeight="false" outlineLevel="0" collapsed="false">
      <c r="A455" s="16" t="n">
        <v>42427</v>
      </c>
      <c r="B455" s="17" t="n">
        <v>433.12</v>
      </c>
    </row>
    <row r="456" customFormat="false" ht="15" hidden="false" customHeight="false" outlineLevel="0" collapsed="false">
      <c r="A456" s="16" t="n">
        <v>42428</v>
      </c>
      <c r="B456" s="17" t="n">
        <v>433.73</v>
      </c>
    </row>
    <row r="457" customFormat="false" ht="15" hidden="false" customHeight="false" outlineLevel="0" collapsed="false">
      <c r="A457" s="16" t="n">
        <v>42429</v>
      </c>
      <c r="B457" s="17" t="n">
        <v>436.44</v>
      </c>
    </row>
    <row r="458" customFormat="false" ht="15" hidden="false" customHeight="false" outlineLevel="0" collapsed="false">
      <c r="A458" s="16" t="n">
        <v>42430</v>
      </c>
      <c r="B458" s="17" t="n">
        <v>433.08</v>
      </c>
    </row>
    <row r="459" customFormat="false" ht="15" hidden="false" customHeight="false" outlineLevel="0" collapsed="false">
      <c r="A459" s="16" t="n">
        <v>42431</v>
      </c>
      <c r="B459" s="17" t="n">
        <v>420.39</v>
      </c>
    </row>
    <row r="460" customFormat="false" ht="15" hidden="false" customHeight="false" outlineLevel="0" collapsed="false">
      <c r="A460" s="16" t="n">
        <v>42432</v>
      </c>
      <c r="B460" s="17" t="n">
        <v>418.8</v>
      </c>
    </row>
    <row r="461" customFormat="false" ht="15" hidden="false" customHeight="false" outlineLevel="0" collapsed="false">
      <c r="A461" s="16" t="n">
        <v>42433</v>
      </c>
      <c r="B461" s="17" t="n">
        <v>407.35</v>
      </c>
    </row>
    <row r="462" customFormat="false" ht="15" hidden="false" customHeight="false" outlineLevel="0" collapsed="false">
      <c r="A462" s="16" t="n">
        <v>42434</v>
      </c>
      <c r="B462" s="17" t="n">
        <v>396.08</v>
      </c>
    </row>
    <row r="463" customFormat="false" ht="15" hidden="false" customHeight="false" outlineLevel="0" collapsed="false">
      <c r="A463" s="16" t="n">
        <v>42435</v>
      </c>
      <c r="B463" s="17" t="n">
        <v>403.24</v>
      </c>
    </row>
    <row r="464" customFormat="false" ht="15" hidden="false" customHeight="false" outlineLevel="0" collapsed="false">
      <c r="A464" s="16" t="n">
        <v>42436</v>
      </c>
      <c r="B464" s="17" t="n">
        <v>412.21</v>
      </c>
    </row>
    <row r="465" customFormat="false" ht="15" hidden="false" customHeight="false" outlineLevel="0" collapsed="false">
      <c r="A465" s="16" t="n">
        <v>42437</v>
      </c>
      <c r="B465" s="17" t="n">
        <v>411.18</v>
      </c>
    </row>
    <row r="466" customFormat="false" ht="15" hidden="false" customHeight="false" outlineLevel="0" collapsed="false">
      <c r="A466" s="16" t="n">
        <v>42438</v>
      </c>
      <c r="B466" s="17" t="n">
        <v>412.8</v>
      </c>
    </row>
    <row r="467" customFormat="false" ht="15" hidden="false" customHeight="false" outlineLevel="0" collapsed="false">
      <c r="A467" s="16" t="n">
        <v>42439</v>
      </c>
      <c r="B467" s="17" t="n">
        <v>415.98</v>
      </c>
    </row>
    <row r="468" customFormat="false" ht="15" hidden="false" customHeight="false" outlineLevel="0" collapsed="false">
      <c r="A468" s="16" t="n">
        <v>42440</v>
      </c>
      <c r="B468" s="17" t="n">
        <v>419.39</v>
      </c>
    </row>
    <row r="469" customFormat="false" ht="15" hidden="false" customHeight="false" outlineLevel="0" collapsed="false">
      <c r="A469" s="16" t="n">
        <v>42441</v>
      </c>
      <c r="B469" s="17" t="n">
        <v>410.58</v>
      </c>
    </row>
    <row r="470" customFormat="false" ht="15" hidden="false" customHeight="false" outlineLevel="0" collapsed="false">
      <c r="A470" s="16" t="n">
        <v>42442</v>
      </c>
      <c r="B470" s="17" t="n">
        <v>412.52</v>
      </c>
    </row>
    <row r="471" customFormat="false" ht="15" hidden="false" customHeight="false" outlineLevel="0" collapsed="false">
      <c r="A471" s="16" t="n">
        <v>42443</v>
      </c>
      <c r="B471" s="17" t="n">
        <v>415.02</v>
      </c>
    </row>
    <row r="472" customFormat="false" ht="15" hidden="false" customHeight="false" outlineLevel="0" collapsed="false">
      <c r="A472" s="16" t="n">
        <v>42444</v>
      </c>
      <c r="B472" s="17" t="n">
        <v>415.41</v>
      </c>
    </row>
    <row r="473" customFormat="false" ht="15" hidden="false" customHeight="false" outlineLevel="0" collapsed="false">
      <c r="A473" s="16" t="n">
        <v>42445</v>
      </c>
      <c r="B473" s="17" t="n">
        <v>416.07</v>
      </c>
    </row>
    <row r="474" customFormat="false" ht="15" hidden="false" customHeight="false" outlineLevel="0" collapsed="false">
      <c r="A474" s="16" t="n">
        <v>42446</v>
      </c>
      <c r="B474" s="17" t="n">
        <v>418.41</v>
      </c>
    </row>
    <row r="475" customFormat="false" ht="15" hidden="false" customHeight="false" outlineLevel="0" collapsed="false">
      <c r="A475" s="16" t="n">
        <v>42447</v>
      </c>
      <c r="B475" s="17" t="n">
        <v>409.65</v>
      </c>
    </row>
    <row r="476" customFormat="false" ht="15" hidden="false" customHeight="false" outlineLevel="0" collapsed="false">
      <c r="A476" s="16" t="n">
        <v>42448</v>
      </c>
      <c r="B476" s="17" t="n">
        <v>410.2</v>
      </c>
    </row>
    <row r="477" customFormat="false" ht="15" hidden="false" customHeight="false" outlineLevel="0" collapsed="false">
      <c r="A477" s="16" t="n">
        <v>42449</v>
      </c>
      <c r="B477" s="17" t="n">
        <v>411.27</v>
      </c>
    </row>
    <row r="478" customFormat="false" ht="15" hidden="false" customHeight="false" outlineLevel="0" collapsed="false">
      <c r="A478" s="16" t="n">
        <v>42450</v>
      </c>
      <c r="B478" s="17" t="n">
        <v>412</v>
      </c>
    </row>
    <row r="479" customFormat="false" ht="15" hidden="false" customHeight="false" outlineLevel="0" collapsed="false">
      <c r="A479" s="16" t="n">
        <v>42451</v>
      </c>
      <c r="B479" s="17" t="n">
        <v>416.66</v>
      </c>
    </row>
    <row r="480" customFormat="false" ht="15" hidden="false" customHeight="false" outlineLevel="0" collapsed="false">
      <c r="A480" s="16" t="n">
        <v>42452</v>
      </c>
      <c r="B480" s="17" t="n">
        <v>417.53</v>
      </c>
    </row>
    <row r="481" customFormat="false" ht="15" hidden="false" customHeight="false" outlineLevel="0" collapsed="false">
      <c r="A481" s="16" t="n">
        <v>42453</v>
      </c>
      <c r="B481" s="17" t="n">
        <v>412.95</v>
      </c>
    </row>
    <row r="482" customFormat="false" ht="15" hidden="false" customHeight="false" outlineLevel="0" collapsed="false">
      <c r="A482" s="16" t="n">
        <v>42454</v>
      </c>
      <c r="B482" s="17" t="n">
        <v>416.41</v>
      </c>
    </row>
    <row r="483" customFormat="false" ht="15" hidden="false" customHeight="false" outlineLevel="0" collapsed="false">
      <c r="A483" s="16" t="n">
        <v>42455</v>
      </c>
      <c r="B483" s="17" t="n">
        <v>416.97</v>
      </c>
    </row>
    <row r="484" customFormat="false" ht="15" hidden="false" customHeight="false" outlineLevel="0" collapsed="false">
      <c r="A484" s="16" t="n">
        <v>42456</v>
      </c>
      <c r="B484" s="17" t="n">
        <v>425.3</v>
      </c>
    </row>
    <row r="485" customFormat="false" ht="15" hidden="false" customHeight="false" outlineLevel="0" collapsed="false">
      <c r="A485" s="16" t="n">
        <v>42457</v>
      </c>
      <c r="B485" s="17" t="n">
        <v>423</v>
      </c>
    </row>
    <row r="486" customFormat="false" ht="15" hidden="false" customHeight="false" outlineLevel="0" collapsed="false">
      <c r="A486" s="16" t="n">
        <v>42458</v>
      </c>
      <c r="B486" s="17" t="n">
        <v>416.39</v>
      </c>
    </row>
    <row r="487" customFormat="false" ht="15" hidden="false" customHeight="false" outlineLevel="0" collapsed="false">
      <c r="A487" s="16" t="n">
        <v>42459</v>
      </c>
      <c r="B487" s="17" t="n">
        <v>412.79</v>
      </c>
    </row>
    <row r="488" customFormat="false" ht="15" hidden="false" customHeight="false" outlineLevel="0" collapsed="false">
      <c r="A488" s="16" t="n">
        <v>42460</v>
      </c>
      <c r="B488" s="17" t="n">
        <v>416.03</v>
      </c>
    </row>
    <row r="489" customFormat="false" ht="15" hidden="false" customHeight="false" outlineLevel="0" collapsed="false">
      <c r="A489" s="16" t="n">
        <v>42461</v>
      </c>
      <c r="B489" s="17" t="n">
        <v>417.68</v>
      </c>
    </row>
    <row r="490" customFormat="false" ht="15" hidden="false" customHeight="false" outlineLevel="0" collapsed="false">
      <c r="A490" s="16" t="n">
        <v>42462</v>
      </c>
      <c r="B490" s="17" t="n">
        <v>419.95</v>
      </c>
    </row>
    <row r="491" customFormat="false" ht="15" hidden="false" customHeight="false" outlineLevel="0" collapsed="false">
      <c r="A491" s="16" t="n">
        <v>42463</v>
      </c>
      <c r="B491" s="17" t="n">
        <v>420.16</v>
      </c>
    </row>
    <row r="492" customFormat="false" ht="15" hidden="false" customHeight="false" outlineLevel="0" collapsed="false">
      <c r="A492" s="16" t="n">
        <v>42464</v>
      </c>
      <c r="B492" s="17" t="n">
        <v>419.47</v>
      </c>
    </row>
    <row r="493" customFormat="false" ht="15" hidden="false" customHeight="false" outlineLevel="0" collapsed="false">
      <c r="A493" s="16" t="n">
        <v>42465</v>
      </c>
      <c r="B493" s="17" t="n">
        <v>422.36</v>
      </c>
    </row>
    <row r="494" customFormat="false" ht="15" hidden="false" customHeight="false" outlineLevel="0" collapsed="false">
      <c r="A494" s="16" t="n">
        <v>42466</v>
      </c>
      <c r="B494" s="17" t="n">
        <v>421.46</v>
      </c>
    </row>
    <row r="495" customFormat="false" ht="15" hidden="false" customHeight="false" outlineLevel="0" collapsed="false">
      <c r="A495" s="16" t="n">
        <v>42467</v>
      </c>
      <c r="B495" s="17" t="n">
        <v>421.99</v>
      </c>
    </row>
    <row r="496" customFormat="false" ht="15" hidden="false" customHeight="false" outlineLevel="0" collapsed="false">
      <c r="A496" s="16" t="n">
        <v>42468</v>
      </c>
      <c r="B496" s="17" t="n">
        <v>419.48</v>
      </c>
    </row>
    <row r="497" customFormat="false" ht="15" hidden="false" customHeight="false" outlineLevel="0" collapsed="false">
      <c r="A497" s="16" t="n">
        <v>42469</v>
      </c>
      <c r="B497" s="17" t="n">
        <v>419.46</v>
      </c>
    </row>
    <row r="498" customFormat="false" ht="15" hidden="false" customHeight="false" outlineLevel="0" collapsed="false">
      <c r="A498" s="16" t="n">
        <v>42470</v>
      </c>
      <c r="B498" s="17" t="n">
        <v>423.4</v>
      </c>
    </row>
    <row r="499" customFormat="false" ht="15" hidden="false" customHeight="false" outlineLevel="0" collapsed="false">
      <c r="A499" s="16" t="n">
        <v>42471</v>
      </c>
      <c r="B499" s="17" t="n">
        <v>423.94</v>
      </c>
    </row>
    <row r="500" customFormat="false" ht="15" hidden="false" customHeight="false" outlineLevel="0" collapsed="false">
      <c r="A500" s="16" t="n">
        <v>42472</v>
      </c>
      <c r="B500" s="17" t="n">
        <v>427.8</v>
      </c>
    </row>
    <row r="501" customFormat="false" ht="15" hidden="false" customHeight="false" outlineLevel="0" collapsed="false">
      <c r="A501" s="16" t="n">
        <v>42473</v>
      </c>
      <c r="B501" s="17" t="n">
        <v>425.58</v>
      </c>
    </row>
    <row r="502" customFormat="false" ht="15" hidden="false" customHeight="false" outlineLevel="0" collapsed="false">
      <c r="A502" s="16" t="n">
        <v>42474</v>
      </c>
      <c r="B502" s="17" t="n">
        <v>426.32</v>
      </c>
    </row>
    <row r="503" customFormat="false" ht="15" hidden="false" customHeight="false" outlineLevel="0" collapsed="false">
      <c r="A503" s="16" t="n">
        <v>42475</v>
      </c>
      <c r="B503" s="17" t="n">
        <v>430.93</v>
      </c>
    </row>
    <row r="504" customFormat="false" ht="15" hidden="false" customHeight="false" outlineLevel="0" collapsed="false">
      <c r="A504" s="16" t="n">
        <v>42476</v>
      </c>
      <c r="B504" s="17" t="n">
        <v>433.39</v>
      </c>
    </row>
    <row r="505" customFormat="false" ht="15" hidden="false" customHeight="false" outlineLevel="0" collapsed="false">
      <c r="A505" s="16" t="n">
        <v>42477</v>
      </c>
      <c r="B505" s="17" t="n">
        <v>431</v>
      </c>
    </row>
    <row r="506" customFormat="false" ht="15" hidden="false" customHeight="false" outlineLevel="0" collapsed="false">
      <c r="A506" s="16" t="n">
        <v>42478</v>
      </c>
      <c r="B506" s="17" t="n">
        <v>430.97</v>
      </c>
    </row>
    <row r="507" customFormat="false" ht="15" hidden="false" customHeight="false" outlineLevel="0" collapsed="false">
      <c r="A507" s="16" t="n">
        <v>42479</v>
      </c>
      <c r="B507" s="17" t="n">
        <v>437.06</v>
      </c>
    </row>
    <row r="508" customFormat="false" ht="15" hidden="false" customHeight="false" outlineLevel="0" collapsed="false">
      <c r="A508" s="16" t="n">
        <v>42480</v>
      </c>
      <c r="B508" s="17" t="n">
        <v>442.96</v>
      </c>
    </row>
    <row r="509" customFormat="false" ht="15" hidden="false" customHeight="false" outlineLevel="0" collapsed="false">
      <c r="A509" s="16" t="n">
        <v>42481</v>
      </c>
      <c r="B509" s="17" t="n">
        <v>452.25</v>
      </c>
    </row>
    <row r="510" customFormat="false" ht="15" hidden="false" customHeight="false" outlineLevel="0" collapsed="false">
      <c r="A510" s="16" t="n">
        <v>42482</v>
      </c>
      <c r="B510" s="17" t="n">
        <v>448.41</v>
      </c>
    </row>
    <row r="511" customFormat="false" ht="15" hidden="false" customHeight="false" outlineLevel="0" collapsed="false">
      <c r="A511" s="16" t="n">
        <v>42483</v>
      </c>
      <c r="B511" s="17" t="n">
        <v>455.69</v>
      </c>
    </row>
    <row r="512" customFormat="false" ht="15" hidden="false" customHeight="false" outlineLevel="0" collapsed="false">
      <c r="A512" s="16" t="n">
        <v>42484</v>
      </c>
      <c r="B512" s="17" t="n">
        <v>464.46</v>
      </c>
    </row>
    <row r="513" customFormat="false" ht="15" hidden="false" customHeight="false" outlineLevel="0" collapsed="false">
      <c r="A513" s="16" t="n">
        <v>42485</v>
      </c>
      <c r="B513" s="17" t="n">
        <v>466.17</v>
      </c>
    </row>
    <row r="514" customFormat="false" ht="15" hidden="false" customHeight="false" outlineLevel="0" collapsed="false">
      <c r="A514" s="16" t="n">
        <v>42486</v>
      </c>
      <c r="B514" s="17" t="n">
        <v>470.59</v>
      </c>
    </row>
    <row r="515" customFormat="false" ht="15" hidden="false" customHeight="false" outlineLevel="0" collapsed="false">
      <c r="A515" s="16" t="n">
        <v>42487</v>
      </c>
      <c r="B515" s="17" t="n">
        <v>445.31</v>
      </c>
    </row>
    <row r="516" customFormat="false" ht="15" hidden="false" customHeight="false" outlineLevel="0" collapsed="false">
      <c r="A516" s="16" t="n">
        <v>42488</v>
      </c>
      <c r="B516" s="17" t="n">
        <v>451.68</v>
      </c>
    </row>
    <row r="517" customFormat="false" ht="15" hidden="false" customHeight="false" outlineLevel="0" collapsed="false">
      <c r="A517" s="16" t="n">
        <v>42489</v>
      </c>
      <c r="B517" s="17" t="n">
        <v>458.82</v>
      </c>
    </row>
    <row r="518" customFormat="false" ht="15" hidden="false" customHeight="false" outlineLevel="0" collapsed="false">
      <c r="A518" s="16" t="n">
        <v>42490</v>
      </c>
      <c r="B518" s="17" t="n">
        <v>454.02</v>
      </c>
    </row>
    <row r="519" customFormat="false" ht="15" hidden="false" customHeight="false" outlineLevel="0" collapsed="false">
      <c r="A519" s="16" t="n">
        <v>42491</v>
      </c>
      <c r="B519" s="17" t="n">
        <v>456.98</v>
      </c>
    </row>
    <row r="520" customFormat="false" ht="15" hidden="false" customHeight="false" outlineLevel="0" collapsed="false">
      <c r="A520" s="16" t="n">
        <v>42492</v>
      </c>
      <c r="B520" s="17" t="n">
        <v>446.42</v>
      </c>
    </row>
    <row r="521" customFormat="false" ht="15" hidden="false" customHeight="false" outlineLevel="0" collapsed="false">
      <c r="A521" s="16" t="n">
        <v>42493</v>
      </c>
      <c r="B521" s="17" t="n">
        <v>452.21</v>
      </c>
    </row>
    <row r="522" customFormat="false" ht="15" hidden="false" customHeight="false" outlineLevel="0" collapsed="false">
      <c r="A522" s="16" t="n">
        <v>42494</v>
      </c>
      <c r="B522" s="17" t="n">
        <v>448.68</v>
      </c>
    </row>
    <row r="523" customFormat="false" ht="15" hidden="false" customHeight="false" outlineLevel="0" collapsed="false">
      <c r="A523" s="16" t="n">
        <v>42495</v>
      </c>
      <c r="B523" s="17" t="n">
        <v>449.98</v>
      </c>
    </row>
    <row r="524" customFormat="false" ht="15" hidden="false" customHeight="false" outlineLevel="0" collapsed="false">
      <c r="A524" s="16" t="n">
        <v>42496</v>
      </c>
      <c r="B524" s="17" t="n">
        <v>462.31</v>
      </c>
    </row>
    <row r="525" customFormat="false" ht="15" hidden="false" customHeight="false" outlineLevel="0" collapsed="false">
      <c r="A525" s="16" t="n">
        <v>42497</v>
      </c>
      <c r="B525" s="17" t="n">
        <v>461.91</v>
      </c>
    </row>
    <row r="526" customFormat="false" ht="15" hidden="false" customHeight="false" outlineLevel="0" collapsed="false">
      <c r="A526" s="16" t="n">
        <v>42498</v>
      </c>
      <c r="B526" s="17" t="n">
        <v>462.79</v>
      </c>
    </row>
    <row r="527" customFormat="false" ht="15" hidden="false" customHeight="false" outlineLevel="0" collapsed="false">
      <c r="A527" s="16" t="n">
        <v>42499</v>
      </c>
      <c r="B527" s="17" t="n">
        <v>464.16</v>
      </c>
    </row>
    <row r="528" customFormat="false" ht="15" hidden="false" customHeight="false" outlineLevel="0" collapsed="false">
      <c r="A528" s="16" t="n">
        <v>42500</v>
      </c>
      <c r="B528" s="17" t="n">
        <v>452.78</v>
      </c>
    </row>
    <row r="529" customFormat="false" ht="15" hidden="false" customHeight="false" outlineLevel="0" collapsed="false">
      <c r="A529" s="16" t="n">
        <v>42501</v>
      </c>
      <c r="B529" s="17" t="n">
        <v>454.37</v>
      </c>
    </row>
    <row r="530" customFormat="false" ht="15" hidden="false" customHeight="false" outlineLevel="0" collapsed="false">
      <c r="A530" s="16" t="n">
        <v>42502</v>
      </c>
      <c r="B530" s="17" t="n">
        <v>456.48</v>
      </c>
    </row>
    <row r="531" customFormat="false" ht="15" hidden="false" customHeight="false" outlineLevel="0" collapsed="false">
      <c r="A531" s="16" t="n">
        <v>42503</v>
      </c>
      <c r="B531" s="17" t="n">
        <v>457.98</v>
      </c>
    </row>
    <row r="532" customFormat="false" ht="15" hidden="false" customHeight="false" outlineLevel="0" collapsed="false">
      <c r="A532" s="16" t="n">
        <v>42504</v>
      </c>
      <c r="B532" s="17" t="n">
        <v>458.9</v>
      </c>
    </row>
    <row r="533" customFormat="false" ht="15" hidden="false" customHeight="false" outlineLevel="0" collapsed="false">
      <c r="A533" s="16" t="n">
        <v>42505</v>
      </c>
      <c r="B533" s="17" t="n">
        <v>461.47</v>
      </c>
    </row>
    <row r="534" customFormat="false" ht="15" hidden="false" customHeight="false" outlineLevel="0" collapsed="false">
      <c r="A534" s="16" t="n">
        <v>42506</v>
      </c>
      <c r="B534" s="17" t="n">
        <v>455.66</v>
      </c>
    </row>
    <row r="535" customFormat="false" ht="15" hidden="false" customHeight="false" outlineLevel="0" collapsed="false">
      <c r="A535" s="16" t="n">
        <v>42507</v>
      </c>
      <c r="B535" s="17" t="n">
        <v>454.19</v>
      </c>
    </row>
    <row r="536" customFormat="false" ht="15" hidden="false" customHeight="false" outlineLevel="0" collapsed="false">
      <c r="A536" s="16" t="n">
        <v>42508</v>
      </c>
      <c r="B536" s="17" t="n">
        <v>455.56</v>
      </c>
    </row>
    <row r="537" customFormat="false" ht="15" hidden="false" customHeight="false" outlineLevel="0" collapsed="false">
      <c r="A537" s="16" t="n">
        <v>42509</v>
      </c>
      <c r="B537" s="17" t="n">
        <v>438.38</v>
      </c>
    </row>
    <row r="538" customFormat="false" ht="15" hidden="false" customHeight="false" outlineLevel="0" collapsed="false">
      <c r="A538" s="16" t="n">
        <v>42510</v>
      </c>
      <c r="B538" s="17" t="n">
        <v>445.65</v>
      </c>
    </row>
    <row r="539" customFormat="false" ht="15" hidden="false" customHeight="false" outlineLevel="0" collapsed="false">
      <c r="A539" s="16" t="n">
        <v>42511</v>
      </c>
      <c r="B539" s="17" t="n">
        <v>446.28</v>
      </c>
    </row>
    <row r="540" customFormat="false" ht="15" hidden="false" customHeight="false" outlineLevel="0" collapsed="false">
      <c r="A540" s="16" t="n">
        <v>42512</v>
      </c>
      <c r="B540" s="17" t="n">
        <v>442.48</v>
      </c>
    </row>
    <row r="541" customFormat="false" ht="15" hidden="false" customHeight="false" outlineLevel="0" collapsed="false">
      <c r="A541" s="16" t="n">
        <v>42513</v>
      </c>
      <c r="B541" s="17" t="n">
        <v>445.67</v>
      </c>
    </row>
    <row r="542" customFormat="false" ht="15" hidden="false" customHeight="false" outlineLevel="0" collapsed="false">
      <c r="A542" s="16" t="n">
        <v>42514</v>
      </c>
      <c r="B542" s="17" t="n">
        <v>446.99</v>
      </c>
    </row>
    <row r="543" customFormat="false" ht="15" hidden="false" customHeight="false" outlineLevel="0" collapsed="false">
      <c r="A543" s="16" t="n">
        <v>42515</v>
      </c>
      <c r="B543" s="17" t="n">
        <v>451.49</v>
      </c>
    </row>
    <row r="544" customFormat="false" ht="15" hidden="false" customHeight="false" outlineLevel="0" collapsed="false">
      <c r="A544" s="16" t="n">
        <v>42516</v>
      </c>
      <c r="B544" s="17" t="n">
        <v>454.97</v>
      </c>
    </row>
    <row r="545" customFormat="false" ht="15" hidden="false" customHeight="false" outlineLevel="0" collapsed="false">
      <c r="A545" s="16" t="n">
        <v>42517</v>
      </c>
      <c r="B545" s="17" t="n">
        <v>471.27</v>
      </c>
    </row>
    <row r="546" customFormat="false" ht="15" hidden="false" customHeight="false" outlineLevel="0" collapsed="false">
      <c r="A546" s="16" t="n">
        <v>42518</v>
      </c>
      <c r="B546" s="17" t="n">
        <v>523.25</v>
      </c>
    </row>
    <row r="547" customFormat="false" ht="15" hidden="false" customHeight="false" outlineLevel="0" collapsed="false">
      <c r="A547" s="16" t="n">
        <v>42519</v>
      </c>
      <c r="B547" s="17" t="n">
        <v>525.22</v>
      </c>
    </row>
    <row r="548" customFormat="false" ht="15" hidden="false" customHeight="false" outlineLevel="0" collapsed="false">
      <c r="A548" s="16" t="n">
        <v>42520</v>
      </c>
      <c r="B548" s="17" t="n">
        <v>532.55</v>
      </c>
    </row>
    <row r="549" customFormat="false" ht="15" hidden="false" customHeight="false" outlineLevel="0" collapsed="false">
      <c r="A549" s="16" t="n">
        <v>42521</v>
      </c>
      <c r="B549" s="17" t="n">
        <v>531.34</v>
      </c>
    </row>
    <row r="550" customFormat="false" ht="15" hidden="false" customHeight="false" outlineLevel="0" collapsed="false">
      <c r="A550" s="16" t="n">
        <v>42522</v>
      </c>
      <c r="B550" s="17" t="n">
        <v>534.84</v>
      </c>
    </row>
    <row r="551" customFormat="false" ht="15" hidden="false" customHeight="false" outlineLevel="0" collapsed="false">
      <c r="A551" s="16" t="n">
        <v>42523</v>
      </c>
      <c r="B551" s="17" t="n">
        <v>537.87</v>
      </c>
    </row>
    <row r="552" customFormat="false" ht="15" hidden="false" customHeight="false" outlineLevel="0" collapsed="false">
      <c r="A552" s="16" t="n">
        <v>42524</v>
      </c>
      <c r="B552" s="17" t="n">
        <v>571.25</v>
      </c>
    </row>
    <row r="553" customFormat="false" ht="15" hidden="false" customHeight="false" outlineLevel="0" collapsed="false">
      <c r="A553" s="16" t="n">
        <v>42525</v>
      </c>
      <c r="B553" s="17" t="n">
        <v>576.31</v>
      </c>
    </row>
    <row r="554" customFormat="false" ht="15" hidden="false" customHeight="false" outlineLevel="0" collapsed="false">
      <c r="A554" s="16" t="n">
        <v>42526</v>
      </c>
      <c r="B554" s="17" t="n">
        <v>575.17</v>
      </c>
    </row>
    <row r="555" customFormat="false" ht="15" hidden="false" customHeight="false" outlineLevel="0" collapsed="false">
      <c r="A555" s="16" t="n">
        <v>42527</v>
      </c>
      <c r="B555" s="17" t="n">
        <v>586.77</v>
      </c>
    </row>
    <row r="556" customFormat="false" ht="15" hidden="false" customHeight="false" outlineLevel="0" collapsed="false">
      <c r="A556" s="16" t="n">
        <v>42528</v>
      </c>
      <c r="B556" s="17" t="n">
        <v>579.71</v>
      </c>
    </row>
    <row r="557" customFormat="false" ht="15" hidden="false" customHeight="false" outlineLevel="0" collapsed="false">
      <c r="A557" s="16" t="n">
        <v>42529</v>
      </c>
      <c r="B557" s="17" t="n">
        <v>583.21</v>
      </c>
    </row>
    <row r="558" customFormat="false" ht="15" hidden="false" customHeight="false" outlineLevel="0" collapsed="false">
      <c r="A558" s="16" t="n">
        <v>42530</v>
      </c>
      <c r="B558" s="17" t="n">
        <v>577.46</v>
      </c>
    </row>
    <row r="559" customFormat="false" ht="15" hidden="false" customHeight="false" outlineLevel="0" collapsed="false">
      <c r="A559" s="16" t="n">
        <v>42531</v>
      </c>
      <c r="B559" s="17" t="n">
        <v>580.31</v>
      </c>
    </row>
    <row r="560" customFormat="false" ht="15" hidden="false" customHeight="false" outlineLevel="0" collapsed="false">
      <c r="A560" s="16" t="n">
        <v>42532</v>
      </c>
      <c r="B560" s="17" t="n">
        <v>609.5</v>
      </c>
    </row>
    <row r="561" customFormat="false" ht="15" hidden="false" customHeight="false" outlineLevel="0" collapsed="false">
      <c r="A561" s="16" t="n">
        <v>42533</v>
      </c>
      <c r="B561" s="17" t="n">
        <v>677.86</v>
      </c>
    </row>
    <row r="562" customFormat="false" ht="15" hidden="false" customHeight="false" outlineLevel="0" collapsed="false">
      <c r="A562" s="16" t="n">
        <v>42534</v>
      </c>
      <c r="B562" s="17" t="n">
        <v>706.01</v>
      </c>
    </row>
    <row r="563" customFormat="false" ht="15" hidden="false" customHeight="false" outlineLevel="0" collapsed="false">
      <c r="A563" s="16" t="n">
        <v>42535</v>
      </c>
      <c r="B563" s="17" t="n">
        <v>684.95</v>
      </c>
    </row>
    <row r="564" customFormat="false" ht="15" hidden="false" customHeight="false" outlineLevel="0" collapsed="false">
      <c r="A564" s="16" t="n">
        <v>42536</v>
      </c>
      <c r="B564" s="17" t="n">
        <v>698.78</v>
      </c>
    </row>
    <row r="565" customFormat="false" ht="15" hidden="false" customHeight="false" outlineLevel="0" collapsed="false">
      <c r="A565" s="16" t="n">
        <v>42537</v>
      </c>
      <c r="B565" s="17" t="n">
        <v>769.76</v>
      </c>
    </row>
    <row r="566" customFormat="false" ht="15" hidden="false" customHeight="false" outlineLevel="0" collapsed="false">
      <c r="A566" s="16" t="n">
        <v>42538</v>
      </c>
      <c r="B566" s="17" t="n">
        <v>752.26</v>
      </c>
    </row>
    <row r="567" customFormat="false" ht="15" hidden="false" customHeight="false" outlineLevel="0" collapsed="false">
      <c r="A567" s="16" t="n">
        <v>42539</v>
      </c>
      <c r="B567" s="17" t="n">
        <v>758.99</v>
      </c>
    </row>
    <row r="568" customFormat="false" ht="15" hidden="false" customHeight="false" outlineLevel="0" collapsed="false">
      <c r="A568" s="16" t="n">
        <v>42540</v>
      </c>
      <c r="B568" s="17" t="n">
        <v>768.76</v>
      </c>
    </row>
    <row r="569" customFormat="false" ht="15" hidden="false" customHeight="false" outlineLevel="0" collapsed="false">
      <c r="A569" s="16" t="n">
        <v>42541</v>
      </c>
      <c r="B569" s="17" t="n">
        <v>703.12</v>
      </c>
    </row>
    <row r="570" customFormat="false" ht="15" hidden="false" customHeight="false" outlineLevel="0" collapsed="false">
      <c r="A570" s="16" t="n">
        <v>42542</v>
      </c>
      <c r="B570" s="17" t="n">
        <v>667.66</v>
      </c>
    </row>
    <row r="571" customFormat="false" ht="15" hidden="false" customHeight="false" outlineLevel="0" collapsed="false">
      <c r="A571" s="16" t="n">
        <v>42543</v>
      </c>
      <c r="B571" s="17" t="n">
        <v>604.5</v>
      </c>
    </row>
    <row r="572" customFormat="false" ht="15" hidden="false" customHeight="false" outlineLevel="0" collapsed="false">
      <c r="A572" s="16" t="n">
        <v>42544</v>
      </c>
      <c r="B572" s="17" t="n">
        <v>631.1</v>
      </c>
    </row>
    <row r="573" customFormat="false" ht="15" hidden="false" customHeight="false" outlineLevel="0" collapsed="false">
      <c r="A573" s="16" t="n">
        <v>42545</v>
      </c>
      <c r="B573" s="17" t="n">
        <v>669.98</v>
      </c>
    </row>
    <row r="574" customFormat="false" ht="15" hidden="false" customHeight="false" outlineLevel="0" collapsed="false">
      <c r="A574" s="16" t="n">
        <v>42546</v>
      </c>
      <c r="B574" s="17" t="n">
        <v>673.71</v>
      </c>
    </row>
    <row r="575" customFormat="false" ht="15" hidden="false" customHeight="false" outlineLevel="0" collapsed="false">
      <c r="A575" s="16" t="n">
        <v>42547</v>
      </c>
      <c r="B575" s="17" t="n">
        <v>638.56</v>
      </c>
    </row>
    <row r="576" customFormat="false" ht="15" hidden="false" customHeight="false" outlineLevel="0" collapsed="false">
      <c r="A576" s="16" t="n">
        <v>42548</v>
      </c>
      <c r="B576" s="17" t="n">
        <v>657.87</v>
      </c>
    </row>
    <row r="577" customFormat="false" ht="15" hidden="false" customHeight="false" outlineLevel="0" collapsed="false">
      <c r="A577" s="16" t="n">
        <v>42549</v>
      </c>
      <c r="B577" s="17" t="n">
        <v>648.43</v>
      </c>
    </row>
    <row r="578" customFormat="false" ht="15" hidden="false" customHeight="false" outlineLevel="0" collapsed="false">
      <c r="A578" s="16" t="n">
        <v>42550</v>
      </c>
      <c r="B578" s="17" t="n">
        <v>639.42</v>
      </c>
    </row>
    <row r="579" customFormat="false" ht="15" hidden="false" customHeight="false" outlineLevel="0" collapsed="false">
      <c r="A579" s="16" t="n">
        <v>42551</v>
      </c>
      <c r="B579" s="17" t="n">
        <v>673.49</v>
      </c>
    </row>
    <row r="580" customFormat="false" ht="15" hidden="false" customHeight="false" outlineLevel="0" collapsed="false">
      <c r="A580" s="16" t="n">
        <v>42552</v>
      </c>
      <c r="B580" s="17" t="n">
        <v>678.19</v>
      </c>
    </row>
    <row r="581" customFormat="false" ht="15" hidden="false" customHeight="false" outlineLevel="0" collapsed="false">
      <c r="A581" s="16" t="n">
        <v>42553</v>
      </c>
      <c r="B581" s="17" t="n">
        <v>704.95</v>
      </c>
    </row>
    <row r="582" customFormat="false" ht="15" hidden="false" customHeight="false" outlineLevel="0" collapsed="false">
      <c r="A582" s="16" t="n">
        <v>42554</v>
      </c>
      <c r="B582" s="17" t="n">
        <v>663.55</v>
      </c>
    </row>
    <row r="583" customFormat="false" ht="15" hidden="false" customHeight="false" outlineLevel="0" collapsed="false">
      <c r="A583" s="16" t="n">
        <v>42555</v>
      </c>
      <c r="B583" s="17" t="n">
        <v>681.98</v>
      </c>
    </row>
    <row r="584" customFormat="false" ht="15" hidden="false" customHeight="false" outlineLevel="0" collapsed="false">
      <c r="A584" s="16" t="n">
        <v>42556</v>
      </c>
      <c r="B584" s="17" t="n">
        <v>669.87</v>
      </c>
    </row>
    <row r="585" customFormat="false" ht="15" hidden="false" customHeight="false" outlineLevel="0" collapsed="false">
      <c r="A585" s="16" t="n">
        <v>42557</v>
      </c>
      <c r="B585" s="17" t="n">
        <v>678.79</v>
      </c>
    </row>
    <row r="586" customFormat="false" ht="15" hidden="false" customHeight="false" outlineLevel="0" collapsed="false">
      <c r="A586" s="16" t="n">
        <v>42558</v>
      </c>
      <c r="B586" s="17" t="n">
        <v>641.97</v>
      </c>
    </row>
    <row r="587" customFormat="false" ht="15" hidden="false" customHeight="false" outlineLevel="0" collapsed="false">
      <c r="A587" s="16" t="n">
        <v>42559</v>
      </c>
      <c r="B587" s="17" t="n">
        <v>667.33</v>
      </c>
    </row>
    <row r="588" customFormat="false" ht="15" hidden="false" customHeight="false" outlineLevel="0" collapsed="false">
      <c r="A588" s="16" t="n">
        <v>42560</v>
      </c>
      <c r="B588" s="17" t="n">
        <v>657.61</v>
      </c>
    </row>
    <row r="589" customFormat="false" ht="15" hidden="false" customHeight="false" outlineLevel="0" collapsed="false">
      <c r="A589" s="16" t="n">
        <v>42561</v>
      </c>
      <c r="B589" s="17" t="n">
        <v>652.44</v>
      </c>
    </row>
    <row r="590" customFormat="false" ht="15" hidden="false" customHeight="false" outlineLevel="0" collapsed="false">
      <c r="A590" s="16" t="n">
        <v>42562</v>
      </c>
      <c r="B590" s="17" t="n">
        <v>650.97</v>
      </c>
    </row>
    <row r="591" customFormat="false" ht="15" hidden="false" customHeight="false" outlineLevel="0" collapsed="false">
      <c r="A591" s="16" t="n">
        <v>42563</v>
      </c>
      <c r="B591" s="17" t="n">
        <v>666.56</v>
      </c>
    </row>
    <row r="592" customFormat="false" ht="15" hidden="false" customHeight="false" outlineLevel="0" collapsed="false">
      <c r="A592" s="16" t="n">
        <v>42564</v>
      </c>
      <c r="B592" s="17" t="n">
        <v>655.34</v>
      </c>
    </row>
    <row r="593" customFormat="false" ht="15" hidden="false" customHeight="false" outlineLevel="0" collapsed="false">
      <c r="A593" s="16" t="n">
        <v>42565</v>
      </c>
      <c r="B593" s="17" t="n">
        <v>661.65</v>
      </c>
    </row>
    <row r="594" customFormat="false" ht="15" hidden="false" customHeight="false" outlineLevel="0" collapsed="false">
      <c r="A594" s="16" t="n">
        <v>42566</v>
      </c>
      <c r="B594" s="17" t="n">
        <v>667.48</v>
      </c>
    </row>
    <row r="595" customFormat="false" ht="15" hidden="false" customHeight="false" outlineLevel="0" collapsed="false">
      <c r="A595" s="16" t="n">
        <v>42567</v>
      </c>
      <c r="B595" s="17" t="n">
        <v>666.32</v>
      </c>
    </row>
    <row r="596" customFormat="false" ht="15" hidden="false" customHeight="false" outlineLevel="0" collapsed="false">
      <c r="A596" s="16" t="n">
        <v>42568</v>
      </c>
      <c r="B596" s="17" t="n">
        <v>680</v>
      </c>
    </row>
    <row r="597" customFormat="false" ht="15" hidden="false" customHeight="false" outlineLevel="0" collapsed="false">
      <c r="A597" s="16" t="n">
        <v>42569</v>
      </c>
      <c r="B597" s="17" t="n">
        <v>675.5</v>
      </c>
    </row>
    <row r="598" customFormat="false" ht="15" hidden="false" customHeight="false" outlineLevel="0" collapsed="false">
      <c r="A598" s="16" t="n">
        <v>42570</v>
      </c>
      <c r="B598" s="17" t="n">
        <v>673.98</v>
      </c>
    </row>
    <row r="599" customFormat="false" ht="15" hidden="false" customHeight="false" outlineLevel="0" collapsed="false">
      <c r="A599" s="16" t="n">
        <v>42571</v>
      </c>
      <c r="B599" s="17" t="n">
        <v>666.92</v>
      </c>
    </row>
    <row r="600" customFormat="false" ht="15" hidden="false" customHeight="false" outlineLevel="0" collapsed="false">
      <c r="A600" s="16" t="n">
        <v>42572</v>
      </c>
      <c r="B600" s="17" t="n">
        <v>667.28</v>
      </c>
    </row>
    <row r="601" customFormat="false" ht="15" hidden="false" customHeight="false" outlineLevel="0" collapsed="false">
      <c r="A601" s="16" t="n">
        <v>42573</v>
      </c>
      <c r="B601" s="17" t="n">
        <v>654.67</v>
      </c>
    </row>
    <row r="602" customFormat="false" ht="15" hidden="false" customHeight="false" outlineLevel="0" collapsed="false">
      <c r="A602" s="16" t="n">
        <v>42574</v>
      </c>
      <c r="B602" s="17" t="n">
        <v>657.5</v>
      </c>
    </row>
    <row r="603" customFormat="false" ht="15" hidden="false" customHeight="false" outlineLevel="0" collapsed="false">
      <c r="A603" s="16" t="n">
        <v>42575</v>
      </c>
      <c r="B603" s="17" t="n">
        <v>661</v>
      </c>
    </row>
    <row r="604" customFormat="false" ht="15" hidden="false" customHeight="false" outlineLevel="0" collapsed="false">
      <c r="A604" s="16" t="n">
        <v>42576</v>
      </c>
      <c r="B604" s="17" t="n">
        <v>657.79</v>
      </c>
    </row>
    <row r="605" customFormat="false" ht="15" hidden="false" customHeight="false" outlineLevel="0" collapsed="false">
      <c r="A605" s="16" t="n">
        <v>42577</v>
      </c>
      <c r="B605" s="17" t="n">
        <v>654.06</v>
      </c>
    </row>
    <row r="606" customFormat="false" ht="15" hidden="false" customHeight="false" outlineLevel="0" collapsed="false">
      <c r="A606" s="16" t="n">
        <v>42578</v>
      </c>
      <c r="B606" s="17" t="n">
        <v>657.35</v>
      </c>
    </row>
    <row r="607" customFormat="false" ht="15" hidden="false" customHeight="false" outlineLevel="0" collapsed="false">
      <c r="A607" s="16" t="n">
        <v>42579</v>
      </c>
      <c r="B607" s="17" t="n">
        <v>657.4</v>
      </c>
    </row>
    <row r="608" customFormat="false" ht="15" hidden="false" customHeight="false" outlineLevel="0" collapsed="false">
      <c r="A608" s="16" t="n">
        <v>42580</v>
      </c>
      <c r="B608" s="17" t="n">
        <v>657</v>
      </c>
    </row>
    <row r="609" customFormat="false" ht="15" hidden="false" customHeight="false" outlineLevel="0" collapsed="false">
      <c r="A609" s="16" t="n">
        <v>42581</v>
      </c>
      <c r="B609" s="17" t="n">
        <v>655.87</v>
      </c>
    </row>
    <row r="610" customFormat="false" ht="15" hidden="false" customHeight="false" outlineLevel="0" collapsed="false">
      <c r="A610" s="16" t="n">
        <v>42582</v>
      </c>
      <c r="B610" s="17" t="n">
        <v>626.97</v>
      </c>
    </row>
    <row r="611" customFormat="false" ht="15" hidden="false" customHeight="false" outlineLevel="0" collapsed="false">
      <c r="A611" s="16" t="n">
        <v>42583</v>
      </c>
      <c r="B611" s="17" t="n">
        <v>605.2</v>
      </c>
    </row>
    <row r="612" customFormat="false" ht="15" hidden="false" customHeight="false" outlineLevel="0" collapsed="false">
      <c r="A612" s="16" t="n">
        <v>42584</v>
      </c>
      <c r="B612" s="17" t="n">
        <v>537.47</v>
      </c>
    </row>
    <row r="613" customFormat="false" ht="15" hidden="false" customHeight="false" outlineLevel="0" collapsed="false">
      <c r="A613" s="16" t="n">
        <v>42585</v>
      </c>
      <c r="B613" s="17" t="n">
        <v>573.36</v>
      </c>
    </row>
    <row r="614" customFormat="false" ht="15" hidden="false" customHeight="false" outlineLevel="0" collapsed="false">
      <c r="A614" s="16" t="n">
        <v>42586</v>
      </c>
      <c r="B614" s="17" t="n">
        <v>587.5</v>
      </c>
    </row>
    <row r="615" customFormat="false" ht="15" hidden="false" customHeight="false" outlineLevel="0" collapsed="false">
      <c r="A615" s="16" t="n">
        <v>42587</v>
      </c>
      <c r="B615" s="17" t="n">
        <v>583</v>
      </c>
    </row>
    <row r="616" customFormat="false" ht="15" hidden="false" customHeight="false" outlineLevel="0" collapsed="false">
      <c r="A616" s="16" t="n">
        <v>42588</v>
      </c>
      <c r="B616" s="17" t="n">
        <v>591.71</v>
      </c>
    </row>
    <row r="617" customFormat="false" ht="15" hidden="false" customHeight="false" outlineLevel="0" collapsed="false">
      <c r="A617" s="16" t="n">
        <v>42589</v>
      </c>
      <c r="B617" s="17" t="n">
        <v>595.14</v>
      </c>
    </row>
    <row r="618" customFormat="false" ht="15" hidden="false" customHeight="false" outlineLevel="0" collapsed="false">
      <c r="A618" s="16" t="n">
        <v>42590</v>
      </c>
      <c r="B618" s="17" t="n">
        <v>591.48</v>
      </c>
    </row>
    <row r="619" customFormat="false" ht="15" hidden="false" customHeight="false" outlineLevel="0" collapsed="false">
      <c r="A619" s="16" t="n">
        <v>42591</v>
      </c>
      <c r="B619" s="17" t="n">
        <v>586.45</v>
      </c>
    </row>
    <row r="620" customFormat="false" ht="15" hidden="false" customHeight="false" outlineLevel="0" collapsed="false">
      <c r="A620" s="16" t="n">
        <v>42592</v>
      </c>
      <c r="B620" s="17" t="n">
        <v>594.94</v>
      </c>
    </row>
    <row r="621" customFormat="false" ht="15" hidden="false" customHeight="false" outlineLevel="0" collapsed="false">
      <c r="A621" s="16" t="n">
        <v>42593</v>
      </c>
      <c r="B621" s="17" t="n">
        <v>587.91</v>
      </c>
    </row>
    <row r="622" customFormat="false" ht="15" hidden="false" customHeight="false" outlineLevel="0" collapsed="false">
      <c r="A622" s="16" t="n">
        <v>42594</v>
      </c>
      <c r="B622" s="17" t="n">
        <v>587.74</v>
      </c>
    </row>
    <row r="623" customFormat="false" ht="15" hidden="false" customHeight="false" outlineLevel="0" collapsed="false">
      <c r="A623" s="16" t="n">
        <v>42595</v>
      </c>
      <c r="B623" s="17" t="n">
        <v>586.45</v>
      </c>
    </row>
    <row r="624" customFormat="false" ht="15" hidden="false" customHeight="false" outlineLevel="0" collapsed="false">
      <c r="A624" s="16" t="n">
        <v>42596</v>
      </c>
      <c r="B624" s="17" t="n">
        <v>574.99</v>
      </c>
    </row>
    <row r="625" customFormat="false" ht="15" hidden="false" customHeight="false" outlineLevel="0" collapsed="false">
      <c r="A625" s="16" t="n">
        <v>42597</v>
      </c>
      <c r="B625" s="17" t="n">
        <v>567.79</v>
      </c>
    </row>
    <row r="626" customFormat="false" ht="15" hidden="false" customHeight="false" outlineLevel="0" collapsed="false">
      <c r="A626" s="16" t="n">
        <v>42598</v>
      </c>
      <c r="B626" s="17" t="n">
        <v>579.02</v>
      </c>
    </row>
    <row r="627" customFormat="false" ht="15" hidden="false" customHeight="false" outlineLevel="0" collapsed="false">
      <c r="A627" s="16" t="n">
        <v>42599</v>
      </c>
      <c r="B627" s="17" t="n">
        <v>574.45</v>
      </c>
    </row>
    <row r="628" customFormat="false" ht="15" hidden="false" customHeight="false" outlineLevel="0" collapsed="false">
      <c r="A628" s="16" t="n">
        <v>42600</v>
      </c>
      <c r="B628" s="17" t="n">
        <v>574.09</v>
      </c>
    </row>
    <row r="629" customFormat="false" ht="15" hidden="false" customHeight="false" outlineLevel="0" collapsed="false">
      <c r="A629" s="16" t="n">
        <v>42601</v>
      </c>
      <c r="B629" s="17" t="n">
        <v>573.67</v>
      </c>
    </row>
    <row r="630" customFormat="false" ht="15" hidden="false" customHeight="false" outlineLevel="0" collapsed="false">
      <c r="A630" s="16" t="n">
        <v>42602</v>
      </c>
      <c r="B630" s="17" t="n">
        <v>581.87</v>
      </c>
    </row>
    <row r="631" customFormat="false" ht="15" hidden="false" customHeight="false" outlineLevel="0" collapsed="false">
      <c r="A631" s="16" t="n">
        <v>42603</v>
      </c>
      <c r="B631" s="17" t="n">
        <v>581.29</v>
      </c>
    </row>
    <row r="632" customFormat="false" ht="15" hidden="false" customHeight="false" outlineLevel="0" collapsed="false">
      <c r="A632" s="16" t="n">
        <v>42604</v>
      </c>
      <c r="B632" s="17" t="n">
        <v>585.2</v>
      </c>
    </row>
    <row r="633" customFormat="false" ht="15" hidden="false" customHeight="false" outlineLevel="0" collapsed="false">
      <c r="A633" s="16" t="n">
        <v>42605</v>
      </c>
      <c r="B633" s="17" t="n">
        <v>582.39</v>
      </c>
    </row>
    <row r="634" customFormat="false" ht="15" hidden="false" customHeight="false" outlineLevel="0" collapsed="false">
      <c r="A634" s="16" t="n">
        <v>42606</v>
      </c>
      <c r="B634" s="17" t="n">
        <v>578.47</v>
      </c>
    </row>
    <row r="635" customFormat="false" ht="15" hidden="false" customHeight="false" outlineLevel="0" collapsed="false">
      <c r="A635" s="16" t="n">
        <v>42607</v>
      </c>
      <c r="B635" s="17" t="n">
        <v>575.58</v>
      </c>
    </row>
    <row r="636" customFormat="false" ht="15" hidden="false" customHeight="false" outlineLevel="0" collapsed="false">
      <c r="A636" s="16" t="n">
        <v>42608</v>
      </c>
      <c r="B636" s="17" t="n">
        <v>579.29</v>
      </c>
    </row>
    <row r="637" customFormat="false" ht="15" hidden="false" customHeight="false" outlineLevel="0" collapsed="false">
      <c r="A637" s="16" t="n">
        <v>42609</v>
      </c>
      <c r="B637" s="17" t="n">
        <v>570.84</v>
      </c>
    </row>
    <row r="638" customFormat="false" ht="15" hidden="false" customHeight="false" outlineLevel="0" collapsed="false">
      <c r="A638" s="16" t="n">
        <v>42610</v>
      </c>
      <c r="B638" s="17" t="n">
        <v>575.41</v>
      </c>
    </row>
    <row r="639" customFormat="false" ht="15" hidden="false" customHeight="false" outlineLevel="0" collapsed="false">
      <c r="A639" s="16" t="n">
        <v>42611</v>
      </c>
      <c r="B639" s="17" t="n">
        <v>573.21</v>
      </c>
    </row>
    <row r="640" customFormat="false" ht="15" hidden="false" customHeight="false" outlineLevel="0" collapsed="false">
      <c r="A640" s="16" t="n">
        <v>42612</v>
      </c>
      <c r="B640" s="17" t="n">
        <v>574.95</v>
      </c>
    </row>
    <row r="641" customFormat="false" ht="15" hidden="false" customHeight="false" outlineLevel="0" collapsed="false">
      <c r="A641" s="16" t="n">
        <v>42613</v>
      </c>
      <c r="B641" s="17" t="n">
        <v>572.89</v>
      </c>
    </row>
    <row r="642" customFormat="false" ht="15" hidden="false" customHeight="false" outlineLevel="0" collapsed="false">
      <c r="A642" s="16" t="n">
        <v>42614</v>
      </c>
      <c r="B642" s="17" t="n">
        <v>573.02</v>
      </c>
    </row>
    <row r="643" customFormat="false" ht="15" hidden="false" customHeight="false" outlineLevel="0" collapsed="false">
      <c r="A643" s="16" t="n">
        <v>42615</v>
      </c>
      <c r="B643" s="17" t="n">
        <v>576.21</v>
      </c>
    </row>
    <row r="644" customFormat="false" ht="15" hidden="false" customHeight="false" outlineLevel="0" collapsed="false">
      <c r="A644" s="16" t="n">
        <v>42616</v>
      </c>
      <c r="B644" s="17" t="n">
        <v>600.91</v>
      </c>
    </row>
    <row r="645" customFormat="false" ht="15" hidden="false" customHeight="false" outlineLevel="0" collapsed="false">
      <c r="A645" s="16" t="n">
        <v>42617</v>
      </c>
      <c r="B645" s="17" t="n">
        <v>611.92</v>
      </c>
    </row>
    <row r="646" customFormat="false" ht="15" hidden="false" customHeight="false" outlineLevel="0" collapsed="false">
      <c r="A646" s="16" t="n">
        <v>42618</v>
      </c>
      <c r="B646" s="17" t="n">
        <v>605.69</v>
      </c>
    </row>
    <row r="647" customFormat="false" ht="15" hidden="false" customHeight="false" outlineLevel="0" collapsed="false">
      <c r="A647" s="16" t="n">
        <v>42619</v>
      </c>
      <c r="B647" s="17" t="n">
        <v>612.99</v>
      </c>
    </row>
    <row r="648" customFormat="false" ht="15" hidden="false" customHeight="false" outlineLevel="0" collapsed="false">
      <c r="A648" s="16" t="n">
        <v>42620</v>
      </c>
      <c r="B648" s="17" t="n">
        <v>615.21</v>
      </c>
    </row>
    <row r="649" customFormat="false" ht="15" hidden="false" customHeight="false" outlineLevel="0" collapsed="false">
      <c r="A649" s="16" t="n">
        <v>42621</v>
      </c>
      <c r="B649" s="17" t="n">
        <v>627.97</v>
      </c>
    </row>
    <row r="650" customFormat="false" ht="15" hidden="false" customHeight="false" outlineLevel="0" collapsed="false">
      <c r="A650" s="16" t="n">
        <v>42622</v>
      </c>
      <c r="B650" s="17" t="n">
        <v>622.07</v>
      </c>
    </row>
    <row r="651" customFormat="false" ht="15" hidden="false" customHeight="false" outlineLevel="0" collapsed="false">
      <c r="A651" s="16" t="n">
        <v>42623</v>
      </c>
      <c r="B651" s="17" t="n">
        <v>623.74</v>
      </c>
    </row>
    <row r="652" customFormat="false" ht="15" hidden="false" customHeight="false" outlineLevel="0" collapsed="false">
      <c r="A652" s="16" t="n">
        <v>42624</v>
      </c>
      <c r="B652" s="17" t="n">
        <v>607.94</v>
      </c>
    </row>
    <row r="653" customFormat="false" ht="15" hidden="false" customHeight="false" outlineLevel="0" collapsed="false">
      <c r="A653" s="16" t="n">
        <v>42625</v>
      </c>
      <c r="B653" s="17" t="n">
        <v>606.74</v>
      </c>
    </row>
    <row r="654" customFormat="false" ht="15" hidden="false" customHeight="false" outlineLevel="0" collapsed="false">
      <c r="A654" s="16" t="n">
        <v>42626</v>
      </c>
      <c r="B654" s="17" t="n">
        <v>608.63</v>
      </c>
    </row>
    <row r="655" customFormat="false" ht="15" hidden="false" customHeight="false" outlineLevel="0" collapsed="false">
      <c r="A655" s="16" t="n">
        <v>42627</v>
      </c>
      <c r="B655" s="17" t="n">
        <v>608.43</v>
      </c>
    </row>
    <row r="656" customFormat="false" ht="15" hidden="false" customHeight="false" outlineLevel="0" collapsed="false">
      <c r="A656" s="16" t="n">
        <v>42628</v>
      </c>
      <c r="B656" s="17" t="n">
        <v>605.44</v>
      </c>
    </row>
    <row r="657" customFormat="false" ht="15" hidden="false" customHeight="false" outlineLevel="0" collapsed="false">
      <c r="A657" s="16" t="n">
        <v>42629</v>
      </c>
      <c r="B657" s="17" t="n">
        <v>607.93</v>
      </c>
    </row>
    <row r="658" customFormat="false" ht="15" hidden="false" customHeight="false" outlineLevel="0" collapsed="false">
      <c r="A658" s="16" t="n">
        <v>42630</v>
      </c>
      <c r="B658" s="17" t="n">
        <v>607.92</v>
      </c>
    </row>
    <row r="659" customFormat="false" ht="15" hidden="false" customHeight="false" outlineLevel="0" collapsed="false">
      <c r="A659" s="16" t="n">
        <v>42631</v>
      </c>
      <c r="B659" s="17" t="n">
        <v>611.4</v>
      </c>
    </row>
    <row r="660" customFormat="false" ht="15" hidden="false" customHeight="false" outlineLevel="0" collapsed="false">
      <c r="A660" s="16" t="n">
        <v>42632</v>
      </c>
      <c r="B660" s="17" t="n">
        <v>608.6</v>
      </c>
    </row>
    <row r="661" customFormat="false" ht="15" hidden="false" customHeight="false" outlineLevel="0" collapsed="false">
      <c r="A661" s="16" t="n">
        <v>42633</v>
      </c>
      <c r="B661" s="17" t="n">
        <v>605.6</v>
      </c>
    </row>
    <row r="662" customFormat="false" ht="15" hidden="false" customHeight="false" outlineLevel="0" collapsed="false">
      <c r="A662" s="16" t="n">
        <v>42634</v>
      </c>
      <c r="B662" s="17" t="n">
        <v>597</v>
      </c>
    </row>
    <row r="663" customFormat="false" ht="15" hidden="false" customHeight="false" outlineLevel="0" collapsed="false">
      <c r="A663" s="16" t="n">
        <v>42635</v>
      </c>
      <c r="B663" s="17" t="n">
        <v>596.21</v>
      </c>
    </row>
    <row r="664" customFormat="false" ht="15" hidden="false" customHeight="false" outlineLevel="0" collapsed="false">
      <c r="A664" s="16" t="n">
        <v>42636</v>
      </c>
      <c r="B664" s="17" t="n">
        <v>602.96</v>
      </c>
    </row>
    <row r="665" customFormat="false" ht="15" hidden="false" customHeight="false" outlineLevel="0" collapsed="false">
      <c r="A665" s="16" t="n">
        <v>42637</v>
      </c>
      <c r="B665" s="17" t="n">
        <v>603.68</v>
      </c>
    </row>
    <row r="666" customFormat="false" ht="15" hidden="false" customHeight="false" outlineLevel="0" collapsed="false">
      <c r="A666" s="16" t="n">
        <v>42638</v>
      </c>
      <c r="B666" s="17" t="n">
        <v>601.67</v>
      </c>
    </row>
    <row r="667" customFormat="false" ht="15" hidden="false" customHeight="false" outlineLevel="0" collapsed="false">
      <c r="A667" s="16" t="n">
        <v>42639</v>
      </c>
      <c r="B667" s="17" t="n">
        <v>607.08</v>
      </c>
    </row>
    <row r="668" customFormat="false" ht="15" hidden="false" customHeight="false" outlineLevel="0" collapsed="false">
      <c r="A668" s="16" t="n">
        <v>42640</v>
      </c>
      <c r="B668" s="17" t="n">
        <v>605.71</v>
      </c>
    </row>
    <row r="669" customFormat="false" ht="15" hidden="false" customHeight="false" outlineLevel="0" collapsed="false">
      <c r="A669" s="16" t="n">
        <v>42641</v>
      </c>
      <c r="B669" s="17" t="n">
        <v>605.04</v>
      </c>
    </row>
    <row r="670" customFormat="false" ht="15" hidden="false" customHeight="false" outlineLevel="0" collapsed="false">
      <c r="A670" s="16" t="n">
        <v>42642</v>
      </c>
      <c r="B670" s="17" t="n">
        <v>605.99</v>
      </c>
    </row>
    <row r="671" customFormat="false" ht="15" hidden="false" customHeight="false" outlineLevel="0" collapsed="false">
      <c r="A671" s="16" t="n">
        <v>42643</v>
      </c>
      <c r="B671" s="17" t="n">
        <v>608.99</v>
      </c>
    </row>
    <row r="672" customFormat="false" ht="15" hidden="false" customHeight="false" outlineLevel="0" collapsed="false">
      <c r="A672" s="16" t="n">
        <v>42644</v>
      </c>
      <c r="B672" s="17" t="n">
        <v>615.65</v>
      </c>
    </row>
    <row r="673" customFormat="false" ht="15" hidden="false" customHeight="false" outlineLevel="0" collapsed="false">
      <c r="A673" s="16" t="n">
        <v>42645</v>
      </c>
      <c r="B673" s="17" t="n">
        <v>612.4</v>
      </c>
    </row>
    <row r="674" customFormat="false" ht="15" hidden="false" customHeight="false" outlineLevel="0" collapsed="false">
      <c r="A674" s="16" t="n">
        <v>42646</v>
      </c>
      <c r="B674" s="17" t="n">
        <v>612.99</v>
      </c>
    </row>
    <row r="675" customFormat="false" ht="15" hidden="false" customHeight="false" outlineLevel="0" collapsed="false">
      <c r="A675" s="16" t="n">
        <v>42647</v>
      </c>
      <c r="B675" s="17" t="n">
        <v>610.34</v>
      </c>
    </row>
    <row r="676" customFormat="false" ht="15" hidden="false" customHeight="false" outlineLevel="0" collapsed="false">
      <c r="A676" s="16" t="n">
        <v>42648</v>
      </c>
      <c r="B676" s="17" t="n">
        <v>613.16</v>
      </c>
    </row>
    <row r="677" customFormat="false" ht="15" hidden="false" customHeight="false" outlineLevel="0" collapsed="false">
      <c r="A677" s="16" t="n">
        <v>42649</v>
      </c>
      <c r="B677" s="17" t="n">
        <v>611.88</v>
      </c>
    </row>
    <row r="678" customFormat="false" ht="15" hidden="false" customHeight="false" outlineLevel="0" collapsed="false">
      <c r="A678" s="16" t="n">
        <v>42650</v>
      </c>
      <c r="B678" s="17" t="n">
        <v>617.98</v>
      </c>
    </row>
    <row r="679" customFormat="false" ht="15" hidden="false" customHeight="false" outlineLevel="0" collapsed="false">
      <c r="A679" s="16" t="n">
        <v>42651</v>
      </c>
      <c r="B679" s="17" t="n">
        <v>619.5</v>
      </c>
    </row>
    <row r="680" customFormat="false" ht="15" hidden="false" customHeight="false" outlineLevel="0" collapsed="false">
      <c r="A680" s="16" t="n">
        <v>42652</v>
      </c>
      <c r="B680" s="17" t="n">
        <v>617.42</v>
      </c>
    </row>
    <row r="681" customFormat="false" ht="15" hidden="false" customHeight="false" outlineLevel="0" collapsed="false">
      <c r="A681" s="16" t="n">
        <v>42653</v>
      </c>
      <c r="B681" s="17" t="n">
        <v>618.72</v>
      </c>
    </row>
    <row r="682" customFormat="false" ht="15" hidden="false" customHeight="false" outlineLevel="0" collapsed="false">
      <c r="A682" s="16" t="n">
        <v>42654</v>
      </c>
      <c r="B682" s="17" t="n">
        <v>642.12</v>
      </c>
    </row>
    <row r="683" customFormat="false" ht="15" hidden="false" customHeight="false" outlineLevel="0" collapsed="false">
      <c r="A683" s="16" t="n">
        <v>42655</v>
      </c>
      <c r="B683" s="17" t="n">
        <v>635.79</v>
      </c>
    </row>
    <row r="684" customFormat="false" ht="15" hidden="false" customHeight="false" outlineLevel="0" collapsed="false">
      <c r="A684" s="16" t="n">
        <v>42656</v>
      </c>
      <c r="B684" s="17" t="n">
        <v>635.66</v>
      </c>
    </row>
    <row r="685" customFormat="false" ht="15" hidden="false" customHeight="false" outlineLevel="0" collapsed="false">
      <c r="A685" s="16" t="n">
        <v>42657</v>
      </c>
      <c r="B685" s="17" t="n">
        <v>638.03</v>
      </c>
    </row>
    <row r="686" customFormat="false" ht="15" hidden="false" customHeight="false" outlineLevel="0" collapsed="false">
      <c r="A686" s="16" t="n">
        <v>42658</v>
      </c>
      <c r="B686" s="17" t="n">
        <v>638.16</v>
      </c>
    </row>
    <row r="687" customFormat="false" ht="15" hidden="false" customHeight="false" outlineLevel="0" collapsed="false">
      <c r="A687" s="16" t="n">
        <v>42659</v>
      </c>
      <c r="B687" s="17" t="n">
        <v>641.92</v>
      </c>
    </row>
    <row r="688" customFormat="false" ht="15" hidden="false" customHeight="false" outlineLevel="0" collapsed="false">
      <c r="A688" s="16" t="n">
        <v>42660</v>
      </c>
      <c r="B688" s="17" t="n">
        <v>639.56</v>
      </c>
    </row>
    <row r="689" customFormat="false" ht="15" hidden="false" customHeight="false" outlineLevel="0" collapsed="false">
      <c r="A689" s="16" t="n">
        <v>42661</v>
      </c>
      <c r="B689" s="17" t="n">
        <v>635.11</v>
      </c>
    </row>
    <row r="690" customFormat="false" ht="15" hidden="false" customHeight="false" outlineLevel="0" collapsed="false">
      <c r="A690" s="16" t="n">
        <v>42662</v>
      </c>
      <c r="B690" s="17" t="n">
        <v>629.79</v>
      </c>
    </row>
    <row r="691" customFormat="false" ht="15" hidden="false" customHeight="false" outlineLevel="0" collapsed="false">
      <c r="A691" s="16" t="n">
        <v>42663</v>
      </c>
      <c r="B691" s="17" t="n">
        <v>628.05</v>
      </c>
    </row>
    <row r="692" customFormat="false" ht="15" hidden="false" customHeight="false" outlineLevel="0" collapsed="false">
      <c r="A692" s="16" t="n">
        <v>42664</v>
      </c>
      <c r="B692" s="17" t="n">
        <v>630.83</v>
      </c>
    </row>
    <row r="693" customFormat="false" ht="15" hidden="false" customHeight="false" outlineLevel="0" collapsed="false">
      <c r="A693" s="16" t="n">
        <v>42665</v>
      </c>
      <c r="B693" s="17" t="n">
        <v>652.75</v>
      </c>
    </row>
    <row r="694" customFormat="false" ht="15" hidden="false" customHeight="false" outlineLevel="0" collapsed="false">
      <c r="A694" s="16" t="n">
        <v>42666</v>
      </c>
      <c r="B694" s="17" t="n">
        <v>651.04</v>
      </c>
    </row>
    <row r="695" customFormat="false" ht="15" hidden="false" customHeight="false" outlineLevel="0" collapsed="false">
      <c r="A695" s="16" t="n">
        <v>42667</v>
      </c>
      <c r="B695" s="17" t="n">
        <v>649.98</v>
      </c>
    </row>
    <row r="696" customFormat="false" ht="15" hidden="false" customHeight="false" outlineLevel="0" collapsed="false">
      <c r="A696" s="16" t="n">
        <v>42668</v>
      </c>
      <c r="B696" s="17" t="n">
        <v>654.3</v>
      </c>
    </row>
    <row r="697" customFormat="false" ht="15" hidden="false" customHeight="false" outlineLevel="0" collapsed="false">
      <c r="A697" s="16" t="n">
        <v>42669</v>
      </c>
      <c r="B697" s="17" t="n">
        <v>674</v>
      </c>
    </row>
    <row r="698" customFormat="false" ht="15" hidden="false" customHeight="false" outlineLevel="0" collapsed="false">
      <c r="A698" s="16" t="n">
        <v>42670</v>
      </c>
      <c r="B698" s="17" t="n">
        <v>691.21</v>
      </c>
    </row>
    <row r="699" customFormat="false" ht="15" hidden="false" customHeight="false" outlineLevel="0" collapsed="false">
      <c r="A699" s="16" t="n">
        <v>42671</v>
      </c>
      <c r="B699" s="17" t="n">
        <v>689.95</v>
      </c>
    </row>
    <row r="700" customFormat="false" ht="15" hidden="false" customHeight="false" outlineLevel="0" collapsed="false">
      <c r="A700" s="16" t="n">
        <v>42672</v>
      </c>
      <c r="B700" s="17" t="n">
        <v>714.28</v>
      </c>
    </row>
    <row r="701" customFormat="false" ht="15" hidden="false" customHeight="false" outlineLevel="0" collapsed="false">
      <c r="A701" s="16" t="n">
        <v>42673</v>
      </c>
      <c r="B701" s="17" t="n">
        <v>697.41</v>
      </c>
    </row>
    <row r="702" customFormat="false" ht="15" hidden="false" customHeight="false" outlineLevel="0" collapsed="false">
      <c r="A702" s="16" t="n">
        <v>42674</v>
      </c>
      <c r="B702" s="17" t="n">
        <v>696.9</v>
      </c>
    </row>
    <row r="703" customFormat="false" ht="15" hidden="false" customHeight="false" outlineLevel="0" collapsed="false">
      <c r="A703" s="16" t="n">
        <v>42675</v>
      </c>
      <c r="B703" s="17" t="n">
        <v>730.7</v>
      </c>
    </row>
    <row r="704" customFormat="false" ht="15" hidden="false" customHeight="false" outlineLevel="0" collapsed="false">
      <c r="A704" s="16" t="n">
        <v>42676</v>
      </c>
      <c r="B704" s="17" t="n">
        <v>744.6</v>
      </c>
    </row>
    <row r="705" customFormat="false" ht="15" hidden="false" customHeight="false" outlineLevel="0" collapsed="false">
      <c r="A705" s="16" t="n">
        <v>42677</v>
      </c>
      <c r="B705" s="17" t="n">
        <v>690</v>
      </c>
    </row>
    <row r="706" customFormat="false" ht="15" hidden="false" customHeight="false" outlineLevel="0" collapsed="false">
      <c r="A706" s="16" t="n">
        <v>42678</v>
      </c>
      <c r="B706" s="17" t="n">
        <v>706.32</v>
      </c>
    </row>
    <row r="707" customFormat="false" ht="15" hidden="false" customHeight="false" outlineLevel="0" collapsed="false">
      <c r="A707" s="16" t="n">
        <v>42679</v>
      </c>
      <c r="B707" s="17" t="n">
        <v>706.99</v>
      </c>
    </row>
    <row r="708" customFormat="false" ht="15" hidden="false" customHeight="false" outlineLevel="0" collapsed="false">
      <c r="A708" s="16" t="n">
        <v>42680</v>
      </c>
      <c r="B708" s="17" t="n">
        <v>717.02</v>
      </c>
    </row>
    <row r="709" customFormat="false" ht="15" hidden="false" customHeight="false" outlineLevel="0" collapsed="false">
      <c r="A709" s="16" t="n">
        <v>42681</v>
      </c>
      <c r="B709" s="17" t="n">
        <v>706.42</v>
      </c>
    </row>
    <row r="710" customFormat="false" ht="15" hidden="false" customHeight="false" outlineLevel="0" collapsed="false">
      <c r="A710" s="16" t="n">
        <v>42682</v>
      </c>
      <c r="B710" s="17" t="n">
        <v>711.15</v>
      </c>
    </row>
    <row r="711" customFormat="false" ht="15" hidden="false" customHeight="false" outlineLevel="0" collapsed="false">
      <c r="A711" s="16" t="n">
        <v>42683</v>
      </c>
      <c r="B711" s="17" t="n">
        <v>720.97</v>
      </c>
    </row>
    <row r="712" customFormat="false" ht="15" hidden="false" customHeight="false" outlineLevel="0" collapsed="false">
      <c r="A712" s="16" t="n">
        <v>42684</v>
      </c>
      <c r="B712" s="17" t="n">
        <v>712.91</v>
      </c>
    </row>
    <row r="713" customFormat="false" ht="15" hidden="false" customHeight="false" outlineLevel="0" collapsed="false">
      <c r="A713" s="16" t="n">
        <v>42685</v>
      </c>
      <c r="B713" s="17" t="n">
        <v>716.9</v>
      </c>
    </row>
    <row r="714" customFormat="false" ht="15" hidden="false" customHeight="false" outlineLevel="0" collapsed="false">
      <c r="A714" s="16" t="n">
        <v>42686</v>
      </c>
      <c r="B714" s="17" t="n">
        <v>704.53</v>
      </c>
    </row>
    <row r="715" customFormat="false" ht="15" hidden="false" customHeight="false" outlineLevel="0" collapsed="false">
      <c r="A715" s="16" t="n">
        <v>42687</v>
      </c>
      <c r="B715" s="17" t="n">
        <v>704.01</v>
      </c>
    </row>
    <row r="716" customFormat="false" ht="15" hidden="false" customHeight="false" outlineLevel="0" collapsed="false">
      <c r="A716" s="16" t="n">
        <v>42688</v>
      </c>
      <c r="B716" s="17" t="n">
        <v>708.32</v>
      </c>
    </row>
    <row r="717" customFormat="false" ht="15" hidden="false" customHeight="false" outlineLevel="0" collapsed="false">
      <c r="A717" s="16" t="n">
        <v>42689</v>
      </c>
      <c r="B717" s="17" t="n">
        <v>712.29</v>
      </c>
    </row>
    <row r="718" customFormat="false" ht="15" hidden="false" customHeight="false" outlineLevel="0" collapsed="false">
      <c r="A718" s="16" t="n">
        <v>42690</v>
      </c>
      <c r="B718" s="17" t="n">
        <v>739.85</v>
      </c>
    </row>
    <row r="719" customFormat="false" ht="15" hidden="false" customHeight="false" outlineLevel="0" collapsed="false">
      <c r="A719" s="16" t="n">
        <v>42691</v>
      </c>
      <c r="B719" s="17" t="n">
        <v>730.71</v>
      </c>
    </row>
    <row r="720" customFormat="false" ht="15" hidden="false" customHeight="false" outlineLevel="0" collapsed="false">
      <c r="A720" s="16" t="n">
        <v>42692</v>
      </c>
      <c r="B720" s="17" t="n">
        <v>748.54</v>
      </c>
    </row>
    <row r="721" customFormat="false" ht="15" hidden="false" customHeight="false" outlineLevel="0" collapsed="false">
      <c r="A721" s="16" t="n">
        <v>42693</v>
      </c>
      <c r="B721" s="17" t="n">
        <v>750.77</v>
      </c>
    </row>
    <row r="722" customFormat="false" ht="15" hidden="false" customHeight="false" outlineLevel="0" collapsed="false">
      <c r="A722" s="16" t="n">
        <v>42694</v>
      </c>
      <c r="B722" s="17" t="n">
        <v>731.99</v>
      </c>
    </row>
    <row r="723" customFormat="false" ht="15" hidden="false" customHeight="false" outlineLevel="0" collapsed="false">
      <c r="A723" s="16" t="n">
        <v>42695</v>
      </c>
      <c r="B723" s="17" t="n">
        <v>736.4</v>
      </c>
    </row>
    <row r="724" customFormat="false" ht="15" hidden="false" customHeight="false" outlineLevel="0" collapsed="false">
      <c r="A724" s="16" t="n">
        <v>42696</v>
      </c>
      <c r="B724" s="17" t="n">
        <v>746.66</v>
      </c>
    </row>
    <row r="725" customFormat="false" ht="15" hidden="false" customHeight="false" outlineLevel="0" collapsed="false">
      <c r="A725" s="16" t="n">
        <v>42697</v>
      </c>
      <c r="B725" s="17" t="n">
        <v>741.52</v>
      </c>
    </row>
    <row r="726" customFormat="false" ht="15" hidden="false" customHeight="false" outlineLevel="0" collapsed="false">
      <c r="A726" s="16" t="n">
        <v>42698</v>
      </c>
      <c r="B726" s="17" t="n">
        <v>737.99</v>
      </c>
    </row>
    <row r="727" customFormat="false" ht="15" hidden="false" customHeight="false" outlineLevel="0" collapsed="false">
      <c r="A727" s="16" t="n">
        <v>42699</v>
      </c>
      <c r="B727" s="17" t="n">
        <v>739.74</v>
      </c>
    </row>
    <row r="728" customFormat="false" ht="15" hidden="false" customHeight="false" outlineLevel="0" collapsed="false">
      <c r="A728" s="16" t="n">
        <v>42700</v>
      </c>
      <c r="B728" s="17" t="n">
        <v>735.7</v>
      </c>
    </row>
    <row r="729" customFormat="false" ht="15" hidden="false" customHeight="false" outlineLevel="0" collapsed="false">
      <c r="A729" s="16" t="n">
        <v>42701</v>
      </c>
      <c r="B729" s="17" t="n">
        <v>729.24</v>
      </c>
    </row>
    <row r="730" customFormat="false" ht="15" hidden="false" customHeight="false" outlineLevel="0" collapsed="false">
      <c r="A730" s="16" t="n">
        <v>42702</v>
      </c>
      <c r="B730" s="17" t="n">
        <v>729.77</v>
      </c>
    </row>
    <row r="731" customFormat="false" ht="15" hidden="false" customHeight="false" outlineLevel="0" collapsed="false">
      <c r="A731" s="16" t="n">
        <v>42703</v>
      </c>
      <c r="B731" s="17" t="n">
        <v>732.37</v>
      </c>
    </row>
    <row r="732" customFormat="false" ht="15" hidden="false" customHeight="false" outlineLevel="0" collapsed="false">
      <c r="A732" s="16" t="n">
        <v>42704</v>
      </c>
      <c r="B732" s="17" t="n">
        <v>742.69</v>
      </c>
    </row>
    <row r="733" customFormat="false" ht="15" hidden="false" customHeight="false" outlineLevel="0" collapsed="false">
      <c r="A733" s="16" t="n">
        <v>42705</v>
      </c>
      <c r="B733" s="17" t="n">
        <v>754</v>
      </c>
    </row>
    <row r="734" customFormat="false" ht="15" hidden="false" customHeight="false" outlineLevel="0" collapsed="false">
      <c r="A734" s="16" t="n">
        <v>42706</v>
      </c>
      <c r="B734" s="17" t="n">
        <v>769.25</v>
      </c>
    </row>
    <row r="735" customFormat="false" ht="15" hidden="false" customHeight="false" outlineLevel="0" collapsed="false">
      <c r="A735" s="16" t="n">
        <v>42707</v>
      </c>
      <c r="B735" s="17" t="n">
        <v>766.98</v>
      </c>
    </row>
    <row r="736" customFormat="false" ht="15" hidden="false" customHeight="false" outlineLevel="0" collapsed="false">
      <c r="A736" s="16" t="n">
        <v>42708</v>
      </c>
      <c r="B736" s="17" t="n">
        <v>767.99</v>
      </c>
    </row>
    <row r="737" customFormat="false" ht="15" hidden="false" customHeight="false" outlineLevel="0" collapsed="false">
      <c r="A737" s="16" t="n">
        <v>42709</v>
      </c>
      <c r="B737" s="17" t="n">
        <v>752</v>
      </c>
    </row>
    <row r="738" customFormat="false" ht="15" hidden="false" customHeight="false" outlineLevel="0" collapsed="false">
      <c r="A738" s="16" t="n">
        <v>42710</v>
      </c>
      <c r="B738" s="17" t="n">
        <v>759.8</v>
      </c>
    </row>
    <row r="739" customFormat="false" ht="15" hidden="false" customHeight="false" outlineLevel="0" collapsed="false">
      <c r="A739" s="16" t="n">
        <v>42711</v>
      </c>
      <c r="B739" s="17" t="n">
        <v>764.34</v>
      </c>
    </row>
    <row r="740" customFormat="false" ht="15" hidden="false" customHeight="false" outlineLevel="0" collapsed="false">
      <c r="A740" s="16" t="n">
        <v>42712</v>
      </c>
      <c r="B740" s="17" t="n">
        <v>767.89</v>
      </c>
    </row>
    <row r="741" customFormat="false" ht="15" hidden="false" customHeight="false" outlineLevel="0" collapsed="false">
      <c r="A741" s="16" t="n">
        <v>42713</v>
      </c>
      <c r="B741" s="17" t="n">
        <v>773.22</v>
      </c>
    </row>
    <row r="742" customFormat="false" ht="15" hidden="false" customHeight="false" outlineLevel="0" collapsed="false">
      <c r="A742" s="16" t="n">
        <v>42714</v>
      </c>
      <c r="B742" s="17" t="n">
        <v>775.87</v>
      </c>
    </row>
    <row r="743" customFormat="false" ht="15" hidden="false" customHeight="false" outlineLevel="0" collapsed="false">
      <c r="A743" s="16" t="n">
        <v>42715</v>
      </c>
      <c r="B743" s="17" t="n">
        <v>771.05</v>
      </c>
    </row>
    <row r="744" customFormat="false" ht="15" hidden="false" customHeight="false" outlineLevel="0" collapsed="false">
      <c r="A744" s="16" t="n">
        <v>42716</v>
      </c>
      <c r="B744" s="17" t="n">
        <v>778.94</v>
      </c>
    </row>
    <row r="745" customFormat="false" ht="15" hidden="false" customHeight="false" outlineLevel="0" collapsed="false">
      <c r="A745" s="16" t="n">
        <v>42717</v>
      </c>
      <c r="B745" s="17" t="n">
        <v>776.18</v>
      </c>
    </row>
    <row r="746" customFormat="false" ht="15" hidden="false" customHeight="false" outlineLevel="0" collapsed="false">
      <c r="A746" s="16" t="n">
        <v>42718</v>
      </c>
      <c r="B746" s="17" t="n">
        <v>777.66</v>
      </c>
    </row>
    <row r="747" customFormat="false" ht="15" hidden="false" customHeight="false" outlineLevel="0" collapsed="false">
      <c r="A747" s="16" t="n">
        <v>42719</v>
      </c>
      <c r="B747" s="17" t="n">
        <v>776.16</v>
      </c>
    </row>
    <row r="748" customFormat="false" ht="15" hidden="false" customHeight="false" outlineLevel="0" collapsed="false">
      <c r="A748" s="16" t="n">
        <v>42720</v>
      </c>
      <c r="B748" s="17" t="n">
        <v>780.98</v>
      </c>
    </row>
    <row r="749" customFormat="false" ht="15" hidden="false" customHeight="false" outlineLevel="0" collapsed="false">
      <c r="A749" s="16" t="n">
        <v>42721</v>
      </c>
      <c r="B749" s="17" t="n">
        <v>788.57</v>
      </c>
    </row>
    <row r="750" customFormat="false" ht="15" hidden="false" customHeight="false" outlineLevel="0" collapsed="false">
      <c r="A750" s="16" t="n">
        <v>42722</v>
      </c>
      <c r="B750" s="17" t="n">
        <v>790.72</v>
      </c>
    </row>
    <row r="751" customFormat="false" ht="15" hidden="false" customHeight="false" outlineLevel="0" collapsed="false">
      <c r="A751" s="16" t="n">
        <v>42723</v>
      </c>
      <c r="B751" s="17" t="n">
        <v>790.81</v>
      </c>
    </row>
    <row r="752" customFormat="false" ht="15" hidden="false" customHeight="false" outlineLevel="0" collapsed="false">
      <c r="A752" s="16" t="n">
        <v>42724</v>
      </c>
      <c r="B752" s="17" t="n">
        <v>798.99</v>
      </c>
    </row>
    <row r="753" customFormat="false" ht="15" hidden="false" customHeight="false" outlineLevel="0" collapsed="false">
      <c r="A753" s="16" t="n">
        <v>42725</v>
      </c>
      <c r="B753" s="17" t="n">
        <v>834.5</v>
      </c>
    </row>
    <row r="754" customFormat="false" ht="15" hidden="false" customHeight="false" outlineLevel="0" collapsed="false">
      <c r="A754" s="16" t="n">
        <v>42726</v>
      </c>
      <c r="B754" s="17" t="n">
        <v>856.02</v>
      </c>
    </row>
    <row r="755" customFormat="false" ht="15" hidden="false" customHeight="false" outlineLevel="0" collapsed="false">
      <c r="A755" s="16" t="n">
        <v>42727</v>
      </c>
      <c r="B755" s="17" t="n">
        <v>917.26</v>
      </c>
    </row>
    <row r="756" customFormat="false" ht="15" hidden="false" customHeight="false" outlineLevel="0" collapsed="false">
      <c r="A756" s="16" t="n">
        <v>42728</v>
      </c>
      <c r="B756" s="17" t="n">
        <v>891.5</v>
      </c>
    </row>
    <row r="757" customFormat="false" ht="15" hidden="false" customHeight="false" outlineLevel="0" collapsed="false">
      <c r="A757" s="16" t="n">
        <v>42729</v>
      </c>
      <c r="B757" s="17" t="n">
        <v>896.12</v>
      </c>
    </row>
    <row r="758" customFormat="false" ht="15" hidden="false" customHeight="false" outlineLevel="0" collapsed="false">
      <c r="A758" s="16" t="n">
        <v>42730</v>
      </c>
      <c r="B758" s="17" t="n">
        <v>902.09</v>
      </c>
    </row>
    <row r="759" customFormat="false" ht="15" hidden="false" customHeight="false" outlineLevel="0" collapsed="false">
      <c r="A759" s="16" t="n">
        <v>42731</v>
      </c>
      <c r="B759" s="17" t="n">
        <v>925.2</v>
      </c>
    </row>
    <row r="760" customFormat="false" ht="15" hidden="false" customHeight="false" outlineLevel="0" collapsed="false">
      <c r="A760" s="16" t="n">
        <v>42732</v>
      </c>
      <c r="B760" s="17" t="n">
        <v>982.17</v>
      </c>
    </row>
    <row r="761" customFormat="false" ht="15" hidden="false" customHeight="false" outlineLevel="0" collapsed="false">
      <c r="A761" s="16" t="n">
        <v>42733</v>
      </c>
      <c r="B761" s="17" t="n">
        <v>970.72</v>
      </c>
    </row>
    <row r="762" customFormat="false" ht="15" hidden="false" customHeight="false" outlineLevel="0" collapsed="false">
      <c r="A762" s="16" t="n">
        <v>42734</v>
      </c>
      <c r="B762" s="17" t="n">
        <v>960.81</v>
      </c>
    </row>
    <row r="763" customFormat="false" ht="15" hidden="false" customHeight="false" outlineLevel="0" collapsed="false">
      <c r="A763" s="16" t="n">
        <v>42735</v>
      </c>
      <c r="B763" s="17" t="n">
        <v>973.37</v>
      </c>
    </row>
    <row r="764" customFormat="false" ht="15" hidden="false" customHeight="false" outlineLevel="0" collapsed="false">
      <c r="A764" s="16" t="n">
        <v>42736</v>
      </c>
      <c r="B764" s="17" t="n">
        <v>992.95</v>
      </c>
    </row>
    <row r="765" customFormat="false" ht="15" hidden="false" customHeight="false" outlineLevel="0" collapsed="false">
      <c r="A765" s="16" t="n">
        <v>42737</v>
      </c>
      <c r="B765" s="17" t="n">
        <v>1011.45</v>
      </c>
    </row>
    <row r="766" customFormat="false" ht="15" hidden="false" customHeight="false" outlineLevel="0" collapsed="false">
      <c r="A766" s="16" t="n">
        <v>42738</v>
      </c>
      <c r="B766" s="17" t="n">
        <v>1020.67</v>
      </c>
    </row>
    <row r="767" customFormat="false" ht="15" hidden="false" customHeight="false" outlineLevel="0" collapsed="false">
      <c r="A767" s="16" t="n">
        <v>42739</v>
      </c>
      <c r="B767" s="17" t="n">
        <v>1130.3</v>
      </c>
    </row>
    <row r="768" customFormat="false" ht="15" hidden="false" customHeight="false" outlineLevel="0" collapsed="false">
      <c r="A768" s="16" t="n">
        <v>42740</v>
      </c>
      <c r="B768" s="17" t="n">
        <v>1007</v>
      </c>
    </row>
    <row r="769" customFormat="false" ht="15" hidden="false" customHeight="false" outlineLevel="0" collapsed="false">
      <c r="A769" s="16" t="n">
        <v>42741</v>
      </c>
      <c r="B769" s="17" t="n">
        <v>895.71</v>
      </c>
    </row>
    <row r="770" customFormat="false" ht="15" hidden="false" customHeight="false" outlineLevel="0" collapsed="false">
      <c r="A770" s="16" t="n">
        <v>42742</v>
      </c>
      <c r="B770" s="17" t="n">
        <v>909</v>
      </c>
    </row>
    <row r="771" customFormat="false" ht="15" hidden="false" customHeight="false" outlineLevel="0" collapsed="false">
      <c r="A771" s="16" t="n">
        <v>42743</v>
      </c>
      <c r="B771" s="17" t="n">
        <v>923.33</v>
      </c>
    </row>
    <row r="772" customFormat="false" ht="15" hidden="false" customHeight="false" outlineLevel="0" collapsed="false">
      <c r="A772" s="16" t="n">
        <v>42744</v>
      </c>
      <c r="B772" s="17" t="n">
        <v>902.66</v>
      </c>
    </row>
    <row r="773" customFormat="false" ht="15" hidden="false" customHeight="false" outlineLevel="0" collapsed="false">
      <c r="A773" s="16" t="n">
        <v>42745</v>
      </c>
      <c r="B773" s="17" t="n">
        <v>907</v>
      </c>
    </row>
    <row r="774" customFormat="false" ht="15" hidden="false" customHeight="false" outlineLevel="0" collapsed="false">
      <c r="A774" s="16" t="n">
        <v>42746</v>
      </c>
      <c r="B774" s="17" t="n">
        <v>795.77</v>
      </c>
    </row>
    <row r="775" customFormat="false" ht="15" hidden="false" customHeight="false" outlineLevel="0" collapsed="false">
      <c r="A775" s="16" t="n">
        <v>42747</v>
      </c>
      <c r="B775" s="17" t="n">
        <v>812.25</v>
      </c>
    </row>
    <row r="776" customFormat="false" ht="15" hidden="false" customHeight="false" outlineLevel="0" collapsed="false">
      <c r="A776" s="16" t="n">
        <v>42748</v>
      </c>
      <c r="B776" s="17" t="n">
        <v>831.42</v>
      </c>
    </row>
    <row r="777" customFormat="false" ht="15" hidden="false" customHeight="false" outlineLevel="0" collapsed="false">
      <c r="A777" s="16" t="n">
        <v>42749</v>
      </c>
      <c r="B777" s="17" t="n">
        <v>828</v>
      </c>
    </row>
    <row r="778" customFormat="false" ht="15" hidden="false" customHeight="false" outlineLevel="0" collapsed="false">
      <c r="A778" s="16" t="n">
        <v>42750</v>
      </c>
      <c r="B778" s="17" t="n">
        <v>833.31</v>
      </c>
    </row>
    <row r="779" customFormat="false" ht="15" hidden="false" customHeight="false" outlineLevel="0" collapsed="false">
      <c r="A779" s="16" t="n">
        <v>42751</v>
      </c>
      <c r="B779" s="17" t="n">
        <v>834.41</v>
      </c>
    </row>
    <row r="780" customFormat="false" ht="15" hidden="false" customHeight="false" outlineLevel="0" collapsed="false">
      <c r="A780" s="16" t="n">
        <v>42752</v>
      </c>
      <c r="B780" s="17" t="n">
        <v>906</v>
      </c>
    </row>
    <row r="781" customFormat="false" ht="15" hidden="false" customHeight="false" outlineLevel="0" collapsed="false">
      <c r="A781" s="16" t="n">
        <v>42753</v>
      </c>
      <c r="B781" s="17" t="n">
        <v>887.99</v>
      </c>
    </row>
    <row r="782" customFormat="false" ht="15" hidden="false" customHeight="false" outlineLevel="0" collapsed="false">
      <c r="A782" s="16" t="n">
        <v>42754</v>
      </c>
      <c r="B782" s="17" t="n">
        <v>902.92</v>
      </c>
    </row>
    <row r="783" customFormat="false" ht="15" hidden="false" customHeight="false" outlineLevel="0" collapsed="false">
      <c r="A783" s="16" t="n">
        <v>42755</v>
      </c>
      <c r="B783" s="17" t="n">
        <v>894.31</v>
      </c>
    </row>
    <row r="784" customFormat="false" ht="15" hidden="false" customHeight="false" outlineLevel="0" collapsed="false">
      <c r="A784" s="16" t="n">
        <v>42756</v>
      </c>
      <c r="B784" s="17" t="n">
        <v>925.06</v>
      </c>
    </row>
    <row r="785" customFormat="false" ht="15" hidden="false" customHeight="false" outlineLevel="0" collapsed="false">
      <c r="A785" s="16" t="n">
        <v>42757</v>
      </c>
      <c r="B785" s="17" t="n">
        <v>931.22</v>
      </c>
    </row>
    <row r="786" customFormat="false" ht="15" hidden="false" customHeight="false" outlineLevel="0" collapsed="false">
      <c r="A786" s="16" t="n">
        <v>42758</v>
      </c>
      <c r="B786" s="17" t="n">
        <v>910.7</v>
      </c>
    </row>
    <row r="787" customFormat="false" ht="15" hidden="false" customHeight="false" outlineLevel="0" collapsed="false">
      <c r="A787" s="16" t="n">
        <v>42759</v>
      </c>
      <c r="B787" s="17" t="n">
        <v>887</v>
      </c>
    </row>
    <row r="788" customFormat="false" ht="15" hidden="false" customHeight="false" outlineLevel="0" collapsed="false">
      <c r="A788" s="16" t="n">
        <v>42760</v>
      </c>
      <c r="B788" s="17" t="n">
        <v>896</v>
      </c>
    </row>
    <row r="789" customFormat="false" ht="15" hidden="false" customHeight="false" outlineLevel="0" collapsed="false">
      <c r="A789" s="16" t="n">
        <v>42761</v>
      </c>
      <c r="B789" s="17" t="n">
        <v>917.02</v>
      </c>
    </row>
    <row r="790" customFormat="false" ht="15" hidden="false" customHeight="false" outlineLevel="0" collapsed="false">
      <c r="A790" s="16" t="n">
        <v>42762</v>
      </c>
      <c r="B790" s="17" t="n">
        <v>922.63</v>
      </c>
    </row>
    <row r="791" customFormat="false" ht="15" hidden="false" customHeight="false" outlineLevel="0" collapsed="false">
      <c r="A791" s="16" t="n">
        <v>42763</v>
      </c>
      <c r="B791" s="17" t="n">
        <v>924.98</v>
      </c>
    </row>
    <row r="792" customFormat="false" ht="15" hidden="false" customHeight="false" outlineLevel="0" collapsed="false">
      <c r="A792" s="16" t="n">
        <v>42764</v>
      </c>
      <c r="B792" s="17" t="n">
        <v>916.54</v>
      </c>
    </row>
    <row r="793" customFormat="false" ht="15" hidden="false" customHeight="false" outlineLevel="0" collapsed="false">
      <c r="A793" s="16" t="n">
        <v>42765</v>
      </c>
      <c r="B793" s="17" t="n">
        <v>923.23</v>
      </c>
    </row>
    <row r="794" customFormat="false" ht="15" hidden="false" customHeight="false" outlineLevel="0" collapsed="false">
      <c r="A794" s="16" t="n">
        <v>42766</v>
      </c>
      <c r="B794" s="17" t="n">
        <v>970.01</v>
      </c>
    </row>
    <row r="795" customFormat="false" ht="15" hidden="false" customHeight="false" outlineLevel="0" collapsed="false">
      <c r="A795" s="16" t="n">
        <v>42767</v>
      </c>
      <c r="B795" s="17" t="n">
        <v>992.75</v>
      </c>
    </row>
    <row r="796" customFormat="false" ht="15" hidden="false" customHeight="false" outlineLevel="0" collapsed="false">
      <c r="A796" s="16" t="n">
        <v>42768</v>
      </c>
      <c r="B796" s="17" t="n">
        <v>1008.38</v>
      </c>
    </row>
    <row r="797" customFormat="false" ht="15" hidden="false" customHeight="false" outlineLevel="0" collapsed="false">
      <c r="A797" s="16" t="n">
        <v>42769</v>
      </c>
      <c r="B797" s="17" t="n">
        <v>1018</v>
      </c>
    </row>
    <row r="798" customFormat="false" ht="15" hidden="false" customHeight="false" outlineLevel="0" collapsed="false">
      <c r="A798" s="16" t="n">
        <v>42770</v>
      </c>
      <c r="B798" s="17" t="n">
        <v>1035.54</v>
      </c>
    </row>
    <row r="799" customFormat="false" ht="15" hidden="false" customHeight="false" outlineLevel="0" collapsed="false">
      <c r="A799" s="16" t="n">
        <v>42771</v>
      </c>
      <c r="B799" s="17" t="n">
        <v>1016.32</v>
      </c>
    </row>
    <row r="800" customFormat="false" ht="15" hidden="false" customHeight="false" outlineLevel="0" collapsed="false">
      <c r="A800" s="16" t="n">
        <v>42772</v>
      </c>
      <c r="B800" s="17" t="n">
        <v>1022.58</v>
      </c>
    </row>
    <row r="801" customFormat="false" ht="15" hidden="false" customHeight="false" outlineLevel="0" collapsed="false">
      <c r="A801" s="16" t="n">
        <v>42773</v>
      </c>
      <c r="B801" s="17" t="n">
        <v>1053.96</v>
      </c>
    </row>
    <row r="802" customFormat="false" ht="15" hidden="false" customHeight="false" outlineLevel="0" collapsed="false">
      <c r="A802" s="16" t="n">
        <v>42774</v>
      </c>
      <c r="B802" s="17" t="n">
        <v>1056.7</v>
      </c>
    </row>
    <row r="803" customFormat="false" ht="15" hidden="false" customHeight="false" outlineLevel="0" collapsed="false">
      <c r="A803" s="16" t="n">
        <v>42775</v>
      </c>
      <c r="B803" s="17" t="n">
        <v>994.24</v>
      </c>
    </row>
    <row r="804" customFormat="false" ht="15" hidden="false" customHeight="false" outlineLevel="0" collapsed="false">
      <c r="A804" s="16" t="n">
        <v>42776</v>
      </c>
      <c r="B804" s="17" t="n">
        <v>1001.99</v>
      </c>
    </row>
    <row r="805" customFormat="false" ht="15" hidden="false" customHeight="false" outlineLevel="0" collapsed="false">
      <c r="A805" s="16" t="n">
        <v>42777</v>
      </c>
      <c r="B805" s="17" t="n">
        <v>1018.65</v>
      </c>
    </row>
    <row r="806" customFormat="false" ht="15" hidden="false" customHeight="false" outlineLevel="0" collapsed="false">
      <c r="A806" s="16" t="n">
        <v>42778</v>
      </c>
      <c r="B806" s="17" t="n">
        <v>1010</v>
      </c>
    </row>
    <row r="807" customFormat="false" ht="15" hidden="false" customHeight="false" outlineLevel="0" collapsed="false">
      <c r="A807" s="16" t="n">
        <v>42779</v>
      </c>
      <c r="B807" s="17" t="n">
        <v>1002.82</v>
      </c>
    </row>
    <row r="808" customFormat="false" ht="15" hidden="false" customHeight="false" outlineLevel="0" collapsed="false">
      <c r="A808" s="16" t="n">
        <v>42780</v>
      </c>
      <c r="B808" s="17" t="n">
        <v>1013.92</v>
      </c>
    </row>
    <row r="809" customFormat="false" ht="15" hidden="false" customHeight="false" outlineLevel="0" collapsed="false">
      <c r="A809" s="16" t="n">
        <v>42781</v>
      </c>
      <c r="B809" s="17" t="n">
        <v>1014.53</v>
      </c>
    </row>
    <row r="810" customFormat="false" ht="15" hidden="false" customHeight="false" outlineLevel="0" collapsed="false">
      <c r="A810" s="16" t="n">
        <v>42782</v>
      </c>
      <c r="B810" s="17" t="n">
        <v>1038.94</v>
      </c>
    </row>
    <row r="811" customFormat="false" ht="15" hidden="false" customHeight="false" outlineLevel="0" collapsed="false">
      <c r="A811" s="16" t="n">
        <v>42783</v>
      </c>
      <c r="B811" s="17" t="n">
        <v>1057.3</v>
      </c>
    </row>
    <row r="812" customFormat="false" ht="15" hidden="false" customHeight="false" outlineLevel="0" collapsed="false">
      <c r="A812" s="16" t="n">
        <v>42784</v>
      </c>
      <c r="B812" s="17" t="n">
        <v>1062.15</v>
      </c>
    </row>
    <row r="813" customFormat="false" ht="15" hidden="false" customHeight="false" outlineLevel="0" collapsed="false">
      <c r="A813" s="16" t="n">
        <v>42785</v>
      </c>
      <c r="B813" s="17" t="n">
        <v>1059.88</v>
      </c>
    </row>
    <row r="814" customFormat="false" ht="15" hidden="false" customHeight="false" outlineLevel="0" collapsed="false">
      <c r="A814" s="16" t="n">
        <v>42786</v>
      </c>
      <c r="B814" s="17" t="n">
        <v>1089.82</v>
      </c>
    </row>
    <row r="815" customFormat="false" ht="15" hidden="false" customHeight="false" outlineLevel="0" collapsed="false">
      <c r="A815" s="16" t="n">
        <v>42787</v>
      </c>
      <c r="B815" s="17" t="n">
        <v>1128.29</v>
      </c>
    </row>
    <row r="816" customFormat="false" ht="15" hidden="false" customHeight="false" outlineLevel="0" collapsed="false">
      <c r="A816" s="16" t="n">
        <v>42788</v>
      </c>
      <c r="B816" s="17" t="n">
        <v>1128.71</v>
      </c>
    </row>
    <row r="817" customFormat="false" ht="15" hidden="false" customHeight="false" outlineLevel="0" collapsed="false">
      <c r="A817" s="16" t="n">
        <v>42789</v>
      </c>
      <c r="B817" s="17" t="n">
        <v>1186.9</v>
      </c>
    </row>
    <row r="818" customFormat="false" ht="15" hidden="false" customHeight="false" outlineLevel="0" collapsed="false">
      <c r="A818" s="16" t="n">
        <v>42790</v>
      </c>
      <c r="B818" s="17" t="n">
        <v>1186.91</v>
      </c>
    </row>
    <row r="819" customFormat="false" ht="15" hidden="false" customHeight="false" outlineLevel="0" collapsed="false">
      <c r="A819" s="16" t="n">
        <v>42791</v>
      </c>
      <c r="B819" s="17" t="n">
        <v>1158</v>
      </c>
    </row>
    <row r="820" customFormat="false" ht="15" hidden="false" customHeight="false" outlineLevel="0" collapsed="false">
      <c r="A820" s="16" t="n">
        <v>42792</v>
      </c>
      <c r="B820" s="17" t="n">
        <v>1184.91</v>
      </c>
    </row>
    <row r="821" customFormat="false" ht="15" hidden="false" customHeight="false" outlineLevel="0" collapsed="false">
      <c r="A821" s="16" t="n">
        <v>42793</v>
      </c>
      <c r="B821" s="17" t="n">
        <v>1195.81</v>
      </c>
    </row>
    <row r="822" customFormat="false" ht="15" hidden="false" customHeight="false" outlineLevel="0" collapsed="false">
      <c r="A822" s="16" t="n">
        <v>42794</v>
      </c>
      <c r="B822" s="17" t="n">
        <v>1195.08</v>
      </c>
    </row>
    <row r="823" customFormat="false" ht="15" hidden="false" customHeight="false" outlineLevel="0" collapsed="false">
      <c r="A823" s="16" t="n">
        <v>42795</v>
      </c>
      <c r="B823" s="17" t="n">
        <v>1230</v>
      </c>
    </row>
    <row r="824" customFormat="false" ht="15" hidden="false" customHeight="false" outlineLevel="0" collapsed="false">
      <c r="A824" s="16" t="n">
        <v>42796</v>
      </c>
      <c r="B824" s="17" t="n">
        <v>1269.17</v>
      </c>
    </row>
    <row r="825" customFormat="false" ht="15" hidden="false" customHeight="false" outlineLevel="0" collapsed="false">
      <c r="A825" s="16" t="n">
        <v>42797</v>
      </c>
      <c r="B825" s="17" t="n">
        <v>1292.86</v>
      </c>
    </row>
    <row r="826" customFormat="false" ht="15" hidden="false" customHeight="false" outlineLevel="0" collapsed="false">
      <c r="A826" s="16" t="n">
        <v>42798</v>
      </c>
      <c r="B826" s="17" t="n">
        <v>1273.97</v>
      </c>
    </row>
    <row r="827" customFormat="false" ht="15" hidden="false" customHeight="false" outlineLevel="0" collapsed="false">
      <c r="A827" s="16" t="n">
        <v>42799</v>
      </c>
      <c r="B827" s="17" t="n">
        <v>1278.98</v>
      </c>
    </row>
    <row r="828" customFormat="false" ht="15" hidden="false" customHeight="false" outlineLevel="0" collapsed="false">
      <c r="A828" s="16" t="n">
        <v>42800</v>
      </c>
      <c r="B828" s="17" t="n">
        <v>1284.99</v>
      </c>
    </row>
    <row r="829" customFormat="false" ht="15" hidden="false" customHeight="false" outlineLevel="0" collapsed="false">
      <c r="A829" s="16" t="n">
        <v>42801</v>
      </c>
      <c r="B829" s="17" t="n">
        <v>1237.36</v>
      </c>
    </row>
    <row r="830" customFormat="false" ht="15" hidden="false" customHeight="false" outlineLevel="0" collapsed="false">
      <c r="A830" s="16" t="n">
        <v>42802</v>
      </c>
      <c r="B830" s="17" t="n">
        <v>1150.22</v>
      </c>
    </row>
    <row r="831" customFormat="false" ht="15" hidden="false" customHeight="false" outlineLevel="0" collapsed="false">
      <c r="A831" s="16" t="n">
        <v>42803</v>
      </c>
      <c r="B831" s="17" t="n">
        <v>1197.3</v>
      </c>
    </row>
    <row r="832" customFormat="false" ht="15" hidden="false" customHeight="false" outlineLevel="0" collapsed="false">
      <c r="A832" s="16" t="n">
        <v>42804</v>
      </c>
      <c r="B832" s="17" t="n">
        <v>1109.01</v>
      </c>
    </row>
    <row r="833" customFormat="false" ht="15" hidden="false" customHeight="false" outlineLevel="0" collapsed="false">
      <c r="A833" s="16" t="n">
        <v>42805</v>
      </c>
      <c r="B833" s="17" t="n">
        <v>1188.11</v>
      </c>
    </row>
    <row r="834" customFormat="false" ht="15" hidden="false" customHeight="false" outlineLevel="0" collapsed="false">
      <c r="A834" s="16" t="n">
        <v>42806</v>
      </c>
      <c r="B834" s="17" t="n">
        <v>1235.58</v>
      </c>
    </row>
    <row r="835" customFormat="false" ht="15" hidden="false" customHeight="false" outlineLevel="0" collapsed="false">
      <c r="A835" s="16" t="n">
        <v>42807</v>
      </c>
      <c r="B835" s="17" t="n">
        <v>1245.49</v>
      </c>
    </row>
    <row r="836" customFormat="false" ht="15" hidden="false" customHeight="false" outlineLevel="0" collapsed="false">
      <c r="A836" s="16" t="n">
        <v>42808</v>
      </c>
      <c r="B836" s="17" t="n">
        <v>1247.42</v>
      </c>
    </row>
    <row r="837" customFormat="false" ht="15" hidden="false" customHeight="false" outlineLevel="0" collapsed="false">
      <c r="A837" s="16" t="n">
        <v>42809</v>
      </c>
      <c r="B837" s="17" t="n">
        <v>1263</v>
      </c>
    </row>
    <row r="838" customFormat="false" ht="15" hidden="false" customHeight="false" outlineLevel="0" collapsed="false">
      <c r="A838" s="16" t="n">
        <v>42810</v>
      </c>
      <c r="B838" s="17" t="n">
        <v>1175.11</v>
      </c>
    </row>
    <row r="839" customFormat="false" ht="15" hidden="false" customHeight="false" outlineLevel="0" collapsed="false">
      <c r="A839" s="16" t="n">
        <v>42811</v>
      </c>
      <c r="B839" s="17" t="n">
        <v>1069.57</v>
      </c>
    </row>
    <row r="840" customFormat="false" ht="15" hidden="false" customHeight="false" outlineLevel="0" collapsed="false">
      <c r="A840" s="16" t="n">
        <v>42812</v>
      </c>
      <c r="B840" s="17" t="n">
        <v>970</v>
      </c>
    </row>
    <row r="841" customFormat="false" ht="15" hidden="false" customHeight="false" outlineLevel="0" collapsed="false">
      <c r="A841" s="16" t="n">
        <v>42813</v>
      </c>
      <c r="B841" s="17" t="n">
        <v>1019.49</v>
      </c>
    </row>
    <row r="842" customFormat="false" ht="15" hidden="false" customHeight="false" outlineLevel="0" collapsed="false">
      <c r="A842" s="16" t="n">
        <v>42814</v>
      </c>
      <c r="B842" s="17" t="n">
        <v>1044.96</v>
      </c>
    </row>
    <row r="843" customFormat="false" ht="15" hidden="false" customHeight="false" outlineLevel="0" collapsed="false">
      <c r="A843" s="16" t="n">
        <v>42815</v>
      </c>
      <c r="B843" s="17" t="n">
        <v>1114.42</v>
      </c>
    </row>
    <row r="844" customFormat="false" ht="15" hidden="false" customHeight="false" outlineLevel="0" collapsed="false">
      <c r="A844" s="16" t="n">
        <v>42816</v>
      </c>
      <c r="B844" s="17" t="n">
        <v>1034.57</v>
      </c>
    </row>
    <row r="845" customFormat="false" ht="15" hidden="false" customHeight="false" outlineLevel="0" collapsed="false">
      <c r="A845" s="16" t="n">
        <v>42817</v>
      </c>
      <c r="B845" s="17" t="n">
        <v>1025.14</v>
      </c>
    </row>
    <row r="846" customFormat="false" ht="15" hidden="false" customHeight="false" outlineLevel="0" collapsed="false">
      <c r="A846" s="16" t="n">
        <v>42818</v>
      </c>
      <c r="B846" s="17" t="n">
        <v>934.87</v>
      </c>
    </row>
    <row r="847" customFormat="false" ht="15" hidden="false" customHeight="false" outlineLevel="0" collapsed="false">
      <c r="A847" s="16" t="n">
        <v>42819</v>
      </c>
      <c r="B847" s="17" t="n">
        <v>963.72</v>
      </c>
    </row>
    <row r="848" customFormat="false" ht="15" hidden="false" customHeight="false" outlineLevel="0" collapsed="false">
      <c r="A848" s="16" t="n">
        <v>42820</v>
      </c>
      <c r="B848" s="17" t="n">
        <v>973.08</v>
      </c>
    </row>
    <row r="849" customFormat="false" ht="15" hidden="false" customHeight="false" outlineLevel="0" collapsed="false">
      <c r="A849" s="16" t="n">
        <v>42821</v>
      </c>
      <c r="B849" s="17" t="n">
        <v>1042.08</v>
      </c>
    </row>
    <row r="850" customFormat="false" ht="15" hidden="false" customHeight="false" outlineLevel="0" collapsed="false">
      <c r="A850" s="16" t="n">
        <v>42822</v>
      </c>
      <c r="B850" s="17" t="n">
        <v>1045.4</v>
      </c>
    </row>
    <row r="851" customFormat="false" ht="15" hidden="false" customHeight="false" outlineLevel="0" collapsed="false">
      <c r="A851" s="16" t="n">
        <v>42823</v>
      </c>
      <c r="B851" s="17" t="n">
        <v>1043.27</v>
      </c>
    </row>
    <row r="852" customFormat="false" ht="15" hidden="false" customHeight="false" outlineLevel="0" collapsed="false">
      <c r="A852" s="16" t="n">
        <v>42824</v>
      </c>
      <c r="B852" s="17" t="n">
        <v>1042.34</v>
      </c>
    </row>
    <row r="853" customFormat="false" ht="15" hidden="false" customHeight="false" outlineLevel="0" collapsed="false">
      <c r="A853" s="16" t="n">
        <v>42825</v>
      </c>
      <c r="B853" s="17" t="n">
        <v>1088.99</v>
      </c>
    </row>
    <row r="854" customFormat="false" ht="15" hidden="false" customHeight="false" outlineLevel="0" collapsed="false">
      <c r="A854" s="16" t="n">
        <v>42826</v>
      </c>
      <c r="B854" s="17" t="n">
        <v>1092</v>
      </c>
    </row>
    <row r="855" customFormat="false" ht="15" hidden="false" customHeight="false" outlineLevel="0" collapsed="false">
      <c r="A855" s="16" t="n">
        <v>42827</v>
      </c>
      <c r="B855" s="17" t="n">
        <v>1113.99</v>
      </c>
    </row>
    <row r="856" customFormat="false" ht="15" hidden="false" customHeight="false" outlineLevel="0" collapsed="false">
      <c r="A856" s="16" t="n">
        <v>42828</v>
      </c>
      <c r="B856" s="17" t="n">
        <v>1152.6</v>
      </c>
    </row>
    <row r="857" customFormat="false" ht="15" hidden="false" customHeight="false" outlineLevel="0" collapsed="false">
      <c r="A857" s="16" t="n">
        <v>42829</v>
      </c>
      <c r="B857" s="17" t="n">
        <v>1143.99</v>
      </c>
    </row>
    <row r="858" customFormat="false" ht="15" hidden="false" customHeight="false" outlineLevel="0" collapsed="false">
      <c r="A858" s="16" t="n">
        <v>42830</v>
      </c>
      <c r="B858" s="17" t="n">
        <v>1132.99</v>
      </c>
    </row>
    <row r="859" customFormat="false" ht="15" hidden="false" customHeight="false" outlineLevel="0" collapsed="false">
      <c r="A859" s="16" t="n">
        <v>42831</v>
      </c>
      <c r="B859" s="17" t="n">
        <v>1192.3</v>
      </c>
    </row>
    <row r="860" customFormat="false" ht="15" hidden="false" customHeight="false" outlineLevel="0" collapsed="false">
      <c r="A860" s="16" t="n">
        <v>42832</v>
      </c>
      <c r="B860" s="17" t="n">
        <v>1194</v>
      </c>
    </row>
    <row r="861" customFormat="false" ht="15" hidden="false" customHeight="false" outlineLevel="0" collapsed="false">
      <c r="A861" s="16" t="n">
        <v>42833</v>
      </c>
      <c r="B861" s="17" t="n">
        <v>1184.5</v>
      </c>
    </row>
    <row r="862" customFormat="false" ht="15" hidden="false" customHeight="false" outlineLevel="0" collapsed="false">
      <c r="A862" s="16" t="n">
        <v>42834</v>
      </c>
      <c r="B862" s="17" t="n">
        <v>1210.97</v>
      </c>
    </row>
    <row r="863" customFormat="false" ht="15" hidden="false" customHeight="false" outlineLevel="0" collapsed="false">
      <c r="A863" s="16" t="n">
        <v>42835</v>
      </c>
      <c r="B863" s="17" t="n">
        <v>1210</v>
      </c>
    </row>
    <row r="864" customFormat="false" ht="15" hidden="false" customHeight="false" outlineLevel="0" collapsed="false">
      <c r="A864" s="16" t="n">
        <v>42836</v>
      </c>
      <c r="B864" s="17" t="n">
        <v>1223.99</v>
      </c>
    </row>
    <row r="865" customFormat="false" ht="15" hidden="false" customHeight="false" outlineLevel="0" collapsed="false">
      <c r="A865" s="16" t="n">
        <v>42837</v>
      </c>
      <c r="B865" s="17" t="n">
        <v>1214.17</v>
      </c>
    </row>
    <row r="866" customFormat="false" ht="15" hidden="false" customHeight="false" outlineLevel="0" collapsed="false">
      <c r="A866" s="16" t="n">
        <v>42838</v>
      </c>
      <c r="B866" s="17" t="n">
        <v>1177.05</v>
      </c>
    </row>
    <row r="867" customFormat="false" ht="15" hidden="false" customHeight="false" outlineLevel="0" collapsed="false">
      <c r="A867" s="16" t="n">
        <v>42839</v>
      </c>
      <c r="B867" s="17" t="n">
        <v>1173.74</v>
      </c>
    </row>
    <row r="868" customFormat="false" ht="15" hidden="false" customHeight="false" outlineLevel="0" collapsed="false">
      <c r="A868" s="16" t="n">
        <v>42840</v>
      </c>
      <c r="B868" s="17" t="n">
        <v>1178.85</v>
      </c>
    </row>
    <row r="869" customFormat="false" ht="15" hidden="false" customHeight="false" outlineLevel="0" collapsed="false">
      <c r="A869" s="16" t="n">
        <v>42841</v>
      </c>
      <c r="B869" s="17" t="n">
        <v>1177.99</v>
      </c>
    </row>
    <row r="870" customFormat="false" ht="15" hidden="false" customHeight="false" outlineLevel="0" collapsed="false">
      <c r="A870" s="16" t="n">
        <v>42842</v>
      </c>
      <c r="B870" s="17" t="n">
        <v>1189.91</v>
      </c>
    </row>
    <row r="871" customFormat="false" ht="15" hidden="false" customHeight="false" outlineLevel="0" collapsed="false">
      <c r="A871" s="16" t="n">
        <v>42843</v>
      </c>
      <c r="B871" s="17" t="n">
        <v>1201.94</v>
      </c>
    </row>
    <row r="872" customFormat="false" ht="15" hidden="false" customHeight="false" outlineLevel="0" collapsed="false">
      <c r="A872" s="16" t="n">
        <v>42844</v>
      </c>
      <c r="B872" s="17" t="n">
        <v>1214.21</v>
      </c>
    </row>
    <row r="873" customFormat="false" ht="15" hidden="false" customHeight="false" outlineLevel="0" collapsed="false">
      <c r="A873" s="16" t="n">
        <v>42845</v>
      </c>
      <c r="B873" s="17" t="n">
        <v>1236.15</v>
      </c>
    </row>
    <row r="874" customFormat="false" ht="15" hidden="false" customHeight="false" outlineLevel="0" collapsed="false">
      <c r="A874" s="16" t="n">
        <v>42846</v>
      </c>
      <c r="B874" s="17" t="n">
        <v>1249.99</v>
      </c>
    </row>
    <row r="875" customFormat="false" ht="15" hidden="false" customHeight="false" outlineLevel="0" collapsed="false">
      <c r="A875" s="16" t="n">
        <v>42847</v>
      </c>
      <c r="B875" s="17" t="n">
        <v>1247</v>
      </c>
    </row>
    <row r="876" customFormat="false" ht="15" hidden="false" customHeight="false" outlineLevel="0" collapsed="false">
      <c r="A876" s="16" t="n">
        <v>42848</v>
      </c>
      <c r="B876" s="17" t="n">
        <v>1251.98</v>
      </c>
    </row>
    <row r="877" customFormat="false" ht="15" hidden="false" customHeight="false" outlineLevel="0" collapsed="false">
      <c r="A877" s="16" t="n">
        <v>42849</v>
      </c>
      <c r="B877" s="17" t="n">
        <v>1257.29</v>
      </c>
    </row>
    <row r="878" customFormat="false" ht="15" hidden="false" customHeight="false" outlineLevel="0" collapsed="false">
      <c r="A878" s="16" t="n">
        <v>42850</v>
      </c>
      <c r="B878" s="17" t="n">
        <v>1281.16</v>
      </c>
    </row>
    <row r="879" customFormat="false" ht="15" hidden="false" customHeight="false" outlineLevel="0" collapsed="false">
      <c r="A879" s="16" t="n">
        <v>42851</v>
      </c>
      <c r="B879" s="17" t="n">
        <v>1298.44</v>
      </c>
    </row>
    <row r="880" customFormat="false" ht="15" hidden="false" customHeight="false" outlineLevel="0" collapsed="false">
      <c r="A880" s="16" t="n">
        <v>42852</v>
      </c>
      <c r="B880" s="17" t="n">
        <v>1349.26</v>
      </c>
    </row>
    <row r="881" customFormat="false" ht="15" hidden="false" customHeight="false" outlineLevel="0" collapsed="false">
      <c r="A881" s="16" t="n">
        <v>42853</v>
      </c>
      <c r="B881" s="17" t="n">
        <v>1353.34</v>
      </c>
    </row>
    <row r="882" customFormat="false" ht="15" hidden="false" customHeight="false" outlineLevel="0" collapsed="false">
      <c r="A882" s="16" t="n">
        <v>42854</v>
      </c>
      <c r="B882" s="17" t="n">
        <v>1365.43</v>
      </c>
    </row>
    <row r="883" customFormat="false" ht="15" hidden="false" customHeight="false" outlineLevel="0" collapsed="false">
      <c r="A883" s="16" t="n">
        <v>42855</v>
      </c>
      <c r="B883" s="17" t="n">
        <v>1384.55</v>
      </c>
    </row>
    <row r="884" customFormat="false" ht="15" hidden="false" customHeight="false" outlineLevel="0" collapsed="false">
      <c r="A884" s="16" t="n">
        <v>42856</v>
      </c>
      <c r="B884" s="17" t="n">
        <v>1436.5</v>
      </c>
    </row>
    <row r="885" customFormat="false" ht="15" hidden="false" customHeight="false" outlineLevel="0" collapsed="false">
      <c r="A885" s="16" t="n">
        <v>42857</v>
      </c>
      <c r="B885" s="17" t="n">
        <v>1471.99</v>
      </c>
    </row>
    <row r="886" customFormat="false" ht="15" hidden="false" customHeight="false" outlineLevel="0" collapsed="false">
      <c r="A886" s="16" t="n">
        <v>42858</v>
      </c>
      <c r="B886" s="17" t="n">
        <v>1533</v>
      </c>
    </row>
    <row r="887" customFormat="false" ht="15" hidden="false" customHeight="false" outlineLevel="0" collapsed="false">
      <c r="A887" s="16" t="n">
        <v>42859</v>
      </c>
      <c r="B887" s="17" t="n">
        <v>1563.39</v>
      </c>
    </row>
    <row r="888" customFormat="false" ht="15" hidden="false" customHeight="false" outlineLevel="0" collapsed="false">
      <c r="A888" s="16" t="n">
        <v>42860</v>
      </c>
      <c r="B888" s="17" t="n">
        <v>1551.3</v>
      </c>
    </row>
    <row r="889" customFormat="false" ht="15" hidden="false" customHeight="false" outlineLevel="0" collapsed="false">
      <c r="A889" s="16" t="n">
        <v>42861</v>
      </c>
      <c r="B889" s="17" t="n">
        <v>1585.39</v>
      </c>
    </row>
    <row r="890" customFormat="false" ht="15" hidden="false" customHeight="false" outlineLevel="0" collapsed="false">
      <c r="A890" s="16" t="n">
        <v>42862</v>
      </c>
      <c r="B890" s="17" t="n">
        <v>1609.57</v>
      </c>
    </row>
    <row r="891" customFormat="false" ht="15" hidden="false" customHeight="false" outlineLevel="0" collapsed="false">
      <c r="A891" s="16" t="n">
        <v>42863</v>
      </c>
      <c r="B891" s="17" t="n">
        <v>1713</v>
      </c>
    </row>
    <row r="892" customFormat="false" ht="15" hidden="false" customHeight="false" outlineLevel="0" collapsed="false">
      <c r="A892" s="16" t="n">
        <v>42864</v>
      </c>
      <c r="B892" s="17" t="n">
        <v>1720.43</v>
      </c>
    </row>
    <row r="893" customFormat="false" ht="15" hidden="false" customHeight="false" outlineLevel="0" collapsed="false">
      <c r="A893" s="16" t="n">
        <v>42865</v>
      </c>
      <c r="B893" s="17" t="n">
        <v>1794.99</v>
      </c>
    </row>
    <row r="894" customFormat="false" ht="15" hidden="false" customHeight="false" outlineLevel="0" collapsed="false">
      <c r="A894" s="16" t="n">
        <v>42866</v>
      </c>
      <c r="B894" s="17" t="n">
        <v>1837.93</v>
      </c>
    </row>
    <row r="895" customFormat="false" ht="15" hidden="false" customHeight="false" outlineLevel="0" collapsed="false">
      <c r="A895" s="16" t="n">
        <v>42867</v>
      </c>
      <c r="B895" s="17" t="n">
        <v>1695.61</v>
      </c>
    </row>
    <row r="896" customFormat="false" ht="15" hidden="false" customHeight="false" outlineLevel="0" collapsed="false">
      <c r="A896" s="16" t="n">
        <v>42868</v>
      </c>
      <c r="B896" s="17" t="n">
        <v>1792.73</v>
      </c>
    </row>
    <row r="897" customFormat="false" ht="15" hidden="false" customHeight="false" outlineLevel="0" collapsed="false">
      <c r="A897" s="16" t="n">
        <v>42869</v>
      </c>
      <c r="B897" s="17" t="n">
        <v>1799.99</v>
      </c>
    </row>
    <row r="898" customFormat="false" ht="15" hidden="false" customHeight="false" outlineLevel="0" collapsed="false">
      <c r="A898" s="16" t="n">
        <v>42870</v>
      </c>
      <c r="B898" s="17" t="n">
        <v>1747.81</v>
      </c>
    </row>
    <row r="899" customFormat="false" ht="15" hidden="false" customHeight="false" outlineLevel="0" collapsed="false">
      <c r="A899" s="16" t="n">
        <v>42871</v>
      </c>
      <c r="B899" s="17" t="n">
        <v>1777.48</v>
      </c>
    </row>
    <row r="900" customFormat="false" ht="15" hidden="false" customHeight="false" outlineLevel="0" collapsed="false">
      <c r="A900" s="16" t="n">
        <v>42872</v>
      </c>
      <c r="B900" s="17" t="n">
        <v>1813.23</v>
      </c>
    </row>
    <row r="901" customFormat="false" ht="15" hidden="false" customHeight="false" outlineLevel="0" collapsed="false">
      <c r="A901" s="16" t="n">
        <v>42873</v>
      </c>
      <c r="B901" s="17" t="n">
        <v>1899.16</v>
      </c>
    </row>
    <row r="902" customFormat="false" ht="15" hidden="false" customHeight="false" outlineLevel="0" collapsed="false">
      <c r="A902" s="16" t="n">
        <v>42874</v>
      </c>
      <c r="B902" s="17" t="n">
        <v>1976.23</v>
      </c>
    </row>
    <row r="903" customFormat="false" ht="15" hidden="false" customHeight="false" outlineLevel="0" collapsed="false">
      <c r="A903" s="16" t="n">
        <v>42875</v>
      </c>
      <c r="B903" s="17" t="n">
        <v>2058.91</v>
      </c>
    </row>
    <row r="904" customFormat="false" ht="15" hidden="false" customHeight="false" outlineLevel="0" collapsed="false">
      <c r="A904" s="16" t="n">
        <v>42876</v>
      </c>
      <c r="B904" s="17" t="n">
        <v>2057</v>
      </c>
    </row>
    <row r="905" customFormat="false" ht="15" hidden="false" customHeight="false" outlineLevel="0" collapsed="false">
      <c r="A905" s="16" t="n">
        <v>42877</v>
      </c>
      <c r="B905" s="17" t="n">
        <v>2123.29</v>
      </c>
    </row>
    <row r="906" customFormat="false" ht="15" hidden="false" customHeight="false" outlineLevel="0" collapsed="false">
      <c r="A906" s="16" t="n">
        <v>42878</v>
      </c>
      <c r="B906" s="17" t="n">
        <v>2272.75</v>
      </c>
    </row>
    <row r="907" customFormat="false" ht="15" hidden="false" customHeight="false" outlineLevel="0" collapsed="false">
      <c r="A907" s="16" t="n">
        <v>42879</v>
      </c>
      <c r="B907" s="17" t="n">
        <v>2432.97</v>
      </c>
    </row>
    <row r="908" customFormat="false" ht="15" hidden="false" customHeight="false" outlineLevel="0" collapsed="false">
      <c r="A908" s="16" t="n">
        <v>42880</v>
      </c>
      <c r="B908" s="17" t="n">
        <v>2355</v>
      </c>
    </row>
    <row r="909" customFormat="false" ht="15" hidden="false" customHeight="false" outlineLevel="0" collapsed="false">
      <c r="A909" s="16" t="n">
        <v>42881</v>
      </c>
      <c r="B909" s="17" t="n">
        <v>2272.7</v>
      </c>
    </row>
    <row r="910" customFormat="false" ht="15" hidden="false" customHeight="false" outlineLevel="0" collapsed="false">
      <c r="A910" s="16" t="n">
        <v>42882</v>
      </c>
      <c r="B910" s="17" t="n">
        <v>2099.99</v>
      </c>
    </row>
    <row r="911" customFormat="false" ht="15" hidden="false" customHeight="false" outlineLevel="0" collapsed="false">
      <c r="A911" s="16" t="n">
        <v>42883</v>
      </c>
      <c r="B911" s="17" t="n">
        <v>2232.78</v>
      </c>
    </row>
    <row r="912" customFormat="false" ht="15" hidden="false" customHeight="false" outlineLevel="0" collapsed="false">
      <c r="A912" s="16" t="n">
        <v>42884</v>
      </c>
      <c r="B912" s="17" t="n">
        <v>2279.48</v>
      </c>
    </row>
    <row r="913" customFormat="false" ht="15" hidden="false" customHeight="false" outlineLevel="0" collapsed="false">
      <c r="A913" s="16" t="n">
        <v>42885</v>
      </c>
      <c r="B913" s="17" t="n">
        <v>2191.58</v>
      </c>
    </row>
    <row r="914" customFormat="false" ht="15" hidden="false" customHeight="false" outlineLevel="0" collapsed="false">
      <c r="A914" s="16" t="n">
        <v>42886</v>
      </c>
      <c r="B914" s="17" t="n">
        <v>2303.29</v>
      </c>
    </row>
    <row r="915" customFormat="false" ht="15" hidden="false" customHeight="false" outlineLevel="0" collapsed="false">
      <c r="A915" s="16" t="n">
        <v>42887</v>
      </c>
      <c r="B915" s="17" t="n">
        <v>2419.99</v>
      </c>
    </row>
    <row r="916" customFormat="false" ht="15" hidden="false" customHeight="false" outlineLevel="0" collapsed="false">
      <c r="A916" s="16" t="n">
        <v>42888</v>
      </c>
      <c r="B916" s="17" t="n">
        <v>2478.99</v>
      </c>
    </row>
    <row r="917" customFormat="false" ht="15" hidden="false" customHeight="false" outlineLevel="0" collapsed="false">
      <c r="A917" s="16" t="n">
        <v>42889</v>
      </c>
      <c r="B917" s="17" t="n">
        <v>2548.05</v>
      </c>
    </row>
    <row r="918" customFormat="false" ht="15" hidden="false" customHeight="false" outlineLevel="0" collapsed="false">
      <c r="A918" s="16" t="n">
        <v>42890</v>
      </c>
      <c r="B918" s="17" t="n">
        <v>2521.36</v>
      </c>
    </row>
    <row r="919" customFormat="false" ht="15" hidden="false" customHeight="false" outlineLevel="0" collapsed="false">
      <c r="A919" s="16" t="n">
        <v>42891</v>
      </c>
      <c r="B919" s="17" t="n">
        <v>2698</v>
      </c>
    </row>
    <row r="920" customFormat="false" ht="15" hidden="false" customHeight="false" outlineLevel="0" collapsed="false">
      <c r="A920" s="16" t="n">
        <v>42892</v>
      </c>
      <c r="B920" s="17" t="n">
        <v>2871.29</v>
      </c>
    </row>
    <row r="921" customFormat="false" ht="15" hidden="false" customHeight="false" outlineLevel="0" collapsed="false">
      <c r="A921" s="16" t="n">
        <v>42893</v>
      </c>
      <c r="B921" s="17" t="n">
        <v>2685.64</v>
      </c>
    </row>
    <row r="922" customFormat="false" ht="15" hidden="false" customHeight="false" outlineLevel="0" collapsed="false">
      <c r="A922" s="16" t="n">
        <v>42894</v>
      </c>
      <c r="B922" s="17" t="n">
        <v>2799.73</v>
      </c>
    </row>
    <row r="923" customFormat="false" ht="15" hidden="false" customHeight="false" outlineLevel="0" collapsed="false">
      <c r="A923" s="16" t="n">
        <v>42895</v>
      </c>
      <c r="B923" s="17" t="n">
        <v>2811.39</v>
      </c>
    </row>
    <row r="924" customFormat="false" ht="15" hidden="false" customHeight="false" outlineLevel="0" collapsed="false">
      <c r="A924" s="16" t="n">
        <v>42896</v>
      </c>
      <c r="B924" s="17" t="n">
        <v>2931.15</v>
      </c>
    </row>
    <row r="925" customFormat="false" ht="15" hidden="false" customHeight="false" outlineLevel="0" collapsed="false">
      <c r="A925" s="16" t="n">
        <v>42897</v>
      </c>
      <c r="B925" s="17" t="n">
        <v>2998.98</v>
      </c>
    </row>
    <row r="926" customFormat="false" ht="15" hidden="false" customHeight="false" outlineLevel="0" collapsed="false">
      <c r="A926" s="16" t="n">
        <v>42898</v>
      </c>
      <c r="B926" s="17" t="n">
        <v>2655.71</v>
      </c>
    </row>
    <row r="927" customFormat="false" ht="15" hidden="false" customHeight="false" outlineLevel="0" collapsed="false">
      <c r="A927" s="16" t="n">
        <v>42899</v>
      </c>
      <c r="B927" s="17" t="n">
        <v>2709.01</v>
      </c>
    </row>
    <row r="928" customFormat="false" ht="15" hidden="false" customHeight="false" outlineLevel="0" collapsed="false">
      <c r="A928" s="16" t="n">
        <v>42900</v>
      </c>
      <c r="B928" s="17" t="n">
        <v>2432.21</v>
      </c>
    </row>
    <row r="929" customFormat="false" ht="15" hidden="false" customHeight="false" outlineLevel="0" collapsed="false">
      <c r="A929" s="16" t="n">
        <v>42901</v>
      </c>
      <c r="B929" s="17" t="n">
        <v>2409.98</v>
      </c>
    </row>
    <row r="930" customFormat="false" ht="15" hidden="false" customHeight="false" outlineLevel="0" collapsed="false">
      <c r="A930" s="16" t="n">
        <v>42902</v>
      </c>
      <c r="B930" s="17" t="n">
        <v>2480.43</v>
      </c>
    </row>
    <row r="931" customFormat="false" ht="15" hidden="false" customHeight="false" outlineLevel="0" collapsed="false">
      <c r="A931" s="16" t="n">
        <v>42903</v>
      </c>
      <c r="B931" s="17" t="n">
        <v>2634.94</v>
      </c>
    </row>
    <row r="932" customFormat="false" ht="15" hidden="false" customHeight="false" outlineLevel="0" collapsed="false">
      <c r="A932" s="16" t="n">
        <v>42904</v>
      </c>
      <c r="B932" s="17" t="n">
        <v>2515.25</v>
      </c>
    </row>
    <row r="933" customFormat="false" ht="15" hidden="false" customHeight="false" outlineLevel="0" collapsed="false">
      <c r="A933" s="16" t="n">
        <v>42905</v>
      </c>
      <c r="B933" s="17" t="n">
        <v>2596.98</v>
      </c>
    </row>
    <row r="934" customFormat="false" ht="15" hidden="false" customHeight="false" outlineLevel="0" collapsed="false">
      <c r="A934" s="16" t="n">
        <v>42906</v>
      </c>
      <c r="B934" s="17" t="n">
        <v>2725.08</v>
      </c>
    </row>
    <row r="935" customFormat="false" ht="15" hidden="false" customHeight="false" outlineLevel="0" collapsed="false">
      <c r="A935" s="16" t="n">
        <v>42907</v>
      </c>
      <c r="B935" s="17" t="n">
        <v>2643.35</v>
      </c>
    </row>
    <row r="936" customFormat="false" ht="15" hidden="false" customHeight="false" outlineLevel="0" collapsed="false">
      <c r="A936" s="16" t="n">
        <v>42908</v>
      </c>
      <c r="B936" s="17" t="n">
        <v>2679.99</v>
      </c>
    </row>
    <row r="937" customFormat="false" ht="15" hidden="false" customHeight="false" outlineLevel="0" collapsed="false">
      <c r="A937" s="16" t="n">
        <v>42909</v>
      </c>
      <c r="B937" s="17" t="n">
        <v>2690.76</v>
      </c>
    </row>
    <row r="938" customFormat="false" ht="15" hidden="false" customHeight="false" outlineLevel="0" collapsed="false">
      <c r="A938" s="16" t="n">
        <v>42910</v>
      </c>
      <c r="B938" s="17" t="n">
        <v>2574.84</v>
      </c>
    </row>
    <row r="939" customFormat="false" ht="15" hidden="false" customHeight="false" outlineLevel="0" collapsed="false">
      <c r="A939" s="16" t="n">
        <v>42911</v>
      </c>
      <c r="B939" s="17" t="n">
        <v>2505.61</v>
      </c>
    </row>
    <row r="940" customFormat="false" ht="15" hidden="false" customHeight="false" outlineLevel="0" collapsed="false">
      <c r="A940" s="16" t="n">
        <v>42912</v>
      </c>
      <c r="B940" s="17" t="n">
        <v>2407.91</v>
      </c>
    </row>
    <row r="941" customFormat="false" ht="15" hidden="false" customHeight="false" outlineLevel="0" collapsed="false">
      <c r="A941" s="16" t="n">
        <v>42913</v>
      </c>
      <c r="B941" s="17" t="n">
        <v>2575.75</v>
      </c>
    </row>
    <row r="942" customFormat="false" ht="15" hidden="false" customHeight="false" outlineLevel="0" collapsed="false">
      <c r="A942" s="16" t="n">
        <v>42914</v>
      </c>
      <c r="B942" s="17" t="n">
        <v>2553.12</v>
      </c>
    </row>
    <row r="943" customFormat="false" ht="15" hidden="false" customHeight="false" outlineLevel="0" collapsed="false">
      <c r="A943" s="16" t="n">
        <v>42915</v>
      </c>
      <c r="B943" s="17" t="n">
        <v>2530</v>
      </c>
    </row>
    <row r="944" customFormat="false" ht="15" hidden="false" customHeight="false" outlineLevel="0" collapsed="false">
      <c r="A944" s="16" t="n">
        <v>42916</v>
      </c>
      <c r="B944" s="17" t="n">
        <v>2455.19</v>
      </c>
    </row>
    <row r="945" customFormat="false" ht="15" hidden="false" customHeight="false" outlineLevel="0" collapsed="false">
      <c r="A945" s="16" t="n">
        <v>42917</v>
      </c>
      <c r="B945" s="17" t="n">
        <v>2423.63</v>
      </c>
    </row>
    <row r="946" customFormat="false" ht="15" hidden="false" customHeight="false" outlineLevel="0" collapsed="false">
      <c r="A946" s="16" t="n">
        <v>42918</v>
      </c>
      <c r="B946" s="17" t="n">
        <v>2516.66</v>
      </c>
    </row>
    <row r="947" customFormat="false" ht="15" hidden="false" customHeight="false" outlineLevel="0" collapsed="false">
      <c r="A947" s="16" t="n">
        <v>42919</v>
      </c>
      <c r="B947" s="17" t="n">
        <v>2542.41</v>
      </c>
    </row>
    <row r="948" customFormat="false" ht="15" hidden="false" customHeight="false" outlineLevel="0" collapsed="false">
      <c r="A948" s="16" t="n">
        <v>42920</v>
      </c>
      <c r="B948" s="17" t="n">
        <v>2602</v>
      </c>
    </row>
    <row r="949" customFormat="false" ht="15" hidden="false" customHeight="false" outlineLevel="0" collapsed="false">
      <c r="A949" s="16" t="n">
        <v>42921</v>
      </c>
      <c r="B949" s="17" t="n">
        <v>2616.96</v>
      </c>
    </row>
    <row r="950" customFormat="false" ht="15" hidden="false" customHeight="false" outlineLevel="0" collapsed="false">
      <c r="A950" s="16" t="n">
        <v>42922</v>
      </c>
      <c r="B950" s="17" t="n">
        <v>2604.84</v>
      </c>
    </row>
    <row r="951" customFormat="false" ht="15" hidden="false" customHeight="false" outlineLevel="0" collapsed="false">
      <c r="A951" s="16" t="n">
        <v>42923</v>
      </c>
      <c r="B951" s="17" t="n">
        <v>2501.15</v>
      </c>
    </row>
    <row r="952" customFormat="false" ht="15" hidden="false" customHeight="false" outlineLevel="0" collapsed="false">
      <c r="A952" s="16" t="n">
        <v>42924</v>
      </c>
      <c r="B952" s="17" t="n">
        <v>2561.11</v>
      </c>
    </row>
    <row r="953" customFormat="false" ht="15" hidden="false" customHeight="false" outlineLevel="0" collapsed="false">
      <c r="A953" s="16" t="n">
        <v>42925</v>
      </c>
      <c r="B953" s="17" t="n">
        <v>2508.99</v>
      </c>
    </row>
    <row r="954" customFormat="false" ht="15" hidden="false" customHeight="false" outlineLevel="0" collapsed="false">
      <c r="A954" s="16" t="n">
        <v>42926</v>
      </c>
      <c r="B954" s="17" t="n">
        <v>2331.05</v>
      </c>
    </row>
    <row r="955" customFormat="false" ht="15" hidden="false" customHeight="false" outlineLevel="0" collapsed="false">
      <c r="A955" s="16" t="n">
        <v>42927</v>
      </c>
      <c r="B955" s="17" t="n">
        <v>2310.01</v>
      </c>
    </row>
    <row r="956" customFormat="false" ht="15" hidden="false" customHeight="false" outlineLevel="0" collapsed="false">
      <c r="A956" s="16" t="n">
        <v>42928</v>
      </c>
      <c r="B956" s="17" t="n">
        <v>2383.42</v>
      </c>
    </row>
    <row r="957" customFormat="false" ht="15" hidden="false" customHeight="false" outlineLevel="0" collapsed="false">
      <c r="A957" s="16" t="n">
        <v>42929</v>
      </c>
      <c r="B957" s="17" t="n">
        <v>2340</v>
      </c>
    </row>
    <row r="958" customFormat="false" ht="15" hidden="false" customHeight="false" outlineLevel="0" collapsed="false">
      <c r="A958" s="16" t="n">
        <v>42930</v>
      </c>
      <c r="B958" s="17" t="n">
        <v>2217.24</v>
      </c>
    </row>
    <row r="959" customFormat="false" ht="15" hidden="false" customHeight="false" outlineLevel="0" collapsed="false">
      <c r="A959" s="16" t="n">
        <v>42931</v>
      </c>
      <c r="B959" s="17" t="n">
        <v>1964.31</v>
      </c>
    </row>
    <row r="960" customFormat="false" ht="15" hidden="false" customHeight="false" outlineLevel="0" collapsed="false">
      <c r="A960" s="16" t="n">
        <v>42932</v>
      </c>
      <c r="B960" s="17" t="n">
        <v>1911.78</v>
      </c>
    </row>
    <row r="961" customFormat="false" ht="15" hidden="false" customHeight="false" outlineLevel="0" collapsed="false">
      <c r="A961" s="16" t="n">
        <v>42933</v>
      </c>
      <c r="B961" s="17" t="n">
        <v>2235.19</v>
      </c>
    </row>
    <row r="962" customFormat="false" ht="15" hidden="false" customHeight="false" outlineLevel="0" collapsed="false">
      <c r="A962" s="16" t="n">
        <v>42934</v>
      </c>
      <c r="B962" s="17" t="n">
        <v>2308.15</v>
      </c>
    </row>
    <row r="963" customFormat="false" ht="15" hidden="false" customHeight="false" outlineLevel="0" collapsed="false">
      <c r="A963" s="16" t="n">
        <v>42935</v>
      </c>
      <c r="B963" s="17" t="n">
        <v>2258.99</v>
      </c>
    </row>
    <row r="964" customFormat="false" ht="15" hidden="false" customHeight="false" outlineLevel="0" collapsed="false">
      <c r="A964" s="16" t="n">
        <v>42936</v>
      </c>
      <c r="B964" s="17" t="n">
        <v>2873.48</v>
      </c>
    </row>
    <row r="965" customFormat="false" ht="15" hidden="false" customHeight="false" outlineLevel="0" collapsed="false">
      <c r="A965" s="16" t="n">
        <v>42937</v>
      </c>
      <c r="B965" s="17" t="n">
        <v>2657.45</v>
      </c>
    </row>
    <row r="966" customFormat="false" ht="15" hidden="false" customHeight="false" outlineLevel="0" collapsed="false">
      <c r="A966" s="16" t="n">
        <v>42938</v>
      </c>
      <c r="B966" s="17" t="n">
        <v>2825.27</v>
      </c>
    </row>
    <row r="967" customFormat="false" ht="15" hidden="false" customHeight="false" outlineLevel="0" collapsed="false">
      <c r="A967" s="16" t="n">
        <v>42939</v>
      </c>
      <c r="B967" s="17" t="n">
        <v>2754.28</v>
      </c>
    </row>
    <row r="968" customFormat="false" ht="15" hidden="false" customHeight="false" outlineLevel="0" collapsed="false">
      <c r="A968" s="16" t="n">
        <v>42940</v>
      </c>
      <c r="B968" s="17" t="n">
        <v>2762.26</v>
      </c>
    </row>
    <row r="969" customFormat="false" ht="15" hidden="false" customHeight="false" outlineLevel="0" collapsed="false">
      <c r="A969" s="16" t="n">
        <v>42941</v>
      </c>
      <c r="B969" s="17" t="n">
        <v>2564</v>
      </c>
    </row>
    <row r="970" customFormat="false" ht="15" hidden="false" customHeight="false" outlineLevel="0" collapsed="false">
      <c r="A970" s="16" t="n">
        <v>42942</v>
      </c>
      <c r="B970" s="17" t="n">
        <v>2525.99</v>
      </c>
    </row>
    <row r="971" customFormat="false" ht="15" hidden="false" customHeight="false" outlineLevel="0" collapsed="false">
      <c r="A971" s="16" t="n">
        <v>42943</v>
      </c>
      <c r="B971" s="17" t="n">
        <v>2664.99</v>
      </c>
    </row>
    <row r="972" customFormat="false" ht="15" hidden="false" customHeight="false" outlineLevel="0" collapsed="false">
      <c r="A972" s="16" t="n">
        <v>42944</v>
      </c>
      <c r="B972" s="17" t="n">
        <v>2786.07</v>
      </c>
    </row>
    <row r="973" customFormat="false" ht="15" hidden="false" customHeight="false" outlineLevel="0" collapsed="false">
      <c r="A973" s="16" t="n">
        <v>42945</v>
      </c>
      <c r="B973" s="17" t="n">
        <v>2700.21</v>
      </c>
    </row>
    <row r="974" customFormat="false" ht="15" hidden="false" customHeight="false" outlineLevel="0" collapsed="false">
      <c r="A974" s="16" t="n">
        <v>42946</v>
      </c>
      <c r="B974" s="17" t="n">
        <v>2723.99</v>
      </c>
    </row>
    <row r="975" customFormat="false" ht="15" hidden="false" customHeight="false" outlineLevel="0" collapsed="false">
      <c r="A975" s="16" t="n">
        <v>42947</v>
      </c>
      <c r="B975" s="17" t="n">
        <v>2856.88</v>
      </c>
    </row>
    <row r="976" customFormat="false" ht="15" hidden="false" customHeight="false" outlineLevel="0" collapsed="false">
      <c r="A976" s="16" t="n">
        <v>42948</v>
      </c>
      <c r="B976" s="17" t="n">
        <v>2732.59</v>
      </c>
    </row>
    <row r="977" customFormat="false" ht="15" hidden="false" customHeight="false" outlineLevel="0" collapsed="false">
      <c r="A977" s="16" t="n">
        <v>42949</v>
      </c>
      <c r="B977" s="17" t="n">
        <v>2699.9</v>
      </c>
    </row>
    <row r="978" customFormat="false" ht="15" hidden="false" customHeight="false" outlineLevel="0" collapsed="false">
      <c r="A978" s="16" t="n">
        <v>42950</v>
      </c>
      <c r="B978" s="17" t="n">
        <v>2787.02</v>
      </c>
    </row>
    <row r="979" customFormat="false" ht="15" hidden="false" customHeight="false" outlineLevel="0" collapsed="false">
      <c r="A979" s="16" t="n">
        <v>42951</v>
      </c>
      <c r="B979" s="17" t="n">
        <v>2857.34</v>
      </c>
    </row>
    <row r="980" customFormat="false" ht="15" hidden="false" customHeight="false" outlineLevel="0" collapsed="false">
      <c r="A980" s="16" t="n">
        <v>42952</v>
      </c>
      <c r="B980" s="17" t="n">
        <v>3243.49</v>
      </c>
    </row>
    <row r="981" customFormat="false" ht="15" hidden="false" customHeight="false" outlineLevel="0" collapsed="false">
      <c r="A981" s="16" t="n">
        <v>42953</v>
      </c>
      <c r="B981" s="17" t="n">
        <v>3222.22</v>
      </c>
    </row>
    <row r="982" customFormat="false" ht="15" hidden="false" customHeight="false" outlineLevel="0" collapsed="false">
      <c r="A982" s="16" t="n">
        <v>42954</v>
      </c>
      <c r="B982" s="17" t="n">
        <v>3398.23</v>
      </c>
    </row>
    <row r="983" customFormat="false" ht="15" hidden="false" customHeight="false" outlineLevel="0" collapsed="false">
      <c r="A983" s="16" t="n">
        <v>42955</v>
      </c>
      <c r="B983" s="17" t="n">
        <v>3422.43</v>
      </c>
    </row>
    <row r="984" customFormat="false" ht="15" hidden="false" customHeight="false" outlineLevel="0" collapsed="false">
      <c r="A984" s="16" t="n">
        <v>42956</v>
      </c>
      <c r="B984" s="17" t="n">
        <v>3342.8</v>
      </c>
    </row>
    <row r="985" customFormat="false" ht="15" hidden="false" customHeight="false" outlineLevel="0" collapsed="false">
      <c r="A985" s="16" t="n">
        <v>42957</v>
      </c>
      <c r="B985" s="17" t="n">
        <v>3444.98</v>
      </c>
    </row>
    <row r="986" customFormat="false" ht="15" hidden="false" customHeight="false" outlineLevel="0" collapsed="false">
      <c r="A986" s="16" t="n">
        <v>42958</v>
      </c>
      <c r="B986" s="17" t="n">
        <v>3656.15</v>
      </c>
    </row>
    <row r="987" customFormat="false" ht="15" hidden="false" customHeight="false" outlineLevel="0" collapsed="false">
      <c r="A987" s="16" t="n">
        <v>42959</v>
      </c>
      <c r="B987" s="17" t="n">
        <v>3874</v>
      </c>
    </row>
    <row r="988" customFormat="false" ht="15" hidden="false" customHeight="false" outlineLevel="0" collapsed="false">
      <c r="A988" s="16" t="n">
        <v>42960</v>
      </c>
      <c r="B988" s="17" t="n">
        <v>4060.47</v>
      </c>
    </row>
    <row r="989" customFormat="false" ht="15" hidden="false" customHeight="false" outlineLevel="0" collapsed="false">
      <c r="A989" s="16" t="n">
        <v>42961</v>
      </c>
      <c r="B989" s="17" t="n">
        <v>4320.6</v>
      </c>
    </row>
    <row r="990" customFormat="false" ht="15" hidden="false" customHeight="false" outlineLevel="0" collapsed="false">
      <c r="A990" s="16" t="n">
        <v>42962</v>
      </c>
      <c r="B990" s="17" t="n">
        <v>4159.93</v>
      </c>
    </row>
    <row r="991" customFormat="false" ht="15" hidden="false" customHeight="false" outlineLevel="0" collapsed="false">
      <c r="A991" s="16" t="n">
        <v>42963</v>
      </c>
      <c r="B991" s="17" t="n">
        <v>4370.01</v>
      </c>
    </row>
    <row r="992" customFormat="false" ht="15" hidden="false" customHeight="false" outlineLevel="0" collapsed="false">
      <c r="A992" s="16" t="n">
        <v>42964</v>
      </c>
      <c r="B992" s="17" t="n">
        <v>4280.01</v>
      </c>
    </row>
    <row r="993" customFormat="false" ht="15" hidden="false" customHeight="false" outlineLevel="0" collapsed="false">
      <c r="A993" s="16" t="n">
        <v>42965</v>
      </c>
      <c r="B993" s="17" t="n">
        <v>4101.72</v>
      </c>
    </row>
    <row r="994" customFormat="false" ht="15" hidden="false" customHeight="false" outlineLevel="0" collapsed="false">
      <c r="A994" s="16" t="n">
        <v>42966</v>
      </c>
      <c r="B994" s="17" t="n">
        <v>4157.41</v>
      </c>
    </row>
    <row r="995" customFormat="false" ht="15" hidden="false" customHeight="false" outlineLevel="0" collapsed="false">
      <c r="A995" s="16" t="n">
        <v>42967</v>
      </c>
      <c r="B995" s="17" t="n">
        <v>4050.99</v>
      </c>
    </row>
    <row r="996" customFormat="false" ht="15" hidden="false" customHeight="false" outlineLevel="0" collapsed="false">
      <c r="A996" s="16" t="n">
        <v>42968</v>
      </c>
      <c r="B996" s="17" t="n">
        <v>4002</v>
      </c>
    </row>
    <row r="997" customFormat="false" ht="15" hidden="false" customHeight="false" outlineLevel="0" collapsed="false">
      <c r="A997" s="16" t="n">
        <v>42969</v>
      </c>
      <c r="B997" s="17" t="n">
        <v>4092</v>
      </c>
    </row>
    <row r="998" customFormat="false" ht="15" hidden="false" customHeight="false" outlineLevel="0" collapsed="false">
      <c r="A998" s="16" t="n">
        <v>42970</v>
      </c>
      <c r="B998" s="17" t="n">
        <v>4143.49</v>
      </c>
    </row>
    <row r="999" customFormat="false" ht="15" hidden="false" customHeight="false" outlineLevel="0" collapsed="false">
      <c r="A999" s="16" t="n">
        <v>42971</v>
      </c>
      <c r="B999" s="17" t="n">
        <v>4312.03</v>
      </c>
    </row>
    <row r="1000" customFormat="false" ht="15" hidden="false" customHeight="false" outlineLevel="0" collapsed="false">
      <c r="A1000" s="16" t="n">
        <v>42972</v>
      </c>
      <c r="B1000" s="17" t="n">
        <v>4360</v>
      </c>
    </row>
    <row r="1001" customFormat="false" ht="15" hidden="false" customHeight="false" outlineLevel="0" collapsed="false">
      <c r="A1001" s="16" t="n">
        <v>42973</v>
      </c>
      <c r="B1001" s="17" t="n">
        <v>4344.32</v>
      </c>
    </row>
    <row r="1002" customFormat="false" ht="15" hidden="false" customHeight="false" outlineLevel="0" collapsed="false">
      <c r="A1002" s="16" t="n">
        <v>42974</v>
      </c>
      <c r="B1002" s="17" t="n">
        <v>4340.11</v>
      </c>
    </row>
    <row r="1003" customFormat="false" ht="15" hidden="false" customHeight="false" outlineLevel="0" collapsed="false">
      <c r="A1003" s="16" t="n">
        <v>42975</v>
      </c>
      <c r="B1003" s="17" t="n">
        <v>4384.99</v>
      </c>
    </row>
    <row r="1004" customFormat="false" ht="15" hidden="false" customHeight="false" outlineLevel="0" collapsed="false">
      <c r="A1004" s="16" t="n">
        <v>42976</v>
      </c>
      <c r="B1004" s="17" t="n">
        <v>4599</v>
      </c>
    </row>
    <row r="1005" customFormat="false" ht="15" hidden="false" customHeight="false" outlineLevel="0" collapsed="false">
      <c r="A1005" s="16" t="n">
        <v>42977</v>
      </c>
      <c r="B1005" s="17" t="n">
        <v>4581.98</v>
      </c>
    </row>
    <row r="1006" customFormat="false" ht="15" hidden="false" customHeight="false" outlineLevel="0" collapsed="false">
      <c r="A1006" s="16" t="n">
        <v>42978</v>
      </c>
      <c r="B1006" s="17" t="n">
        <v>4743.94</v>
      </c>
    </row>
    <row r="1007" customFormat="false" ht="15" hidden="false" customHeight="false" outlineLevel="0" collapsed="false">
      <c r="A1007" s="16" t="n">
        <v>42979</v>
      </c>
      <c r="B1007" s="17" t="n">
        <v>4947.99</v>
      </c>
    </row>
    <row r="1008" customFormat="false" ht="15" hidden="false" customHeight="false" outlineLevel="0" collapsed="false">
      <c r="A1008" s="16" t="n">
        <v>42980</v>
      </c>
      <c r="B1008" s="17" t="n">
        <v>4649.99</v>
      </c>
    </row>
    <row r="1009" customFormat="false" ht="15" hidden="false" customHeight="false" outlineLevel="0" collapsed="false">
      <c r="A1009" s="16" t="n">
        <v>42981</v>
      </c>
      <c r="B1009" s="17" t="n">
        <v>4626.05</v>
      </c>
    </row>
    <row r="1010" customFormat="false" ht="15" hidden="false" customHeight="false" outlineLevel="0" collapsed="false">
      <c r="A1010" s="16" t="n">
        <v>42982</v>
      </c>
      <c r="B1010" s="17" t="n">
        <v>4498.25</v>
      </c>
    </row>
    <row r="1011" customFormat="false" ht="15" hidden="false" customHeight="false" outlineLevel="0" collapsed="false">
      <c r="A1011" s="16" t="n">
        <v>42983</v>
      </c>
      <c r="B1011" s="17" t="n">
        <v>4432.51</v>
      </c>
    </row>
    <row r="1012" customFormat="false" ht="15" hidden="false" customHeight="false" outlineLevel="0" collapsed="false">
      <c r="A1012" s="16" t="n">
        <v>42984</v>
      </c>
      <c r="B1012" s="17" t="n">
        <v>4616.18</v>
      </c>
    </row>
    <row r="1013" customFormat="false" ht="15" hidden="false" customHeight="false" outlineLevel="0" collapsed="false">
      <c r="A1013" s="16" t="n">
        <v>42985</v>
      </c>
      <c r="B1013" s="17" t="n">
        <v>4624.18</v>
      </c>
    </row>
    <row r="1014" customFormat="false" ht="15" hidden="false" customHeight="false" outlineLevel="0" collapsed="false">
      <c r="A1014" s="16" t="n">
        <v>42986</v>
      </c>
      <c r="B1014" s="17" t="n">
        <v>4350</v>
      </c>
    </row>
    <row r="1015" customFormat="false" ht="15" hidden="false" customHeight="false" outlineLevel="0" collapsed="false">
      <c r="A1015" s="16" t="n">
        <v>42987</v>
      </c>
      <c r="B1015" s="17" t="n">
        <v>4334.36</v>
      </c>
    </row>
    <row r="1016" customFormat="false" ht="15" hidden="false" customHeight="false" outlineLevel="0" collapsed="false">
      <c r="A1016" s="16" t="n">
        <v>42988</v>
      </c>
      <c r="B1016" s="17" t="n">
        <v>4251.36</v>
      </c>
    </row>
    <row r="1017" customFormat="false" ht="15" hidden="false" customHeight="false" outlineLevel="0" collapsed="false">
      <c r="A1017" s="16" t="n">
        <v>42989</v>
      </c>
      <c r="B1017" s="17" t="n">
        <v>4210.72</v>
      </c>
    </row>
    <row r="1018" customFormat="false" ht="15" hidden="false" customHeight="false" outlineLevel="0" collapsed="false">
      <c r="A1018" s="16" t="n">
        <v>42990</v>
      </c>
      <c r="B1018" s="17" t="n">
        <v>4164.52</v>
      </c>
    </row>
    <row r="1019" customFormat="false" ht="15" hidden="false" customHeight="false" outlineLevel="0" collapsed="false">
      <c r="A1019" s="16" t="n">
        <v>42991</v>
      </c>
      <c r="B1019" s="17" t="n">
        <v>3855.32</v>
      </c>
    </row>
    <row r="1020" customFormat="false" ht="15" hidden="false" customHeight="false" outlineLevel="0" collapsed="false">
      <c r="A1020" s="16" t="n">
        <v>42992</v>
      </c>
      <c r="B1020" s="17" t="n">
        <v>3250.4</v>
      </c>
    </row>
    <row r="1021" customFormat="false" ht="15" hidden="false" customHeight="false" outlineLevel="0" collapsed="false">
      <c r="A1021" s="16" t="n">
        <v>42993</v>
      </c>
      <c r="B1021" s="17" t="n">
        <v>3740.02</v>
      </c>
    </row>
    <row r="1022" customFormat="false" ht="15" hidden="false" customHeight="false" outlineLevel="0" collapsed="false">
      <c r="A1022" s="16" t="n">
        <v>42994</v>
      </c>
      <c r="B1022" s="17" t="n">
        <v>3726.51</v>
      </c>
    </row>
    <row r="1023" customFormat="false" ht="15" hidden="false" customHeight="false" outlineLevel="0" collapsed="false">
      <c r="A1023" s="16" t="n">
        <v>42995</v>
      </c>
      <c r="B1023" s="17" t="n">
        <v>3719.97</v>
      </c>
    </row>
    <row r="1024" customFormat="false" ht="15" hidden="false" customHeight="false" outlineLevel="0" collapsed="false">
      <c r="A1024" s="16" t="n">
        <v>42996</v>
      </c>
      <c r="B1024" s="17" t="n">
        <v>4100</v>
      </c>
    </row>
    <row r="1025" customFormat="false" ht="15" hidden="false" customHeight="false" outlineLevel="0" collapsed="false">
      <c r="A1025" s="16" t="n">
        <v>42997</v>
      </c>
      <c r="B1025" s="17" t="n">
        <v>3910.11</v>
      </c>
    </row>
    <row r="1026" customFormat="false" ht="15" hidden="false" customHeight="false" outlineLevel="0" collapsed="false">
      <c r="A1026" s="16" t="n">
        <v>42998</v>
      </c>
      <c r="B1026" s="17" t="n">
        <v>3872.06</v>
      </c>
    </row>
    <row r="1027" customFormat="false" ht="15" hidden="false" customHeight="false" outlineLevel="0" collapsed="false">
      <c r="A1027" s="16" t="n">
        <v>42999</v>
      </c>
      <c r="B1027" s="17" t="n">
        <v>3617.47</v>
      </c>
    </row>
    <row r="1028" customFormat="false" ht="15" hidden="false" customHeight="false" outlineLevel="0" collapsed="false">
      <c r="A1028" s="16" t="n">
        <v>43000</v>
      </c>
      <c r="B1028" s="17" t="n">
        <v>3619.01</v>
      </c>
    </row>
    <row r="1029" customFormat="false" ht="15" hidden="false" customHeight="false" outlineLevel="0" collapsed="false">
      <c r="A1029" s="16" t="n">
        <v>43001</v>
      </c>
      <c r="B1029" s="17" t="n">
        <v>3787.33</v>
      </c>
    </row>
    <row r="1030" customFormat="false" ht="15" hidden="false" customHeight="false" outlineLevel="0" collapsed="false">
      <c r="A1030" s="16" t="n">
        <v>43002</v>
      </c>
      <c r="B1030" s="17" t="n">
        <v>3669.01</v>
      </c>
    </row>
    <row r="1031" customFormat="false" ht="15" hidden="false" customHeight="false" outlineLevel="0" collapsed="false">
      <c r="A1031" s="16" t="n">
        <v>43003</v>
      </c>
      <c r="B1031" s="17" t="n">
        <v>3919.78</v>
      </c>
    </row>
    <row r="1032" customFormat="false" ht="15" hidden="false" customHeight="false" outlineLevel="0" collapsed="false">
      <c r="A1032" s="16" t="n">
        <v>43004</v>
      </c>
      <c r="B1032" s="17" t="n">
        <v>3885.09</v>
      </c>
    </row>
    <row r="1033" customFormat="false" ht="15" hidden="false" customHeight="false" outlineLevel="0" collapsed="false">
      <c r="A1033" s="16" t="n">
        <v>43005</v>
      </c>
      <c r="B1033" s="17" t="n">
        <v>4200</v>
      </c>
    </row>
    <row r="1034" customFormat="false" ht="15" hidden="false" customHeight="false" outlineLevel="0" collapsed="false">
      <c r="A1034" s="16" t="n">
        <v>43006</v>
      </c>
      <c r="B1034" s="17" t="n">
        <v>4189.42</v>
      </c>
    </row>
    <row r="1035" customFormat="false" ht="15" hidden="false" customHeight="false" outlineLevel="0" collapsed="false">
      <c r="A1035" s="16" t="n">
        <v>43007</v>
      </c>
      <c r="B1035" s="17" t="n">
        <v>4156.99</v>
      </c>
    </row>
    <row r="1036" customFormat="false" ht="15" hidden="false" customHeight="false" outlineLevel="0" collapsed="false">
      <c r="A1036" s="16" t="n">
        <v>43008</v>
      </c>
      <c r="B1036" s="17" t="n">
        <v>4339</v>
      </c>
    </row>
    <row r="1037" customFormat="false" ht="15" hidden="false" customHeight="false" outlineLevel="0" collapsed="false">
      <c r="A1037" s="16" t="n">
        <v>43009</v>
      </c>
      <c r="B1037" s="17" t="n">
        <v>4394.81</v>
      </c>
    </row>
    <row r="1038" customFormat="false" ht="15" hidden="false" customHeight="false" outlineLevel="0" collapsed="false">
      <c r="A1038" s="16" t="n">
        <v>43010</v>
      </c>
      <c r="B1038" s="17" t="n">
        <v>4392.71</v>
      </c>
    </row>
    <row r="1039" customFormat="false" ht="15" hidden="false" customHeight="false" outlineLevel="0" collapsed="false">
      <c r="A1039" s="16" t="n">
        <v>43011</v>
      </c>
      <c r="B1039" s="17" t="n">
        <v>4307.99</v>
      </c>
    </row>
    <row r="1040" customFormat="false" ht="15" hidden="false" customHeight="false" outlineLevel="0" collapsed="false">
      <c r="A1040" s="16" t="n">
        <v>43012</v>
      </c>
      <c r="B1040" s="17" t="n">
        <v>4214.84</v>
      </c>
    </row>
    <row r="1041" customFormat="false" ht="15" hidden="false" customHeight="false" outlineLevel="0" collapsed="false">
      <c r="A1041" s="16" t="n">
        <v>43013</v>
      </c>
      <c r="B1041" s="17" t="n">
        <v>4320.04</v>
      </c>
    </row>
    <row r="1042" customFormat="false" ht="15" hidden="false" customHeight="false" outlineLevel="0" collapsed="false">
      <c r="A1042" s="16" t="n">
        <v>43014</v>
      </c>
      <c r="B1042" s="17" t="n">
        <v>4362.99</v>
      </c>
    </row>
    <row r="1043" customFormat="false" ht="15" hidden="false" customHeight="false" outlineLevel="0" collapsed="false">
      <c r="A1043" s="16" t="n">
        <v>43015</v>
      </c>
      <c r="B1043" s="17" t="n">
        <v>4425</v>
      </c>
    </row>
    <row r="1044" customFormat="false" ht="15" hidden="false" customHeight="false" outlineLevel="0" collapsed="false">
      <c r="A1044" s="16" t="n">
        <v>43016</v>
      </c>
      <c r="B1044" s="17" t="n">
        <v>4603.49</v>
      </c>
    </row>
    <row r="1045" customFormat="false" ht="15" hidden="false" customHeight="false" outlineLevel="0" collapsed="false">
      <c r="A1045" s="16" t="n">
        <v>43017</v>
      </c>
      <c r="B1045" s="17" t="n">
        <v>4769.55</v>
      </c>
    </row>
    <row r="1046" customFormat="false" ht="15" hidden="false" customHeight="false" outlineLevel="0" collapsed="false">
      <c r="A1046" s="16" t="n">
        <v>43018</v>
      </c>
      <c r="B1046" s="17" t="n">
        <v>4750</v>
      </c>
    </row>
    <row r="1047" customFormat="false" ht="15" hidden="false" customHeight="false" outlineLevel="0" collapsed="false">
      <c r="A1047" s="16" t="n">
        <v>43019</v>
      </c>
      <c r="B1047" s="17" t="n">
        <v>4814.99</v>
      </c>
    </row>
    <row r="1048" customFormat="false" ht="15" hidden="false" customHeight="false" outlineLevel="0" collapsed="false">
      <c r="A1048" s="16" t="n">
        <v>43020</v>
      </c>
      <c r="B1048" s="17" t="n">
        <v>5440</v>
      </c>
    </row>
    <row r="1049" customFormat="false" ht="15" hidden="false" customHeight="false" outlineLevel="0" collapsed="false">
      <c r="A1049" s="16" t="n">
        <v>43021</v>
      </c>
      <c r="B1049" s="17" t="n">
        <v>5624.8</v>
      </c>
    </row>
    <row r="1050" customFormat="false" ht="15" hidden="false" customHeight="false" outlineLevel="0" collapsed="false">
      <c r="A1050" s="16" t="n">
        <v>43022</v>
      </c>
      <c r="B1050" s="17" t="n">
        <v>5819.13</v>
      </c>
    </row>
    <row r="1051" customFormat="false" ht="15" hidden="false" customHeight="false" outlineLevel="0" collapsed="false">
      <c r="A1051" s="16" t="n">
        <v>43023</v>
      </c>
      <c r="B1051" s="17" t="n">
        <v>5693.7</v>
      </c>
    </row>
    <row r="1052" customFormat="false" ht="15" hidden="false" customHeight="false" outlineLevel="0" collapsed="false">
      <c r="A1052" s="16" t="n">
        <v>43024</v>
      </c>
      <c r="B1052" s="17" t="n">
        <v>5754.9</v>
      </c>
    </row>
    <row r="1053" customFormat="false" ht="15" hidden="false" customHeight="false" outlineLevel="0" collapsed="false">
      <c r="A1053" s="16" t="n">
        <v>43025</v>
      </c>
      <c r="B1053" s="17" t="n">
        <v>5594</v>
      </c>
    </row>
    <row r="1054" customFormat="false" ht="15" hidden="false" customHeight="false" outlineLevel="0" collapsed="false">
      <c r="A1054" s="16" t="n">
        <v>43026</v>
      </c>
      <c r="B1054" s="17" t="n">
        <v>5574.44</v>
      </c>
    </row>
    <row r="1055" customFormat="false" ht="15" hidden="false" customHeight="false" outlineLevel="0" collapsed="false">
      <c r="A1055" s="16" t="n">
        <v>43027</v>
      </c>
      <c r="B1055" s="17" t="n">
        <v>5704.01</v>
      </c>
    </row>
    <row r="1056" customFormat="false" ht="15" hidden="false" customHeight="false" outlineLevel="0" collapsed="false">
      <c r="A1056" s="16" t="n">
        <v>43028</v>
      </c>
      <c r="B1056" s="17" t="n">
        <v>5989.1</v>
      </c>
    </row>
    <row r="1057" customFormat="false" ht="15" hidden="false" customHeight="false" outlineLevel="0" collapsed="false">
      <c r="A1057" s="16" t="n">
        <v>43029</v>
      </c>
      <c r="B1057" s="17" t="n">
        <v>6024.86</v>
      </c>
    </row>
    <row r="1058" customFormat="false" ht="15" hidden="false" customHeight="false" outlineLevel="0" collapsed="false">
      <c r="A1058" s="16" t="n">
        <v>43030</v>
      </c>
      <c r="B1058" s="17" t="n">
        <v>6005.05</v>
      </c>
    </row>
    <row r="1059" customFormat="false" ht="15" hidden="false" customHeight="false" outlineLevel="0" collapsed="false">
      <c r="A1059" s="16" t="n">
        <v>43031</v>
      </c>
      <c r="B1059" s="17" t="n">
        <v>5905.99</v>
      </c>
    </row>
    <row r="1060" customFormat="false" ht="15" hidden="false" customHeight="false" outlineLevel="0" collapsed="false">
      <c r="A1060" s="16" t="n">
        <v>43032</v>
      </c>
      <c r="B1060" s="17" t="n">
        <v>5525.43</v>
      </c>
    </row>
    <row r="1061" customFormat="false" ht="15" hidden="false" customHeight="false" outlineLevel="0" collapsed="false">
      <c r="A1061" s="16" t="n">
        <v>43033</v>
      </c>
      <c r="B1061" s="17" t="n">
        <v>5739.97</v>
      </c>
    </row>
    <row r="1062" customFormat="false" ht="15" hidden="false" customHeight="false" outlineLevel="0" collapsed="false">
      <c r="A1062" s="16" t="n">
        <v>43034</v>
      </c>
      <c r="B1062" s="17" t="n">
        <v>5891.61</v>
      </c>
    </row>
    <row r="1063" customFormat="false" ht="15" hidden="false" customHeight="false" outlineLevel="0" collapsed="false">
      <c r="A1063" s="16" t="n">
        <v>43035</v>
      </c>
      <c r="B1063" s="17" t="n">
        <v>5780</v>
      </c>
    </row>
    <row r="1064" customFormat="false" ht="15" hidden="false" customHeight="false" outlineLevel="0" collapsed="false">
      <c r="A1064" s="16" t="n">
        <v>43036</v>
      </c>
      <c r="B1064" s="17" t="n">
        <v>5752.01</v>
      </c>
    </row>
    <row r="1065" customFormat="false" ht="15" hidden="false" customHeight="false" outlineLevel="0" collapsed="false">
      <c r="A1065" s="16" t="n">
        <v>43037</v>
      </c>
      <c r="B1065" s="17" t="n">
        <v>6140.01</v>
      </c>
    </row>
    <row r="1066" customFormat="false" ht="15" hidden="false" customHeight="false" outlineLevel="0" collapsed="false">
      <c r="A1066" s="16" t="n">
        <v>43038</v>
      </c>
      <c r="B1066" s="17" t="n">
        <v>6124.16</v>
      </c>
    </row>
    <row r="1067" customFormat="false" ht="15" hidden="false" customHeight="false" outlineLevel="0" collapsed="false">
      <c r="A1067" s="16" t="n">
        <v>43039</v>
      </c>
      <c r="B1067" s="17" t="n">
        <v>6445.01</v>
      </c>
    </row>
    <row r="1068" customFormat="false" ht="15" hidden="false" customHeight="false" outlineLevel="0" collapsed="false">
      <c r="A1068" s="16" t="n">
        <v>43040</v>
      </c>
      <c r="B1068" s="17" t="n">
        <v>6783.69</v>
      </c>
    </row>
    <row r="1069" customFormat="false" ht="15" hidden="false" customHeight="false" outlineLevel="0" collapsed="false">
      <c r="A1069" s="16" t="n">
        <v>43041</v>
      </c>
      <c r="B1069" s="17" t="n">
        <v>7039.98</v>
      </c>
    </row>
    <row r="1070" customFormat="false" ht="15" hidden="false" customHeight="false" outlineLevel="0" collapsed="false">
      <c r="A1070" s="16" t="n">
        <v>43042</v>
      </c>
      <c r="B1070" s="17" t="n">
        <v>7170.01</v>
      </c>
    </row>
    <row r="1071" customFormat="false" ht="15" hidden="false" customHeight="false" outlineLevel="0" collapsed="false">
      <c r="A1071" s="16" t="n">
        <v>43043</v>
      </c>
      <c r="B1071" s="17" t="n">
        <v>7412.55</v>
      </c>
    </row>
    <row r="1072" customFormat="false" ht="15" hidden="false" customHeight="false" outlineLevel="0" collapsed="false">
      <c r="A1072" s="16" t="n">
        <v>43044</v>
      </c>
      <c r="B1072" s="17" t="n">
        <v>7392</v>
      </c>
    </row>
    <row r="1073" customFormat="false" ht="15" hidden="false" customHeight="false" outlineLevel="0" collapsed="false">
      <c r="A1073" s="16" t="n">
        <v>43045</v>
      </c>
      <c r="B1073" s="17" t="n">
        <v>6969.76</v>
      </c>
    </row>
    <row r="1074" customFormat="false" ht="15" hidden="false" customHeight="false" outlineLevel="0" collapsed="false">
      <c r="A1074" s="16" t="n">
        <v>43046</v>
      </c>
      <c r="B1074" s="17" t="n">
        <v>7126.63</v>
      </c>
    </row>
    <row r="1075" customFormat="false" ht="15" hidden="false" customHeight="false" outlineLevel="0" collapsed="false">
      <c r="A1075" s="16" t="n">
        <v>43047</v>
      </c>
      <c r="B1075" s="17" t="n">
        <v>7467.96</v>
      </c>
    </row>
    <row r="1076" customFormat="false" ht="15" hidden="false" customHeight="false" outlineLevel="0" collapsed="false">
      <c r="A1076" s="16" t="n">
        <v>43048</v>
      </c>
      <c r="B1076" s="17" t="n">
        <v>7156</v>
      </c>
    </row>
    <row r="1077" customFormat="false" ht="15" hidden="false" customHeight="false" outlineLevel="0" collapsed="false">
      <c r="A1077" s="16" t="n">
        <v>43049</v>
      </c>
      <c r="B1077" s="17" t="n">
        <v>6577.62</v>
      </c>
    </row>
    <row r="1078" customFormat="false" ht="15" hidden="false" customHeight="false" outlineLevel="0" collapsed="false">
      <c r="A1078" s="16" t="n">
        <v>43050</v>
      </c>
      <c r="B1078" s="17" t="n">
        <v>6346.7</v>
      </c>
    </row>
    <row r="1079" customFormat="false" ht="15" hidden="false" customHeight="false" outlineLevel="0" collapsed="false">
      <c r="A1079" s="16" t="n">
        <v>43051</v>
      </c>
      <c r="B1079" s="17" t="n">
        <v>5886.35</v>
      </c>
    </row>
    <row r="1080" customFormat="false" ht="15" hidden="false" customHeight="false" outlineLevel="0" collapsed="false">
      <c r="A1080" s="16" t="n">
        <v>43052</v>
      </c>
      <c r="B1080" s="17" t="n">
        <v>6535.87</v>
      </c>
    </row>
    <row r="1081" customFormat="false" ht="15" hidden="false" customHeight="false" outlineLevel="0" collapsed="false">
      <c r="A1081" s="16" t="n">
        <v>43053</v>
      </c>
      <c r="B1081" s="17" t="n">
        <v>6605</v>
      </c>
    </row>
    <row r="1082" customFormat="false" ht="15" hidden="false" customHeight="false" outlineLevel="0" collapsed="false">
      <c r="A1082" s="16" t="n">
        <v>43054</v>
      </c>
      <c r="B1082" s="17" t="n">
        <v>7294</v>
      </c>
    </row>
    <row r="1083" customFormat="false" ht="15" hidden="false" customHeight="false" outlineLevel="0" collapsed="false">
      <c r="A1083" s="16" t="n">
        <v>43055</v>
      </c>
      <c r="B1083" s="17" t="n">
        <v>7838.53</v>
      </c>
    </row>
    <row r="1084" customFormat="false" ht="15" hidden="false" customHeight="false" outlineLevel="0" collapsed="false">
      <c r="A1084" s="16" t="n">
        <v>43056</v>
      </c>
      <c r="B1084" s="17" t="n">
        <v>7714.71</v>
      </c>
    </row>
    <row r="1085" customFormat="false" ht="15" hidden="false" customHeight="false" outlineLevel="0" collapsed="false">
      <c r="A1085" s="16" t="n">
        <v>43057</v>
      </c>
      <c r="B1085" s="17" t="n">
        <v>7777.01</v>
      </c>
    </row>
    <row r="1086" customFormat="false" ht="15" hidden="false" customHeight="false" outlineLevel="0" collapsed="false">
      <c r="A1086" s="16" t="n">
        <v>43058</v>
      </c>
      <c r="B1086" s="17" t="n">
        <v>8031.82</v>
      </c>
    </row>
    <row r="1087" customFormat="false" ht="15" hidden="false" customHeight="false" outlineLevel="0" collapsed="false">
      <c r="A1087" s="16" t="n">
        <v>43059</v>
      </c>
      <c r="B1087" s="17" t="n">
        <v>8256.01</v>
      </c>
    </row>
    <row r="1088" customFormat="false" ht="15" hidden="false" customHeight="false" outlineLevel="0" collapsed="false">
      <c r="A1088" s="16" t="n">
        <v>43060</v>
      </c>
      <c r="B1088" s="17" t="n">
        <v>8109</v>
      </c>
    </row>
    <row r="1089" customFormat="false" ht="15" hidden="false" customHeight="false" outlineLevel="0" collapsed="false">
      <c r="A1089" s="16" t="n">
        <v>43061</v>
      </c>
      <c r="B1089" s="17" t="n">
        <v>8250</v>
      </c>
    </row>
    <row r="1090" customFormat="false" ht="15" hidden="false" customHeight="false" outlineLevel="0" collapsed="false">
      <c r="A1090" s="16" t="n">
        <v>43062</v>
      </c>
      <c r="B1090" s="17" t="n">
        <v>8031.16</v>
      </c>
    </row>
    <row r="1091" customFormat="false" ht="15" hidden="false" customHeight="false" outlineLevel="0" collapsed="false">
      <c r="A1091" s="16" t="n">
        <v>43063</v>
      </c>
      <c r="B1091" s="17" t="n">
        <v>8215.01</v>
      </c>
    </row>
    <row r="1092" customFormat="false" ht="15" hidden="false" customHeight="false" outlineLevel="0" collapsed="false">
      <c r="A1092" s="16" t="n">
        <v>43064</v>
      </c>
      <c r="B1092" s="17" t="n">
        <v>8795.5</v>
      </c>
    </row>
    <row r="1093" customFormat="false" ht="15" hidden="false" customHeight="false" outlineLevel="0" collapsed="false">
      <c r="A1093" s="16" t="n">
        <v>43065</v>
      </c>
      <c r="B1093" s="17" t="n">
        <v>9401.11</v>
      </c>
    </row>
    <row r="1094" customFormat="false" ht="15" hidden="false" customHeight="false" outlineLevel="0" collapsed="false">
      <c r="A1094" s="16" t="n">
        <v>43066</v>
      </c>
      <c r="B1094" s="17" t="n">
        <v>9768.71</v>
      </c>
    </row>
    <row r="1095" customFormat="false" ht="15" hidden="false" customHeight="false" outlineLevel="0" collapsed="false">
      <c r="A1095" s="16" t="n">
        <v>43067</v>
      </c>
      <c r="B1095" s="17" t="n">
        <v>9949</v>
      </c>
    </row>
    <row r="1096" customFormat="false" ht="15" hidden="false" customHeight="false" outlineLevel="0" collapsed="false">
      <c r="A1096" s="16" t="n">
        <v>43068</v>
      </c>
      <c r="B1096" s="17" t="n">
        <v>9935.98</v>
      </c>
    </row>
    <row r="1097" customFormat="false" ht="15" hidden="false" customHeight="false" outlineLevel="0" collapsed="false">
      <c r="A1097" s="16" t="n">
        <v>43069</v>
      </c>
      <c r="B1097" s="17" t="n">
        <v>9903</v>
      </c>
    </row>
    <row r="1098" customFormat="false" ht="15" hidden="false" customHeight="false" outlineLevel="0" collapsed="false">
      <c r="A1098" s="16" t="n">
        <v>43070</v>
      </c>
      <c r="B1098" s="17" t="n">
        <v>10869.84</v>
      </c>
    </row>
    <row r="1099" customFormat="false" ht="15" hidden="false" customHeight="false" outlineLevel="0" collapsed="false">
      <c r="A1099" s="16" t="n">
        <v>43071</v>
      </c>
      <c r="B1099" s="17" t="n">
        <v>10930.24</v>
      </c>
    </row>
    <row r="1100" customFormat="false" ht="15" hidden="false" customHeight="false" outlineLevel="0" collapsed="false">
      <c r="A1100" s="16" t="n">
        <v>43072</v>
      </c>
      <c r="B1100" s="17" t="n">
        <v>11290</v>
      </c>
    </row>
    <row r="1101" customFormat="false" ht="15" hidden="false" customHeight="false" outlineLevel="0" collapsed="false">
      <c r="A1101" s="16" t="n">
        <v>43073</v>
      </c>
      <c r="B1101" s="17" t="n">
        <v>11643.98</v>
      </c>
    </row>
    <row r="1102" customFormat="false" ht="15" hidden="false" customHeight="false" outlineLevel="0" collapsed="false">
      <c r="A1102" s="16" t="n">
        <v>43074</v>
      </c>
      <c r="B1102" s="17" t="n">
        <v>11718.35</v>
      </c>
    </row>
    <row r="1103" customFormat="false" ht="15" hidden="false" customHeight="false" outlineLevel="0" collapsed="false">
      <c r="A1103" s="16" t="n">
        <v>43075</v>
      </c>
      <c r="B1103" s="17" t="n">
        <v>14090</v>
      </c>
    </row>
    <row r="1104" customFormat="false" ht="15" hidden="false" customHeight="false" outlineLevel="0" collapsed="false">
      <c r="A1104" s="16" t="n">
        <v>43076</v>
      </c>
      <c r="B1104" s="17" t="n">
        <v>17390.01</v>
      </c>
    </row>
    <row r="1105" customFormat="false" ht="15" hidden="false" customHeight="false" outlineLevel="0" collapsed="false">
      <c r="A1105" s="16" t="n">
        <v>43077</v>
      </c>
      <c r="B1105" s="17" t="n">
        <v>16367.03</v>
      </c>
    </row>
    <row r="1106" customFormat="false" ht="15" hidden="false" customHeight="false" outlineLevel="0" collapsed="false">
      <c r="A1106" s="16" t="n">
        <v>43078</v>
      </c>
      <c r="B1106" s="17" t="n">
        <v>15309.98</v>
      </c>
    </row>
    <row r="1107" customFormat="false" ht="15" hidden="false" customHeight="false" outlineLevel="0" collapsed="false">
      <c r="A1107" s="16" t="n">
        <v>43079</v>
      </c>
      <c r="B1107" s="17" t="n">
        <v>15290.01</v>
      </c>
    </row>
    <row r="1108" customFormat="false" ht="15" hidden="false" customHeight="false" outlineLevel="0" collapsed="false">
      <c r="A1108" s="16" t="n">
        <v>43080</v>
      </c>
      <c r="B1108" s="17" t="n">
        <v>16885.76</v>
      </c>
    </row>
    <row r="1109" customFormat="false" ht="15" hidden="false" customHeight="false" outlineLevel="0" collapsed="false">
      <c r="A1109" s="16" t="n">
        <v>43081</v>
      </c>
      <c r="B1109" s="17" t="n">
        <v>17730.12</v>
      </c>
    </row>
    <row r="1110" customFormat="false" ht="15" hidden="false" customHeight="false" outlineLevel="0" collapsed="false">
      <c r="A1110" s="16" t="n">
        <v>43082</v>
      </c>
      <c r="B1110" s="17" t="n">
        <v>16689.61</v>
      </c>
    </row>
    <row r="1111" customFormat="false" ht="15" hidden="false" customHeight="false" outlineLevel="0" collapsed="false">
      <c r="A1111" s="16" t="n">
        <v>43083</v>
      </c>
      <c r="B1111" s="17" t="n">
        <v>16749.78</v>
      </c>
    </row>
    <row r="1112" customFormat="false" ht="15" hidden="false" customHeight="false" outlineLevel="0" collapsed="false">
      <c r="A1112" s="16" t="n">
        <v>43084</v>
      </c>
      <c r="B1112" s="17" t="n">
        <v>17738.67</v>
      </c>
    </row>
    <row r="1113" customFormat="false" ht="15" hidden="false" customHeight="false" outlineLevel="0" collapsed="false">
      <c r="A1113" s="16" t="n">
        <v>43085</v>
      </c>
      <c r="B1113" s="17" t="n">
        <v>19650.01</v>
      </c>
    </row>
    <row r="1114" customFormat="false" ht="15" hidden="false" customHeight="false" outlineLevel="0" collapsed="false">
      <c r="A1114" s="16" t="n">
        <v>43086</v>
      </c>
      <c r="B1114" s="17" t="n">
        <v>19378.99</v>
      </c>
    </row>
    <row r="1115" customFormat="false" ht="15" hidden="false" customHeight="false" outlineLevel="0" collapsed="false">
      <c r="A1115" s="16" t="n">
        <v>43087</v>
      </c>
      <c r="B1115" s="17" t="n">
        <v>19039.01</v>
      </c>
    </row>
    <row r="1116" customFormat="false" ht="15" hidden="false" customHeight="false" outlineLevel="0" collapsed="false">
      <c r="A1116" s="16" t="n">
        <v>43088</v>
      </c>
      <c r="B1116" s="17" t="n">
        <v>17838.73</v>
      </c>
    </row>
    <row r="1117" customFormat="false" ht="15" hidden="false" customHeight="false" outlineLevel="0" collapsed="false">
      <c r="A1117" s="16" t="n">
        <v>43089</v>
      </c>
      <c r="B1117" s="17" t="n">
        <v>16496.89</v>
      </c>
    </row>
    <row r="1118" customFormat="false" ht="15" hidden="false" customHeight="false" outlineLevel="0" collapsed="false">
      <c r="A1118" s="16" t="n">
        <v>43090</v>
      </c>
      <c r="B1118" s="17" t="n">
        <v>15758.8</v>
      </c>
    </row>
    <row r="1119" customFormat="false" ht="15" hidden="false" customHeight="false" outlineLevel="0" collapsed="false">
      <c r="A1119" s="16" t="n">
        <v>43091</v>
      </c>
      <c r="B1119" s="17" t="n">
        <v>14210.57</v>
      </c>
    </row>
    <row r="1120" customFormat="false" ht="15" hidden="false" customHeight="false" outlineLevel="0" collapsed="false">
      <c r="A1120" s="16" t="n">
        <v>43092</v>
      </c>
      <c r="B1120" s="17" t="n">
        <v>15075.89</v>
      </c>
    </row>
    <row r="1121" customFormat="false" ht="15" hidden="false" customHeight="false" outlineLevel="0" collapsed="false">
      <c r="A1121" s="16" t="n">
        <v>43093</v>
      </c>
      <c r="B1121" s="17" t="n">
        <v>14221.94</v>
      </c>
    </row>
    <row r="1122" customFormat="false" ht="15" hidden="false" customHeight="false" outlineLevel="0" collapsed="false">
      <c r="A1122" s="16" t="n">
        <v>43094</v>
      </c>
      <c r="B1122" s="17" t="n">
        <v>14171.98</v>
      </c>
    </row>
    <row r="1123" customFormat="false" ht="15" hidden="false" customHeight="false" outlineLevel="0" collapsed="false">
      <c r="A1123" s="16" t="n">
        <v>43095</v>
      </c>
      <c r="B1123" s="17" t="n">
        <v>15790.88</v>
      </c>
    </row>
    <row r="1124" customFormat="false" ht="15" hidden="false" customHeight="false" outlineLevel="0" collapsed="false">
      <c r="A1124" s="16" t="n">
        <v>43096</v>
      </c>
      <c r="B1124" s="17" t="n">
        <v>15367.08</v>
      </c>
    </row>
    <row r="1125" customFormat="false" ht="15" hidden="false" customHeight="false" outlineLevel="0" collapsed="false">
      <c r="A1125" s="16" t="n">
        <v>43097</v>
      </c>
      <c r="B1125" s="17" t="n">
        <v>14450.01</v>
      </c>
    </row>
    <row r="1126" customFormat="false" ht="15" hidden="false" customHeight="false" outlineLevel="0" collapsed="false">
      <c r="A1126" s="16" t="n">
        <v>43098</v>
      </c>
      <c r="B1126" s="17" t="n">
        <v>14565.05</v>
      </c>
    </row>
    <row r="1127" customFormat="false" ht="15" hidden="false" customHeight="false" outlineLevel="0" collapsed="false">
      <c r="A1127" s="16" t="n">
        <v>43099</v>
      </c>
      <c r="B1127" s="17" t="n">
        <v>12839.99</v>
      </c>
    </row>
    <row r="1128" customFormat="false" ht="15" hidden="false" customHeight="false" outlineLevel="0" collapsed="false">
      <c r="A1128" s="16" t="n">
        <v>43100</v>
      </c>
      <c r="B1128" s="17" t="n">
        <v>13863.13</v>
      </c>
    </row>
    <row r="1129" customFormat="false" ht="15" hidden="false" customHeight="false" outlineLevel="0" collapsed="false">
      <c r="A1129" s="16" t="n">
        <v>43101</v>
      </c>
      <c r="B1129" s="17" t="n">
        <v>13480.01</v>
      </c>
    </row>
    <row r="1130" customFormat="false" ht="15" hidden="false" customHeight="false" outlineLevel="0" collapsed="false">
      <c r="A1130" s="16" t="n">
        <v>43102</v>
      </c>
      <c r="B1130" s="17" t="n">
        <v>14781.51</v>
      </c>
    </row>
    <row r="1131" customFormat="false" ht="15" hidden="false" customHeight="false" outlineLevel="0" collapsed="false">
      <c r="A1131" s="16" t="n">
        <v>43103</v>
      </c>
      <c r="B1131" s="17" t="n">
        <v>15098.14</v>
      </c>
    </row>
    <row r="1132" customFormat="false" ht="15" hidden="false" customHeight="false" outlineLevel="0" collapsed="false">
      <c r="A1132" s="16" t="n">
        <v>43104</v>
      </c>
      <c r="B1132" s="17" t="n">
        <v>15144.99</v>
      </c>
    </row>
    <row r="1133" customFormat="false" ht="15" hidden="false" customHeight="false" outlineLevel="0" collapsed="false">
      <c r="A1133" s="16" t="n">
        <v>43105</v>
      </c>
      <c r="B1133" s="17" t="n">
        <v>16960.01</v>
      </c>
    </row>
    <row r="1134" customFormat="false" ht="15" hidden="false" customHeight="false" outlineLevel="0" collapsed="false">
      <c r="A1134" s="16" t="n">
        <v>43106</v>
      </c>
      <c r="B1134" s="17" t="n">
        <v>17098.99</v>
      </c>
    </row>
    <row r="1135" customFormat="false" ht="15" hidden="false" customHeight="false" outlineLevel="0" collapsed="false">
      <c r="A1135" s="16" t="n">
        <v>43107</v>
      </c>
      <c r="B1135" s="17" t="n">
        <v>16174.22</v>
      </c>
    </row>
    <row r="1136" customFormat="false" ht="15" hidden="false" customHeight="false" outlineLevel="0" collapsed="false">
      <c r="A1136" s="16" t="n">
        <v>43108</v>
      </c>
      <c r="B1136" s="17" t="n">
        <v>14993.74</v>
      </c>
    </row>
    <row r="1137" customFormat="false" ht="15" hidden="false" customHeight="false" outlineLevel="0" collapsed="false">
      <c r="A1137" s="16" t="n">
        <v>43109</v>
      </c>
      <c r="B1137" s="17" t="n">
        <v>14480.99</v>
      </c>
    </row>
    <row r="1138" customFormat="false" ht="15" hidden="false" customHeight="false" outlineLevel="0" collapsed="false">
      <c r="A1138" s="16" t="n">
        <v>43110</v>
      </c>
      <c r="B1138" s="17" t="n">
        <v>14875.18</v>
      </c>
    </row>
    <row r="1139" customFormat="false" ht="15" hidden="false" customHeight="false" outlineLevel="0" collapsed="false">
      <c r="A1139" s="16" t="n">
        <v>43111</v>
      </c>
      <c r="B1139" s="17" t="n">
        <v>13308.06</v>
      </c>
    </row>
    <row r="1140" customFormat="false" ht="15" hidden="false" customHeight="false" outlineLevel="0" collapsed="false">
      <c r="A1140" s="16" t="n">
        <v>43112</v>
      </c>
      <c r="B1140" s="17" t="n">
        <v>13820</v>
      </c>
    </row>
    <row r="1141" customFormat="false" ht="15" hidden="false" customHeight="false" outlineLevel="0" collapsed="false">
      <c r="A1141" s="16" t="n">
        <v>43113</v>
      </c>
      <c r="B1141" s="17" t="n">
        <v>14187.95</v>
      </c>
    </row>
    <row r="1142" customFormat="false" ht="15" hidden="false" customHeight="false" outlineLevel="0" collapsed="false">
      <c r="A1142" s="16" t="n">
        <v>43114</v>
      </c>
      <c r="B1142" s="17" t="n">
        <v>13656.23</v>
      </c>
    </row>
    <row r="1143" customFormat="false" ht="15" hidden="false" customHeight="false" outlineLevel="0" collapsed="false">
      <c r="A1143" s="16" t="n">
        <v>43115</v>
      </c>
      <c r="B1143" s="17" t="n">
        <v>13590</v>
      </c>
    </row>
    <row r="1144" customFormat="false" ht="15" hidden="false" customHeight="false" outlineLevel="0" collapsed="false">
      <c r="A1144" s="16" t="n">
        <v>43116</v>
      </c>
      <c r="B1144" s="17" t="n">
        <v>11570.01</v>
      </c>
    </row>
    <row r="1145" customFormat="false" ht="15" hidden="false" customHeight="false" outlineLevel="0" collapsed="false">
      <c r="A1145" s="16" t="n">
        <v>43117</v>
      </c>
      <c r="B1145" s="17" t="n">
        <v>11200.01</v>
      </c>
    </row>
    <row r="1146" customFormat="false" ht="15" hidden="false" customHeight="false" outlineLevel="0" collapsed="false">
      <c r="A1146" s="16" t="n">
        <v>43118</v>
      </c>
      <c r="B1146" s="17" t="n">
        <v>11305.53</v>
      </c>
    </row>
    <row r="1147" customFormat="false" ht="15" hidden="false" customHeight="false" outlineLevel="0" collapsed="false">
      <c r="A1147" s="16" t="n">
        <v>43119</v>
      </c>
      <c r="B1147" s="17" t="n">
        <v>11498.99</v>
      </c>
    </row>
    <row r="1148" customFormat="false" ht="15" hidden="false" customHeight="false" outlineLevel="0" collapsed="false">
      <c r="A1148" s="16" t="n">
        <v>43120</v>
      </c>
      <c r="B1148" s="17" t="n">
        <v>12762.8</v>
      </c>
    </row>
    <row r="1149" customFormat="false" ht="15" hidden="false" customHeight="false" outlineLevel="0" collapsed="false">
      <c r="A1149" s="16" t="n">
        <v>43121</v>
      </c>
      <c r="B1149" s="17" t="n">
        <v>11518.17</v>
      </c>
    </row>
    <row r="1150" customFormat="false" ht="15" hidden="false" customHeight="false" outlineLevel="0" collapsed="false">
      <c r="A1150" s="16" t="n">
        <v>43122</v>
      </c>
      <c r="B1150" s="17" t="n">
        <v>10766.7</v>
      </c>
    </row>
    <row r="1151" customFormat="false" ht="15" hidden="false" customHeight="false" outlineLevel="0" collapsed="false">
      <c r="A1151" s="16" t="n">
        <v>43123</v>
      </c>
      <c r="B1151" s="17" t="n">
        <v>10824.94</v>
      </c>
    </row>
    <row r="1152" customFormat="false" ht="15" hidden="false" customHeight="false" outlineLevel="0" collapsed="false">
      <c r="A1152" s="16" t="n">
        <v>43124</v>
      </c>
      <c r="B1152" s="17" t="n">
        <v>11356.79</v>
      </c>
    </row>
    <row r="1153" customFormat="false" ht="15" hidden="false" customHeight="false" outlineLevel="0" collapsed="false">
      <c r="A1153" s="16" t="n">
        <v>43125</v>
      </c>
      <c r="B1153" s="17" t="n">
        <v>11118</v>
      </c>
    </row>
    <row r="1154" customFormat="false" ht="15" hidden="false" customHeight="false" outlineLevel="0" collapsed="false">
      <c r="A1154" s="16" t="n">
        <v>43126</v>
      </c>
      <c r="B1154" s="17" t="n">
        <v>11086.89</v>
      </c>
    </row>
    <row r="1155" customFormat="false" ht="15" hidden="false" customHeight="false" outlineLevel="0" collapsed="false">
      <c r="A1155" s="16" t="n">
        <v>43127</v>
      </c>
      <c r="B1155" s="17" t="n">
        <v>11319</v>
      </c>
    </row>
    <row r="1156" customFormat="false" ht="15" hidden="false" customHeight="false" outlineLevel="0" collapsed="false">
      <c r="A1156" s="16" t="n">
        <v>43128</v>
      </c>
      <c r="B1156" s="17" t="n">
        <v>11536</v>
      </c>
    </row>
    <row r="1157" customFormat="false" ht="15" hidden="false" customHeight="false" outlineLevel="0" collapsed="false">
      <c r="A1157" s="16" t="n">
        <v>43129</v>
      </c>
      <c r="B1157" s="17" t="n">
        <v>11123.01</v>
      </c>
    </row>
    <row r="1158" customFormat="false" ht="15" hidden="false" customHeight="false" outlineLevel="0" collapsed="false">
      <c r="A1158" s="16" t="n">
        <v>43130</v>
      </c>
      <c r="B1158" s="17" t="n">
        <v>9995</v>
      </c>
    </row>
    <row r="1159" customFormat="false" ht="15" hidden="false" customHeight="false" outlineLevel="0" collapsed="false">
      <c r="A1159" s="16" t="n">
        <v>43131</v>
      </c>
      <c r="B1159" s="17" t="n">
        <v>10099.99</v>
      </c>
    </row>
    <row r="1160" customFormat="false" ht="15" hidden="false" customHeight="false" outlineLevel="0" collapsed="false">
      <c r="A1160" s="16" t="n">
        <v>43132</v>
      </c>
      <c r="B1160" s="17" t="n">
        <v>9014.23</v>
      </c>
    </row>
    <row r="1161" customFormat="false" ht="15" hidden="false" customHeight="false" outlineLevel="0" collapsed="false">
      <c r="A1161" s="16" t="n">
        <v>43133</v>
      </c>
      <c r="B1161" s="17" t="n">
        <v>8787.52</v>
      </c>
    </row>
    <row r="1162" customFormat="false" ht="15" hidden="false" customHeight="false" outlineLevel="0" collapsed="false">
      <c r="A1162" s="16" t="n">
        <v>43134</v>
      </c>
      <c r="B1162" s="17" t="n">
        <v>9240</v>
      </c>
    </row>
    <row r="1163" customFormat="false" ht="15" hidden="false" customHeight="false" outlineLevel="0" collapsed="false">
      <c r="A1163" s="16" t="n">
        <v>43135</v>
      </c>
      <c r="B1163" s="17" t="n">
        <v>8167.91</v>
      </c>
    </row>
    <row r="1164" customFormat="false" ht="15" hidden="false" customHeight="false" outlineLevel="0" collapsed="false">
      <c r="A1164" s="16" t="n">
        <v>43136</v>
      </c>
      <c r="B1164" s="17" t="n">
        <v>6905.19</v>
      </c>
    </row>
    <row r="1165" customFormat="false" ht="15" hidden="false" customHeight="false" outlineLevel="0" collapsed="false">
      <c r="A1165" s="16" t="n">
        <v>43137</v>
      </c>
      <c r="B1165" s="17" t="n">
        <v>7688.46</v>
      </c>
    </row>
    <row r="1166" customFormat="false" ht="15" hidden="false" customHeight="false" outlineLevel="0" collapsed="false">
      <c r="A1166" s="16" t="n">
        <v>43138</v>
      </c>
      <c r="B1166" s="17" t="n">
        <v>7575.75</v>
      </c>
    </row>
    <row r="1167" customFormat="false" ht="15" hidden="false" customHeight="false" outlineLevel="0" collapsed="false">
      <c r="A1167" s="16" t="n">
        <v>43139</v>
      </c>
      <c r="B1167" s="17" t="n">
        <v>8218.1</v>
      </c>
    </row>
    <row r="1168" customFormat="false" ht="15" hidden="false" customHeight="false" outlineLevel="0" collapsed="false">
      <c r="A1168" s="16" t="n">
        <v>43140</v>
      </c>
      <c r="B1168" s="17" t="n">
        <v>8671.01</v>
      </c>
    </row>
    <row r="1169" customFormat="false" ht="15" hidden="false" customHeight="false" outlineLevel="0" collapsed="false">
      <c r="A1169" s="16" t="n">
        <v>43141</v>
      </c>
      <c r="B1169" s="17" t="n">
        <v>8547.49</v>
      </c>
    </row>
    <row r="1170" customFormat="false" ht="15" hidden="false" customHeight="false" outlineLevel="0" collapsed="false">
      <c r="A1170" s="16" t="n">
        <v>43142</v>
      </c>
      <c r="B1170" s="17" t="n">
        <v>8072.99</v>
      </c>
    </row>
    <row r="1171" customFormat="false" ht="15" hidden="false" customHeight="false" outlineLevel="0" collapsed="false">
      <c r="A1171" s="16" t="n">
        <v>43143</v>
      </c>
      <c r="B1171" s="17" t="n">
        <v>8872.28</v>
      </c>
    </row>
    <row r="1172" customFormat="false" ht="15" hidden="false" customHeight="false" outlineLevel="0" collapsed="false">
      <c r="A1172" s="16" t="n">
        <v>43144</v>
      </c>
      <c r="B1172" s="17" t="n">
        <v>8520.01</v>
      </c>
    </row>
    <row r="1173" customFormat="false" ht="15" hidden="false" customHeight="false" outlineLevel="0" collapsed="false">
      <c r="A1173" s="16" t="n">
        <v>43145</v>
      </c>
      <c r="B1173" s="17" t="n">
        <v>9472.98</v>
      </c>
    </row>
    <row r="1174" customFormat="false" ht="15" hidden="false" customHeight="false" outlineLevel="0" collapsed="false">
      <c r="A1174" s="16" t="n">
        <v>43146</v>
      </c>
      <c r="B1174" s="17" t="n">
        <v>10031.23</v>
      </c>
    </row>
    <row r="1175" customFormat="false" ht="15" hidden="false" customHeight="false" outlineLevel="0" collapsed="false">
      <c r="A1175" s="16" t="n">
        <v>43147</v>
      </c>
      <c r="B1175" s="17" t="n">
        <v>10167.49</v>
      </c>
    </row>
    <row r="1176" customFormat="false" ht="15" hidden="false" customHeight="false" outlineLevel="0" collapsed="false">
      <c r="A1176" s="16" t="n">
        <v>43148</v>
      </c>
      <c r="B1176" s="17" t="n">
        <v>11121.5</v>
      </c>
    </row>
    <row r="1177" customFormat="false" ht="15" hidden="false" customHeight="false" outlineLevel="0" collapsed="false">
      <c r="A1177" s="16" t="n">
        <v>43149</v>
      </c>
      <c r="B1177" s="17" t="n">
        <v>10380.04</v>
      </c>
    </row>
    <row r="1178" customFormat="false" ht="15" hidden="false" customHeight="false" outlineLevel="0" collapsed="false">
      <c r="A1178" s="16" t="n">
        <v>43150</v>
      </c>
      <c r="B1178" s="17" t="n">
        <v>11140</v>
      </c>
    </row>
    <row r="1179" customFormat="false" ht="15" hidden="false" customHeight="false" outlineLevel="0" collapsed="false">
      <c r="A1179" s="16" t="n">
        <v>43151</v>
      </c>
      <c r="B1179" s="17" t="n">
        <v>11235.57</v>
      </c>
    </row>
    <row r="1180" customFormat="false" ht="15" hidden="false" customHeight="false" outlineLevel="0" collapsed="false">
      <c r="A1180" s="16" t="n">
        <v>43152</v>
      </c>
      <c r="B1180" s="17" t="n">
        <v>10454.27</v>
      </c>
    </row>
    <row r="1181" customFormat="false" ht="15" hidden="false" customHeight="false" outlineLevel="0" collapsed="false">
      <c r="A1181" s="16" t="n">
        <v>43153</v>
      </c>
      <c r="B1181" s="17" t="n">
        <v>9830</v>
      </c>
    </row>
    <row r="1182" customFormat="false" ht="15" hidden="false" customHeight="false" outlineLevel="0" collapsed="false">
      <c r="A1182" s="16" t="n">
        <v>43154</v>
      </c>
      <c r="B1182" s="17" t="n">
        <v>10144.99</v>
      </c>
    </row>
    <row r="1183" customFormat="false" ht="15" hidden="false" customHeight="false" outlineLevel="0" collapsed="false">
      <c r="A1183" s="16" t="n">
        <v>43155</v>
      </c>
      <c r="B1183" s="17" t="n">
        <v>9688.62</v>
      </c>
    </row>
    <row r="1184" customFormat="false" ht="15" hidden="false" customHeight="false" outlineLevel="0" collapsed="false">
      <c r="A1184" s="16" t="n">
        <v>43156</v>
      </c>
      <c r="B1184" s="17" t="n">
        <v>9597.99</v>
      </c>
    </row>
    <row r="1185" customFormat="false" ht="15" hidden="false" customHeight="false" outlineLevel="0" collapsed="false">
      <c r="A1185" s="16" t="n">
        <v>43157</v>
      </c>
      <c r="B1185" s="17" t="n">
        <v>10300</v>
      </c>
    </row>
    <row r="1186" customFormat="false" ht="15" hidden="false" customHeight="false" outlineLevel="0" collapsed="false">
      <c r="A1186" s="16" t="n">
        <v>43158</v>
      </c>
      <c r="B1186" s="17" t="n">
        <v>10566.57</v>
      </c>
    </row>
    <row r="1187" customFormat="false" ht="15" hidden="false" customHeight="false" outlineLevel="0" collapsed="false">
      <c r="A1187" s="16" t="n">
        <v>43159</v>
      </c>
      <c r="B1187" s="17" t="n">
        <v>10307.27</v>
      </c>
    </row>
    <row r="1188" customFormat="false" ht="15" hidden="false" customHeight="false" outlineLevel="0" collapsed="false">
      <c r="A1188" s="16" t="n">
        <v>43160</v>
      </c>
      <c r="B1188" s="17" t="n">
        <v>10895.92</v>
      </c>
    </row>
    <row r="1189" customFormat="false" ht="15" hidden="false" customHeight="false" outlineLevel="0" collapsed="false">
      <c r="A1189" s="16" t="n">
        <v>43161</v>
      </c>
      <c r="B1189" s="17" t="n">
        <v>11000</v>
      </c>
    </row>
    <row r="1190" customFormat="false" ht="15" hidden="false" customHeight="false" outlineLevel="0" collapsed="false">
      <c r="A1190" s="16" t="n">
        <v>43162</v>
      </c>
      <c r="B1190" s="17" t="n">
        <v>11432.5</v>
      </c>
    </row>
    <row r="1191" customFormat="false" ht="15" hidden="false" customHeight="false" outlineLevel="0" collapsed="false">
      <c r="A1191" s="16" t="n">
        <v>43163</v>
      </c>
      <c r="B1191" s="17" t="n">
        <v>11469.9</v>
      </c>
    </row>
    <row r="1192" customFormat="false" ht="15" hidden="false" customHeight="false" outlineLevel="0" collapsed="false">
      <c r="A1192" s="16" t="n">
        <v>43164</v>
      </c>
      <c r="B1192" s="17" t="n">
        <v>11377.54</v>
      </c>
    </row>
    <row r="1193" customFormat="false" ht="15" hidden="false" customHeight="false" outlineLevel="0" collapsed="false">
      <c r="A1193" s="16" t="n">
        <v>43165</v>
      </c>
      <c r="B1193" s="17" t="n">
        <v>10700</v>
      </c>
    </row>
    <row r="1194" customFormat="false" ht="15" hidden="false" customHeight="false" outlineLevel="0" collapsed="false">
      <c r="A1194" s="16" t="n">
        <v>43166</v>
      </c>
      <c r="B1194" s="17" t="n">
        <v>9920</v>
      </c>
    </row>
    <row r="1195" customFormat="false" ht="15" hidden="false" customHeight="false" outlineLevel="0" collapsed="false">
      <c r="A1195" s="16" t="n">
        <v>43167</v>
      </c>
      <c r="B1195" s="17" t="n">
        <v>9304.9</v>
      </c>
    </row>
    <row r="1196" customFormat="false" ht="15" hidden="false" customHeight="false" outlineLevel="0" collapsed="false">
      <c r="A1196" s="16" t="n">
        <v>43168</v>
      </c>
      <c r="B1196" s="17" t="n">
        <v>9255</v>
      </c>
    </row>
    <row r="1197" customFormat="false" ht="15" hidden="false" customHeight="false" outlineLevel="0" collapsed="false">
      <c r="A1197" s="16" t="n">
        <v>43169</v>
      </c>
      <c r="B1197" s="17" t="n">
        <v>8795.44</v>
      </c>
    </row>
    <row r="1198" customFormat="false" ht="15" hidden="false" customHeight="false" outlineLevel="0" collapsed="false">
      <c r="A1198" s="16" t="n">
        <v>43170</v>
      </c>
      <c r="B1198" s="17" t="n">
        <v>9533.88</v>
      </c>
    </row>
    <row r="1199" customFormat="false" ht="15" hidden="false" customHeight="false" outlineLevel="0" collapsed="false">
      <c r="A1199" s="16" t="n">
        <v>43171</v>
      </c>
      <c r="B1199" s="17" t="n">
        <v>9120</v>
      </c>
    </row>
    <row r="1200" customFormat="false" ht="15" hidden="false" customHeight="false" outlineLevel="0" collapsed="false">
      <c r="A1200" s="16" t="n">
        <v>43172</v>
      </c>
      <c r="B1200" s="17" t="n">
        <v>9145.41</v>
      </c>
    </row>
    <row r="1201" customFormat="false" ht="15" hidden="false" customHeight="false" outlineLevel="0" collapsed="false">
      <c r="A1201" s="16" t="n">
        <v>43173</v>
      </c>
      <c r="B1201" s="17" t="n">
        <v>8207.03</v>
      </c>
    </row>
    <row r="1202" customFormat="false" ht="15" hidden="false" customHeight="false" outlineLevel="0" collapsed="false">
      <c r="A1202" s="16" t="n">
        <v>43174</v>
      </c>
      <c r="B1202" s="17" t="n">
        <v>8259.99</v>
      </c>
    </row>
    <row r="1203" customFormat="false" ht="15" hidden="false" customHeight="false" outlineLevel="0" collapsed="false">
      <c r="A1203" s="16" t="n">
        <v>43175</v>
      </c>
      <c r="B1203" s="17" t="n">
        <v>8275</v>
      </c>
    </row>
    <row r="1204" customFormat="false" ht="15" hidden="false" customHeight="false" outlineLevel="0" collapsed="false">
      <c r="A1204" s="16" t="n">
        <v>43176</v>
      </c>
      <c r="B1204" s="17" t="n">
        <v>7865.02</v>
      </c>
    </row>
    <row r="1205" customFormat="false" ht="15" hidden="false" customHeight="false" outlineLevel="0" collapsed="false">
      <c r="A1205" s="16" t="n">
        <v>43177</v>
      </c>
      <c r="B1205" s="17" t="n">
        <v>8192</v>
      </c>
    </row>
    <row r="1206" customFormat="false" ht="15" hidden="false" customHeight="false" outlineLevel="0" collapsed="false">
      <c r="A1206" s="16" t="n">
        <v>43178</v>
      </c>
      <c r="B1206" s="17" t="n">
        <v>8589</v>
      </c>
    </row>
    <row r="1207" customFormat="false" ht="15" hidden="false" customHeight="false" outlineLevel="0" collapsed="false">
      <c r="A1207" s="16" t="n">
        <v>43179</v>
      </c>
      <c r="B1207" s="17" t="n">
        <v>8900</v>
      </c>
    </row>
    <row r="1208" customFormat="false" ht="15" hidden="false" customHeight="false" outlineLevel="0" collapsed="false">
      <c r="A1208" s="16" t="n">
        <v>43180</v>
      </c>
      <c r="B1208" s="17" t="n">
        <v>8891.81</v>
      </c>
    </row>
    <row r="1209" customFormat="false" ht="15" hidden="false" customHeight="false" outlineLevel="0" collapsed="false">
      <c r="A1209" s="16" t="n">
        <v>43181</v>
      </c>
      <c r="B1209" s="17" t="n">
        <v>8715.09</v>
      </c>
    </row>
    <row r="1210" customFormat="false" ht="15" hidden="false" customHeight="false" outlineLevel="0" collapsed="false">
      <c r="A1210" s="16" t="n">
        <v>43182</v>
      </c>
      <c r="B1210" s="17" t="n">
        <v>8927.1</v>
      </c>
    </row>
    <row r="1211" customFormat="false" ht="15" hidden="false" customHeight="false" outlineLevel="0" collapsed="false">
      <c r="A1211" s="16" t="n">
        <v>43183</v>
      </c>
      <c r="B1211" s="17" t="n">
        <v>8531.34</v>
      </c>
    </row>
    <row r="1212" customFormat="false" ht="15" hidden="false" customHeight="false" outlineLevel="0" collapsed="false">
      <c r="A1212" s="16" t="n">
        <v>43184</v>
      </c>
      <c r="B1212" s="17" t="n">
        <v>8453</v>
      </c>
    </row>
    <row r="1213" customFormat="false" ht="15" hidden="false" customHeight="false" outlineLevel="0" collapsed="false">
      <c r="A1213" s="16" t="n">
        <v>43185</v>
      </c>
      <c r="B1213" s="17" t="n">
        <v>8145</v>
      </c>
    </row>
    <row r="1214" customFormat="false" ht="15" hidden="false" customHeight="false" outlineLevel="0" collapsed="false">
      <c r="A1214" s="16" t="n">
        <v>43186</v>
      </c>
      <c r="B1214" s="17" t="n">
        <v>7793.61</v>
      </c>
    </row>
    <row r="1215" customFormat="false" ht="15" hidden="false" customHeight="false" outlineLevel="0" collapsed="false">
      <c r="A1215" s="16" t="n">
        <v>43187</v>
      </c>
      <c r="B1215" s="17" t="n">
        <v>7942.72</v>
      </c>
    </row>
    <row r="1216" customFormat="false" ht="15" hidden="false" customHeight="false" outlineLevel="0" collapsed="false">
      <c r="A1216" s="16" t="n">
        <v>43188</v>
      </c>
      <c r="B1216" s="17" t="n">
        <v>7079.99</v>
      </c>
    </row>
    <row r="1217" customFormat="false" ht="15" hidden="false" customHeight="false" outlineLevel="0" collapsed="false">
      <c r="A1217" s="16" t="n">
        <v>43189</v>
      </c>
      <c r="B1217" s="17" t="n">
        <v>6848.01</v>
      </c>
    </row>
    <row r="1218" customFormat="false" ht="15" hidden="false" customHeight="false" outlineLevel="0" collapsed="false">
      <c r="A1218" s="16" t="n">
        <v>43190</v>
      </c>
      <c r="B1218" s="17" t="n">
        <v>6928.5</v>
      </c>
    </row>
    <row r="1219" customFormat="false" ht="15" hidden="false" customHeight="false" outlineLevel="0" collapsed="false">
      <c r="A1219" s="16" t="n">
        <v>43191</v>
      </c>
      <c r="B1219" s="17" t="n">
        <v>6816.01</v>
      </c>
    </row>
    <row r="1220" customFormat="false" ht="15" hidden="false" customHeight="false" outlineLevel="0" collapsed="false">
      <c r="A1220" s="16" t="n">
        <v>43192</v>
      </c>
      <c r="B1220" s="17" t="n">
        <v>7045.01</v>
      </c>
    </row>
    <row r="1221" customFormat="false" ht="15" hidden="false" customHeight="false" outlineLevel="0" collapsed="false">
      <c r="A1221" s="16" t="n">
        <v>43193</v>
      </c>
      <c r="B1221" s="17" t="n">
        <v>7424.9</v>
      </c>
    </row>
    <row r="1222" customFormat="false" ht="15" hidden="false" customHeight="false" outlineLevel="0" collapsed="false">
      <c r="A1222" s="16" t="n">
        <v>43194</v>
      </c>
      <c r="B1222" s="17" t="n">
        <v>6791.68</v>
      </c>
    </row>
    <row r="1223" customFormat="false" ht="15" hidden="false" customHeight="false" outlineLevel="0" collapsed="false">
      <c r="A1223" s="16" t="n">
        <v>43195</v>
      </c>
      <c r="B1223" s="17" t="n">
        <v>6785.85</v>
      </c>
    </row>
    <row r="1224" customFormat="false" ht="15" hidden="false" customHeight="false" outlineLevel="0" collapsed="false">
      <c r="A1224" s="16" t="n">
        <v>43196</v>
      </c>
      <c r="B1224" s="17" t="n">
        <v>6619.01</v>
      </c>
    </row>
    <row r="1225" customFormat="false" ht="15" hidden="false" customHeight="false" outlineLevel="0" collapsed="false">
      <c r="A1225" s="16" t="n">
        <v>43197</v>
      </c>
      <c r="B1225" s="17" t="n">
        <v>6894.01</v>
      </c>
    </row>
    <row r="1226" customFormat="false" ht="15" hidden="false" customHeight="false" outlineLevel="0" collapsed="false">
      <c r="A1226" s="16" t="n">
        <v>43198</v>
      </c>
      <c r="B1226" s="17" t="n">
        <v>7020.01</v>
      </c>
    </row>
    <row r="1227" customFormat="false" ht="15" hidden="false" customHeight="false" outlineLevel="0" collapsed="false">
      <c r="A1227" s="16" t="n">
        <v>43199</v>
      </c>
      <c r="B1227" s="17" t="n">
        <v>6771.13</v>
      </c>
    </row>
    <row r="1228" customFormat="false" ht="15" hidden="false" customHeight="false" outlineLevel="0" collapsed="false">
      <c r="A1228" s="16" t="n">
        <v>43200</v>
      </c>
      <c r="B1228" s="17" t="n">
        <v>6824.99</v>
      </c>
    </row>
    <row r="1229" customFormat="false" ht="15" hidden="false" customHeight="false" outlineLevel="0" collapsed="false">
      <c r="A1229" s="16" t="n">
        <v>43201</v>
      </c>
      <c r="B1229" s="17" t="n">
        <v>6942.99</v>
      </c>
    </row>
    <row r="1230" customFormat="false" ht="15" hidden="false" customHeight="false" outlineLevel="0" collapsed="false">
      <c r="A1230" s="16" t="n">
        <v>43202</v>
      </c>
      <c r="B1230" s="17" t="n">
        <v>7916</v>
      </c>
    </row>
    <row r="1231" customFormat="false" ht="15" hidden="false" customHeight="false" outlineLevel="0" collapsed="false">
      <c r="A1231" s="16" t="n">
        <v>43203</v>
      </c>
      <c r="B1231" s="17" t="n">
        <v>7893.19</v>
      </c>
    </row>
    <row r="1232" customFormat="false" ht="15" hidden="false" customHeight="false" outlineLevel="0" collapsed="false">
      <c r="A1232" s="16" t="n">
        <v>43204</v>
      </c>
      <c r="B1232" s="17" t="n">
        <v>8003.11</v>
      </c>
    </row>
    <row r="1233" customFormat="false" ht="15" hidden="false" customHeight="false" outlineLevel="0" collapsed="false">
      <c r="A1233" s="16" t="n">
        <v>43205</v>
      </c>
      <c r="B1233" s="17" t="n">
        <v>8355.25</v>
      </c>
    </row>
    <row r="1234" customFormat="false" ht="15" hidden="false" customHeight="false" outlineLevel="0" collapsed="false">
      <c r="A1234" s="16" t="n">
        <v>43206</v>
      </c>
      <c r="B1234" s="17" t="n">
        <v>8048.93</v>
      </c>
    </row>
    <row r="1235" customFormat="false" ht="15" hidden="false" customHeight="false" outlineLevel="0" collapsed="false">
      <c r="A1235" s="16" t="n">
        <v>43207</v>
      </c>
      <c r="B1235" s="17" t="n">
        <v>7892.1</v>
      </c>
    </row>
    <row r="1236" customFormat="false" ht="15" hidden="false" customHeight="false" outlineLevel="0" collapsed="false">
      <c r="A1236" s="16" t="n">
        <v>43208</v>
      </c>
      <c r="B1236" s="17" t="n">
        <v>8152.05</v>
      </c>
    </row>
    <row r="1237" customFormat="false" ht="15" hidden="false" customHeight="false" outlineLevel="0" collapsed="false">
      <c r="A1237" s="16" t="n">
        <v>43209</v>
      </c>
      <c r="B1237" s="17" t="n">
        <v>8274</v>
      </c>
    </row>
    <row r="1238" customFormat="false" ht="15" hidden="false" customHeight="false" outlineLevel="0" collapsed="false">
      <c r="A1238" s="16" t="n">
        <v>43210</v>
      </c>
      <c r="B1238" s="17" t="n">
        <v>8866.27</v>
      </c>
    </row>
    <row r="1239" customFormat="false" ht="15" hidden="false" customHeight="false" outlineLevel="0" collapsed="false">
      <c r="A1239" s="16" t="n">
        <v>43211</v>
      </c>
      <c r="B1239" s="17" t="n">
        <v>8915.42</v>
      </c>
    </row>
    <row r="1240" customFormat="false" ht="15" hidden="false" customHeight="false" outlineLevel="0" collapsed="false">
      <c r="A1240" s="16" t="n">
        <v>43212</v>
      </c>
      <c r="B1240" s="17" t="n">
        <v>8795.01</v>
      </c>
    </row>
    <row r="1241" customFormat="false" ht="15" hidden="false" customHeight="false" outlineLevel="0" collapsed="false">
      <c r="A1241" s="16" t="n">
        <v>43213</v>
      </c>
      <c r="B1241" s="17" t="n">
        <v>8931.3</v>
      </c>
    </row>
    <row r="1242" customFormat="false" ht="15" hidden="false" customHeight="false" outlineLevel="0" collapsed="false">
      <c r="A1242" s="16" t="n">
        <v>43214</v>
      </c>
      <c r="B1242" s="17" t="n">
        <v>9650</v>
      </c>
    </row>
    <row r="1243" customFormat="false" ht="15" hidden="false" customHeight="false" outlineLevel="0" collapsed="false">
      <c r="A1243" s="16" t="n">
        <v>43215</v>
      </c>
      <c r="B1243" s="17" t="n">
        <v>8865.98</v>
      </c>
    </row>
    <row r="1244" customFormat="false" ht="15" hidden="false" customHeight="false" outlineLevel="0" collapsed="false">
      <c r="A1244" s="16" t="n">
        <v>43216</v>
      </c>
      <c r="B1244" s="17" t="n">
        <v>9272.11</v>
      </c>
    </row>
    <row r="1245" customFormat="false" ht="15" hidden="false" customHeight="false" outlineLevel="0" collapsed="false">
      <c r="A1245" s="16" t="n">
        <v>43217</v>
      </c>
      <c r="B1245" s="17" t="n">
        <v>8922.55</v>
      </c>
    </row>
    <row r="1246" customFormat="false" ht="15" hidden="false" customHeight="false" outlineLevel="0" collapsed="false">
      <c r="A1246" s="16" t="n">
        <v>43218</v>
      </c>
      <c r="B1246" s="17" t="n">
        <v>9329.99</v>
      </c>
    </row>
    <row r="1247" customFormat="false" ht="15" hidden="false" customHeight="false" outlineLevel="0" collapsed="false">
      <c r="A1247" s="16" t="n">
        <v>43219</v>
      </c>
      <c r="B1247" s="17" t="n">
        <v>9389.01</v>
      </c>
    </row>
    <row r="1248" customFormat="false" ht="15" hidden="false" customHeight="false" outlineLevel="0" collapsed="false">
      <c r="A1248" s="16" t="n">
        <v>43220</v>
      </c>
      <c r="B1248" s="17" t="n">
        <v>9243.82</v>
      </c>
    </row>
    <row r="1249" customFormat="false" ht="15" hidden="false" customHeight="false" outlineLevel="0" collapsed="false">
      <c r="A1249" s="16" t="n">
        <v>43221</v>
      </c>
      <c r="B1249" s="17" t="n">
        <v>9072.29</v>
      </c>
    </row>
    <row r="1250" customFormat="false" ht="15" hidden="false" customHeight="false" outlineLevel="0" collapsed="false">
      <c r="A1250" s="16" t="n">
        <v>43222</v>
      </c>
      <c r="B1250" s="17" t="n">
        <v>9190.48</v>
      </c>
    </row>
    <row r="1251" customFormat="false" ht="15" hidden="false" customHeight="false" outlineLevel="0" collapsed="false">
      <c r="A1251" s="16" t="n">
        <v>43223</v>
      </c>
      <c r="B1251" s="17" t="n">
        <v>9725.74</v>
      </c>
    </row>
    <row r="1252" customFormat="false" ht="15" hidden="false" customHeight="false" outlineLevel="0" collapsed="false">
      <c r="A1252" s="16" t="n">
        <v>43224</v>
      </c>
      <c r="B1252" s="17" t="n">
        <v>9685</v>
      </c>
    </row>
    <row r="1253" customFormat="false" ht="15" hidden="false" customHeight="false" outlineLevel="0" collapsed="false">
      <c r="A1253" s="16" t="n">
        <v>43225</v>
      </c>
      <c r="B1253" s="17" t="n">
        <v>9800</v>
      </c>
    </row>
    <row r="1254" customFormat="false" ht="15" hidden="false" customHeight="false" outlineLevel="0" collapsed="false">
      <c r="A1254" s="16" t="n">
        <v>43226</v>
      </c>
      <c r="B1254" s="17" t="n">
        <v>9600</v>
      </c>
    </row>
    <row r="1255" customFormat="false" ht="15" hidden="false" customHeight="false" outlineLevel="0" collapsed="false">
      <c r="A1255" s="16" t="n">
        <v>43227</v>
      </c>
      <c r="B1255" s="17" t="n">
        <v>9356.25</v>
      </c>
    </row>
    <row r="1256" customFormat="false" ht="15" hidden="false" customHeight="false" outlineLevel="0" collapsed="false">
      <c r="A1256" s="16" t="n">
        <v>43228</v>
      </c>
      <c r="B1256" s="17" t="n">
        <v>9177.81</v>
      </c>
    </row>
    <row r="1257" customFormat="false" ht="15" hidden="false" customHeight="false" outlineLevel="0" collapsed="false">
      <c r="A1257" s="16" t="n">
        <v>43229</v>
      </c>
      <c r="B1257" s="17" t="n">
        <v>9300.08</v>
      </c>
    </row>
    <row r="1258" customFormat="false" ht="15" hidden="false" customHeight="false" outlineLevel="0" collapsed="false">
      <c r="A1258" s="16" t="n">
        <v>43230</v>
      </c>
      <c r="B1258" s="17" t="n">
        <v>9010.51</v>
      </c>
    </row>
    <row r="1259" customFormat="false" ht="15" hidden="false" customHeight="false" outlineLevel="0" collapsed="false">
      <c r="A1259" s="16" t="n">
        <v>43231</v>
      </c>
      <c r="B1259" s="17" t="n">
        <v>8403.33</v>
      </c>
    </row>
    <row r="1260" customFormat="false" ht="15" hidden="false" customHeight="false" outlineLevel="0" collapsed="false">
      <c r="A1260" s="16" t="n">
        <v>43232</v>
      </c>
      <c r="B1260" s="17" t="n">
        <v>8475</v>
      </c>
    </row>
    <row r="1261" customFormat="false" ht="15" hidden="false" customHeight="false" outlineLevel="0" collapsed="false">
      <c r="A1261" s="16" t="n">
        <v>43233</v>
      </c>
      <c r="B1261" s="17" t="n">
        <v>8686.1</v>
      </c>
    </row>
    <row r="1262" customFormat="false" ht="15" hidden="false" customHeight="false" outlineLevel="0" collapsed="false">
      <c r="A1262" s="16" t="n">
        <v>43234</v>
      </c>
      <c r="B1262" s="17" t="n">
        <v>8670</v>
      </c>
    </row>
    <row r="1263" customFormat="false" ht="15" hidden="false" customHeight="false" outlineLevel="0" collapsed="false">
      <c r="A1263" s="16" t="n">
        <v>43235</v>
      </c>
      <c r="B1263" s="17" t="n">
        <v>8477.46</v>
      </c>
    </row>
    <row r="1264" customFormat="false" ht="15" hidden="false" customHeight="false" outlineLevel="0" collapsed="false">
      <c r="A1264" s="16" t="n">
        <v>43236</v>
      </c>
      <c r="B1264" s="17" t="n">
        <v>8344</v>
      </c>
    </row>
    <row r="1265" customFormat="false" ht="15" hidden="false" customHeight="false" outlineLevel="0" collapsed="false">
      <c r="A1265" s="16" t="n">
        <v>43237</v>
      </c>
      <c r="B1265" s="17" t="n">
        <v>8059</v>
      </c>
    </row>
    <row r="1266" customFormat="false" ht="15" hidden="false" customHeight="false" outlineLevel="0" collapsed="false">
      <c r="A1266" s="16" t="n">
        <v>43238</v>
      </c>
      <c r="B1266" s="17" t="n">
        <v>8238.51</v>
      </c>
    </row>
    <row r="1267" customFormat="false" ht="15" hidden="false" customHeight="false" outlineLevel="0" collapsed="false">
      <c r="A1267" s="16" t="n">
        <v>43239</v>
      </c>
      <c r="B1267" s="17" t="n">
        <v>8235.6</v>
      </c>
    </row>
    <row r="1268" customFormat="false" ht="15" hidden="false" customHeight="false" outlineLevel="0" collapsed="false">
      <c r="A1268" s="16" t="n">
        <v>43240</v>
      </c>
      <c r="B1268" s="17" t="n">
        <v>8516.86</v>
      </c>
    </row>
    <row r="1269" customFormat="false" ht="15" hidden="false" customHeight="false" outlineLevel="0" collapsed="false">
      <c r="A1269" s="16" t="n">
        <v>43241</v>
      </c>
      <c r="B1269" s="17" t="n">
        <v>8393.44</v>
      </c>
    </row>
    <row r="1270" customFormat="false" ht="15" hidden="false" customHeight="false" outlineLevel="0" collapsed="false">
      <c r="A1270" s="16" t="n">
        <v>43242</v>
      </c>
      <c r="B1270" s="17" t="n">
        <v>7987.7</v>
      </c>
    </row>
    <row r="1271" customFormat="false" ht="15" hidden="false" customHeight="false" outlineLevel="0" collapsed="false">
      <c r="A1271" s="16" t="n">
        <v>43243</v>
      </c>
      <c r="B1271" s="17" t="n">
        <v>7505</v>
      </c>
    </row>
    <row r="1272" customFormat="false" ht="15" hidden="false" customHeight="false" outlineLevel="0" collapsed="false">
      <c r="A1272" s="16" t="n">
        <v>43244</v>
      </c>
      <c r="B1272" s="17" t="n">
        <v>7584.15</v>
      </c>
    </row>
    <row r="1273" customFormat="false" ht="15" hidden="false" customHeight="false" outlineLevel="0" collapsed="false">
      <c r="A1273" s="16" t="n">
        <v>43245</v>
      </c>
      <c r="B1273" s="17" t="n">
        <v>7459.11</v>
      </c>
    </row>
    <row r="1274" customFormat="false" ht="15" hidden="false" customHeight="false" outlineLevel="0" collapsed="false">
      <c r="A1274" s="16" t="n">
        <v>43246</v>
      </c>
      <c r="B1274" s="17" t="n">
        <v>7337.95</v>
      </c>
    </row>
    <row r="1275" customFormat="false" ht="15" hidden="false" customHeight="false" outlineLevel="0" collapsed="false">
      <c r="A1275" s="16" t="n">
        <v>43247</v>
      </c>
      <c r="B1275" s="17" t="n">
        <v>7346.64</v>
      </c>
    </row>
    <row r="1276" customFormat="false" ht="15" hidden="false" customHeight="false" outlineLevel="0" collapsed="false">
      <c r="A1276" s="16" t="n">
        <v>43248</v>
      </c>
      <c r="B1276" s="17" t="n">
        <v>7107.94</v>
      </c>
    </row>
    <row r="1277" customFormat="false" ht="15" hidden="false" customHeight="false" outlineLevel="0" collapsed="false">
      <c r="A1277" s="16" t="n">
        <v>43249</v>
      </c>
      <c r="B1277" s="17" t="n">
        <v>7460</v>
      </c>
    </row>
    <row r="1278" customFormat="false" ht="15" hidden="false" customHeight="false" outlineLevel="0" collapsed="false">
      <c r="A1278" s="16" t="n">
        <v>43250</v>
      </c>
      <c r="B1278" s="17" t="n">
        <v>7380.01</v>
      </c>
    </row>
    <row r="1279" customFormat="false" ht="15" hidden="false" customHeight="false" outlineLevel="0" collapsed="false">
      <c r="A1279" s="16" t="n">
        <v>43251</v>
      </c>
      <c r="B1279" s="17" t="n">
        <v>7485</v>
      </c>
    </row>
    <row r="1280" customFormat="false" ht="15" hidden="false" customHeight="false" outlineLevel="0" collapsed="false">
      <c r="A1280" s="16" t="n">
        <v>43252</v>
      </c>
      <c r="B1280" s="17" t="n">
        <v>7514.32</v>
      </c>
    </row>
    <row r="1281" customFormat="false" ht="15" hidden="false" customHeight="false" outlineLevel="0" collapsed="false">
      <c r="A1281" s="16" t="n">
        <v>43253</v>
      </c>
      <c r="B1281" s="17" t="n">
        <v>7636.42</v>
      </c>
    </row>
    <row r="1282" customFormat="false" ht="15" hidden="false" customHeight="false" outlineLevel="0" collapsed="false">
      <c r="A1282" s="16" t="n">
        <v>43254</v>
      </c>
      <c r="B1282" s="17" t="n">
        <v>7706.37</v>
      </c>
    </row>
    <row r="1283" customFormat="false" ht="15" hidden="false" customHeight="false" outlineLevel="0" collapsed="false">
      <c r="A1283" s="16" t="n">
        <v>43255</v>
      </c>
      <c r="B1283" s="17" t="n">
        <v>7487.37</v>
      </c>
    </row>
    <row r="1284" customFormat="false" ht="15" hidden="false" customHeight="false" outlineLevel="0" collapsed="false">
      <c r="A1284" s="16" t="n">
        <v>43256</v>
      </c>
      <c r="B1284" s="17" t="n">
        <v>7612.51</v>
      </c>
    </row>
    <row r="1285" customFormat="false" ht="15" hidden="false" customHeight="false" outlineLevel="0" collapsed="false">
      <c r="A1285" s="16" t="n">
        <v>43257</v>
      </c>
      <c r="B1285" s="17" t="n">
        <v>7655</v>
      </c>
    </row>
    <row r="1286" customFormat="false" ht="15" hidden="false" customHeight="false" outlineLevel="0" collapsed="false">
      <c r="A1286" s="16" t="n">
        <v>43258</v>
      </c>
      <c r="B1286" s="17" t="n">
        <v>7684.93</v>
      </c>
    </row>
    <row r="1287" customFormat="false" ht="15" hidden="false" customHeight="false" outlineLevel="0" collapsed="false">
      <c r="A1287" s="16" t="n">
        <v>43259</v>
      </c>
      <c r="B1287" s="17" t="n">
        <v>7618.83</v>
      </c>
    </row>
    <row r="1288" customFormat="false" ht="15" hidden="false" customHeight="false" outlineLevel="0" collapsed="false">
      <c r="A1288" s="16" t="n">
        <v>43260</v>
      </c>
      <c r="B1288" s="17" t="n">
        <v>7496.4</v>
      </c>
    </row>
    <row r="1289" customFormat="false" ht="15" hidden="false" customHeight="false" outlineLevel="0" collapsed="false">
      <c r="A1289" s="16" t="n">
        <v>43261</v>
      </c>
      <c r="B1289" s="17" t="n">
        <v>6770.31</v>
      </c>
    </row>
    <row r="1290" customFormat="false" ht="15" hidden="false" customHeight="false" outlineLevel="0" collapsed="false">
      <c r="A1290" s="16" t="n">
        <v>43262</v>
      </c>
      <c r="B1290" s="17" t="n">
        <v>6881</v>
      </c>
    </row>
    <row r="1291" customFormat="false" ht="15" hidden="false" customHeight="false" outlineLevel="0" collapsed="false">
      <c r="A1291" s="16" t="n">
        <v>43263</v>
      </c>
      <c r="B1291" s="17" t="n">
        <v>6544.99</v>
      </c>
    </row>
    <row r="1292" customFormat="false" ht="15" hidden="false" customHeight="false" outlineLevel="0" collapsed="false">
      <c r="A1292" s="16" t="n">
        <v>43264</v>
      </c>
      <c r="B1292" s="17" t="n">
        <v>6302.32</v>
      </c>
    </row>
    <row r="1293" customFormat="false" ht="15" hidden="false" customHeight="false" outlineLevel="0" collapsed="false">
      <c r="A1293" s="16" t="n">
        <v>43265</v>
      </c>
      <c r="B1293" s="17" t="n">
        <v>6638.49</v>
      </c>
    </row>
    <row r="1294" customFormat="false" ht="15" hidden="false" customHeight="false" outlineLevel="0" collapsed="false">
      <c r="A1294" s="16" t="n">
        <v>43266</v>
      </c>
      <c r="B1294" s="17" t="n">
        <v>6391.22</v>
      </c>
    </row>
    <row r="1295" customFormat="false" ht="15" hidden="false" customHeight="false" outlineLevel="0" collapsed="false">
      <c r="A1295" s="16" t="n">
        <v>43267</v>
      </c>
      <c r="B1295" s="17" t="n">
        <v>6484.29</v>
      </c>
    </row>
    <row r="1296" customFormat="false" ht="15" hidden="false" customHeight="false" outlineLevel="0" collapsed="false">
      <c r="A1296" s="16" t="n">
        <v>43268</v>
      </c>
      <c r="B1296" s="17" t="n">
        <v>6447.16</v>
      </c>
    </row>
    <row r="1297" customFormat="false" ht="15" hidden="false" customHeight="false" outlineLevel="0" collapsed="false">
      <c r="A1297" s="16" t="n">
        <v>43269</v>
      </c>
      <c r="B1297" s="17" t="n">
        <v>6709.02</v>
      </c>
    </row>
    <row r="1298" customFormat="false" ht="15" hidden="false" customHeight="false" outlineLevel="0" collapsed="false">
      <c r="A1298" s="16" t="n">
        <v>43270</v>
      </c>
      <c r="B1298" s="17" t="n">
        <v>6736.41</v>
      </c>
    </row>
    <row r="1299" customFormat="false" ht="15" hidden="false" customHeight="false" outlineLevel="0" collapsed="false">
      <c r="A1299" s="16" t="n">
        <v>43271</v>
      </c>
      <c r="B1299" s="17" t="n">
        <v>6756.1</v>
      </c>
    </row>
    <row r="1300" customFormat="false" ht="15" hidden="false" customHeight="false" outlineLevel="0" collapsed="false">
      <c r="A1300" s="16" t="n">
        <v>43272</v>
      </c>
      <c r="B1300" s="17" t="n">
        <v>6719.01</v>
      </c>
    </row>
    <row r="1301" customFormat="false" ht="15" hidden="false" customHeight="false" outlineLevel="0" collapsed="false">
      <c r="A1301" s="16" t="n">
        <v>43273</v>
      </c>
      <c r="B1301" s="17" t="n">
        <v>6059.82</v>
      </c>
    </row>
    <row r="1302" customFormat="false" ht="15" hidden="false" customHeight="false" outlineLevel="0" collapsed="false">
      <c r="A1302" s="16" t="n">
        <v>43274</v>
      </c>
      <c r="B1302" s="17" t="n">
        <v>6178.29</v>
      </c>
    </row>
    <row r="1303" customFormat="false" ht="15" hidden="false" customHeight="false" outlineLevel="0" collapsed="false">
      <c r="A1303" s="16" t="n">
        <v>43275</v>
      </c>
      <c r="B1303" s="17" t="n">
        <v>6149.99</v>
      </c>
    </row>
    <row r="1304" customFormat="false" ht="15" hidden="false" customHeight="false" outlineLevel="0" collapsed="false">
      <c r="A1304" s="16" t="n">
        <v>43276</v>
      </c>
      <c r="B1304" s="17" t="n">
        <v>6246.01</v>
      </c>
    </row>
    <row r="1305" customFormat="false" ht="15" hidden="false" customHeight="false" outlineLevel="0" collapsed="false">
      <c r="A1305" s="16" t="n">
        <v>43277</v>
      </c>
      <c r="B1305" s="17" t="n">
        <v>6074</v>
      </c>
    </row>
    <row r="1306" customFormat="false" ht="15" hidden="false" customHeight="false" outlineLevel="0" collapsed="false">
      <c r="A1306" s="16" t="n">
        <v>43278</v>
      </c>
      <c r="B1306" s="17" t="n">
        <v>6132.17</v>
      </c>
    </row>
    <row r="1307" customFormat="false" ht="15" hidden="false" customHeight="false" outlineLevel="0" collapsed="false">
      <c r="A1307" s="16" t="n">
        <v>43279</v>
      </c>
      <c r="B1307" s="17" t="n">
        <v>5851.66</v>
      </c>
    </row>
    <row r="1308" customFormat="false" ht="15" hidden="false" customHeight="false" outlineLevel="0" collapsed="false">
      <c r="A1308" s="16" t="n">
        <v>43280</v>
      </c>
      <c r="B1308" s="17" t="n">
        <v>6202.36</v>
      </c>
    </row>
    <row r="1309" customFormat="false" ht="15" hidden="false" customHeight="false" outlineLevel="0" collapsed="false">
      <c r="A1309" s="16" t="n">
        <v>43281</v>
      </c>
      <c r="B1309" s="17" t="n">
        <v>6383.19</v>
      </c>
    </row>
    <row r="1310" customFormat="false" ht="15" hidden="false" customHeight="false" outlineLevel="0" collapsed="false">
      <c r="A1310" s="16" t="n">
        <v>43282</v>
      </c>
      <c r="B1310" s="17" t="n">
        <v>6349.5</v>
      </c>
    </row>
    <row r="1311" customFormat="false" ht="15" hidden="false" customHeight="false" outlineLevel="0" collapsed="false">
      <c r="A1311" s="16" t="n">
        <v>43283</v>
      </c>
      <c r="B1311" s="17" t="n">
        <v>6611.79</v>
      </c>
    </row>
    <row r="1312" customFormat="false" ht="15" hidden="false" customHeight="false" outlineLevel="0" collapsed="false">
      <c r="A1312" s="16" t="n">
        <v>43284</v>
      </c>
      <c r="B1312" s="17" t="n">
        <v>6502.62</v>
      </c>
    </row>
    <row r="1313" customFormat="false" ht="15" hidden="false" customHeight="false" outlineLevel="0" collapsed="false">
      <c r="A1313" s="16" t="n">
        <v>43285</v>
      </c>
      <c r="B1313" s="17" t="n">
        <v>6587.47</v>
      </c>
    </row>
    <row r="1314" customFormat="false" ht="15" hidden="false" customHeight="false" outlineLevel="0" collapsed="false">
      <c r="A1314" s="16" t="n">
        <v>43286</v>
      </c>
      <c r="B1314" s="17" t="n">
        <v>6532.95</v>
      </c>
    </row>
    <row r="1315" customFormat="false" ht="15" hidden="false" customHeight="false" outlineLevel="0" collapsed="false">
      <c r="A1315" s="16" t="n">
        <v>43287</v>
      </c>
      <c r="B1315" s="17" t="n">
        <v>6600</v>
      </c>
    </row>
    <row r="1316" customFormat="false" ht="15" hidden="false" customHeight="false" outlineLevel="0" collapsed="false">
      <c r="A1316" s="16" t="n">
        <v>43288</v>
      </c>
      <c r="B1316" s="17" t="n">
        <v>6753.28</v>
      </c>
    </row>
    <row r="1317" customFormat="false" ht="15" hidden="false" customHeight="false" outlineLevel="0" collapsed="false">
      <c r="A1317" s="16" t="n">
        <v>43289</v>
      </c>
      <c r="B1317" s="17" t="n">
        <v>6701.97</v>
      </c>
    </row>
    <row r="1318" customFormat="false" ht="15" hidden="false" customHeight="false" outlineLevel="0" collapsed="false">
      <c r="A1318" s="16" t="n">
        <v>43290</v>
      </c>
      <c r="B1318" s="17" t="n">
        <v>6664.01</v>
      </c>
    </row>
    <row r="1319" customFormat="false" ht="15" hidden="false" customHeight="false" outlineLevel="0" collapsed="false">
      <c r="A1319" s="16" t="n">
        <v>43291</v>
      </c>
      <c r="B1319" s="17" t="n">
        <v>6303.7</v>
      </c>
    </row>
    <row r="1320" customFormat="false" ht="15" hidden="false" customHeight="false" outlineLevel="0" collapsed="false">
      <c r="A1320" s="16" t="n">
        <v>43292</v>
      </c>
      <c r="B1320" s="17" t="n">
        <v>6390.04</v>
      </c>
    </row>
    <row r="1321" customFormat="false" ht="15" hidden="false" customHeight="false" outlineLevel="0" collapsed="false">
      <c r="A1321" s="16" t="n">
        <v>43293</v>
      </c>
      <c r="B1321" s="17" t="n">
        <v>6249.75</v>
      </c>
    </row>
    <row r="1322" customFormat="false" ht="15" hidden="false" customHeight="false" outlineLevel="0" collapsed="false">
      <c r="A1322" s="16" t="n">
        <v>43294</v>
      </c>
      <c r="B1322" s="17" t="n">
        <v>6216.29</v>
      </c>
    </row>
    <row r="1323" customFormat="false" ht="15" hidden="false" customHeight="false" outlineLevel="0" collapsed="false">
      <c r="A1323" s="16" t="n">
        <v>43295</v>
      </c>
      <c r="B1323" s="17" t="n">
        <v>6248.65</v>
      </c>
    </row>
    <row r="1324" customFormat="false" ht="15" hidden="false" customHeight="false" outlineLevel="0" collapsed="false">
      <c r="A1324" s="16" t="n">
        <v>43296</v>
      </c>
      <c r="B1324" s="17" t="n">
        <v>6348.73</v>
      </c>
    </row>
    <row r="1325" customFormat="false" ht="15" hidden="false" customHeight="false" outlineLevel="0" collapsed="false">
      <c r="A1325" s="16" t="n">
        <v>43297</v>
      </c>
      <c r="B1325" s="17" t="n">
        <v>6728.81</v>
      </c>
    </row>
    <row r="1326" customFormat="false" ht="15" hidden="false" customHeight="false" outlineLevel="0" collapsed="false">
      <c r="A1326" s="16" t="n">
        <v>43298</v>
      </c>
      <c r="B1326" s="17" t="n">
        <v>7315.01</v>
      </c>
    </row>
    <row r="1327" customFormat="false" ht="15" hidden="false" customHeight="false" outlineLevel="0" collapsed="false">
      <c r="A1327" s="16" t="n">
        <v>43299</v>
      </c>
      <c r="B1327" s="17" t="n">
        <v>7378.99</v>
      </c>
    </row>
    <row r="1328" customFormat="false" ht="15" hidden="false" customHeight="false" outlineLevel="0" collapsed="false">
      <c r="A1328" s="16" t="n">
        <v>43300</v>
      </c>
      <c r="B1328" s="17" t="n">
        <v>7470.01</v>
      </c>
    </row>
    <row r="1329" customFormat="false" ht="15" hidden="false" customHeight="false" outlineLevel="0" collapsed="false">
      <c r="A1329" s="16" t="n">
        <v>43301</v>
      </c>
      <c r="B1329" s="17" t="n">
        <v>7334.46</v>
      </c>
    </row>
    <row r="1330" customFormat="false" ht="15" hidden="false" customHeight="false" outlineLevel="0" collapsed="false">
      <c r="A1330" s="16" t="n">
        <v>43302</v>
      </c>
      <c r="B1330" s="17" t="n">
        <v>7408</v>
      </c>
    </row>
    <row r="1331" customFormat="false" ht="15" hidden="false" customHeight="false" outlineLevel="0" collapsed="false">
      <c r="A1331" s="16" t="n">
        <v>43303</v>
      </c>
      <c r="B1331" s="17" t="n">
        <v>7397.8</v>
      </c>
    </row>
    <row r="1332" customFormat="false" ht="15" hidden="false" customHeight="false" outlineLevel="0" collapsed="false">
      <c r="A1332" s="16" t="n">
        <v>43304</v>
      </c>
      <c r="B1332" s="17" t="n">
        <v>7720.09</v>
      </c>
    </row>
    <row r="1333" customFormat="false" ht="15" hidden="false" customHeight="false" outlineLevel="0" collapsed="false">
      <c r="A1333" s="16" t="n">
        <v>43305</v>
      </c>
      <c r="B1333" s="17" t="n">
        <v>8385.5</v>
      </c>
    </row>
    <row r="1334" customFormat="false" ht="15" hidden="false" customHeight="false" outlineLevel="0" collapsed="false">
      <c r="A1334" s="16" t="n">
        <v>43306</v>
      </c>
      <c r="B1334" s="17" t="n">
        <v>8157.15</v>
      </c>
    </row>
    <row r="1335" customFormat="false" ht="15" hidden="false" customHeight="false" outlineLevel="0" collapsed="false">
      <c r="A1335" s="16" t="n">
        <v>43307</v>
      </c>
      <c r="B1335" s="17" t="n">
        <v>7931.99</v>
      </c>
    </row>
    <row r="1336" customFormat="false" ht="15" hidden="false" customHeight="false" outlineLevel="0" collapsed="false">
      <c r="A1336" s="16" t="n">
        <v>43308</v>
      </c>
      <c r="B1336" s="17" t="n">
        <v>8184.21</v>
      </c>
    </row>
    <row r="1337" customFormat="false" ht="15" hidden="false" customHeight="false" outlineLevel="0" collapsed="false">
      <c r="A1337" s="16" t="n">
        <v>43309</v>
      </c>
      <c r="B1337" s="17" t="n">
        <v>8228.9</v>
      </c>
    </row>
    <row r="1338" customFormat="false" ht="15" hidden="false" customHeight="false" outlineLevel="0" collapsed="false">
      <c r="A1338" s="16" t="n">
        <v>43310</v>
      </c>
      <c r="B1338" s="17" t="n">
        <v>8216.34</v>
      </c>
    </row>
    <row r="1339" customFormat="false" ht="15" hidden="false" customHeight="false" outlineLevel="0" collapsed="false">
      <c r="A1339" s="16" t="n">
        <v>43311</v>
      </c>
      <c r="B1339" s="17" t="n">
        <v>8170.01</v>
      </c>
    </row>
    <row r="1340" customFormat="false" ht="15" hidden="false" customHeight="false" outlineLevel="0" collapsed="false">
      <c r="A1340" s="16" t="n">
        <v>43312</v>
      </c>
      <c r="B1340" s="17" t="n">
        <v>7727.27</v>
      </c>
    </row>
    <row r="1341" customFormat="false" ht="15" hidden="false" customHeight="false" outlineLevel="0" collapsed="false">
      <c r="A1341" s="16" t="n">
        <v>43313</v>
      </c>
      <c r="B1341" s="17" t="n">
        <v>7603.99</v>
      </c>
    </row>
    <row r="1342" customFormat="false" ht="15" hidden="false" customHeight="false" outlineLevel="0" collapsed="false">
      <c r="A1342" s="16" t="n">
        <v>43314</v>
      </c>
      <c r="B1342" s="17" t="n">
        <v>7533.92</v>
      </c>
    </row>
    <row r="1343" customFormat="false" ht="15" hidden="false" customHeight="false" outlineLevel="0" collapsed="false">
      <c r="A1343" s="16" t="n">
        <v>43315</v>
      </c>
      <c r="B1343" s="17" t="n">
        <v>7414.08</v>
      </c>
    </row>
    <row r="1344" customFormat="false" ht="15" hidden="false" customHeight="false" outlineLevel="0" collapsed="false">
      <c r="A1344" s="16" t="n">
        <v>43316</v>
      </c>
      <c r="B1344" s="17" t="n">
        <v>7005</v>
      </c>
    </row>
    <row r="1345" customFormat="false" ht="15" hidden="false" customHeight="false" outlineLevel="0" collapsed="false">
      <c r="A1345" s="16" t="n">
        <v>43317</v>
      </c>
      <c r="B1345" s="17" t="n">
        <v>7030.01</v>
      </c>
    </row>
    <row r="1346" customFormat="false" ht="15" hidden="false" customHeight="false" outlineLevel="0" collapsed="false">
      <c r="A1346" s="16" t="n">
        <v>43318</v>
      </c>
      <c r="B1346" s="17" t="n">
        <v>6938</v>
      </c>
    </row>
    <row r="1347" customFormat="false" ht="15" hidden="false" customHeight="false" outlineLevel="0" collapsed="false">
      <c r="A1347" s="16" t="n">
        <v>43319</v>
      </c>
      <c r="B1347" s="17" t="n">
        <v>6718.22</v>
      </c>
    </row>
    <row r="1348" customFormat="false" ht="15" hidden="false" customHeight="false" outlineLevel="0" collapsed="false">
      <c r="A1348" s="16" t="n">
        <v>43320</v>
      </c>
      <c r="B1348" s="17" t="n">
        <v>6282.5</v>
      </c>
    </row>
    <row r="1349" customFormat="false" ht="15" hidden="false" customHeight="false" outlineLevel="0" collapsed="false">
      <c r="A1349" s="16" t="n">
        <v>43321</v>
      </c>
      <c r="B1349" s="17" t="n">
        <v>6546.45</v>
      </c>
    </row>
    <row r="1350" customFormat="false" ht="15" hidden="false" customHeight="false" outlineLevel="0" collapsed="false">
      <c r="A1350" s="16" t="n">
        <v>43322</v>
      </c>
      <c r="B1350" s="17" t="n">
        <v>6146.01</v>
      </c>
    </row>
    <row r="1351" customFormat="false" ht="15" hidden="false" customHeight="false" outlineLevel="0" collapsed="false">
      <c r="A1351" s="16" t="n">
        <v>43323</v>
      </c>
      <c r="B1351" s="17" t="n">
        <v>6235.56</v>
      </c>
    </row>
    <row r="1352" customFormat="false" ht="15" hidden="false" customHeight="false" outlineLevel="0" collapsed="false">
      <c r="A1352" s="16" t="n">
        <v>43324</v>
      </c>
      <c r="B1352" s="17" t="n">
        <v>6316.01</v>
      </c>
    </row>
    <row r="1353" customFormat="false" ht="15" hidden="false" customHeight="false" outlineLevel="0" collapsed="false">
      <c r="A1353" s="16" t="n">
        <v>43325</v>
      </c>
      <c r="B1353" s="17" t="n">
        <v>6253.67</v>
      </c>
    </row>
    <row r="1354" customFormat="false" ht="15" hidden="false" customHeight="false" outlineLevel="0" collapsed="false">
      <c r="A1354" s="16" t="n">
        <v>43326</v>
      </c>
      <c r="B1354" s="17" t="n">
        <v>6195.01</v>
      </c>
    </row>
    <row r="1355" customFormat="false" ht="15" hidden="false" customHeight="false" outlineLevel="0" collapsed="false">
      <c r="A1355" s="16" t="n">
        <v>43327</v>
      </c>
      <c r="B1355" s="17" t="n">
        <v>6269.01</v>
      </c>
    </row>
    <row r="1356" customFormat="false" ht="15" hidden="false" customHeight="false" outlineLevel="0" collapsed="false">
      <c r="A1356" s="16" t="n">
        <v>43328</v>
      </c>
      <c r="B1356" s="17" t="n">
        <v>6315.9</v>
      </c>
    </row>
    <row r="1357" customFormat="false" ht="15" hidden="false" customHeight="false" outlineLevel="0" collapsed="false">
      <c r="A1357" s="16" t="n">
        <v>43329</v>
      </c>
      <c r="B1357" s="17" t="n">
        <v>6585.49</v>
      </c>
    </row>
    <row r="1358" customFormat="false" ht="15" hidden="false" customHeight="false" outlineLevel="0" collapsed="false">
      <c r="A1358" s="16" t="n">
        <v>43330</v>
      </c>
      <c r="B1358" s="17" t="n">
        <v>6396.64</v>
      </c>
    </row>
    <row r="1359" customFormat="false" ht="15" hidden="false" customHeight="false" outlineLevel="0" collapsed="false">
      <c r="A1359" s="16" t="n">
        <v>43331</v>
      </c>
      <c r="B1359" s="17" t="n">
        <v>6489.53</v>
      </c>
    </row>
    <row r="1360" customFormat="false" ht="15" hidden="false" customHeight="false" outlineLevel="0" collapsed="false">
      <c r="A1360" s="16" t="n">
        <v>43332</v>
      </c>
      <c r="B1360" s="17" t="n">
        <v>6258.74</v>
      </c>
    </row>
    <row r="1361" customFormat="false" ht="15" hidden="false" customHeight="false" outlineLevel="0" collapsed="false">
      <c r="A1361" s="16" t="n">
        <v>43333</v>
      </c>
      <c r="B1361" s="17" t="n">
        <v>6475.89</v>
      </c>
    </row>
    <row r="1362" customFormat="false" ht="15" hidden="false" customHeight="false" outlineLevel="0" collapsed="false">
      <c r="A1362" s="16" t="n">
        <v>43334</v>
      </c>
      <c r="B1362" s="17" t="n">
        <v>6359.99</v>
      </c>
    </row>
    <row r="1363" customFormat="false" ht="15" hidden="false" customHeight="false" outlineLevel="0" collapsed="false">
      <c r="A1363" s="16" t="n">
        <v>43335</v>
      </c>
      <c r="B1363" s="17" t="n">
        <v>6526.36</v>
      </c>
    </row>
    <row r="1364" customFormat="false" ht="15" hidden="false" customHeight="false" outlineLevel="0" collapsed="false">
      <c r="A1364" s="16" t="n">
        <v>43336</v>
      </c>
      <c r="B1364" s="17" t="n">
        <v>6690.88</v>
      </c>
    </row>
    <row r="1365" customFormat="false" ht="15" hidden="false" customHeight="false" outlineLevel="0" collapsed="false">
      <c r="A1365" s="16" t="n">
        <v>43337</v>
      </c>
      <c r="B1365" s="17" t="n">
        <v>6737.52</v>
      </c>
    </row>
    <row r="1366" customFormat="false" ht="15" hidden="false" customHeight="false" outlineLevel="0" collapsed="false">
      <c r="A1366" s="16" t="n">
        <v>43338</v>
      </c>
      <c r="B1366" s="17" t="n">
        <v>6709.98</v>
      </c>
    </row>
    <row r="1367" customFormat="false" ht="15" hidden="false" customHeight="false" outlineLevel="0" collapsed="false">
      <c r="A1367" s="16" t="n">
        <v>43339</v>
      </c>
      <c r="B1367" s="17" t="n">
        <v>6911.9</v>
      </c>
    </row>
    <row r="1368" customFormat="false" ht="15" hidden="false" customHeight="false" outlineLevel="0" collapsed="false">
      <c r="A1368" s="16" t="n">
        <v>43340</v>
      </c>
      <c r="B1368" s="17" t="n">
        <v>7071.01</v>
      </c>
    </row>
    <row r="1369" customFormat="false" ht="15" hidden="false" customHeight="false" outlineLevel="0" collapsed="false">
      <c r="A1369" s="16" t="n">
        <v>43341</v>
      </c>
      <c r="B1369" s="17" t="n">
        <v>7030.9</v>
      </c>
    </row>
    <row r="1370" customFormat="false" ht="15" hidden="false" customHeight="false" outlineLevel="0" collapsed="false">
      <c r="A1370" s="16" t="n">
        <v>43342</v>
      </c>
      <c r="B1370" s="17" t="n">
        <v>6983</v>
      </c>
    </row>
    <row r="1371" customFormat="false" ht="15" hidden="false" customHeight="false" outlineLevel="0" collapsed="false">
      <c r="A1371" s="16" t="n">
        <v>43343</v>
      </c>
      <c r="B1371" s="17" t="n">
        <v>7015.01</v>
      </c>
    </row>
    <row r="1372" customFormat="false" ht="15" hidden="false" customHeight="false" outlineLevel="0" collapsed="false">
      <c r="A1372" s="16" t="n">
        <v>43344</v>
      </c>
      <c r="B1372" s="17" t="n">
        <v>7191.08</v>
      </c>
    </row>
    <row r="1373" customFormat="false" ht="15" hidden="false" customHeight="false" outlineLevel="0" collapsed="false">
      <c r="A1373" s="16" t="n">
        <v>43345</v>
      </c>
      <c r="B1373" s="17" t="n">
        <v>7295</v>
      </c>
    </row>
    <row r="1374" customFormat="false" ht="15" hidden="false" customHeight="false" outlineLevel="0" collapsed="false">
      <c r="A1374" s="16" t="n">
        <v>43346</v>
      </c>
      <c r="B1374" s="17" t="n">
        <v>7256.98</v>
      </c>
    </row>
    <row r="1375" customFormat="false" ht="15" hidden="false" customHeight="false" outlineLevel="0" collapsed="false">
      <c r="A1375" s="16" t="n">
        <v>43347</v>
      </c>
      <c r="B1375" s="17" t="n">
        <v>7360</v>
      </c>
    </row>
    <row r="1376" customFormat="false" ht="15" hidden="false" customHeight="false" outlineLevel="0" collapsed="false">
      <c r="A1376" s="16" t="n">
        <v>43348</v>
      </c>
      <c r="B1376" s="17" t="n">
        <v>6687.96</v>
      </c>
    </row>
    <row r="1377" customFormat="false" ht="15" hidden="false" customHeight="false" outlineLevel="0" collapsed="false">
      <c r="A1377" s="16" t="n">
        <v>43349</v>
      </c>
      <c r="B1377" s="17" t="n">
        <v>6495</v>
      </c>
    </row>
    <row r="1378" customFormat="false" ht="15" hidden="false" customHeight="false" outlineLevel="0" collapsed="false">
      <c r="A1378" s="16" t="n">
        <v>43350</v>
      </c>
      <c r="B1378" s="17" t="n">
        <v>6395.01</v>
      </c>
    </row>
    <row r="1379" customFormat="false" ht="15" hidden="false" customHeight="false" outlineLevel="0" collapsed="false">
      <c r="A1379" s="16" t="n">
        <v>43351</v>
      </c>
      <c r="B1379" s="17" t="n">
        <v>6188</v>
      </c>
    </row>
    <row r="1380" customFormat="false" ht="15" hidden="false" customHeight="false" outlineLevel="0" collapsed="false">
      <c r="A1380" s="16" t="n">
        <v>43352</v>
      </c>
      <c r="B1380" s="17" t="n">
        <v>6235.01</v>
      </c>
    </row>
    <row r="1381" customFormat="false" ht="15" hidden="false" customHeight="false" outlineLevel="0" collapsed="false">
      <c r="A1381" s="16" t="n">
        <v>43353</v>
      </c>
      <c r="B1381" s="17" t="n">
        <v>6300</v>
      </c>
    </row>
    <row r="1382" customFormat="false" ht="15" hidden="false" customHeight="false" outlineLevel="0" collapsed="false">
      <c r="A1382" s="16" t="n">
        <v>43354</v>
      </c>
      <c r="B1382" s="17" t="n">
        <v>6282.53</v>
      </c>
    </row>
    <row r="1383" customFormat="false" ht="15" hidden="false" customHeight="false" outlineLevel="0" collapsed="false">
      <c r="A1383" s="16" t="n">
        <v>43355</v>
      </c>
      <c r="B1383" s="17" t="n">
        <v>6326</v>
      </c>
    </row>
    <row r="1384" customFormat="false" ht="15" hidden="false" customHeight="false" outlineLevel="0" collapsed="false">
      <c r="A1384" s="16" t="n">
        <v>43356</v>
      </c>
      <c r="B1384" s="17" t="n">
        <v>6485.99</v>
      </c>
    </row>
    <row r="1385" customFormat="false" ht="15" hidden="false" customHeight="false" outlineLevel="0" collapsed="false">
      <c r="A1385" s="16" t="n">
        <v>43357</v>
      </c>
      <c r="B1385" s="17" t="n">
        <v>6478.04</v>
      </c>
    </row>
    <row r="1386" customFormat="false" ht="15" hidden="false" customHeight="false" outlineLevel="0" collapsed="false">
      <c r="A1386" s="16" t="n">
        <v>43358</v>
      </c>
      <c r="B1386" s="17" t="n">
        <v>6518.68</v>
      </c>
    </row>
    <row r="1387" customFormat="false" ht="15" hidden="false" customHeight="false" outlineLevel="0" collapsed="false">
      <c r="A1387" s="16" t="n">
        <v>43359</v>
      </c>
      <c r="B1387" s="17" t="n">
        <v>6498</v>
      </c>
    </row>
    <row r="1388" customFormat="false" ht="15" hidden="false" customHeight="false" outlineLevel="0" collapsed="false">
      <c r="A1388" s="16" t="n">
        <v>43360</v>
      </c>
      <c r="B1388" s="17" t="n">
        <v>6250.7</v>
      </c>
    </row>
    <row r="1389" customFormat="false" ht="15" hidden="false" customHeight="false" outlineLevel="0" collapsed="false">
      <c r="A1389" s="16" t="n">
        <v>43361</v>
      </c>
      <c r="B1389" s="17" t="n">
        <v>6335.7</v>
      </c>
    </row>
    <row r="1390" customFormat="false" ht="15" hidden="false" customHeight="false" outlineLevel="0" collapsed="false">
      <c r="A1390" s="16" t="n">
        <v>43362</v>
      </c>
      <c r="B1390" s="17" t="n">
        <v>6386.94</v>
      </c>
    </row>
    <row r="1391" customFormat="false" ht="15" hidden="false" customHeight="false" outlineLevel="0" collapsed="false">
      <c r="A1391" s="16" t="n">
        <v>43363</v>
      </c>
      <c r="B1391" s="17" t="n">
        <v>6493.11</v>
      </c>
    </row>
    <row r="1392" customFormat="false" ht="15" hidden="false" customHeight="false" outlineLevel="0" collapsed="false">
      <c r="A1392" s="16" t="n">
        <v>43364</v>
      </c>
      <c r="B1392" s="17" t="n">
        <v>6750</v>
      </c>
    </row>
    <row r="1393" customFormat="false" ht="15" hidden="false" customHeight="false" outlineLevel="0" collapsed="false">
      <c r="A1393" s="16" t="n">
        <v>43365</v>
      </c>
      <c r="B1393" s="17" t="n">
        <v>6707.33</v>
      </c>
    </row>
    <row r="1394" customFormat="false" ht="15" hidden="false" customHeight="false" outlineLevel="0" collapsed="false">
      <c r="A1394" s="16" t="n">
        <v>43366</v>
      </c>
      <c r="B1394" s="17" t="n">
        <v>6696.99</v>
      </c>
    </row>
    <row r="1395" customFormat="false" ht="15" hidden="false" customHeight="false" outlineLevel="0" collapsed="false">
      <c r="A1395" s="16" t="n">
        <v>43367</v>
      </c>
      <c r="B1395" s="17" t="n">
        <v>6582.09</v>
      </c>
    </row>
    <row r="1396" customFormat="false" ht="15" hidden="false" customHeight="false" outlineLevel="0" collapsed="false">
      <c r="A1396" s="16" t="n">
        <v>43368</v>
      </c>
      <c r="B1396" s="17" t="n">
        <v>6436.89</v>
      </c>
    </row>
    <row r="1397" customFormat="false" ht="15" hidden="false" customHeight="false" outlineLevel="0" collapsed="false">
      <c r="A1397" s="16" t="n">
        <v>43369</v>
      </c>
      <c r="B1397" s="17" t="n">
        <v>6455.66</v>
      </c>
    </row>
    <row r="1398" customFormat="false" ht="15" hidden="false" customHeight="false" outlineLevel="0" collapsed="false">
      <c r="A1398" s="16" t="n">
        <v>43370</v>
      </c>
      <c r="B1398" s="17" t="n">
        <v>6680.01</v>
      </c>
    </row>
    <row r="1399" customFormat="false" ht="15" hidden="false" customHeight="false" outlineLevel="0" collapsed="false">
      <c r="A1399" s="16" t="n">
        <v>43371</v>
      </c>
      <c r="B1399" s="17" t="n">
        <v>6620.01</v>
      </c>
    </row>
    <row r="1400" customFormat="false" ht="15" hidden="false" customHeight="false" outlineLevel="0" collapsed="false">
      <c r="A1400" s="16" t="n">
        <v>43372</v>
      </c>
      <c r="B1400" s="17" t="n">
        <v>6581</v>
      </c>
    </row>
    <row r="1401" customFormat="false" ht="15" hidden="false" customHeight="false" outlineLevel="0" collapsed="false">
      <c r="A1401" s="16" t="n">
        <v>43373</v>
      </c>
      <c r="B1401" s="17" t="n">
        <v>6605</v>
      </c>
    </row>
    <row r="1402" customFormat="false" ht="15" hidden="false" customHeight="false" outlineLevel="0" collapsed="false">
      <c r="A1402" s="16" t="n">
        <v>43374</v>
      </c>
      <c r="B1402" s="17" t="n">
        <v>6572.83</v>
      </c>
    </row>
    <row r="1403" customFormat="false" ht="15" hidden="false" customHeight="false" outlineLevel="0" collapsed="false">
      <c r="A1403" s="16" t="n">
        <v>43375</v>
      </c>
      <c r="B1403" s="17" t="n">
        <v>6498.46</v>
      </c>
    </row>
    <row r="1404" customFormat="false" ht="15" hidden="false" customHeight="false" outlineLevel="0" collapsed="false">
      <c r="A1404" s="16" t="n">
        <v>43376</v>
      </c>
      <c r="B1404" s="17" t="n">
        <v>6466.03</v>
      </c>
    </row>
    <row r="1405" customFormat="false" ht="15" hidden="false" customHeight="false" outlineLevel="0" collapsed="false">
      <c r="A1405" s="16" t="n">
        <v>43377</v>
      </c>
      <c r="B1405" s="17" t="n">
        <v>6547.45</v>
      </c>
    </row>
    <row r="1406" customFormat="false" ht="15" hidden="false" customHeight="false" outlineLevel="0" collapsed="false">
      <c r="A1406" s="16" t="n">
        <v>43378</v>
      </c>
      <c r="B1406" s="17" t="n">
        <v>6593.94</v>
      </c>
    </row>
    <row r="1407" customFormat="false" ht="15" hidden="false" customHeight="false" outlineLevel="0" collapsed="false">
      <c r="A1407" s="16" t="n">
        <v>43379</v>
      </c>
      <c r="B1407" s="17" t="n">
        <v>6552.43</v>
      </c>
    </row>
    <row r="1408" customFormat="false" ht="15" hidden="false" customHeight="false" outlineLevel="0" collapsed="false">
      <c r="A1408" s="16" t="n">
        <v>43380</v>
      </c>
      <c r="B1408" s="17" t="n">
        <v>6570</v>
      </c>
    </row>
    <row r="1409" customFormat="false" ht="15" hidden="false" customHeight="false" outlineLevel="0" collapsed="false">
      <c r="A1409" s="16" t="n">
        <v>43381</v>
      </c>
      <c r="B1409" s="17" t="n">
        <v>6608.07</v>
      </c>
    </row>
    <row r="1410" customFormat="false" ht="15" hidden="false" customHeight="false" outlineLevel="0" collapsed="false">
      <c r="A1410" s="16" t="n">
        <v>43382</v>
      </c>
      <c r="B1410" s="17" t="n">
        <v>6589.48</v>
      </c>
    </row>
    <row r="1411" customFormat="false" ht="15" hidden="false" customHeight="false" outlineLevel="0" collapsed="false">
      <c r="A1411" s="16" t="n">
        <v>43383</v>
      </c>
      <c r="B1411" s="17" t="n">
        <v>6524.56</v>
      </c>
    </row>
    <row r="1412" customFormat="false" ht="15" hidden="false" customHeight="false" outlineLevel="0" collapsed="false">
      <c r="A1412" s="16" t="n">
        <v>43384</v>
      </c>
      <c r="B1412" s="17" t="n">
        <v>6154.69</v>
      </c>
    </row>
    <row r="1413" customFormat="false" ht="15" hidden="false" customHeight="false" outlineLevel="0" collapsed="false">
      <c r="A1413" s="16" t="n">
        <v>43385</v>
      </c>
      <c r="B1413" s="17" t="n">
        <v>6188.01</v>
      </c>
    </row>
    <row r="1414" customFormat="false" ht="15" hidden="false" customHeight="false" outlineLevel="0" collapsed="false">
      <c r="A1414" s="16" t="n">
        <v>43386</v>
      </c>
      <c r="B1414" s="17" t="n">
        <v>6196</v>
      </c>
    </row>
    <row r="1415" customFormat="false" ht="15" hidden="false" customHeight="false" outlineLevel="0" collapsed="false">
      <c r="A1415" s="16" t="n">
        <v>43387</v>
      </c>
      <c r="B1415" s="17" t="n">
        <v>6183.49</v>
      </c>
    </row>
    <row r="1416" customFormat="false" ht="15" hidden="false" customHeight="false" outlineLevel="0" collapsed="false">
      <c r="A1416" s="16" t="n">
        <v>43388</v>
      </c>
      <c r="B1416" s="17" t="n">
        <v>6440.42</v>
      </c>
    </row>
    <row r="1417" customFormat="false" ht="15" hidden="false" customHeight="false" outlineLevel="0" collapsed="false">
      <c r="A1417" s="16" t="n">
        <v>43389</v>
      </c>
      <c r="B1417" s="17" t="n">
        <v>6457.11</v>
      </c>
    </row>
    <row r="1418" customFormat="false" ht="15" hidden="false" customHeight="false" outlineLevel="0" collapsed="false">
      <c r="A1418" s="16" t="n">
        <v>43390</v>
      </c>
      <c r="B1418" s="17" t="n">
        <v>6443.7</v>
      </c>
    </row>
    <row r="1419" customFormat="false" ht="15" hidden="false" customHeight="false" outlineLevel="0" collapsed="false">
      <c r="A1419" s="16" t="n">
        <v>43391</v>
      </c>
      <c r="B1419" s="17" t="n">
        <v>6394.96</v>
      </c>
    </row>
    <row r="1420" customFormat="false" ht="15" hidden="false" customHeight="false" outlineLevel="0" collapsed="false">
      <c r="A1420" s="16" t="n">
        <v>43392</v>
      </c>
      <c r="B1420" s="17" t="n">
        <v>6382.99</v>
      </c>
    </row>
    <row r="1421" customFormat="false" ht="15" hidden="false" customHeight="false" outlineLevel="0" collapsed="false">
      <c r="A1421" s="16" t="n">
        <v>43393</v>
      </c>
      <c r="B1421" s="17" t="n">
        <v>6414</v>
      </c>
    </row>
    <row r="1422" customFormat="false" ht="15" hidden="false" customHeight="false" outlineLevel="0" collapsed="false">
      <c r="A1422" s="16" t="n">
        <v>43394</v>
      </c>
      <c r="B1422" s="17" t="n">
        <v>6415.88</v>
      </c>
    </row>
    <row r="1423" customFormat="false" ht="15" hidden="false" customHeight="false" outlineLevel="0" collapsed="false">
      <c r="A1423" s="16" t="n">
        <v>43395</v>
      </c>
      <c r="B1423" s="17" t="n">
        <v>6407.65</v>
      </c>
    </row>
    <row r="1424" customFormat="false" ht="15" hidden="false" customHeight="false" outlineLevel="0" collapsed="false">
      <c r="A1424" s="16" t="n">
        <v>43396</v>
      </c>
      <c r="B1424" s="17" t="n">
        <v>6395.14</v>
      </c>
    </row>
    <row r="1425" customFormat="false" ht="15" hidden="false" customHeight="false" outlineLevel="0" collapsed="false">
      <c r="A1425" s="16" t="n">
        <v>43397</v>
      </c>
      <c r="B1425" s="17" t="n">
        <v>6415.98</v>
      </c>
    </row>
    <row r="1426" customFormat="false" ht="15" hidden="false" customHeight="false" outlineLevel="0" collapsed="false">
      <c r="A1426" s="16" t="n">
        <v>43398</v>
      </c>
      <c r="B1426" s="17" t="n">
        <v>6395.58</v>
      </c>
    </row>
    <row r="1427" customFormat="false" ht="15" hidden="false" customHeight="false" outlineLevel="0" collapsed="false">
      <c r="A1427" s="16" t="n">
        <v>43399</v>
      </c>
      <c r="B1427" s="17" t="n">
        <v>6404.87</v>
      </c>
    </row>
    <row r="1428" customFormat="false" ht="15" hidden="false" customHeight="false" outlineLevel="0" collapsed="false">
      <c r="A1428" s="16" t="n">
        <v>43400</v>
      </c>
      <c r="B1428" s="17" t="n">
        <v>6409.12</v>
      </c>
    </row>
    <row r="1429" customFormat="false" ht="15" hidden="false" customHeight="false" outlineLevel="0" collapsed="false">
      <c r="A1429" s="16" t="n">
        <v>43401</v>
      </c>
      <c r="B1429" s="17" t="n">
        <v>6403.62</v>
      </c>
    </row>
    <row r="1430" customFormat="false" ht="15" hidden="false" customHeight="false" outlineLevel="0" collapsed="false">
      <c r="A1430" s="16" t="n">
        <v>43402</v>
      </c>
      <c r="B1430" s="17" t="n">
        <v>6266</v>
      </c>
    </row>
    <row r="1431" customFormat="false" ht="15" hidden="false" customHeight="false" outlineLevel="0" collapsed="false">
      <c r="A1431" s="16" t="n">
        <v>43403</v>
      </c>
      <c r="B1431" s="17" t="n">
        <v>6267.63</v>
      </c>
    </row>
    <row r="1432" customFormat="false" ht="15" hidden="false" customHeight="false" outlineLevel="0" collapsed="false">
      <c r="A1432" s="16" t="n">
        <v>43404</v>
      </c>
      <c r="B1432" s="17" t="n">
        <v>6304.18</v>
      </c>
    </row>
    <row r="1433" customFormat="false" ht="15" hidden="false" customHeight="false" outlineLevel="0" collapsed="false">
      <c r="A1433" s="16" t="n">
        <v>43405</v>
      </c>
      <c r="B1433" s="17" t="n">
        <v>6344</v>
      </c>
    </row>
    <row r="1434" customFormat="false" ht="15" hidden="false" customHeight="false" outlineLevel="0" collapsed="false">
      <c r="A1434" s="16" t="n">
        <v>43406</v>
      </c>
      <c r="B1434" s="17" t="n">
        <v>6349.8</v>
      </c>
    </row>
    <row r="1435" customFormat="false" ht="15" hidden="false" customHeight="false" outlineLevel="0" collapsed="false">
      <c r="A1435" s="16" t="n">
        <v>43407</v>
      </c>
      <c r="B1435" s="17" t="n">
        <v>6331.96</v>
      </c>
    </row>
    <row r="1436" customFormat="false" ht="15" hidden="false" customHeight="false" outlineLevel="0" collapsed="false">
      <c r="A1436" s="16" t="n">
        <v>43408</v>
      </c>
      <c r="B1436" s="17" t="n">
        <v>6423.28</v>
      </c>
    </row>
    <row r="1437" customFormat="false" ht="15" hidden="false" customHeight="false" outlineLevel="0" collapsed="false">
      <c r="A1437" s="16" t="n">
        <v>43409</v>
      </c>
      <c r="B1437" s="17" t="n">
        <v>6404</v>
      </c>
    </row>
    <row r="1438" customFormat="false" ht="15" hidden="false" customHeight="false" outlineLevel="0" collapsed="false">
      <c r="A1438" s="16" t="n">
        <v>43410</v>
      </c>
      <c r="B1438" s="17" t="n">
        <v>6448.5</v>
      </c>
    </row>
    <row r="1439" customFormat="false" ht="15" hidden="false" customHeight="false" outlineLevel="0" collapsed="false">
      <c r="A1439" s="16" t="n">
        <v>43411</v>
      </c>
      <c r="B1439" s="17" t="n">
        <v>6503.12</v>
      </c>
    </row>
    <row r="1440" customFormat="false" ht="15" hidden="false" customHeight="false" outlineLevel="0" collapsed="false">
      <c r="A1440" s="16" t="n">
        <v>43412</v>
      </c>
      <c r="B1440" s="17" t="n">
        <v>6406.24</v>
      </c>
    </row>
    <row r="1441" customFormat="false" ht="15" hidden="false" customHeight="false" outlineLevel="0" collapsed="false">
      <c r="A1441" s="16" t="n">
        <v>43413</v>
      </c>
      <c r="B1441" s="17" t="n">
        <v>6334.89</v>
      </c>
    </row>
    <row r="1442" customFormat="false" ht="15" hidden="false" customHeight="false" outlineLevel="0" collapsed="false">
      <c r="A1442" s="16" t="n">
        <v>43414</v>
      </c>
      <c r="B1442" s="17" t="n">
        <v>6347.42</v>
      </c>
    </row>
    <row r="1443" customFormat="false" ht="15" hidden="false" customHeight="false" outlineLevel="0" collapsed="false">
      <c r="A1443" s="16" t="n">
        <v>43415</v>
      </c>
      <c r="B1443" s="17" t="n">
        <v>6357.6</v>
      </c>
    </row>
    <row r="1444" customFormat="false" ht="15" hidden="false" customHeight="false" outlineLevel="0" collapsed="false">
      <c r="A1444" s="16" t="n">
        <v>43416</v>
      </c>
      <c r="B1444" s="17" t="n">
        <v>6327.87</v>
      </c>
    </row>
    <row r="1445" customFormat="false" ht="15" hidden="false" customHeight="false" outlineLevel="0" collapsed="false">
      <c r="A1445" s="16" t="n">
        <v>43417</v>
      </c>
      <c r="B1445" s="17" t="n">
        <v>6259.34</v>
      </c>
    </row>
    <row r="1446" customFormat="false" ht="15" hidden="false" customHeight="false" outlineLevel="0" collapsed="false">
      <c r="A1446" s="16" t="n">
        <v>43418</v>
      </c>
      <c r="B1446" s="17" t="n">
        <v>5605.46</v>
      </c>
    </row>
    <row r="1447" customFormat="false" ht="15" hidden="false" customHeight="false" outlineLevel="0" collapsed="false">
      <c r="A1447" s="16" t="n">
        <v>43419</v>
      </c>
      <c r="B1447" s="17" t="n">
        <v>5579.52</v>
      </c>
    </row>
    <row r="1448" customFormat="false" ht="15" hidden="false" customHeight="false" outlineLevel="0" collapsed="false">
      <c r="A1448" s="16" t="n">
        <v>43420</v>
      </c>
      <c r="B1448" s="17" t="n">
        <v>5512.24</v>
      </c>
    </row>
    <row r="1449" customFormat="false" ht="15" hidden="false" customHeight="false" outlineLevel="0" collapsed="false">
      <c r="A1449" s="16" t="n">
        <v>43421</v>
      </c>
      <c r="B1449" s="17" t="n">
        <v>5504.17</v>
      </c>
    </row>
    <row r="1450" customFormat="false" ht="15" hidden="false" customHeight="false" outlineLevel="0" collapsed="false">
      <c r="A1450" s="16" t="n">
        <v>43422</v>
      </c>
      <c r="B1450" s="17" t="n">
        <v>5560</v>
      </c>
    </row>
    <row r="1451" customFormat="false" ht="15" hidden="false" customHeight="false" outlineLevel="0" collapsed="false">
      <c r="A1451" s="16" t="n">
        <v>43423</v>
      </c>
      <c r="B1451" s="17" t="n">
        <v>4733.5</v>
      </c>
    </row>
    <row r="1452" customFormat="false" ht="15" hidden="false" customHeight="false" outlineLevel="0" collapsed="false">
      <c r="A1452" s="16" t="n">
        <v>43424</v>
      </c>
      <c r="B1452" s="17" t="n">
        <v>4349.23</v>
      </c>
    </row>
    <row r="1453" customFormat="false" ht="15" hidden="false" customHeight="false" outlineLevel="0" collapsed="false">
      <c r="A1453" s="16" t="n">
        <v>43425</v>
      </c>
      <c r="B1453" s="17" t="n">
        <v>4545.11</v>
      </c>
    </row>
    <row r="1454" customFormat="false" ht="15" hidden="false" customHeight="false" outlineLevel="0" collapsed="false">
      <c r="A1454" s="16" t="n">
        <v>43426</v>
      </c>
      <c r="B1454" s="17" t="n">
        <v>4265.36</v>
      </c>
    </row>
    <row r="1455" customFormat="false" ht="15" hidden="false" customHeight="false" outlineLevel="0" collapsed="false">
      <c r="A1455" s="16" t="n">
        <v>43427</v>
      </c>
      <c r="B1455" s="17" t="n">
        <v>4283.8</v>
      </c>
    </row>
    <row r="1456" customFormat="false" ht="15" hidden="false" customHeight="false" outlineLevel="0" collapsed="false">
      <c r="A1456" s="16" t="n">
        <v>43428</v>
      </c>
      <c r="B1456" s="17" t="n">
        <v>3774.99</v>
      </c>
    </row>
    <row r="1457" customFormat="false" ht="15" hidden="false" customHeight="false" outlineLevel="0" collapsed="false">
      <c r="A1457" s="16" t="n">
        <v>43429</v>
      </c>
      <c r="B1457" s="17" t="n">
        <v>3936.69</v>
      </c>
    </row>
    <row r="1458" customFormat="false" ht="15" hidden="false" customHeight="false" outlineLevel="0" collapsed="false">
      <c r="A1458" s="16" t="n">
        <v>43430</v>
      </c>
      <c r="B1458" s="17" t="n">
        <v>3731.32</v>
      </c>
    </row>
    <row r="1459" customFormat="false" ht="15" hidden="false" customHeight="false" outlineLevel="0" collapsed="false">
      <c r="A1459" s="16" t="n">
        <v>43431</v>
      </c>
      <c r="B1459" s="17" t="n">
        <v>3775</v>
      </c>
    </row>
    <row r="1460" customFormat="false" ht="15" hidden="false" customHeight="false" outlineLevel="0" collapsed="false">
      <c r="A1460" s="16" t="n">
        <v>43432</v>
      </c>
      <c r="B1460" s="17" t="n">
        <v>4225.03</v>
      </c>
    </row>
    <row r="1461" customFormat="false" ht="15" hidden="false" customHeight="false" outlineLevel="0" collapsed="false">
      <c r="A1461" s="16" t="n">
        <v>43433</v>
      </c>
      <c r="B1461" s="17" t="n">
        <v>4248</v>
      </c>
    </row>
    <row r="1462" customFormat="false" ht="15" hidden="false" customHeight="false" outlineLevel="0" collapsed="false">
      <c r="A1462" s="16" t="n">
        <v>43434</v>
      </c>
      <c r="B1462" s="17" t="n">
        <v>3976</v>
      </c>
    </row>
    <row r="1463" customFormat="false" ht="15" hidden="false" customHeight="false" outlineLevel="0" collapsed="false">
      <c r="A1463" s="16" t="n">
        <v>43435</v>
      </c>
      <c r="B1463" s="17" t="n">
        <v>4142.01</v>
      </c>
    </row>
    <row r="1464" customFormat="false" ht="15" hidden="false" customHeight="false" outlineLevel="0" collapsed="false">
      <c r="A1464" s="16" t="n">
        <v>43436</v>
      </c>
      <c r="B1464" s="17" t="n">
        <v>4103.19</v>
      </c>
    </row>
    <row r="1465" customFormat="false" ht="15" hidden="false" customHeight="false" outlineLevel="0" collapsed="false">
      <c r="A1465" s="16" t="n">
        <v>43437</v>
      </c>
      <c r="B1465" s="17" t="n">
        <v>3833.47</v>
      </c>
    </row>
    <row r="1466" customFormat="false" ht="15" hidden="false" customHeight="false" outlineLevel="0" collapsed="false">
      <c r="A1466" s="16" t="n">
        <v>43438</v>
      </c>
      <c r="B1466" s="17" t="n">
        <v>3901.84</v>
      </c>
    </row>
    <row r="1467" customFormat="false" ht="15" hidden="false" customHeight="false" outlineLevel="0" collapsed="false">
      <c r="A1467" s="16" t="n">
        <v>43439</v>
      </c>
      <c r="B1467" s="17" t="n">
        <v>3694.39</v>
      </c>
    </row>
    <row r="1468" customFormat="false" ht="15" hidden="false" customHeight="false" outlineLevel="0" collapsed="false">
      <c r="A1468" s="16" t="n">
        <v>43440</v>
      </c>
      <c r="B1468" s="17" t="n">
        <v>3433.26</v>
      </c>
    </row>
    <row r="1469" customFormat="false" ht="15" hidden="false" customHeight="false" outlineLevel="0" collapsed="false">
      <c r="A1469" s="16" t="n">
        <v>43441</v>
      </c>
      <c r="B1469" s="17" t="n">
        <v>3380.01</v>
      </c>
    </row>
    <row r="1470" customFormat="false" ht="15" hidden="false" customHeight="false" outlineLevel="0" collapsed="false">
      <c r="A1470" s="16" t="n">
        <v>43442</v>
      </c>
      <c r="B1470" s="17" t="n">
        <v>3401</v>
      </c>
    </row>
    <row r="1471" customFormat="false" ht="15" hidden="false" customHeight="false" outlineLevel="0" collapsed="false">
      <c r="A1471" s="16" t="n">
        <v>43443</v>
      </c>
      <c r="B1471" s="17" t="n">
        <v>3531.18</v>
      </c>
    </row>
    <row r="1472" customFormat="false" ht="15" hidden="false" customHeight="false" outlineLevel="0" collapsed="false">
      <c r="A1472" s="16" t="n">
        <v>43444</v>
      </c>
      <c r="B1472" s="17" t="n">
        <v>3410.15</v>
      </c>
    </row>
    <row r="1473" customFormat="false" ht="15" hidden="false" customHeight="false" outlineLevel="0" collapsed="false">
      <c r="A1473" s="16" t="n">
        <v>43445</v>
      </c>
      <c r="B1473" s="17" t="n">
        <v>3349.36</v>
      </c>
    </row>
    <row r="1474" customFormat="false" ht="15" hidden="false" customHeight="false" outlineLevel="0" collapsed="false">
      <c r="A1474" s="16" t="n">
        <v>43446</v>
      </c>
      <c r="B1474" s="17" t="n">
        <v>3430.24</v>
      </c>
    </row>
    <row r="1475" customFormat="false" ht="15" hidden="false" customHeight="false" outlineLevel="0" collapsed="false">
      <c r="A1475" s="16" t="n">
        <v>43447</v>
      </c>
      <c r="B1475" s="17" t="n">
        <v>3265</v>
      </c>
    </row>
    <row r="1476" customFormat="false" ht="15" hidden="false" customHeight="false" outlineLevel="0" collapsed="false">
      <c r="A1476" s="16" t="n">
        <v>43448</v>
      </c>
      <c r="B1476" s="17" t="n">
        <v>3195.71</v>
      </c>
    </row>
    <row r="1477" customFormat="false" ht="15" hidden="false" customHeight="false" outlineLevel="0" collapsed="false">
      <c r="A1477" s="16" t="n">
        <v>43449</v>
      </c>
      <c r="B1477" s="17" t="n">
        <v>3183</v>
      </c>
    </row>
    <row r="1478" customFormat="false" ht="15" hidden="false" customHeight="false" outlineLevel="0" collapsed="false">
      <c r="A1478" s="16" t="n">
        <v>43450</v>
      </c>
      <c r="B1478" s="17" t="n">
        <v>3195</v>
      </c>
    </row>
    <row r="1479" customFormat="false" ht="15" hidden="false" customHeight="false" outlineLevel="0" collapsed="false">
      <c r="A1479" s="16" t="n">
        <v>43451</v>
      </c>
      <c r="B1479" s="17" t="n">
        <v>3496.82</v>
      </c>
    </row>
    <row r="1480" customFormat="false" ht="15" hidden="false" customHeight="false" outlineLevel="0" collapsed="false">
      <c r="A1480" s="16" t="n">
        <v>43452</v>
      </c>
      <c r="B1480" s="17" t="n">
        <v>3667.77</v>
      </c>
    </row>
    <row r="1481" customFormat="false" ht="15" hidden="false" customHeight="false" outlineLevel="0" collapsed="false">
      <c r="A1481" s="16" t="n">
        <v>43453</v>
      </c>
      <c r="B1481" s="17" t="n">
        <v>3682.51</v>
      </c>
    </row>
    <row r="1482" customFormat="false" ht="15" hidden="false" customHeight="false" outlineLevel="0" collapsed="false">
      <c r="A1482" s="16" t="n">
        <v>43454</v>
      </c>
      <c r="B1482" s="17" t="n">
        <v>4075.34</v>
      </c>
    </row>
    <row r="1483" customFormat="false" ht="15" hidden="false" customHeight="false" outlineLevel="0" collapsed="false">
      <c r="A1483" s="16" t="n">
        <v>43455</v>
      </c>
      <c r="B1483" s="17" t="n">
        <v>3839.06</v>
      </c>
    </row>
    <row r="1484" customFormat="false" ht="15" hidden="false" customHeight="false" outlineLevel="0" collapsed="false">
      <c r="A1484" s="16" t="n">
        <v>43456</v>
      </c>
      <c r="B1484" s="17" t="n">
        <v>3980.46</v>
      </c>
    </row>
    <row r="1485" customFormat="false" ht="15" hidden="false" customHeight="false" outlineLevel="0" collapsed="false">
      <c r="A1485" s="16" t="n">
        <v>43457</v>
      </c>
      <c r="B1485" s="17" t="n">
        <v>3944.93</v>
      </c>
    </row>
    <row r="1486" customFormat="false" ht="15" hidden="false" customHeight="false" outlineLevel="0" collapsed="false">
      <c r="A1486" s="16" t="n">
        <v>43458</v>
      </c>
      <c r="B1486" s="17" t="n">
        <v>4034</v>
      </c>
    </row>
    <row r="1487" customFormat="false" ht="15" hidden="false" customHeight="false" outlineLevel="0" collapsed="false">
      <c r="A1487" s="16" t="n">
        <v>43459</v>
      </c>
      <c r="B1487" s="17" t="n">
        <v>3780</v>
      </c>
    </row>
    <row r="1488" customFormat="false" ht="15" hidden="false" customHeight="false" outlineLevel="0" collapsed="false">
      <c r="A1488" s="16" t="n">
        <v>43460</v>
      </c>
      <c r="B1488" s="17" t="n">
        <v>3809.88</v>
      </c>
    </row>
    <row r="1489" customFormat="false" ht="15" hidden="false" customHeight="false" outlineLevel="0" collapsed="false">
      <c r="A1489" s="16" t="n">
        <v>43461</v>
      </c>
      <c r="B1489" s="17" t="n">
        <v>3589.89</v>
      </c>
    </row>
    <row r="1490" customFormat="false" ht="15" hidden="false" customHeight="false" outlineLevel="0" collapsed="false">
      <c r="A1490" s="16" t="n">
        <v>43462</v>
      </c>
      <c r="B1490" s="17" t="n">
        <v>3888.06</v>
      </c>
    </row>
    <row r="1491" customFormat="false" ht="15" hidden="false" customHeight="false" outlineLevel="0" collapsed="false">
      <c r="A1491" s="16" t="n">
        <v>43463</v>
      </c>
      <c r="B1491" s="17" t="n">
        <v>3729.31</v>
      </c>
    </row>
    <row r="1492" customFormat="false" ht="15" hidden="false" customHeight="false" outlineLevel="0" collapsed="false">
      <c r="A1492" s="16" t="n">
        <v>43464</v>
      </c>
      <c r="B1492" s="17" t="n">
        <v>3829</v>
      </c>
    </row>
    <row r="1493" customFormat="false" ht="15" hidden="false" customHeight="false" outlineLevel="0" collapsed="false">
      <c r="A1493" s="16" t="n">
        <v>43465</v>
      </c>
      <c r="B1493" s="17" t="n">
        <v>3691.86</v>
      </c>
    </row>
    <row r="1494" customFormat="false" ht="15" hidden="false" customHeight="false" outlineLevel="0" collapsed="false">
      <c r="A1494" s="16" t="n">
        <v>43466</v>
      </c>
      <c r="B1494" s="17" t="n">
        <v>3826.1</v>
      </c>
    </row>
    <row r="1495" customFormat="false" ht="15" hidden="false" customHeight="false" outlineLevel="0" collapsed="false">
      <c r="A1495" s="16" t="n">
        <v>43467</v>
      </c>
      <c r="B1495" s="17" t="n">
        <v>3890.79</v>
      </c>
    </row>
    <row r="1496" customFormat="false" ht="15" hidden="false" customHeight="false" outlineLevel="0" collapsed="false">
      <c r="A1496" s="16" t="n">
        <v>43468</v>
      </c>
      <c r="B1496" s="17" t="n">
        <v>3787.57</v>
      </c>
    </row>
    <row r="1497" customFormat="false" ht="15" hidden="false" customHeight="false" outlineLevel="0" collapsed="false">
      <c r="A1497" s="16" t="n">
        <v>43469</v>
      </c>
      <c r="B1497" s="17" t="n">
        <v>3820.25</v>
      </c>
    </row>
    <row r="1498" customFormat="false" ht="15" hidden="false" customHeight="false" outlineLevel="0" collapsed="false">
      <c r="A1498" s="16" t="n">
        <v>43470</v>
      </c>
      <c r="B1498" s="17" t="n">
        <v>3798.62</v>
      </c>
    </row>
    <row r="1499" customFormat="false" ht="15" hidden="false" customHeight="false" outlineLevel="0" collapsed="false">
      <c r="A1499" s="16" t="n">
        <v>43471</v>
      </c>
      <c r="B1499" s="17" t="n">
        <v>4040.99</v>
      </c>
    </row>
    <row r="1500" customFormat="false" ht="15" hidden="false" customHeight="false" outlineLevel="0" collapsed="false">
      <c r="A1500" s="16" t="n">
        <v>43472</v>
      </c>
      <c r="B1500" s="17" t="n">
        <v>4006.01</v>
      </c>
    </row>
    <row r="1501" customFormat="false" ht="15" hidden="false" customHeight="false" outlineLevel="0" collapsed="false">
      <c r="A1501" s="16" t="n">
        <v>43473</v>
      </c>
      <c r="B1501" s="17" t="n">
        <v>3993.86</v>
      </c>
    </row>
    <row r="1502" customFormat="false" ht="15" hidden="false" customHeight="false" outlineLevel="0" collapsed="false">
      <c r="A1502" s="16" t="n">
        <v>43474</v>
      </c>
      <c r="B1502" s="17" t="n">
        <v>4004.12</v>
      </c>
    </row>
    <row r="1503" customFormat="false" ht="15" hidden="false" customHeight="false" outlineLevel="0" collapsed="false">
      <c r="A1503" s="16" t="n">
        <v>43475</v>
      </c>
      <c r="B1503" s="17" t="n">
        <v>3626.12</v>
      </c>
    </row>
    <row r="1504" customFormat="false" ht="15" hidden="false" customHeight="false" outlineLevel="0" collapsed="false">
      <c r="A1504" s="16" t="n">
        <v>43476</v>
      </c>
      <c r="B1504" s="17" t="n">
        <v>3635.69</v>
      </c>
    </row>
    <row r="1505" customFormat="false" ht="15" hidden="false" customHeight="false" outlineLevel="0" collapsed="false">
      <c r="A1505" s="16" t="n">
        <v>43477</v>
      </c>
      <c r="B1505" s="17" t="n">
        <v>3619.41</v>
      </c>
    </row>
    <row r="1506" customFormat="false" ht="15" hidden="false" customHeight="false" outlineLevel="0" collapsed="false">
      <c r="A1506" s="16" t="n">
        <v>43478</v>
      </c>
      <c r="B1506" s="17" t="n">
        <v>3514.24</v>
      </c>
    </row>
    <row r="1507" customFormat="false" ht="15" hidden="false" customHeight="false" outlineLevel="0" collapsed="false">
      <c r="A1507" s="16" t="n">
        <v>43479</v>
      </c>
      <c r="B1507" s="17" t="n">
        <v>3664.19</v>
      </c>
    </row>
    <row r="1508" customFormat="false" ht="15" hidden="false" customHeight="false" outlineLevel="0" collapsed="false">
      <c r="A1508" s="16" t="n">
        <v>43480</v>
      </c>
      <c r="B1508" s="17" t="n">
        <v>3580.76</v>
      </c>
    </row>
    <row r="1509" customFormat="false" ht="15" hidden="false" customHeight="false" outlineLevel="0" collapsed="false">
      <c r="A1509" s="16" t="n">
        <v>43481</v>
      </c>
      <c r="B1509" s="17" t="n">
        <v>3609.71</v>
      </c>
    </row>
    <row r="1510" customFormat="false" ht="15" hidden="false" customHeight="false" outlineLevel="0" collapsed="false">
      <c r="A1510" s="16" t="n">
        <v>43482</v>
      </c>
      <c r="B1510" s="17" t="n">
        <v>3640.65</v>
      </c>
    </row>
    <row r="1511" customFormat="false" ht="15" hidden="false" customHeight="false" outlineLevel="0" collapsed="false">
      <c r="A1511" s="16" t="n">
        <v>43483</v>
      </c>
      <c r="B1511" s="17" t="n">
        <v>3607.85</v>
      </c>
    </row>
    <row r="1512" customFormat="false" ht="15" hidden="false" customHeight="false" outlineLevel="0" collapsed="false">
      <c r="A1512" s="16" t="n">
        <v>43484</v>
      </c>
      <c r="B1512" s="17" t="n">
        <v>3682.65</v>
      </c>
    </row>
    <row r="1513" customFormat="false" ht="15" hidden="false" customHeight="false" outlineLevel="0" collapsed="false">
      <c r="A1513" s="16" t="n">
        <v>43485</v>
      </c>
      <c r="B1513" s="17" t="n">
        <v>3536.19</v>
      </c>
    </row>
    <row r="1514" customFormat="false" ht="15" hidden="false" customHeight="false" outlineLevel="0" collapsed="false">
      <c r="A1514" s="16" t="n">
        <v>43486</v>
      </c>
      <c r="B1514" s="17" t="n">
        <v>3531.76</v>
      </c>
    </row>
    <row r="1515" customFormat="false" ht="15" hidden="false" customHeight="false" outlineLevel="0" collapsed="false">
      <c r="A1515" s="16" t="n">
        <v>43487</v>
      </c>
      <c r="B1515" s="17" t="n">
        <v>3577.03</v>
      </c>
    </row>
    <row r="1516" customFormat="false" ht="15" hidden="false" customHeight="false" outlineLevel="0" collapsed="false">
      <c r="A1516" s="16" t="n">
        <v>43488</v>
      </c>
      <c r="B1516" s="17" t="n">
        <v>3553.01</v>
      </c>
    </row>
    <row r="1517" customFormat="false" ht="15" hidden="false" customHeight="false" outlineLevel="0" collapsed="false">
      <c r="A1517" s="16" t="n">
        <v>43489</v>
      </c>
      <c r="B1517" s="17" t="n">
        <v>3568.97</v>
      </c>
    </row>
    <row r="1518" customFormat="false" ht="15" hidden="false" customHeight="false" outlineLevel="0" collapsed="false">
      <c r="A1518" s="16" t="n">
        <v>43490</v>
      </c>
      <c r="B1518" s="17" t="n">
        <v>3562.17</v>
      </c>
    </row>
    <row r="1519" customFormat="false" ht="15" hidden="false" customHeight="false" outlineLevel="0" collapsed="false">
      <c r="A1519" s="16" t="n">
        <v>43491</v>
      </c>
      <c r="B1519" s="17" t="n">
        <v>3556.07</v>
      </c>
    </row>
    <row r="1520" customFormat="false" ht="15" hidden="false" customHeight="false" outlineLevel="0" collapsed="false">
      <c r="A1520" s="16" t="n">
        <v>43492</v>
      </c>
      <c r="B1520" s="17" t="n">
        <v>3531.02</v>
      </c>
    </row>
    <row r="1521" customFormat="false" ht="15" hidden="false" customHeight="false" outlineLevel="0" collapsed="false">
      <c r="A1521" s="16" t="n">
        <v>43493</v>
      </c>
      <c r="B1521" s="17" t="n">
        <v>3429.95</v>
      </c>
    </row>
    <row r="1522" customFormat="false" ht="15" hidden="false" customHeight="false" outlineLevel="0" collapsed="false">
      <c r="A1522" s="16" t="n">
        <v>43494</v>
      </c>
      <c r="B1522" s="17" t="n">
        <v>3397.42</v>
      </c>
    </row>
    <row r="1523" customFormat="false" ht="15" hidden="false" customHeight="false" outlineLevel="0" collapsed="false">
      <c r="A1523" s="16" t="n">
        <v>43495</v>
      </c>
      <c r="B1523" s="17" t="n">
        <v>3437.55</v>
      </c>
    </row>
    <row r="1524" customFormat="false" ht="15" hidden="false" customHeight="false" outlineLevel="0" collapsed="false">
      <c r="A1524" s="16" t="n">
        <v>43496</v>
      </c>
      <c r="B1524" s="17" t="n">
        <v>3411.5</v>
      </c>
    </row>
    <row r="1525" customFormat="false" ht="15" hidden="false" customHeight="false" outlineLevel="0" collapsed="false">
      <c r="A1525" s="16" t="n">
        <v>43497</v>
      </c>
      <c r="B1525" s="17" t="n">
        <v>3437.5</v>
      </c>
    </row>
    <row r="1526" customFormat="false" ht="15" hidden="false" customHeight="false" outlineLevel="0" collapsed="false">
      <c r="A1526" s="16" t="n">
        <v>43498</v>
      </c>
      <c r="B1526" s="17" t="n">
        <v>3468.43</v>
      </c>
    </row>
    <row r="1527" customFormat="false" ht="15" hidden="false" customHeight="false" outlineLevel="0" collapsed="false">
      <c r="A1527" s="16" t="n">
        <v>43499</v>
      </c>
      <c r="B1527" s="17" t="n">
        <v>3414.78</v>
      </c>
    </row>
    <row r="1528" customFormat="false" ht="15" hidden="false" customHeight="false" outlineLevel="0" collapsed="false">
      <c r="A1528" s="16" t="n">
        <v>43500</v>
      </c>
      <c r="B1528" s="17" t="n">
        <v>3409.57</v>
      </c>
    </row>
    <row r="1529" customFormat="false" ht="15" hidden="false" customHeight="false" outlineLevel="0" collapsed="false">
      <c r="A1529" s="16" t="n">
        <v>43501</v>
      </c>
      <c r="B1529" s="17" t="n">
        <v>3428.4</v>
      </c>
    </row>
    <row r="1530" customFormat="false" ht="15" hidden="false" customHeight="false" outlineLevel="0" collapsed="false">
      <c r="A1530" s="16" t="n">
        <v>43502</v>
      </c>
      <c r="B1530" s="17" t="n">
        <v>3367.36</v>
      </c>
    </row>
    <row r="1531" customFormat="false" ht="15" hidden="false" customHeight="false" outlineLevel="0" collapsed="false">
      <c r="A1531" s="16" t="n">
        <v>43503</v>
      </c>
      <c r="B1531" s="17" t="n">
        <v>3359</v>
      </c>
    </row>
    <row r="1532" customFormat="false" ht="15" hidden="false" customHeight="false" outlineLevel="0" collapsed="false">
      <c r="A1532" s="16" t="n">
        <v>43504</v>
      </c>
      <c r="B1532" s="17" t="n">
        <v>3621.99</v>
      </c>
    </row>
    <row r="1533" customFormat="false" ht="15" hidden="false" customHeight="false" outlineLevel="0" collapsed="false">
      <c r="A1533" s="16" t="n">
        <v>43505</v>
      </c>
      <c r="B1533" s="17" t="n">
        <v>3623.73</v>
      </c>
    </row>
    <row r="1534" customFormat="false" ht="15" hidden="false" customHeight="false" outlineLevel="0" collapsed="false">
      <c r="A1534" s="16" t="n">
        <v>43506</v>
      </c>
      <c r="B1534" s="17" t="n">
        <v>3648.84</v>
      </c>
    </row>
    <row r="1535" customFormat="false" ht="15" hidden="false" customHeight="false" outlineLevel="0" collapsed="false">
      <c r="A1535" s="16" t="n">
        <v>43507</v>
      </c>
      <c r="B1535" s="17" t="n">
        <v>3590.36</v>
      </c>
    </row>
    <row r="1536" customFormat="false" ht="15" hidden="false" customHeight="false" outlineLevel="0" collapsed="false">
      <c r="A1536" s="16" t="n">
        <v>43508</v>
      </c>
      <c r="B1536" s="17" t="n">
        <v>3588.06</v>
      </c>
    </row>
    <row r="1537" customFormat="false" ht="15" hidden="false" customHeight="false" outlineLevel="0" collapsed="false">
      <c r="A1537" s="16" t="n">
        <v>43509</v>
      </c>
      <c r="B1537" s="17" t="n">
        <v>3576.68</v>
      </c>
    </row>
    <row r="1538" customFormat="false" ht="15" hidden="false" customHeight="false" outlineLevel="0" collapsed="false">
      <c r="A1538" s="16" t="n">
        <v>43510</v>
      </c>
      <c r="B1538" s="17" t="n">
        <v>3561.5</v>
      </c>
    </row>
    <row r="1539" customFormat="false" ht="15" hidden="false" customHeight="false" outlineLevel="0" collapsed="false">
      <c r="A1539" s="16" t="n">
        <v>43511</v>
      </c>
      <c r="B1539" s="17" t="n">
        <v>3566.59</v>
      </c>
    </row>
    <row r="1540" customFormat="false" ht="15" hidden="false" customHeight="false" outlineLevel="0" collapsed="false">
      <c r="A1540" s="16" t="n">
        <v>43512</v>
      </c>
      <c r="B1540" s="17" t="n">
        <v>3582.37</v>
      </c>
    </row>
    <row r="1541" customFormat="false" ht="15" hidden="false" customHeight="false" outlineLevel="0" collapsed="false">
      <c r="A1541" s="16" t="n">
        <v>43513</v>
      </c>
      <c r="B1541" s="17" t="n">
        <v>3625.08</v>
      </c>
    </row>
    <row r="1542" customFormat="false" ht="15" hidden="false" customHeight="false" outlineLevel="0" collapsed="false">
      <c r="A1542" s="16" t="n">
        <v>43514</v>
      </c>
      <c r="B1542" s="17" t="n">
        <v>3867</v>
      </c>
    </row>
    <row r="1543" customFormat="false" ht="15" hidden="false" customHeight="false" outlineLevel="0" collapsed="false">
      <c r="A1543" s="16" t="n">
        <v>43515</v>
      </c>
      <c r="B1543" s="17" t="n">
        <v>3888.01</v>
      </c>
    </row>
    <row r="1544" customFormat="false" ht="15" hidden="false" customHeight="false" outlineLevel="0" collapsed="false">
      <c r="A1544" s="16" t="n">
        <v>43516</v>
      </c>
      <c r="B1544" s="17" t="n">
        <v>3938.99</v>
      </c>
    </row>
    <row r="1545" customFormat="false" ht="15" hidden="false" customHeight="false" outlineLevel="0" collapsed="false">
      <c r="A1545" s="16" t="n">
        <v>43517</v>
      </c>
      <c r="B1545" s="17" t="n">
        <v>3897.71</v>
      </c>
    </row>
    <row r="1546" customFormat="false" ht="15" hidden="false" customHeight="false" outlineLevel="0" collapsed="false">
      <c r="A1546" s="16" t="n">
        <v>43518</v>
      </c>
      <c r="B1546" s="17" t="n">
        <v>3942.02</v>
      </c>
    </row>
    <row r="1547" customFormat="false" ht="15" hidden="false" customHeight="false" outlineLevel="0" collapsed="false">
      <c r="A1547" s="16" t="n">
        <v>43519</v>
      </c>
      <c r="B1547" s="17" t="n">
        <v>4110</v>
      </c>
    </row>
    <row r="1548" customFormat="false" ht="15" hidden="false" customHeight="false" outlineLevel="0" collapsed="false">
      <c r="A1548" s="16" t="n">
        <v>43520</v>
      </c>
      <c r="B1548" s="17" t="n">
        <v>3734.22</v>
      </c>
    </row>
    <row r="1549" customFormat="false" ht="15" hidden="false" customHeight="false" outlineLevel="0" collapsed="false">
      <c r="A1549" s="16" t="n">
        <v>43521</v>
      </c>
      <c r="B1549" s="17" t="n">
        <v>3818.79</v>
      </c>
    </row>
    <row r="1550" customFormat="false" ht="15" hidden="false" customHeight="false" outlineLevel="0" collapsed="false">
      <c r="A1550" s="16" t="n">
        <v>43522</v>
      </c>
      <c r="B1550" s="17" t="n">
        <v>3799.48</v>
      </c>
    </row>
    <row r="1551" customFormat="false" ht="15" hidden="false" customHeight="false" outlineLevel="0" collapsed="false">
      <c r="A1551" s="16" t="n">
        <v>43523</v>
      </c>
      <c r="B1551" s="17" t="n">
        <v>3799.91</v>
      </c>
    </row>
    <row r="1552" customFormat="false" ht="15" hidden="false" customHeight="false" outlineLevel="0" collapsed="false">
      <c r="A1552" s="16" t="n">
        <v>43524</v>
      </c>
      <c r="B1552" s="17" t="n">
        <v>3792.14</v>
      </c>
    </row>
    <row r="1553" customFormat="false" ht="15" hidden="false" customHeight="false" outlineLevel="0" collapsed="false">
      <c r="A1553" s="16" t="n">
        <v>43525</v>
      </c>
      <c r="B1553" s="17" t="n">
        <v>3806.17</v>
      </c>
    </row>
    <row r="1554" customFormat="false" ht="15" hidden="false" customHeight="false" outlineLevel="0" collapsed="false">
      <c r="A1554" s="16" t="n">
        <v>43526</v>
      </c>
      <c r="B1554" s="17" t="n">
        <v>3809.7</v>
      </c>
    </row>
    <row r="1555" customFormat="false" ht="15" hidden="false" customHeight="false" outlineLevel="0" collapsed="false">
      <c r="A1555" s="16" t="n">
        <v>43527</v>
      </c>
      <c r="B1555" s="17" t="n">
        <v>3786.93</v>
      </c>
    </row>
    <row r="1556" customFormat="false" ht="15" hidden="false" customHeight="false" outlineLevel="0" collapsed="false">
      <c r="A1556" s="16" t="n">
        <v>43528</v>
      </c>
      <c r="B1556" s="17" t="n">
        <v>3700.72</v>
      </c>
    </row>
    <row r="1557" customFormat="false" ht="15" hidden="false" customHeight="false" outlineLevel="0" collapsed="false">
      <c r="A1557" s="16" t="n">
        <v>43529</v>
      </c>
      <c r="B1557" s="17" t="n">
        <v>3844.59</v>
      </c>
    </row>
    <row r="1558" customFormat="false" ht="15" hidden="false" customHeight="false" outlineLevel="0" collapsed="false">
      <c r="A1558" s="16" t="n">
        <v>43530</v>
      </c>
      <c r="B1558" s="17" t="n">
        <v>3851.89</v>
      </c>
    </row>
    <row r="1559" customFormat="false" ht="15" hidden="false" customHeight="false" outlineLevel="0" collapsed="false">
      <c r="A1559" s="16" t="n">
        <v>43531</v>
      </c>
      <c r="B1559" s="17" t="n">
        <v>3857.05</v>
      </c>
    </row>
    <row r="1560" customFormat="false" ht="15" hidden="false" customHeight="false" outlineLevel="0" collapsed="false">
      <c r="A1560" s="16" t="n">
        <v>43532</v>
      </c>
      <c r="B1560" s="17" t="n">
        <v>3843.12</v>
      </c>
    </row>
    <row r="1561" customFormat="false" ht="15" hidden="false" customHeight="false" outlineLevel="0" collapsed="false">
      <c r="A1561" s="16" t="n">
        <v>43533</v>
      </c>
      <c r="B1561" s="17" t="n">
        <v>3917</v>
      </c>
    </row>
    <row r="1562" customFormat="false" ht="15" hidden="false" customHeight="false" outlineLevel="0" collapsed="false">
      <c r="A1562" s="16" t="n">
        <v>43534</v>
      </c>
      <c r="B1562" s="17" t="n">
        <v>3900.93</v>
      </c>
    </row>
    <row r="1563" customFormat="false" ht="15" hidden="false" customHeight="false" outlineLevel="0" collapsed="false">
      <c r="A1563" s="16" t="n">
        <v>43535</v>
      </c>
      <c r="B1563" s="17" t="n">
        <v>3849.68</v>
      </c>
    </row>
    <row r="1564" customFormat="false" ht="15" hidden="false" customHeight="false" outlineLevel="0" collapsed="false">
      <c r="A1564" s="16" t="n">
        <v>43536</v>
      </c>
      <c r="B1564" s="17" t="n">
        <v>3860</v>
      </c>
    </row>
    <row r="1565" customFormat="false" ht="15" hidden="false" customHeight="false" outlineLevel="0" collapsed="false">
      <c r="A1565" s="16" t="n">
        <v>43537</v>
      </c>
      <c r="B1565" s="17" t="n">
        <v>3851.02</v>
      </c>
    </row>
    <row r="1566" customFormat="false" ht="15" hidden="false" customHeight="false" outlineLevel="0" collapsed="false">
      <c r="A1566" s="16" t="n">
        <v>43538</v>
      </c>
      <c r="B1566" s="17" t="n">
        <v>3853.95</v>
      </c>
    </row>
    <row r="1567" customFormat="false" ht="15" hidden="false" customHeight="false" outlineLevel="0" collapsed="false">
      <c r="A1567" s="16" t="n">
        <v>43539</v>
      </c>
      <c r="B1567" s="17" t="n">
        <v>3902.8</v>
      </c>
    </row>
    <row r="1568" customFormat="false" ht="15" hidden="false" customHeight="false" outlineLevel="0" collapsed="false">
      <c r="A1568" s="16" t="n">
        <v>43540</v>
      </c>
      <c r="B1568" s="17" t="n">
        <v>3990</v>
      </c>
    </row>
    <row r="1569" customFormat="false" ht="15" hidden="false" customHeight="false" outlineLevel="0" collapsed="false">
      <c r="A1569" s="16" t="n">
        <v>43541</v>
      </c>
      <c r="B1569" s="17" t="n">
        <v>3967.01</v>
      </c>
    </row>
    <row r="1570" customFormat="false" ht="15" hidden="false" customHeight="false" outlineLevel="0" collapsed="false">
      <c r="A1570" s="16" t="n">
        <v>43542</v>
      </c>
      <c r="B1570" s="17" t="n">
        <v>3970.5</v>
      </c>
    </row>
    <row r="1571" customFormat="false" ht="15" hidden="false" customHeight="false" outlineLevel="0" collapsed="false">
      <c r="A1571" s="16" t="n">
        <v>43543</v>
      </c>
      <c r="B1571" s="17" t="n">
        <v>4000.85</v>
      </c>
    </row>
    <row r="1572" customFormat="false" ht="15" hidden="false" customHeight="false" outlineLevel="0" collapsed="false">
      <c r="A1572" s="16" t="n">
        <v>43544</v>
      </c>
      <c r="B1572" s="17" t="n">
        <v>4031.85</v>
      </c>
    </row>
    <row r="1573" customFormat="false" ht="15" hidden="false" customHeight="false" outlineLevel="0" collapsed="false">
      <c r="A1573" s="16" t="n">
        <v>43545</v>
      </c>
      <c r="B1573" s="17" t="n">
        <v>3972.76</v>
      </c>
    </row>
    <row r="1574" customFormat="false" ht="15" hidden="false" customHeight="false" outlineLevel="0" collapsed="false">
      <c r="A1574" s="16" t="n">
        <v>43546</v>
      </c>
      <c r="B1574" s="17" t="n">
        <v>3983.78</v>
      </c>
    </row>
    <row r="1575" customFormat="false" ht="15" hidden="false" customHeight="false" outlineLevel="0" collapsed="false">
      <c r="A1575" s="16" t="n">
        <v>43547</v>
      </c>
      <c r="B1575" s="17" t="n">
        <v>3983.43</v>
      </c>
    </row>
    <row r="1576" customFormat="false" ht="15" hidden="false" customHeight="false" outlineLevel="0" collapsed="false">
      <c r="A1576" s="16" t="n">
        <v>43548</v>
      </c>
      <c r="B1576" s="17" t="n">
        <v>3969.52</v>
      </c>
    </row>
    <row r="1577" customFormat="false" ht="15" hidden="false" customHeight="false" outlineLevel="0" collapsed="false">
      <c r="A1577" s="16" t="n">
        <v>43549</v>
      </c>
      <c r="B1577" s="17" t="n">
        <v>3907.53</v>
      </c>
    </row>
    <row r="1578" customFormat="false" ht="15" hidden="false" customHeight="false" outlineLevel="0" collapsed="false">
      <c r="A1578" s="16" t="n">
        <v>43550</v>
      </c>
      <c r="B1578" s="17" t="n">
        <v>3921.45</v>
      </c>
    </row>
    <row r="1579" customFormat="false" ht="15" hidden="false" customHeight="false" outlineLevel="0" collapsed="false">
      <c r="A1579" s="16" t="n">
        <v>43551</v>
      </c>
      <c r="B1579" s="17" t="n">
        <v>4026.53</v>
      </c>
    </row>
    <row r="1580" customFormat="false" ht="15" hidden="false" customHeight="false" outlineLevel="0" collapsed="false">
      <c r="A1580" s="16" t="n">
        <v>43552</v>
      </c>
      <c r="B1580" s="17" t="n">
        <v>4011.17</v>
      </c>
    </row>
    <row r="1581" customFormat="false" ht="15" hidden="false" customHeight="false" outlineLevel="0" collapsed="false">
      <c r="A1581" s="16" t="n">
        <v>43553</v>
      </c>
      <c r="B1581" s="17" t="n">
        <v>4091.01</v>
      </c>
    </row>
    <row r="1582" customFormat="false" ht="15" hidden="false" customHeight="false" outlineLevel="0" collapsed="false">
      <c r="A1582" s="16" t="n">
        <v>43554</v>
      </c>
      <c r="B1582" s="17" t="n">
        <v>4094.14</v>
      </c>
    </row>
    <row r="1583" customFormat="false" ht="15" hidden="false" customHeight="false" outlineLevel="0" collapsed="false">
      <c r="A1583" s="16" t="n">
        <v>43555</v>
      </c>
      <c r="B1583" s="17" t="n">
        <v>4094.99</v>
      </c>
    </row>
    <row r="1584" customFormat="false" ht="15" hidden="false" customHeight="false" outlineLevel="0" collapsed="false">
      <c r="A1584" s="16" t="n">
        <v>43556</v>
      </c>
      <c r="B1584" s="17" t="n">
        <v>4137</v>
      </c>
    </row>
    <row r="1585" customFormat="false" ht="15" hidden="false" customHeight="false" outlineLevel="0" collapsed="false">
      <c r="A1585" s="16" t="n">
        <v>43557</v>
      </c>
      <c r="B1585" s="17" t="n">
        <v>4901.93</v>
      </c>
    </row>
    <row r="1586" customFormat="false" ht="15" hidden="false" customHeight="false" outlineLevel="0" collapsed="false">
      <c r="A1586" s="16" t="n">
        <v>43558</v>
      </c>
      <c r="B1586" s="17" t="n">
        <v>4975.97</v>
      </c>
    </row>
    <row r="1587" customFormat="false" ht="15" hidden="false" customHeight="false" outlineLevel="0" collapsed="false">
      <c r="A1587" s="16" t="n">
        <v>43559</v>
      </c>
      <c r="B1587" s="17" t="n">
        <v>4906.49</v>
      </c>
    </row>
    <row r="1588" customFormat="false" ht="15" hidden="false" customHeight="false" outlineLevel="0" collapsed="false">
      <c r="A1588" s="16" t="n">
        <v>43560</v>
      </c>
      <c r="B1588" s="17" t="n">
        <v>5040.66</v>
      </c>
    </row>
    <row r="1589" customFormat="false" ht="15" hidden="false" customHeight="false" outlineLevel="0" collapsed="false">
      <c r="A1589" s="16" t="n">
        <v>43561</v>
      </c>
      <c r="B1589" s="17" t="n">
        <v>5049.22</v>
      </c>
    </row>
    <row r="1590" customFormat="false" ht="15" hidden="false" customHeight="false" outlineLevel="0" collapsed="false">
      <c r="A1590" s="16" t="n">
        <v>43562</v>
      </c>
      <c r="B1590" s="17" t="n">
        <v>5194.79</v>
      </c>
    </row>
    <row r="1591" customFormat="false" ht="15" hidden="false" customHeight="false" outlineLevel="0" collapsed="false">
      <c r="A1591" s="16" t="n">
        <v>43563</v>
      </c>
      <c r="B1591" s="17" t="n">
        <v>5285.54</v>
      </c>
    </row>
    <row r="1592" customFormat="false" ht="15" hidden="false" customHeight="false" outlineLevel="0" collapsed="false">
      <c r="A1592" s="16" t="n">
        <v>43564</v>
      </c>
      <c r="B1592" s="17" t="n">
        <v>5187.21</v>
      </c>
    </row>
    <row r="1593" customFormat="false" ht="15" hidden="false" customHeight="false" outlineLevel="0" collapsed="false">
      <c r="A1593" s="16" t="n">
        <v>43565</v>
      </c>
      <c r="B1593" s="17" t="n">
        <v>5318.58</v>
      </c>
    </row>
    <row r="1594" customFormat="false" ht="15" hidden="false" customHeight="false" outlineLevel="0" collapsed="false">
      <c r="A1594" s="16" t="n">
        <v>43566</v>
      </c>
      <c r="B1594" s="17" t="n">
        <v>5041.3</v>
      </c>
    </row>
    <row r="1595" customFormat="false" ht="15" hidden="false" customHeight="false" outlineLevel="0" collapsed="false">
      <c r="A1595" s="16" t="n">
        <v>43567</v>
      </c>
      <c r="B1595" s="17" t="n">
        <v>5078.19</v>
      </c>
    </row>
    <row r="1596" customFormat="false" ht="15" hidden="false" customHeight="false" outlineLevel="0" collapsed="false">
      <c r="A1596" s="16" t="n">
        <v>43568</v>
      </c>
      <c r="B1596" s="17" t="n">
        <v>5066.22</v>
      </c>
    </row>
    <row r="1597" customFormat="false" ht="15" hidden="false" customHeight="false" outlineLevel="0" collapsed="false">
      <c r="A1597" s="16" t="n">
        <v>43569</v>
      </c>
      <c r="B1597" s="17" t="n">
        <v>5164.27</v>
      </c>
    </row>
    <row r="1598" customFormat="false" ht="15" hidden="false" customHeight="false" outlineLevel="0" collapsed="false">
      <c r="A1598" s="16" t="n">
        <v>43570</v>
      </c>
      <c r="B1598" s="17" t="n">
        <v>5029.99</v>
      </c>
    </row>
    <row r="1599" customFormat="false" ht="15" hidden="false" customHeight="false" outlineLevel="0" collapsed="false">
      <c r="A1599" s="16" t="n">
        <v>43571</v>
      </c>
      <c r="B1599" s="17" t="n">
        <v>5202.9</v>
      </c>
    </row>
    <row r="1600" customFormat="false" ht="15" hidden="false" customHeight="false" outlineLevel="0" collapsed="false">
      <c r="A1600" s="16" t="n">
        <v>43572</v>
      </c>
      <c r="B1600" s="17" t="n">
        <v>5227</v>
      </c>
    </row>
    <row r="1601" customFormat="false" ht="15" hidden="false" customHeight="false" outlineLevel="0" collapsed="false">
      <c r="A1601" s="16" t="n">
        <v>43573</v>
      </c>
      <c r="B1601" s="17" t="n">
        <v>5280.49</v>
      </c>
    </row>
    <row r="1602" customFormat="false" ht="15" hidden="false" customHeight="false" outlineLevel="0" collapsed="false">
      <c r="A1602" s="16" t="n">
        <v>43574</v>
      </c>
      <c r="B1602" s="17" t="n">
        <v>5290.36</v>
      </c>
    </row>
    <row r="1603" customFormat="false" ht="15" hidden="false" customHeight="false" outlineLevel="0" collapsed="false">
      <c r="A1603" s="16" t="n">
        <v>43575</v>
      </c>
      <c r="B1603" s="17" t="n">
        <v>5319.89</v>
      </c>
    </row>
    <row r="1604" customFormat="false" ht="15" hidden="false" customHeight="false" outlineLevel="0" collapsed="false">
      <c r="A1604" s="16" t="n">
        <v>43576</v>
      </c>
      <c r="B1604" s="17" t="n">
        <v>5297.64</v>
      </c>
    </row>
    <row r="1605" customFormat="false" ht="15" hidden="false" customHeight="false" outlineLevel="0" collapsed="false">
      <c r="A1605" s="16" t="n">
        <v>43577</v>
      </c>
      <c r="B1605" s="17" t="n">
        <v>5387.6</v>
      </c>
    </row>
    <row r="1606" customFormat="false" ht="15" hidden="false" customHeight="false" outlineLevel="0" collapsed="false">
      <c r="A1606" s="16" t="n">
        <v>43578</v>
      </c>
      <c r="B1606" s="17" t="n">
        <v>5532.75</v>
      </c>
    </row>
    <row r="1607" customFormat="false" ht="15" hidden="false" customHeight="false" outlineLevel="0" collapsed="false">
      <c r="A1607" s="16" t="n">
        <v>43579</v>
      </c>
      <c r="B1607" s="17" t="n">
        <v>5441.9</v>
      </c>
    </row>
    <row r="1608" customFormat="false" ht="15" hidden="false" customHeight="false" outlineLevel="0" collapsed="false">
      <c r="A1608" s="16" t="n">
        <v>43580</v>
      </c>
      <c r="B1608" s="17" t="n">
        <v>5134.81</v>
      </c>
    </row>
    <row r="1609" customFormat="false" ht="15" hidden="false" customHeight="false" outlineLevel="0" collapsed="false">
      <c r="A1609" s="16" t="n">
        <v>43581</v>
      </c>
      <c r="B1609" s="17" t="n">
        <v>5159.51</v>
      </c>
    </row>
    <row r="1610" customFormat="false" ht="15" hidden="false" customHeight="false" outlineLevel="0" collapsed="false">
      <c r="A1610" s="16" t="n">
        <v>43582</v>
      </c>
      <c r="B1610" s="17" t="n">
        <v>5170.6</v>
      </c>
    </row>
    <row r="1611" customFormat="false" ht="15" hidden="false" customHeight="false" outlineLevel="0" collapsed="false">
      <c r="A1611" s="16" t="n">
        <v>43583</v>
      </c>
      <c r="B1611" s="17" t="n">
        <v>5155</v>
      </c>
    </row>
    <row r="1612" customFormat="false" ht="15" hidden="false" customHeight="false" outlineLevel="0" collapsed="false">
      <c r="A1612" s="16" t="n">
        <v>43584</v>
      </c>
      <c r="B1612" s="17" t="n">
        <v>5148.25</v>
      </c>
    </row>
    <row r="1613" customFormat="false" ht="15" hidden="false" customHeight="false" outlineLevel="0" collapsed="false">
      <c r="A1613" s="16" t="n">
        <v>43585</v>
      </c>
      <c r="B1613" s="17" t="n">
        <v>5270.69</v>
      </c>
    </row>
    <row r="1614" customFormat="false" ht="15" hidden="false" customHeight="false" outlineLevel="0" collapsed="false">
      <c r="A1614" s="16" t="n">
        <v>43586</v>
      </c>
      <c r="B1614" s="17" t="n">
        <v>5321.15</v>
      </c>
    </row>
    <row r="1615" customFormat="false" ht="15" hidden="false" customHeight="false" outlineLevel="0" collapsed="false">
      <c r="A1615" s="16" t="n">
        <v>43587</v>
      </c>
      <c r="B1615" s="17" t="n">
        <v>5390.01</v>
      </c>
    </row>
    <row r="1616" customFormat="false" ht="15" hidden="false" customHeight="false" outlineLevel="0" collapsed="false">
      <c r="A1616" s="16" t="n">
        <v>43588</v>
      </c>
      <c r="B1616" s="17" t="n">
        <v>5657.4</v>
      </c>
    </row>
    <row r="1617" customFormat="false" ht="15" hidden="false" customHeight="false" outlineLevel="0" collapsed="false">
      <c r="A1617" s="16" t="n">
        <v>43589</v>
      </c>
      <c r="B1617" s="17" t="n">
        <v>5770.01</v>
      </c>
    </row>
    <row r="1618" customFormat="false" ht="15" hidden="false" customHeight="false" outlineLevel="0" collapsed="false">
      <c r="A1618" s="16" t="n">
        <v>43590</v>
      </c>
      <c r="B1618" s="17" t="n">
        <v>5715.86</v>
      </c>
    </row>
    <row r="1619" customFormat="false" ht="15" hidden="false" customHeight="false" outlineLevel="0" collapsed="false">
      <c r="A1619" s="16" t="n">
        <v>43591</v>
      </c>
      <c r="B1619" s="17" t="n">
        <v>5687.9</v>
      </c>
    </row>
    <row r="1620" customFormat="false" ht="15" hidden="false" customHeight="false" outlineLevel="0" collapsed="false">
      <c r="A1620" s="16" t="n">
        <v>43592</v>
      </c>
      <c r="B1620" s="17" t="n">
        <v>5748.45</v>
      </c>
    </row>
    <row r="1621" customFormat="false" ht="15" hidden="false" customHeight="false" outlineLevel="0" collapsed="false">
      <c r="A1621" s="16" t="n">
        <v>43593</v>
      </c>
      <c r="B1621" s="17" t="n">
        <v>5948.41</v>
      </c>
    </row>
    <row r="1622" customFormat="false" ht="15" hidden="false" customHeight="false" outlineLevel="0" collapsed="false">
      <c r="A1622" s="16" t="n">
        <v>43594</v>
      </c>
      <c r="B1622" s="17" t="n">
        <v>6153.09</v>
      </c>
    </row>
    <row r="1623" customFormat="false" ht="15" hidden="false" customHeight="false" outlineLevel="0" collapsed="false">
      <c r="A1623" s="16" t="n">
        <v>43595</v>
      </c>
      <c r="B1623" s="17" t="n">
        <v>6343.14</v>
      </c>
    </row>
    <row r="1624" customFormat="false" ht="15" hidden="false" customHeight="false" outlineLevel="0" collapsed="false">
      <c r="A1624" s="16" t="n">
        <v>43596</v>
      </c>
      <c r="B1624" s="17" t="n">
        <v>7219.95</v>
      </c>
    </row>
    <row r="1625" customFormat="false" ht="15" hidden="false" customHeight="false" outlineLevel="0" collapsed="false">
      <c r="A1625" s="16" t="n">
        <v>43597</v>
      </c>
      <c r="B1625" s="17" t="n">
        <v>6979.76</v>
      </c>
    </row>
    <row r="1626" customFormat="false" ht="15" hidden="false" customHeight="false" outlineLevel="0" collapsed="false">
      <c r="A1626" s="16" t="n">
        <v>43598</v>
      </c>
      <c r="B1626" s="17" t="n">
        <v>7824.93</v>
      </c>
    </row>
    <row r="1627" customFormat="false" ht="15" hidden="false" customHeight="false" outlineLevel="0" collapsed="false">
      <c r="A1627" s="16" t="n">
        <v>43599</v>
      </c>
      <c r="B1627" s="17" t="n">
        <v>7990.92</v>
      </c>
    </row>
    <row r="1628" customFormat="false" ht="15" hidden="false" customHeight="false" outlineLevel="0" collapsed="false">
      <c r="A1628" s="16" t="n">
        <v>43600</v>
      </c>
      <c r="B1628" s="17" t="n">
        <v>8203.32</v>
      </c>
    </row>
    <row r="1629" customFormat="false" ht="15" hidden="false" customHeight="false" outlineLevel="0" collapsed="false">
      <c r="A1629" s="16" t="n">
        <v>43601</v>
      </c>
      <c r="B1629" s="17" t="n">
        <v>7878.96</v>
      </c>
    </row>
    <row r="1630" customFormat="false" ht="15" hidden="false" customHeight="false" outlineLevel="0" collapsed="false">
      <c r="A1630" s="16" t="n">
        <v>43602</v>
      </c>
      <c r="B1630" s="17" t="n">
        <v>7363.69</v>
      </c>
    </row>
    <row r="1631" customFormat="false" ht="15" hidden="false" customHeight="false" outlineLevel="0" collapsed="false">
      <c r="A1631" s="16" t="n">
        <v>43603</v>
      </c>
      <c r="B1631" s="17" t="n">
        <v>7262.4</v>
      </c>
    </row>
    <row r="1632" customFormat="false" ht="15" hidden="false" customHeight="false" outlineLevel="0" collapsed="false">
      <c r="A1632" s="16" t="n">
        <v>43604</v>
      </c>
      <c r="B1632" s="17" t="n">
        <v>8200</v>
      </c>
    </row>
    <row r="1633" customFormat="false" ht="15" hidden="false" customHeight="false" outlineLevel="0" collapsed="false">
      <c r="A1633" s="16" t="n">
        <v>43605</v>
      </c>
      <c r="B1633" s="17" t="n">
        <v>7999.54</v>
      </c>
    </row>
    <row r="1634" customFormat="false" ht="15" hidden="false" customHeight="false" outlineLevel="0" collapsed="false">
      <c r="A1634" s="16" t="n">
        <v>43606</v>
      </c>
      <c r="B1634" s="17" t="n">
        <v>7951.7</v>
      </c>
    </row>
    <row r="1635" customFormat="false" ht="15" hidden="false" customHeight="false" outlineLevel="0" collapsed="false">
      <c r="A1635" s="16" t="n">
        <v>43607</v>
      </c>
      <c r="B1635" s="17" t="n">
        <v>7626.48</v>
      </c>
    </row>
    <row r="1636" customFormat="false" ht="15" hidden="false" customHeight="false" outlineLevel="0" collapsed="false">
      <c r="A1636" s="16" t="n">
        <v>43608</v>
      </c>
      <c r="B1636" s="17" t="n">
        <v>7881.98</v>
      </c>
    </row>
    <row r="1637" customFormat="false" ht="15" hidden="false" customHeight="false" outlineLevel="0" collapsed="false">
      <c r="A1637" s="16" t="n">
        <v>43609</v>
      </c>
      <c r="B1637" s="17" t="n">
        <v>7994.88</v>
      </c>
    </row>
    <row r="1638" customFormat="false" ht="15" hidden="false" customHeight="false" outlineLevel="0" collapsed="false">
      <c r="A1638" s="16" t="n">
        <v>43610</v>
      </c>
      <c r="B1638" s="17" t="n">
        <v>8067.41</v>
      </c>
    </row>
    <row r="1639" customFormat="false" ht="15" hidden="false" customHeight="false" outlineLevel="0" collapsed="false">
      <c r="A1639" s="16" t="n">
        <v>43611</v>
      </c>
      <c r="B1639" s="17" t="n">
        <v>8760.03</v>
      </c>
    </row>
    <row r="1640" customFormat="false" ht="15" hidden="false" customHeight="false" outlineLevel="0" collapsed="false">
      <c r="A1640" s="16" t="n">
        <v>43612</v>
      </c>
      <c r="B1640" s="17" t="n">
        <v>8783.25</v>
      </c>
    </row>
    <row r="1641" customFormat="false" ht="15" hidden="false" customHeight="false" outlineLevel="0" collapsed="false">
      <c r="A1641" s="16" t="n">
        <v>43613</v>
      </c>
      <c r="B1641" s="17" t="n">
        <v>8686.5</v>
      </c>
    </row>
    <row r="1642" customFormat="false" ht="15" hidden="false" customHeight="false" outlineLevel="0" collapsed="false">
      <c r="A1642" s="16" t="n">
        <v>43614</v>
      </c>
      <c r="B1642" s="17" t="n">
        <v>8660.5</v>
      </c>
    </row>
    <row r="1643" customFormat="false" ht="15" hidden="false" customHeight="false" outlineLevel="0" collapsed="false">
      <c r="A1643" s="16" t="n">
        <v>43615</v>
      </c>
      <c r="B1643" s="17" t="n">
        <v>8273.57</v>
      </c>
    </row>
    <row r="1644" customFormat="false" ht="15" hidden="false" customHeight="false" outlineLevel="0" collapsed="false">
      <c r="A1644" s="16" t="n">
        <v>43616</v>
      </c>
      <c r="B1644" s="17" t="n">
        <v>8550.18</v>
      </c>
    </row>
    <row r="1645" customFormat="false" ht="15" hidden="false" customHeight="false" outlineLevel="0" collapsed="false">
      <c r="A1645" s="16" t="n">
        <v>43617</v>
      </c>
      <c r="B1645" s="17" t="n">
        <v>8558.01</v>
      </c>
    </row>
    <row r="1646" customFormat="false" ht="15" hidden="false" customHeight="false" outlineLevel="0" collapsed="false">
      <c r="A1646" s="16" t="n">
        <v>43618</v>
      </c>
      <c r="B1646" s="17" t="n">
        <v>8741.17</v>
      </c>
    </row>
    <row r="1647" customFormat="false" ht="15" hidden="false" customHeight="false" outlineLevel="0" collapsed="false">
      <c r="A1647" s="16" t="n">
        <v>43619</v>
      </c>
      <c r="B1647" s="17" t="n">
        <v>8015.01</v>
      </c>
    </row>
    <row r="1648" customFormat="false" ht="15" hidden="false" customHeight="false" outlineLevel="0" collapsed="false">
      <c r="A1648" s="16" t="n">
        <v>43620</v>
      </c>
      <c r="B1648" s="17" t="n">
        <v>7688.26</v>
      </c>
    </row>
    <row r="1649" customFormat="false" ht="15" hidden="false" customHeight="false" outlineLevel="0" collapsed="false">
      <c r="A1649" s="16" t="n">
        <v>43621</v>
      </c>
      <c r="B1649" s="17" t="n">
        <v>7766.91</v>
      </c>
    </row>
    <row r="1650" customFormat="false" ht="15" hidden="false" customHeight="false" outlineLevel="0" collapsed="false">
      <c r="A1650" s="16" t="n">
        <v>43622</v>
      </c>
      <c r="B1650" s="17" t="n">
        <v>7812.15</v>
      </c>
    </row>
    <row r="1651" customFormat="false" ht="15" hidden="false" customHeight="false" outlineLevel="0" collapsed="false">
      <c r="A1651" s="16" t="n">
        <v>43623</v>
      </c>
      <c r="B1651" s="17" t="n">
        <v>7992.17</v>
      </c>
    </row>
    <row r="1652" customFormat="false" ht="15" hidden="false" customHeight="false" outlineLevel="0" collapsed="false">
      <c r="A1652" s="16" t="n">
        <v>43624</v>
      </c>
      <c r="B1652" s="17" t="n">
        <v>7938.64</v>
      </c>
    </row>
    <row r="1653" customFormat="false" ht="15" hidden="false" customHeight="false" outlineLevel="0" collapsed="false">
      <c r="A1653" s="16" t="n">
        <v>43625</v>
      </c>
      <c r="B1653" s="17" t="n">
        <v>7623.84</v>
      </c>
    </row>
    <row r="1654" customFormat="false" ht="15" hidden="false" customHeight="false" outlineLevel="0" collapsed="false">
      <c r="A1654" s="16" t="n">
        <v>43626</v>
      </c>
      <c r="B1654" s="17" t="n">
        <v>8046.13</v>
      </c>
    </row>
    <row r="1655" customFormat="false" ht="15" hidden="false" customHeight="false" outlineLevel="0" collapsed="false">
      <c r="A1655" s="16" t="n">
        <v>43627</v>
      </c>
      <c r="B1655" s="17" t="n">
        <v>7918.2</v>
      </c>
    </row>
    <row r="1656" customFormat="false" ht="15" hidden="false" customHeight="false" outlineLevel="0" collapsed="false">
      <c r="A1656" s="16" t="n">
        <v>43628</v>
      </c>
      <c r="B1656" s="17" t="n">
        <v>8169.01</v>
      </c>
    </row>
    <row r="1657" customFormat="false" ht="15" hidden="false" customHeight="false" outlineLevel="0" collapsed="false">
      <c r="A1657" s="16" t="n">
        <v>43629</v>
      </c>
      <c r="B1657" s="17" t="n">
        <v>8256</v>
      </c>
    </row>
    <row r="1658" customFormat="false" ht="15" hidden="false" customHeight="false" outlineLevel="0" collapsed="false">
      <c r="A1658" s="16" t="n">
        <v>43630</v>
      </c>
      <c r="B1658" s="17" t="n">
        <v>8693.98</v>
      </c>
    </row>
    <row r="1659" customFormat="false" ht="15" hidden="false" customHeight="false" outlineLevel="0" collapsed="false">
      <c r="A1659" s="16" t="n">
        <v>43631</v>
      </c>
      <c r="B1659" s="17" t="n">
        <v>8861.33</v>
      </c>
    </row>
    <row r="1660" customFormat="false" ht="15" hidden="false" customHeight="false" outlineLevel="0" collapsed="false">
      <c r="A1660" s="16" t="n">
        <v>43632</v>
      </c>
      <c r="B1660" s="17" t="n">
        <v>8996.95</v>
      </c>
    </row>
    <row r="1661" customFormat="false" ht="15" hidden="false" customHeight="false" outlineLevel="0" collapsed="false">
      <c r="A1661" s="16" t="n">
        <v>43633</v>
      </c>
      <c r="B1661" s="17" t="n">
        <v>9346.47</v>
      </c>
    </row>
    <row r="1662" customFormat="false" ht="15" hidden="false" customHeight="false" outlineLevel="0" collapsed="false">
      <c r="A1662" s="16" t="n">
        <v>43634</v>
      </c>
      <c r="B1662" s="17" t="n">
        <v>9089.99</v>
      </c>
    </row>
    <row r="1663" customFormat="false" ht="15" hidden="false" customHeight="false" outlineLevel="0" collapsed="false">
      <c r="A1663" s="16" t="n">
        <v>43635</v>
      </c>
      <c r="B1663" s="17" t="n">
        <v>9283.99</v>
      </c>
    </row>
    <row r="1664" customFormat="false" ht="15" hidden="false" customHeight="false" outlineLevel="0" collapsed="false">
      <c r="A1664" s="16" t="n">
        <v>43636</v>
      </c>
      <c r="B1664" s="17" t="n">
        <v>9542.6</v>
      </c>
    </row>
    <row r="1665" customFormat="false" ht="15" hidden="false" customHeight="false" outlineLevel="0" collapsed="false">
      <c r="A1665" s="16" t="n">
        <v>43637</v>
      </c>
      <c r="B1665" s="17" t="n">
        <v>10175.88</v>
      </c>
    </row>
    <row r="1666" customFormat="false" ht="15" hidden="false" customHeight="false" outlineLevel="0" collapsed="false">
      <c r="A1666" s="16" t="n">
        <v>43638</v>
      </c>
      <c r="B1666" s="17" t="n">
        <v>10658.3</v>
      </c>
    </row>
    <row r="1667" customFormat="false" ht="15" hidden="false" customHeight="false" outlineLevel="0" collapsed="false">
      <c r="A1667" s="16" t="n">
        <v>43639</v>
      </c>
      <c r="B1667" s="17" t="n">
        <v>10808.53</v>
      </c>
    </row>
    <row r="1668" customFormat="false" ht="15" hidden="false" customHeight="false" outlineLevel="0" collapsed="false">
      <c r="A1668" s="16" t="n">
        <v>43640</v>
      </c>
      <c r="B1668" s="17" t="n">
        <v>11040.03</v>
      </c>
    </row>
    <row r="1669" customFormat="false" ht="15" hidden="false" customHeight="false" outlineLevel="0" collapsed="false">
      <c r="A1669" s="16" t="n">
        <v>43641</v>
      </c>
      <c r="B1669" s="17" t="n">
        <v>11736.99</v>
      </c>
    </row>
    <row r="1670" customFormat="false" ht="15" hidden="false" customHeight="false" outlineLevel="0" collapsed="false">
      <c r="A1670" s="16" t="n">
        <v>43642</v>
      </c>
      <c r="B1670" s="17" t="n">
        <v>12902.52</v>
      </c>
    </row>
    <row r="1671" customFormat="false" ht="15" hidden="false" customHeight="false" outlineLevel="0" collapsed="false">
      <c r="A1671" s="16" t="n">
        <v>43643</v>
      </c>
      <c r="B1671" s="17" t="n">
        <v>11127.4</v>
      </c>
    </row>
    <row r="1672" customFormat="false" ht="15" hidden="false" customHeight="false" outlineLevel="0" collapsed="false">
      <c r="A1672" s="16" t="n">
        <v>43644</v>
      </c>
      <c r="B1672" s="17" t="n">
        <v>12317.73</v>
      </c>
    </row>
    <row r="1673" customFormat="false" ht="15" hidden="false" customHeight="false" outlineLevel="0" collapsed="false">
      <c r="A1673" s="16" t="n">
        <v>43645</v>
      </c>
      <c r="B1673" s="17" t="n">
        <v>11913.73</v>
      </c>
    </row>
    <row r="1674" customFormat="false" ht="15" hidden="false" customHeight="false" outlineLevel="0" collapsed="false">
      <c r="A1674" s="16" t="n">
        <v>43646</v>
      </c>
      <c r="B1674" s="17" t="n">
        <v>10778.74</v>
      </c>
    </row>
    <row r="1675" customFormat="false" ht="15" hidden="false" customHeight="false" outlineLevel="0" collapsed="false">
      <c r="A1675" s="16" t="n">
        <v>43647</v>
      </c>
      <c r="B1675" s="17" t="n">
        <v>10570.62</v>
      </c>
    </row>
    <row r="1676" customFormat="false" ht="15" hidden="false" customHeight="false" outlineLevel="0" collapsed="false">
      <c r="A1676" s="16" t="n">
        <v>43648</v>
      </c>
      <c r="B1676" s="17" t="n">
        <v>10885.01</v>
      </c>
    </row>
    <row r="1677" customFormat="false" ht="15" hidden="false" customHeight="false" outlineLevel="0" collapsed="false">
      <c r="A1677" s="16" t="n">
        <v>43649</v>
      </c>
      <c r="B1677" s="17" t="n">
        <v>12022.61</v>
      </c>
    </row>
    <row r="1678" customFormat="false" ht="15" hidden="false" customHeight="false" outlineLevel="0" collapsed="false">
      <c r="A1678" s="16" t="n">
        <v>43650</v>
      </c>
      <c r="B1678" s="17" t="n">
        <v>11130.95</v>
      </c>
    </row>
    <row r="1679" customFormat="false" ht="15" hidden="false" customHeight="false" outlineLevel="0" collapsed="false">
      <c r="A1679" s="16" t="n">
        <v>43651</v>
      </c>
      <c r="B1679" s="17" t="n">
        <v>11038.61</v>
      </c>
    </row>
    <row r="1680" customFormat="false" ht="15" hidden="false" customHeight="false" outlineLevel="0" collapsed="false">
      <c r="A1680" s="16" t="n">
        <v>43652</v>
      </c>
      <c r="B1680" s="17" t="n">
        <v>11187.8</v>
      </c>
    </row>
    <row r="1681" customFormat="false" ht="15" hidden="false" customHeight="false" outlineLevel="0" collapsed="false">
      <c r="A1681" s="16" t="n">
        <v>43653</v>
      </c>
      <c r="B1681" s="17" t="n">
        <v>11478.9</v>
      </c>
    </row>
    <row r="1682" customFormat="false" ht="15" hidden="false" customHeight="false" outlineLevel="0" collapsed="false">
      <c r="A1682" s="16" t="n">
        <v>43654</v>
      </c>
      <c r="B1682" s="17" t="n">
        <v>12298.31</v>
      </c>
    </row>
    <row r="1683" customFormat="false" ht="15" hidden="false" customHeight="false" outlineLevel="0" collapsed="false">
      <c r="A1683" s="16" t="n">
        <v>43655</v>
      </c>
      <c r="B1683" s="17" t="n">
        <v>12559.46</v>
      </c>
    </row>
    <row r="1684" customFormat="false" ht="15" hidden="false" customHeight="false" outlineLevel="0" collapsed="false">
      <c r="A1684" s="16" t="n">
        <v>43656</v>
      </c>
      <c r="B1684" s="17" t="n">
        <v>12083.13</v>
      </c>
    </row>
    <row r="1685" customFormat="false" ht="15" hidden="false" customHeight="false" outlineLevel="0" collapsed="false">
      <c r="A1685" s="16" t="n">
        <v>43657</v>
      </c>
      <c r="B1685" s="17" t="n">
        <v>11323.95</v>
      </c>
    </row>
    <row r="1686" customFormat="false" ht="15" hidden="false" customHeight="false" outlineLevel="0" collapsed="false">
      <c r="A1686" s="16" t="n">
        <v>43658</v>
      </c>
      <c r="B1686" s="17" t="n">
        <v>11811.99</v>
      </c>
    </row>
    <row r="1687" customFormat="false" ht="15" hidden="false" customHeight="false" outlineLevel="0" collapsed="false">
      <c r="A1687" s="16" t="n">
        <v>43659</v>
      </c>
      <c r="B1687" s="17" t="n">
        <v>11408.1</v>
      </c>
    </row>
    <row r="1688" customFormat="false" ht="15" hidden="false" customHeight="false" outlineLevel="0" collapsed="false">
      <c r="A1688" s="16" t="n">
        <v>43660</v>
      </c>
      <c r="B1688" s="17" t="n">
        <v>10190.36</v>
      </c>
    </row>
    <row r="1689" customFormat="false" ht="15" hidden="false" customHeight="false" outlineLevel="0" collapsed="false">
      <c r="A1689" s="16" t="n">
        <v>43661</v>
      </c>
      <c r="B1689" s="17" t="n">
        <v>10855.56</v>
      </c>
    </row>
    <row r="1690" customFormat="false" ht="15" hidden="false" customHeight="false" outlineLevel="0" collapsed="false">
      <c r="A1690" s="16" t="n">
        <v>43662</v>
      </c>
      <c r="B1690" s="17" t="n">
        <v>9436</v>
      </c>
    </row>
    <row r="1691" customFormat="false" ht="15" hidden="false" customHeight="false" outlineLevel="0" collapsed="false">
      <c r="A1691" s="16" t="n">
        <v>43663</v>
      </c>
      <c r="B1691" s="17" t="n">
        <v>9708.55</v>
      </c>
    </row>
    <row r="1692" customFormat="false" ht="15" hidden="false" customHeight="false" outlineLevel="0" collapsed="false">
      <c r="A1692" s="16" t="n">
        <v>43664</v>
      </c>
      <c r="B1692" s="17" t="n">
        <v>10654.25</v>
      </c>
    </row>
    <row r="1693" customFormat="false" ht="15" hidden="false" customHeight="false" outlineLevel="0" collapsed="false">
      <c r="A1693" s="16" t="n">
        <v>43665</v>
      </c>
      <c r="B1693" s="17" t="n">
        <v>10548.04</v>
      </c>
    </row>
    <row r="1694" customFormat="false" ht="15" hidden="false" customHeight="false" outlineLevel="0" collapsed="false">
      <c r="A1694" s="16" t="n">
        <v>43666</v>
      </c>
      <c r="B1694" s="17" t="n">
        <v>10754.92</v>
      </c>
    </row>
    <row r="1695" customFormat="false" ht="15" hidden="false" customHeight="false" outlineLevel="0" collapsed="false">
      <c r="A1695" s="16" t="n">
        <v>43667</v>
      </c>
      <c r="B1695" s="17" t="n">
        <v>10633.54</v>
      </c>
    </row>
    <row r="1696" customFormat="false" ht="15" hidden="false" customHeight="false" outlineLevel="0" collapsed="false">
      <c r="A1696" s="16" t="n">
        <v>43668</v>
      </c>
      <c r="B1696" s="17" t="n">
        <v>10304.64</v>
      </c>
    </row>
    <row r="1697" customFormat="false" ht="15" hidden="false" customHeight="false" outlineLevel="0" collapsed="false">
      <c r="A1697" s="16" t="n">
        <v>43669</v>
      </c>
      <c r="B1697" s="17" t="n">
        <v>9833.19</v>
      </c>
    </row>
    <row r="1698" customFormat="false" ht="15" hidden="false" customHeight="false" outlineLevel="0" collapsed="false">
      <c r="A1698" s="16" t="n">
        <v>43670</v>
      </c>
      <c r="B1698" s="17" t="n">
        <v>9751.24</v>
      </c>
    </row>
    <row r="1699" customFormat="false" ht="15" hidden="false" customHeight="false" outlineLevel="0" collapsed="false">
      <c r="A1699" s="16" t="n">
        <v>43671</v>
      </c>
      <c r="B1699" s="17" t="n">
        <v>9880.67</v>
      </c>
    </row>
    <row r="1700" customFormat="false" ht="15" hidden="false" customHeight="false" outlineLevel="0" collapsed="false">
      <c r="A1700" s="16" t="n">
        <v>43672</v>
      </c>
      <c r="B1700" s="17" t="n">
        <v>9841.96</v>
      </c>
    </row>
    <row r="1701" customFormat="false" ht="15" hidden="false" customHeight="false" outlineLevel="0" collapsed="false">
      <c r="A1701" s="16" t="n">
        <v>43673</v>
      </c>
      <c r="B1701" s="17" t="n">
        <v>9468.92</v>
      </c>
    </row>
    <row r="1702" customFormat="false" ht="15" hidden="false" customHeight="false" outlineLevel="0" collapsed="false">
      <c r="A1702" s="16" t="n">
        <v>43674</v>
      </c>
      <c r="B1702" s="17" t="n">
        <v>9549.7</v>
      </c>
    </row>
    <row r="1703" customFormat="false" ht="15" hidden="false" customHeight="false" outlineLevel="0" collapsed="false">
      <c r="A1703" s="16" t="n">
        <v>43675</v>
      </c>
      <c r="B1703" s="17" t="n">
        <v>9503.32</v>
      </c>
    </row>
    <row r="1704" customFormat="false" ht="15" hidden="false" customHeight="false" outlineLevel="0" collapsed="false">
      <c r="A1704" s="16" t="n">
        <v>43676</v>
      </c>
      <c r="B1704" s="17" t="n">
        <v>9580</v>
      </c>
    </row>
    <row r="1705" customFormat="false" ht="15" hidden="false" customHeight="false" outlineLevel="0" collapsed="false">
      <c r="A1705" s="16" t="n">
        <v>43677</v>
      </c>
      <c r="B1705" s="17" t="n">
        <v>10099</v>
      </c>
    </row>
    <row r="1706" customFormat="false" ht="15" hidden="false" customHeight="false" outlineLevel="0" collapsed="false">
      <c r="A1706" s="16" t="n">
        <v>43678</v>
      </c>
      <c r="B1706" s="17" t="n">
        <v>10417.24</v>
      </c>
    </row>
    <row r="1707" customFormat="false" ht="15" hidden="false" customHeight="false" outlineLevel="0" collapsed="false">
      <c r="A1707" s="16" t="n">
        <v>43679</v>
      </c>
      <c r="B1707" s="17" t="n">
        <v>10533.07</v>
      </c>
    </row>
    <row r="1708" customFormat="false" ht="15" hidden="false" customHeight="false" outlineLevel="0" collapsed="false">
      <c r="A1708" s="16" t="n">
        <v>43680</v>
      </c>
      <c r="B1708" s="17" t="n">
        <v>10820.75</v>
      </c>
    </row>
    <row r="1709" customFormat="false" ht="15" hidden="false" customHeight="false" outlineLevel="0" collapsed="false">
      <c r="A1709" s="16" t="n">
        <v>43681</v>
      </c>
      <c r="B1709" s="17" t="n">
        <v>10997.82</v>
      </c>
    </row>
    <row r="1710" customFormat="false" ht="15" hidden="false" customHeight="false" outlineLevel="0" collapsed="false">
      <c r="A1710" s="16" t="n">
        <v>43682</v>
      </c>
      <c r="B1710" s="17" t="n">
        <v>11775.14</v>
      </c>
    </row>
    <row r="1711" customFormat="false" ht="15" hidden="false" customHeight="false" outlineLevel="0" collapsed="false">
      <c r="A1711" s="16" t="n">
        <v>43683</v>
      </c>
      <c r="B1711" s="17" t="n">
        <v>11440.08</v>
      </c>
    </row>
    <row r="1712" customFormat="false" ht="15" hidden="false" customHeight="false" outlineLevel="0" collapsed="false">
      <c r="A1712" s="16" t="n">
        <v>43684</v>
      </c>
      <c r="B1712" s="17" t="n">
        <v>12014.41</v>
      </c>
    </row>
    <row r="1713" customFormat="false" ht="15" hidden="false" customHeight="false" outlineLevel="0" collapsed="false">
      <c r="A1713" s="16" t="n">
        <v>43685</v>
      </c>
      <c r="B1713" s="17" t="n">
        <v>12017.89</v>
      </c>
    </row>
    <row r="1714" customFormat="false" ht="15" hidden="false" customHeight="false" outlineLevel="0" collapsed="false">
      <c r="A1714" s="16" t="n">
        <v>43686</v>
      </c>
      <c r="B1714" s="17" t="n">
        <v>11889</v>
      </c>
    </row>
    <row r="1715" customFormat="false" ht="15" hidden="false" customHeight="false" outlineLevel="0" collapsed="false">
      <c r="A1715" s="16" t="n">
        <v>43687</v>
      </c>
      <c r="B1715" s="17" t="n">
        <v>11283.82</v>
      </c>
    </row>
    <row r="1716" customFormat="false" ht="15" hidden="false" customHeight="false" outlineLevel="0" collapsed="false">
      <c r="A1716" s="16" t="n">
        <v>43688</v>
      </c>
      <c r="B1716" s="17" t="n">
        <v>11531.95</v>
      </c>
    </row>
    <row r="1717" customFormat="false" ht="15" hidden="false" customHeight="false" outlineLevel="0" collapsed="false">
      <c r="A1717" s="16" t="n">
        <v>43689</v>
      </c>
      <c r="B1717" s="17" t="n">
        <v>11387.38</v>
      </c>
    </row>
    <row r="1718" customFormat="false" ht="15" hidden="false" customHeight="false" outlineLevel="0" collapsed="false">
      <c r="A1718" s="16" t="n">
        <v>43690</v>
      </c>
      <c r="B1718" s="17" t="n">
        <v>10855.58</v>
      </c>
    </row>
    <row r="1719" customFormat="false" ht="15" hidden="false" customHeight="false" outlineLevel="0" collapsed="false">
      <c r="A1719" s="16" t="n">
        <v>43691</v>
      </c>
      <c r="B1719" s="17" t="n">
        <v>10105.34</v>
      </c>
    </row>
    <row r="1720" customFormat="false" ht="15" hidden="false" customHeight="false" outlineLevel="0" collapsed="false">
      <c r="A1720" s="16" t="n">
        <v>43692</v>
      </c>
      <c r="B1720" s="17" t="n">
        <v>10280.96</v>
      </c>
    </row>
    <row r="1721" customFormat="false" ht="15" hidden="false" customHeight="false" outlineLevel="0" collapsed="false">
      <c r="A1721" s="16" t="n">
        <v>43693</v>
      </c>
      <c r="B1721" s="17" t="n">
        <v>10368.83</v>
      </c>
    </row>
    <row r="1722" customFormat="false" ht="15" hidden="false" customHeight="false" outlineLevel="0" collapsed="false">
      <c r="A1722" s="16" t="n">
        <v>43694</v>
      </c>
      <c r="B1722" s="17" t="n">
        <v>10218.37</v>
      </c>
    </row>
    <row r="1723" customFormat="false" ht="15" hidden="false" customHeight="false" outlineLevel="0" collapsed="false">
      <c r="A1723" s="16" t="n">
        <v>43695</v>
      </c>
      <c r="B1723" s="17" t="n">
        <v>10309.04</v>
      </c>
    </row>
    <row r="1724" customFormat="false" ht="15" hidden="false" customHeight="false" outlineLevel="0" collapsed="false">
      <c r="A1724" s="16" t="n">
        <v>43696</v>
      </c>
      <c r="B1724" s="17" t="n">
        <v>10935.67</v>
      </c>
    </row>
    <row r="1725" customFormat="false" ht="15" hidden="false" customHeight="false" outlineLevel="0" collapsed="false">
      <c r="A1725" s="16" t="n">
        <v>43697</v>
      </c>
      <c r="B1725" s="17" t="n">
        <v>10770.99</v>
      </c>
    </row>
    <row r="1726" customFormat="false" ht="15" hidden="false" customHeight="false" outlineLevel="0" collapsed="false">
      <c r="A1726" s="16" t="n">
        <v>43698</v>
      </c>
      <c r="B1726" s="17" t="n">
        <v>10137.75</v>
      </c>
    </row>
    <row r="1727" customFormat="false" ht="15" hidden="false" customHeight="false" outlineLevel="0" collapsed="false">
      <c r="A1727" s="16" t="n">
        <v>43699</v>
      </c>
      <c r="B1727" s="17" t="n">
        <v>10088.89</v>
      </c>
    </row>
    <row r="1728" customFormat="false" ht="15" hidden="false" customHeight="false" outlineLevel="0" collapsed="false">
      <c r="A1728" s="16" t="n">
        <v>43700</v>
      </c>
      <c r="B1728" s="17" t="n">
        <v>10415.01</v>
      </c>
    </row>
    <row r="1729" customFormat="false" ht="15" hidden="false" customHeight="false" outlineLevel="0" collapsed="false">
      <c r="A1729" s="16" t="n">
        <v>43701</v>
      </c>
      <c r="B1729" s="17" t="n">
        <v>10156</v>
      </c>
    </row>
    <row r="1730" customFormat="false" ht="15" hidden="false" customHeight="false" outlineLevel="0" collapsed="false">
      <c r="A1730" s="16" t="n">
        <v>43702</v>
      </c>
      <c r="B1730" s="17" t="n">
        <v>10148.5</v>
      </c>
    </row>
    <row r="1731" customFormat="false" ht="15" hidden="false" customHeight="false" outlineLevel="0" collapsed="false">
      <c r="A1731" s="16" t="n">
        <v>43703</v>
      </c>
      <c r="B1731" s="17" t="n">
        <v>10373.75</v>
      </c>
    </row>
    <row r="1732" customFormat="false" ht="15" hidden="false" customHeight="false" outlineLevel="0" collapsed="false">
      <c r="A1732" s="16" t="n">
        <v>43704</v>
      </c>
      <c r="B1732" s="17" t="n">
        <v>10170.16</v>
      </c>
    </row>
    <row r="1733" customFormat="false" ht="15" hidden="false" customHeight="false" outlineLevel="0" collapsed="false">
      <c r="A1733" s="16" t="n">
        <v>43705</v>
      </c>
      <c r="B1733" s="17" t="n">
        <v>9710.38</v>
      </c>
    </row>
    <row r="1734" customFormat="false" ht="15" hidden="false" customHeight="false" outlineLevel="0" collapsed="false">
      <c r="A1734" s="16" t="n">
        <v>43706</v>
      </c>
      <c r="B1734" s="17" t="n">
        <v>9525</v>
      </c>
    </row>
    <row r="1735" customFormat="false" ht="15" hidden="false" customHeight="false" outlineLevel="0" collapsed="false">
      <c r="A1735" s="16" t="n">
        <v>43707</v>
      </c>
      <c r="B1735" s="17" t="n">
        <v>9580.6</v>
      </c>
    </row>
    <row r="1736" customFormat="false" ht="15" hidden="false" customHeight="false" outlineLevel="0" collapsed="false">
      <c r="A1736" s="16" t="n">
        <v>43708</v>
      </c>
      <c r="B1736" s="17" t="n">
        <v>9593.95</v>
      </c>
    </row>
    <row r="1737" customFormat="false" ht="15" hidden="false" customHeight="false" outlineLevel="0" collapsed="false">
      <c r="A1737" s="16" t="n">
        <v>43709</v>
      </c>
      <c r="B1737" s="17" t="n">
        <v>9769.64</v>
      </c>
    </row>
    <row r="1738" customFormat="false" ht="15" hidden="false" customHeight="false" outlineLevel="0" collapsed="false">
      <c r="A1738" s="16" t="n">
        <v>43710</v>
      </c>
      <c r="B1738" s="17" t="n">
        <v>10405.05</v>
      </c>
    </row>
    <row r="1739" customFormat="false" ht="15" hidden="false" customHeight="false" outlineLevel="0" collapsed="false">
      <c r="A1739" s="16" t="n">
        <v>43711</v>
      </c>
      <c r="B1739" s="17" t="n">
        <v>10628.46</v>
      </c>
    </row>
    <row r="1740" customFormat="false" ht="15" hidden="false" customHeight="false" outlineLevel="0" collapsed="false">
      <c r="A1740" s="16" t="n">
        <v>43712</v>
      </c>
      <c r="B1740" s="17" t="n">
        <v>10585.67</v>
      </c>
    </row>
    <row r="1741" customFormat="false" ht="15" hidden="false" customHeight="false" outlineLevel="0" collapsed="false">
      <c r="A1741" s="16" t="n">
        <v>43713</v>
      </c>
      <c r="B1741" s="17" t="n">
        <v>10574.27</v>
      </c>
    </row>
    <row r="1742" customFormat="false" ht="15" hidden="false" customHeight="false" outlineLevel="0" collapsed="false">
      <c r="A1742" s="16" t="n">
        <v>43714</v>
      </c>
      <c r="B1742" s="17" t="n">
        <v>10318.8</v>
      </c>
    </row>
    <row r="1743" customFormat="false" ht="15" hidden="false" customHeight="false" outlineLevel="0" collapsed="false">
      <c r="A1743" s="16" t="n">
        <v>43715</v>
      </c>
      <c r="B1743" s="17" t="n">
        <v>10484.87</v>
      </c>
    </row>
    <row r="1744" customFormat="false" ht="15" hidden="false" customHeight="false" outlineLevel="0" collapsed="false">
      <c r="A1744" s="16" t="n">
        <v>43716</v>
      </c>
      <c r="B1744" s="17" t="n">
        <v>10395.17</v>
      </c>
    </row>
    <row r="1745" customFormat="false" ht="15" hidden="false" customHeight="false" outlineLevel="0" collapsed="false">
      <c r="A1745" s="16" t="n">
        <v>43717</v>
      </c>
      <c r="B1745" s="17" t="n">
        <v>10310.01</v>
      </c>
    </row>
    <row r="1746" customFormat="false" ht="15" hidden="false" customHeight="false" outlineLevel="0" collapsed="false">
      <c r="A1746" s="16" t="n">
        <v>43718</v>
      </c>
      <c r="B1746" s="17" t="n">
        <v>10090.01</v>
      </c>
    </row>
    <row r="1747" customFormat="false" ht="15" hidden="false" customHeight="false" outlineLevel="0" collapsed="false">
      <c r="A1747" s="16" t="n">
        <v>43719</v>
      </c>
      <c r="B1747" s="17" t="n">
        <v>10169.49</v>
      </c>
    </row>
    <row r="1748" customFormat="false" ht="15" hidden="false" customHeight="false" outlineLevel="0" collapsed="false">
      <c r="A1748" s="16" t="n">
        <v>43720</v>
      </c>
      <c r="B1748" s="17" t="n">
        <v>10437.19</v>
      </c>
    </row>
    <row r="1749" customFormat="false" ht="15" hidden="false" customHeight="false" outlineLevel="0" collapsed="false">
      <c r="A1749" s="16" t="n">
        <v>43721</v>
      </c>
      <c r="B1749" s="17" t="n">
        <v>10381.91</v>
      </c>
    </row>
    <row r="1750" customFormat="false" ht="15" hidden="false" customHeight="false" outlineLevel="0" collapsed="false">
      <c r="A1750" s="16" t="n">
        <v>43722</v>
      </c>
      <c r="B1750" s="17" t="n">
        <v>10360.2</v>
      </c>
    </row>
    <row r="1751" customFormat="false" ht="15" hidden="false" customHeight="false" outlineLevel="0" collapsed="false">
      <c r="A1751" s="16" t="n">
        <v>43723</v>
      </c>
      <c r="B1751" s="17" t="n">
        <v>10306.65</v>
      </c>
    </row>
    <row r="1752" customFormat="false" ht="15" hidden="false" customHeight="false" outlineLevel="0" collapsed="false">
      <c r="A1752" s="16" t="n">
        <v>43724</v>
      </c>
      <c r="B1752" s="17" t="n">
        <v>10268.77</v>
      </c>
    </row>
    <row r="1753" customFormat="false" ht="15" hidden="false" customHeight="false" outlineLevel="0" collapsed="false">
      <c r="A1753" s="16" t="n">
        <v>43725</v>
      </c>
      <c r="B1753" s="17" t="n">
        <v>10185.14</v>
      </c>
    </row>
    <row r="1754" customFormat="false" ht="15" hidden="false" customHeight="false" outlineLevel="0" collapsed="false">
      <c r="A1754" s="16" t="n">
        <v>43726</v>
      </c>
      <c r="B1754" s="17" t="n">
        <v>10155.26</v>
      </c>
    </row>
    <row r="1755" customFormat="false" ht="15" hidden="false" customHeight="false" outlineLevel="0" collapsed="false">
      <c r="A1755" s="16" t="n">
        <v>43727</v>
      </c>
      <c r="B1755" s="17" t="n">
        <v>10304.94</v>
      </c>
    </row>
    <row r="1756" customFormat="false" ht="15" hidden="false" customHeight="false" outlineLevel="0" collapsed="false">
      <c r="A1756" s="16" t="n">
        <v>43728</v>
      </c>
      <c r="B1756" s="17" t="n">
        <v>10168.44</v>
      </c>
    </row>
    <row r="1757" customFormat="false" ht="15" hidden="false" customHeight="false" outlineLevel="0" collapsed="false">
      <c r="A1757" s="16" t="n">
        <v>43729</v>
      </c>
      <c r="B1757" s="17" t="n">
        <v>9982.39</v>
      </c>
    </row>
    <row r="1758" customFormat="false" ht="15" hidden="false" customHeight="false" outlineLevel="0" collapsed="false">
      <c r="A1758" s="16" t="n">
        <v>43730</v>
      </c>
      <c r="B1758" s="17" t="n">
        <v>10035</v>
      </c>
    </row>
    <row r="1759" customFormat="false" ht="15" hidden="false" customHeight="false" outlineLevel="0" collapsed="false">
      <c r="A1759" s="16" t="n">
        <v>43731</v>
      </c>
      <c r="B1759" s="17" t="n">
        <v>9683.89</v>
      </c>
    </row>
    <row r="1760" customFormat="false" ht="15" hidden="false" customHeight="false" outlineLevel="0" collapsed="false">
      <c r="A1760" s="16" t="n">
        <v>43732</v>
      </c>
      <c r="B1760" s="17" t="n">
        <v>8556.43</v>
      </c>
    </row>
    <row r="1761" customFormat="false" ht="15" hidden="false" customHeight="false" outlineLevel="0" collapsed="false">
      <c r="A1761" s="16" t="n">
        <v>43733</v>
      </c>
      <c r="B1761" s="17" t="n">
        <v>8446.57</v>
      </c>
    </row>
    <row r="1762" customFormat="false" ht="15" hidden="false" customHeight="false" outlineLevel="0" collapsed="false">
      <c r="A1762" s="16" t="n">
        <v>43734</v>
      </c>
      <c r="B1762" s="17" t="n">
        <v>8063</v>
      </c>
    </row>
    <row r="1763" customFormat="false" ht="15" hidden="false" customHeight="false" outlineLevel="0" collapsed="false">
      <c r="A1763" s="16" t="n">
        <v>43735</v>
      </c>
      <c r="B1763" s="17" t="n">
        <v>8193.98</v>
      </c>
    </row>
    <row r="1764" customFormat="false" ht="15" hidden="false" customHeight="false" outlineLevel="0" collapsed="false">
      <c r="A1764" s="16" t="n">
        <v>43736</v>
      </c>
      <c r="B1764" s="17" t="n">
        <v>8228.22</v>
      </c>
    </row>
    <row r="1765" customFormat="false" ht="15" hidden="false" customHeight="false" outlineLevel="0" collapsed="false">
      <c r="A1765" s="16" t="n">
        <v>43737</v>
      </c>
      <c r="B1765" s="17" t="n">
        <v>8063.06</v>
      </c>
    </row>
    <row r="1766" customFormat="false" ht="15" hidden="false" customHeight="false" outlineLevel="0" collapsed="false">
      <c r="A1766" s="16" t="n">
        <v>43738</v>
      </c>
      <c r="B1766" s="17" t="n">
        <v>8305.14</v>
      </c>
    </row>
    <row r="1767" customFormat="false" ht="15" hidden="false" customHeight="false" outlineLevel="0" collapsed="false">
      <c r="A1767" s="16" t="n">
        <v>43739</v>
      </c>
      <c r="B1767" s="17" t="n">
        <v>8323.43</v>
      </c>
    </row>
    <row r="1768" customFormat="false" ht="15" hidden="false" customHeight="false" outlineLevel="0" collapsed="false">
      <c r="A1768" s="16" t="n">
        <v>43740</v>
      </c>
      <c r="B1768" s="17" t="n">
        <v>8396</v>
      </c>
    </row>
    <row r="1769" customFormat="false" ht="15" hidden="false" customHeight="false" outlineLevel="0" collapsed="false">
      <c r="A1769" s="16" t="n">
        <v>43741</v>
      </c>
      <c r="B1769" s="17" t="n">
        <v>8241.25</v>
      </c>
    </row>
    <row r="1770" customFormat="false" ht="15" hidden="false" customHeight="false" outlineLevel="0" collapsed="false">
      <c r="A1770" s="16" t="n">
        <v>43742</v>
      </c>
      <c r="B1770" s="17" t="n">
        <v>8159.71</v>
      </c>
    </row>
    <row r="1771" customFormat="false" ht="15" hidden="false" customHeight="false" outlineLevel="0" collapsed="false">
      <c r="A1771" s="16" t="n">
        <v>43743</v>
      </c>
      <c r="B1771" s="17" t="n">
        <v>8152.99</v>
      </c>
    </row>
    <row r="1772" customFormat="false" ht="15" hidden="false" customHeight="false" outlineLevel="0" collapsed="false">
      <c r="A1772" s="16" t="n">
        <v>43744</v>
      </c>
      <c r="B1772" s="17" t="n">
        <v>7862.67</v>
      </c>
    </row>
    <row r="1773" customFormat="false" ht="15" hidden="false" customHeight="false" outlineLevel="0" collapsed="false">
      <c r="A1773" s="16" t="n">
        <v>43745</v>
      </c>
      <c r="B1773" s="17" t="n">
        <v>8224.82</v>
      </c>
    </row>
    <row r="1774" customFormat="false" ht="15" hidden="false" customHeight="false" outlineLevel="0" collapsed="false">
      <c r="A1774" s="16" t="n">
        <v>43746</v>
      </c>
      <c r="B1774" s="17" t="n">
        <v>8186.73</v>
      </c>
    </row>
    <row r="1775" customFormat="false" ht="15" hidden="false" customHeight="false" outlineLevel="0" collapsed="false">
      <c r="A1775" s="16" t="n">
        <v>43747</v>
      </c>
      <c r="B1775" s="17" t="n">
        <v>8600</v>
      </c>
    </row>
    <row r="1776" customFormat="false" ht="15" hidden="false" customHeight="false" outlineLevel="0" collapsed="false">
      <c r="A1776" s="16" t="n">
        <v>43748</v>
      </c>
      <c r="B1776" s="17" t="n">
        <v>8589.01</v>
      </c>
    </row>
    <row r="1777" customFormat="false" ht="15" hidden="false" customHeight="false" outlineLevel="0" collapsed="false">
      <c r="A1777" s="16" t="n">
        <v>43749</v>
      </c>
      <c r="B1777" s="17" t="n">
        <v>8263.64</v>
      </c>
    </row>
    <row r="1778" customFormat="false" ht="15" hidden="false" customHeight="false" outlineLevel="0" collapsed="false">
      <c r="A1778" s="16" t="n">
        <v>43750</v>
      </c>
      <c r="B1778" s="17" t="n">
        <v>8304.1</v>
      </c>
    </row>
    <row r="1779" customFormat="false" ht="15" hidden="false" customHeight="false" outlineLevel="0" collapsed="false">
      <c r="A1779" s="16" t="n">
        <v>43751</v>
      </c>
      <c r="B1779" s="17" t="n">
        <v>8280.01</v>
      </c>
    </row>
    <row r="1780" customFormat="false" ht="15" hidden="false" customHeight="false" outlineLevel="0" collapsed="false">
      <c r="A1780" s="16" t="n">
        <v>43752</v>
      </c>
      <c r="B1780" s="17" t="n">
        <v>8363</v>
      </c>
    </row>
    <row r="1781" customFormat="false" ht="15" hidden="false" customHeight="false" outlineLevel="0" collapsed="false">
      <c r="A1781" s="16" t="n">
        <v>43753</v>
      </c>
      <c r="B1781" s="17" t="n">
        <v>8156.52</v>
      </c>
    </row>
    <row r="1782" customFormat="false" ht="15" hidden="false" customHeight="false" outlineLevel="0" collapsed="false">
      <c r="A1782" s="16" t="n">
        <v>43754</v>
      </c>
      <c r="B1782" s="17" t="n">
        <v>7993</v>
      </c>
    </row>
    <row r="1783" customFormat="false" ht="15" hidden="false" customHeight="false" outlineLevel="0" collapsed="false">
      <c r="A1783" s="16" t="n">
        <v>43755</v>
      </c>
      <c r="B1783" s="17" t="n">
        <v>8077</v>
      </c>
    </row>
    <row r="1784" customFormat="false" ht="15" hidden="false" customHeight="false" outlineLevel="0" collapsed="false">
      <c r="A1784" s="16" t="n">
        <v>43756</v>
      </c>
      <c r="B1784" s="17" t="n">
        <v>7954.16</v>
      </c>
    </row>
    <row r="1785" customFormat="false" ht="15" hidden="false" customHeight="false" outlineLevel="0" collapsed="false">
      <c r="A1785" s="16" t="n">
        <v>43757</v>
      </c>
      <c r="B1785" s="17" t="n">
        <v>7965.27</v>
      </c>
    </row>
    <row r="1786" customFormat="false" ht="15" hidden="false" customHeight="false" outlineLevel="0" collapsed="false">
      <c r="A1786" s="16" t="n">
        <v>43758</v>
      </c>
      <c r="B1786" s="17" t="n">
        <v>8235.44</v>
      </c>
    </row>
    <row r="1787" customFormat="false" ht="15" hidden="false" customHeight="false" outlineLevel="0" collapsed="false">
      <c r="A1787" s="16" t="n">
        <v>43759</v>
      </c>
      <c r="B1787" s="17" t="n">
        <v>8214.58</v>
      </c>
    </row>
    <row r="1788" customFormat="false" ht="15" hidden="false" customHeight="false" outlineLevel="0" collapsed="false">
      <c r="A1788" s="16" t="n">
        <v>43760</v>
      </c>
      <c r="B1788" s="17" t="n">
        <v>8008.04</v>
      </c>
    </row>
    <row r="1789" customFormat="false" ht="15" hidden="false" customHeight="false" outlineLevel="0" collapsed="false">
      <c r="A1789" s="16" t="n">
        <v>43761</v>
      </c>
      <c r="B1789" s="17" t="n">
        <v>7473.42</v>
      </c>
    </row>
    <row r="1790" customFormat="false" ht="15" hidden="false" customHeight="false" outlineLevel="0" collapsed="false">
      <c r="A1790" s="16" t="n">
        <v>43762</v>
      </c>
      <c r="B1790" s="17" t="n">
        <v>7439.29</v>
      </c>
    </row>
    <row r="1791" customFormat="false" ht="15" hidden="false" customHeight="false" outlineLevel="0" collapsed="false">
      <c r="A1791" s="16" t="n">
        <v>43763</v>
      </c>
      <c r="B1791" s="17" t="n">
        <v>8704.85</v>
      </c>
    </row>
    <row r="1792" customFormat="false" ht="15" hidden="false" customHeight="false" outlineLevel="0" collapsed="false">
      <c r="A1792" s="16" t="n">
        <v>43764</v>
      </c>
      <c r="B1792" s="17" t="n">
        <v>9281.27</v>
      </c>
    </row>
    <row r="1793" customFormat="false" ht="15" hidden="false" customHeight="false" outlineLevel="0" collapsed="false">
      <c r="A1793" s="16" t="n">
        <v>43765</v>
      </c>
      <c r="B1793" s="17" t="n">
        <v>9570.58</v>
      </c>
    </row>
    <row r="1794" customFormat="false" ht="15" hidden="false" customHeight="false" outlineLevel="0" collapsed="false">
      <c r="A1794" s="16" t="n">
        <v>43766</v>
      </c>
      <c r="B1794" s="17" t="n">
        <v>9221.96</v>
      </c>
    </row>
    <row r="1795" customFormat="false" ht="15" hidden="false" customHeight="false" outlineLevel="0" collapsed="false">
      <c r="A1795" s="16" t="n">
        <v>43767</v>
      </c>
      <c r="B1795" s="17" t="n">
        <v>9431.27</v>
      </c>
    </row>
    <row r="1796" customFormat="false" ht="15" hidden="false" customHeight="false" outlineLevel="0" collapsed="false">
      <c r="A1796" s="16" t="n">
        <v>43768</v>
      </c>
      <c r="B1796" s="17" t="n">
        <v>9175.77</v>
      </c>
    </row>
    <row r="1797" customFormat="false" ht="15" hidden="false" customHeight="false" outlineLevel="0" collapsed="false">
      <c r="A1797" s="16" t="n">
        <v>43769</v>
      </c>
      <c r="B1797" s="17" t="n">
        <v>9146.75</v>
      </c>
    </row>
    <row r="1798" customFormat="false" ht="15" hidden="false" customHeight="false" outlineLevel="0" collapsed="false">
      <c r="A1798" s="16" t="n">
        <v>43770</v>
      </c>
      <c r="B1798" s="17" t="n">
        <v>9268</v>
      </c>
    </row>
    <row r="1799" customFormat="false" ht="15" hidden="false" customHeight="false" outlineLevel="0" collapsed="false">
      <c r="A1799" s="16" t="n">
        <v>43771</v>
      </c>
      <c r="B1799" s="17" t="n">
        <v>9320</v>
      </c>
    </row>
    <row r="1800" customFormat="false" ht="15" hidden="false" customHeight="false" outlineLevel="0" collapsed="false">
      <c r="A1800" s="16" t="n">
        <v>43772</v>
      </c>
      <c r="B1800" s="17" t="n">
        <v>9215.01</v>
      </c>
    </row>
    <row r="1801" customFormat="false" ht="15" hidden="false" customHeight="false" outlineLevel="0" collapsed="false">
      <c r="A1801" s="16" t="n">
        <v>43773</v>
      </c>
      <c r="B1801" s="17" t="n">
        <v>9414</v>
      </c>
    </row>
    <row r="1802" customFormat="false" ht="15" hidden="false" customHeight="false" outlineLevel="0" collapsed="false">
      <c r="A1802" s="16" t="n">
        <v>43774</v>
      </c>
      <c r="B1802" s="17" t="n">
        <v>9314.99</v>
      </c>
    </row>
    <row r="1803" customFormat="false" ht="15" hidden="false" customHeight="false" outlineLevel="0" collapsed="false">
      <c r="A1803" s="16" t="n">
        <v>43775</v>
      </c>
      <c r="B1803" s="17" t="n">
        <v>9343.11</v>
      </c>
    </row>
    <row r="1804" customFormat="false" ht="15" hidden="false" customHeight="false" outlineLevel="0" collapsed="false">
      <c r="A1804" s="16" t="n">
        <v>43776</v>
      </c>
      <c r="B1804" s="17" t="n">
        <v>9196.71</v>
      </c>
    </row>
    <row r="1805" customFormat="false" ht="15" hidden="false" customHeight="false" outlineLevel="0" collapsed="false">
      <c r="A1805" s="16" t="n">
        <v>43777</v>
      </c>
      <c r="B1805" s="17" t="n">
        <v>8758.69</v>
      </c>
    </row>
    <row r="1806" customFormat="false" ht="15" hidden="false" customHeight="false" outlineLevel="0" collapsed="false">
      <c r="A1806" s="16" t="n">
        <v>43778</v>
      </c>
      <c r="B1806" s="17" t="n">
        <v>8798.38</v>
      </c>
    </row>
    <row r="1807" customFormat="false" ht="15" hidden="false" customHeight="false" outlineLevel="0" collapsed="false">
      <c r="A1807" s="16" t="n">
        <v>43779</v>
      </c>
      <c r="B1807" s="17" t="n">
        <v>9036.82</v>
      </c>
    </row>
    <row r="1808" customFormat="false" ht="15" hidden="false" customHeight="false" outlineLevel="0" collapsed="false">
      <c r="A1808" s="16" t="n">
        <v>43780</v>
      </c>
      <c r="B1808" s="17" t="n">
        <v>8720.61</v>
      </c>
    </row>
    <row r="1809" customFormat="false" ht="15" hidden="false" customHeight="false" outlineLevel="0" collapsed="false">
      <c r="A1809" s="16" t="n">
        <v>43781</v>
      </c>
      <c r="B1809" s="17" t="n">
        <v>8823.65</v>
      </c>
    </row>
    <row r="1810" customFormat="false" ht="15" hidden="false" customHeight="false" outlineLevel="0" collapsed="false">
      <c r="A1810" s="16" t="n">
        <v>43782</v>
      </c>
      <c r="B1810" s="17" t="n">
        <v>8765.61</v>
      </c>
    </row>
    <row r="1811" customFormat="false" ht="15" hidden="false" customHeight="false" outlineLevel="0" collapsed="false">
      <c r="A1811" s="16" t="n">
        <v>43783</v>
      </c>
      <c r="B1811" s="17" t="n">
        <v>8630.01</v>
      </c>
    </row>
    <row r="1812" customFormat="false" ht="15" hidden="false" customHeight="false" outlineLevel="0" collapsed="false">
      <c r="A1812" s="16" t="n">
        <v>43784</v>
      </c>
      <c r="B1812" s="17" t="n">
        <v>8460</v>
      </c>
    </row>
    <row r="1813" customFormat="false" ht="15" hidden="false" customHeight="false" outlineLevel="0" collapsed="false">
      <c r="A1813" s="16" t="n">
        <v>43785</v>
      </c>
      <c r="B1813" s="17" t="n">
        <v>8488</v>
      </c>
    </row>
    <row r="1814" customFormat="false" ht="15" hidden="false" customHeight="false" outlineLevel="0" collapsed="false">
      <c r="A1814" s="16" t="n">
        <v>43786</v>
      </c>
      <c r="B1814" s="17" t="n">
        <v>8500.01</v>
      </c>
    </row>
    <row r="1815" customFormat="false" ht="15" hidden="false" customHeight="false" outlineLevel="0" collapsed="false">
      <c r="A1815" s="16" t="n">
        <v>43787</v>
      </c>
      <c r="B1815" s="17" t="n">
        <v>8160.73</v>
      </c>
    </row>
    <row r="1816" customFormat="false" ht="15" hidden="false" customHeight="false" outlineLevel="0" collapsed="false">
      <c r="A1816" s="16" t="n">
        <v>43788</v>
      </c>
      <c r="B1816" s="17" t="n">
        <v>8123.36</v>
      </c>
    </row>
    <row r="1817" customFormat="false" ht="15" hidden="false" customHeight="false" outlineLevel="0" collapsed="false">
      <c r="A1817" s="16" t="n">
        <v>43789</v>
      </c>
      <c r="B1817" s="17" t="n">
        <v>8082.96</v>
      </c>
    </row>
    <row r="1818" customFormat="false" ht="15" hidden="false" customHeight="false" outlineLevel="0" collapsed="false">
      <c r="A1818" s="16" t="n">
        <v>43790</v>
      </c>
      <c r="B1818" s="17" t="n">
        <v>7618.76</v>
      </c>
    </row>
    <row r="1819" customFormat="false" ht="15" hidden="false" customHeight="false" outlineLevel="0" collapsed="false">
      <c r="A1819" s="16" t="n">
        <v>43791</v>
      </c>
      <c r="B1819" s="17" t="n">
        <v>7296.45</v>
      </c>
    </row>
    <row r="1820" customFormat="false" ht="15" hidden="false" customHeight="false" outlineLevel="0" collapsed="false">
      <c r="A1820" s="16" t="n">
        <v>43792</v>
      </c>
      <c r="B1820" s="17" t="n">
        <v>7338.92</v>
      </c>
    </row>
    <row r="1821" customFormat="false" ht="15" hidden="false" customHeight="false" outlineLevel="0" collapsed="false">
      <c r="A1821" s="16" t="n">
        <v>43793</v>
      </c>
      <c r="B1821" s="17" t="n">
        <v>6906.25</v>
      </c>
    </row>
    <row r="1822" customFormat="false" ht="15" hidden="false" customHeight="false" outlineLevel="0" collapsed="false">
      <c r="A1822" s="16" t="n">
        <v>43794</v>
      </c>
      <c r="B1822" s="17" t="n">
        <v>7125</v>
      </c>
    </row>
    <row r="1823" customFormat="false" ht="15" hidden="false" customHeight="false" outlineLevel="0" collapsed="false">
      <c r="A1823" s="16" t="n">
        <v>43795</v>
      </c>
      <c r="B1823" s="17" t="n">
        <v>7155</v>
      </c>
    </row>
    <row r="1824" customFormat="false" ht="15" hidden="false" customHeight="false" outlineLevel="0" collapsed="false">
      <c r="A1824" s="16" t="n">
        <v>43796</v>
      </c>
      <c r="B1824" s="17" t="n">
        <v>7539.4</v>
      </c>
    </row>
    <row r="1825" customFormat="false" ht="15" hidden="false" customHeight="false" outlineLevel="0" collapsed="false">
      <c r="A1825" s="16" t="n">
        <v>43797</v>
      </c>
      <c r="B1825" s="17" t="n">
        <v>7413.05</v>
      </c>
    </row>
    <row r="1826" customFormat="false" ht="15" hidden="false" customHeight="false" outlineLevel="0" collapsed="false">
      <c r="A1826" s="16" t="n">
        <v>43798</v>
      </c>
      <c r="B1826" s="17" t="n">
        <v>7751.29</v>
      </c>
    </row>
    <row r="1827" customFormat="false" ht="15" hidden="false" customHeight="false" outlineLevel="0" collapsed="false">
      <c r="A1827" s="16" t="n">
        <v>43799</v>
      </c>
      <c r="B1827" s="17" t="n">
        <v>7551.7</v>
      </c>
    </row>
    <row r="1828" customFormat="false" ht="15" hidden="false" customHeight="false" outlineLevel="0" collapsed="false">
      <c r="A1828" s="16" t="n">
        <v>43800</v>
      </c>
      <c r="B1828" s="17" t="n">
        <v>7413.84</v>
      </c>
    </row>
    <row r="1829" customFormat="false" ht="15" hidden="false" customHeight="false" outlineLevel="0" collapsed="false">
      <c r="A1829" s="16" t="n">
        <v>43801</v>
      </c>
      <c r="B1829" s="17" t="n">
        <v>7315.09</v>
      </c>
    </row>
    <row r="1830" customFormat="false" ht="15" hidden="false" customHeight="false" outlineLevel="0" collapsed="false">
      <c r="A1830" s="16" t="n">
        <v>43802</v>
      </c>
      <c r="B1830" s="17" t="n">
        <v>7296</v>
      </c>
    </row>
    <row r="1831" customFormat="false" ht="15" hidden="false" customHeight="false" outlineLevel="0" collapsed="false">
      <c r="A1831" s="16" t="n">
        <v>43803</v>
      </c>
      <c r="B1831" s="17" t="n">
        <v>7185.57</v>
      </c>
    </row>
    <row r="1832" customFormat="false" ht="15" hidden="false" customHeight="false" outlineLevel="0" collapsed="false">
      <c r="A1832" s="16" t="n">
        <v>43804</v>
      </c>
      <c r="B1832" s="17" t="n">
        <v>7388.75</v>
      </c>
    </row>
    <row r="1833" customFormat="false" ht="15" hidden="false" customHeight="false" outlineLevel="0" collapsed="false">
      <c r="A1833" s="16" t="n">
        <v>43805</v>
      </c>
      <c r="B1833" s="17" t="n">
        <v>7560.76</v>
      </c>
    </row>
    <row r="1834" customFormat="false" ht="15" hidden="false" customHeight="false" outlineLevel="0" collapsed="false">
      <c r="A1834" s="16" t="n">
        <v>43806</v>
      </c>
      <c r="B1834" s="17" t="n">
        <v>7502.2</v>
      </c>
    </row>
    <row r="1835" customFormat="false" ht="15" hidden="false" customHeight="false" outlineLevel="0" collapsed="false">
      <c r="A1835" s="16" t="n">
        <v>43807</v>
      </c>
      <c r="B1835" s="17" t="n">
        <v>7520</v>
      </c>
    </row>
    <row r="1836" customFormat="false" ht="15" hidden="false" customHeight="false" outlineLevel="0" collapsed="false">
      <c r="A1836" s="16" t="n">
        <v>43808</v>
      </c>
      <c r="B1836" s="17" t="n">
        <v>7332.69</v>
      </c>
    </row>
    <row r="1837" customFormat="false" ht="15" hidden="false" customHeight="false" outlineLevel="0" collapsed="false">
      <c r="A1837" s="16" t="n">
        <v>43809</v>
      </c>
      <c r="B1837" s="17" t="n">
        <v>7215.69</v>
      </c>
    </row>
    <row r="1838" customFormat="false" ht="15" hidden="false" customHeight="false" outlineLevel="0" collapsed="false">
      <c r="A1838" s="16" t="n">
        <v>43810</v>
      </c>
      <c r="B1838" s="17" t="n">
        <v>7275.17</v>
      </c>
    </row>
    <row r="1839" customFormat="false" ht="15" hidden="false" customHeight="false" outlineLevel="0" collapsed="false">
      <c r="A1839" s="16" t="n">
        <v>43811</v>
      </c>
      <c r="B1839" s="17" t="n">
        <v>7194.19</v>
      </c>
    </row>
    <row r="1840" customFormat="false" ht="15" hidden="false" customHeight="false" outlineLevel="0" collapsed="false">
      <c r="A1840" s="16" t="n">
        <v>43812</v>
      </c>
      <c r="B1840" s="17" t="n">
        <v>7249.25</v>
      </c>
    </row>
    <row r="1841" customFormat="false" ht="15" hidden="false" customHeight="false" outlineLevel="0" collapsed="false">
      <c r="A1841" s="16" t="n">
        <v>43813</v>
      </c>
      <c r="B1841" s="17" t="n">
        <v>7059.55</v>
      </c>
    </row>
    <row r="1842" customFormat="false" ht="15" hidden="false" customHeight="false" outlineLevel="0" collapsed="false">
      <c r="A1842" s="16" t="n">
        <v>43814</v>
      </c>
      <c r="B1842" s="17" t="n">
        <v>7111</v>
      </c>
    </row>
    <row r="1843" customFormat="false" ht="15" hidden="false" customHeight="false" outlineLevel="0" collapsed="false">
      <c r="A1843" s="16" t="n">
        <v>43815</v>
      </c>
      <c r="B1843" s="17" t="n">
        <v>6877.04</v>
      </c>
    </row>
    <row r="1844" customFormat="false" ht="15" hidden="false" customHeight="false" outlineLevel="0" collapsed="false">
      <c r="A1844" s="16" t="n">
        <v>43816</v>
      </c>
      <c r="B1844" s="17" t="n">
        <v>6618.62</v>
      </c>
    </row>
    <row r="1845" customFormat="false" ht="15" hidden="false" customHeight="false" outlineLevel="0" collapsed="false">
      <c r="A1845" s="16" t="n">
        <v>43817</v>
      </c>
      <c r="B1845" s="17" t="n">
        <v>7309.12</v>
      </c>
    </row>
    <row r="1846" customFormat="false" ht="15" hidden="false" customHeight="false" outlineLevel="0" collapsed="false">
      <c r="A1846" s="16" t="n">
        <v>43818</v>
      </c>
      <c r="B1846" s="17" t="n">
        <v>7153.99</v>
      </c>
    </row>
    <row r="1847" customFormat="false" ht="15" hidden="false" customHeight="false" outlineLevel="0" collapsed="false">
      <c r="A1847" s="16" t="n">
        <v>43819</v>
      </c>
      <c r="B1847" s="17" t="n">
        <v>7189.87</v>
      </c>
    </row>
    <row r="1848" customFormat="false" ht="15" hidden="false" customHeight="false" outlineLevel="0" collapsed="false">
      <c r="A1848" s="16" t="n">
        <v>43820</v>
      </c>
      <c r="B1848" s="17" t="n">
        <v>7143.01</v>
      </c>
    </row>
    <row r="1849" customFormat="false" ht="15" hidden="false" customHeight="false" outlineLevel="0" collapsed="false">
      <c r="A1849" s="16" t="n">
        <v>43821</v>
      </c>
      <c r="B1849" s="17" t="n">
        <v>7550</v>
      </c>
    </row>
    <row r="1850" customFormat="false" ht="15" hidden="false" customHeight="false" outlineLevel="0" collapsed="false">
      <c r="A1850" s="16" t="n">
        <v>43822</v>
      </c>
      <c r="B1850" s="17" t="n">
        <v>7318.18</v>
      </c>
    </row>
    <row r="1851" customFormat="false" ht="15" hidden="false" customHeight="false" outlineLevel="0" collapsed="false">
      <c r="A1851" s="16" t="n">
        <v>43823</v>
      </c>
      <c r="B1851" s="17" t="n">
        <v>7259.87</v>
      </c>
    </row>
    <row r="1852" customFormat="false" ht="15" hidden="false" customHeight="false" outlineLevel="0" collapsed="false">
      <c r="A1852" s="16" t="n">
        <v>43824</v>
      </c>
      <c r="B1852" s="17" t="n">
        <v>7194.76</v>
      </c>
    </row>
    <row r="1853" customFormat="false" ht="15" hidden="false" customHeight="false" outlineLevel="0" collapsed="false">
      <c r="A1853" s="16" t="n">
        <v>43825</v>
      </c>
      <c r="B1853" s="17" t="n">
        <v>7195</v>
      </c>
    </row>
    <row r="1854" customFormat="false" ht="15" hidden="false" customHeight="false" outlineLevel="0" collapsed="false">
      <c r="A1854" s="16" t="n">
        <v>43826</v>
      </c>
      <c r="B1854" s="17" t="n">
        <v>7247.35</v>
      </c>
    </row>
    <row r="1855" customFormat="false" ht="15" hidden="false" customHeight="false" outlineLevel="0" collapsed="false">
      <c r="A1855" s="16" t="n">
        <v>43827</v>
      </c>
      <c r="B1855" s="17" t="n">
        <v>7303.7</v>
      </c>
    </row>
    <row r="1856" customFormat="false" ht="15" hidden="false" customHeight="false" outlineLevel="0" collapsed="false">
      <c r="A1856" s="16" t="n">
        <v>43828</v>
      </c>
      <c r="B1856" s="17" t="n">
        <v>7378.53</v>
      </c>
    </row>
    <row r="1857" customFormat="false" ht="15" hidden="false" customHeight="false" outlineLevel="0" collapsed="false">
      <c r="A1857" s="16" t="n">
        <v>43829</v>
      </c>
      <c r="B1857" s="17" t="n">
        <v>7191</v>
      </c>
    </row>
    <row r="1858" customFormat="false" ht="15" hidden="false" customHeight="false" outlineLevel="0" collapsed="false">
      <c r="A1858" s="16" t="n">
        <v>43830</v>
      </c>
      <c r="B1858" s="17" t="n">
        <v>7158.01</v>
      </c>
    </row>
    <row r="1859" customFormat="false" ht="15" hidden="false" customHeight="false" outlineLevel="0" collapsed="false">
      <c r="A1859" s="16" t="n">
        <v>43831</v>
      </c>
      <c r="B1859" s="17" t="n">
        <v>7174.32</v>
      </c>
    </row>
    <row r="1860" customFormat="false" ht="15" hidden="false" customHeight="false" outlineLevel="0" collapsed="false">
      <c r="A1860" s="16" t="n">
        <v>43832</v>
      </c>
      <c r="B1860" s="17" t="n">
        <v>6945.01</v>
      </c>
    </row>
    <row r="1861" customFormat="false" ht="15" hidden="false" customHeight="false" outlineLevel="0" collapsed="false">
      <c r="A1861" s="16" t="n">
        <v>43833</v>
      </c>
      <c r="B1861" s="17" t="n">
        <v>7335.54</v>
      </c>
    </row>
    <row r="1862" customFormat="false" ht="15" hidden="false" customHeight="false" outlineLevel="0" collapsed="false">
      <c r="A1862" s="16" t="n">
        <v>43834</v>
      </c>
      <c r="B1862" s="17" t="n">
        <v>7353.5</v>
      </c>
    </row>
    <row r="1863" customFormat="false" ht="15" hidden="false" customHeight="false" outlineLevel="0" collapsed="false">
      <c r="A1863" s="16" t="n">
        <v>43835</v>
      </c>
      <c r="B1863" s="17" t="n">
        <v>7348.69</v>
      </c>
    </row>
    <row r="1864" customFormat="false" ht="15" hidden="false" customHeight="false" outlineLevel="0" collapsed="false">
      <c r="A1864" s="16" t="n">
        <v>43836</v>
      </c>
      <c r="B1864" s="17" t="n">
        <v>7773.48</v>
      </c>
    </row>
    <row r="1865" customFormat="false" ht="15" hidden="false" customHeight="false" outlineLevel="0" collapsed="false">
      <c r="A1865" s="16" t="n">
        <v>43837</v>
      </c>
      <c r="B1865" s="17" t="n">
        <v>8169.95</v>
      </c>
    </row>
    <row r="1866" customFormat="false" ht="15" hidden="false" customHeight="false" outlineLevel="0" collapsed="false">
      <c r="A1866" s="16" t="n">
        <v>43838</v>
      </c>
      <c r="B1866" s="17" t="n">
        <v>8035.08</v>
      </c>
    </row>
    <row r="1867" customFormat="false" ht="15" hidden="false" customHeight="false" outlineLevel="0" collapsed="false">
      <c r="A1867" s="16" t="n">
        <v>43839</v>
      </c>
      <c r="B1867" s="17" t="n">
        <v>7813.78</v>
      </c>
    </row>
    <row r="1868" customFormat="false" ht="15" hidden="false" customHeight="false" outlineLevel="0" collapsed="false">
      <c r="A1868" s="16" t="n">
        <v>43840</v>
      </c>
      <c r="B1868" s="17" t="n">
        <v>8183.89</v>
      </c>
    </row>
    <row r="1869" customFormat="false" ht="15" hidden="false" customHeight="false" outlineLevel="0" collapsed="false">
      <c r="A1869" s="16" t="n">
        <v>43841</v>
      </c>
      <c r="B1869" s="17" t="n">
        <v>8002.89</v>
      </c>
    </row>
    <row r="1870" customFormat="false" ht="15" hidden="false" customHeight="false" outlineLevel="0" collapsed="false">
      <c r="A1870" s="16" t="n">
        <v>43842</v>
      </c>
      <c r="B1870" s="17" t="n">
        <v>8192.66</v>
      </c>
    </row>
    <row r="1871" customFormat="false" ht="15" hidden="false" customHeight="false" outlineLevel="0" collapsed="false">
      <c r="A1871" s="16" t="n">
        <v>43843</v>
      </c>
      <c r="B1871" s="17" t="n">
        <v>8109.62</v>
      </c>
    </row>
    <row r="1872" customFormat="false" ht="15" hidden="false" customHeight="false" outlineLevel="0" collapsed="false">
      <c r="A1872" s="16" t="n">
        <v>43844</v>
      </c>
      <c r="B1872" s="17" t="n">
        <v>8757.18</v>
      </c>
    </row>
    <row r="1873" customFormat="false" ht="15" hidden="false" customHeight="false" outlineLevel="0" collapsed="false">
      <c r="A1873" s="16" t="n">
        <v>43845</v>
      </c>
      <c r="B1873" s="17" t="n">
        <v>8831.86</v>
      </c>
    </row>
    <row r="1874" customFormat="false" ht="15" hidden="false" customHeight="false" outlineLevel="0" collapsed="false">
      <c r="A1874" s="16" t="n">
        <v>43846</v>
      </c>
      <c r="B1874" s="17" t="n">
        <v>8727.22</v>
      </c>
    </row>
    <row r="1875" customFormat="false" ht="15" hidden="false" customHeight="false" outlineLevel="0" collapsed="false">
      <c r="A1875" s="16" t="n">
        <v>43847</v>
      </c>
      <c r="B1875" s="17" t="n">
        <v>8875.81</v>
      </c>
    </row>
    <row r="1876" customFormat="false" ht="15" hidden="false" customHeight="false" outlineLevel="0" collapsed="false">
      <c r="A1876" s="16" t="n">
        <v>43848</v>
      </c>
      <c r="B1876" s="17" t="n">
        <v>8901</v>
      </c>
    </row>
    <row r="1877" customFormat="false" ht="15" hidden="false" customHeight="false" outlineLevel="0" collapsed="false">
      <c r="A1877" s="16" t="n">
        <v>43849</v>
      </c>
      <c r="B1877" s="17" t="n">
        <v>8710.41</v>
      </c>
    </row>
    <row r="1878" customFormat="false" ht="15" hidden="false" customHeight="false" outlineLevel="0" collapsed="false">
      <c r="A1878" s="16" t="n">
        <v>43850</v>
      </c>
      <c r="B1878" s="17" t="n">
        <v>8633.67</v>
      </c>
    </row>
    <row r="1879" customFormat="false" ht="15" hidden="false" customHeight="false" outlineLevel="0" collapsed="false">
      <c r="A1879" s="16" t="n">
        <v>43851</v>
      </c>
      <c r="B1879" s="17" t="n">
        <v>8730</v>
      </c>
    </row>
    <row r="1880" customFormat="false" ht="15" hidden="false" customHeight="false" outlineLevel="0" collapsed="false">
      <c r="A1880" s="16" t="n">
        <v>43852</v>
      </c>
      <c r="B1880" s="17" t="n">
        <v>8665</v>
      </c>
    </row>
    <row r="1881" customFormat="false" ht="15" hidden="false" customHeight="false" outlineLevel="0" collapsed="false">
      <c r="A1881" s="16" t="n">
        <v>43853</v>
      </c>
      <c r="B1881" s="17" t="n">
        <v>8386.63</v>
      </c>
    </row>
    <row r="1882" customFormat="false" ht="15" hidden="false" customHeight="false" outlineLevel="0" collapsed="false">
      <c r="A1882" s="16" t="n">
        <v>43854</v>
      </c>
      <c r="B1882" s="17" t="n">
        <v>8424.96</v>
      </c>
    </row>
    <row r="1883" customFormat="false" ht="15" hidden="false" customHeight="false" outlineLevel="0" collapsed="false">
      <c r="A1883" s="16" t="n">
        <v>43855</v>
      </c>
      <c r="B1883" s="17" t="n">
        <v>8304.04</v>
      </c>
    </row>
    <row r="1884" customFormat="false" ht="15" hidden="false" customHeight="false" outlineLevel="0" collapsed="false">
      <c r="A1884" s="16" t="n">
        <v>43856</v>
      </c>
      <c r="B1884" s="17" t="n">
        <v>8632.92</v>
      </c>
    </row>
    <row r="1885" customFormat="false" ht="15" hidden="false" customHeight="false" outlineLevel="0" collapsed="false">
      <c r="A1885" s="16" t="n">
        <v>43857</v>
      </c>
      <c r="B1885" s="17" t="n">
        <v>8903.24</v>
      </c>
    </row>
    <row r="1886" customFormat="false" ht="15" hidden="false" customHeight="false" outlineLevel="0" collapsed="false">
      <c r="A1886" s="16" t="n">
        <v>43858</v>
      </c>
      <c r="B1886" s="17" t="n">
        <v>9417.64</v>
      </c>
    </row>
    <row r="1887" customFormat="false" ht="15" hidden="false" customHeight="false" outlineLevel="0" collapsed="false">
      <c r="A1887" s="16" t="n">
        <v>43859</v>
      </c>
      <c r="B1887" s="17" t="n">
        <v>9270</v>
      </c>
    </row>
    <row r="1888" customFormat="false" ht="15" hidden="false" customHeight="false" outlineLevel="0" collapsed="false">
      <c r="A1888" s="16" t="n">
        <v>43860</v>
      </c>
      <c r="B1888" s="17" t="n">
        <v>9493.61</v>
      </c>
    </row>
    <row r="1889" customFormat="false" ht="15" hidden="false" customHeight="false" outlineLevel="0" collapsed="false">
      <c r="A1889" s="16" t="n">
        <v>43861</v>
      </c>
      <c r="B1889" s="17" t="n">
        <v>9343.28</v>
      </c>
    </row>
    <row r="1890" customFormat="false" ht="15" hidden="false" customHeight="false" outlineLevel="0" collapsed="false">
      <c r="A1890" s="16" t="n">
        <v>43862</v>
      </c>
      <c r="B1890" s="17" t="n">
        <v>9375.06</v>
      </c>
    </row>
    <row r="1891" customFormat="false" ht="15" hidden="false" customHeight="false" outlineLevel="0" collapsed="false">
      <c r="A1891" s="16" t="n">
        <v>43863</v>
      </c>
      <c r="B1891" s="17" t="n">
        <v>9314.06</v>
      </c>
    </row>
    <row r="1892" customFormat="false" ht="15" hidden="false" customHeight="false" outlineLevel="0" collapsed="false">
      <c r="A1892" s="16" t="n">
        <v>43864</v>
      </c>
      <c r="B1892" s="17" t="n">
        <v>9282.29</v>
      </c>
    </row>
    <row r="1893" customFormat="false" ht="15" hidden="false" customHeight="false" outlineLevel="0" collapsed="false">
      <c r="A1893" s="16" t="n">
        <v>43865</v>
      </c>
      <c r="B1893" s="17" t="n">
        <v>9158.57</v>
      </c>
    </row>
    <row r="1894" customFormat="false" ht="15" hidden="false" customHeight="false" outlineLevel="0" collapsed="false">
      <c r="A1894" s="16" t="n">
        <v>43866</v>
      </c>
      <c r="B1894" s="17" t="n">
        <v>9623.44</v>
      </c>
    </row>
    <row r="1895" customFormat="false" ht="15" hidden="false" customHeight="false" outlineLevel="0" collapsed="false">
      <c r="A1895" s="16" t="n">
        <v>43867</v>
      </c>
      <c r="B1895" s="17" t="n">
        <v>9765.96</v>
      </c>
    </row>
    <row r="1896" customFormat="false" ht="15" hidden="false" customHeight="false" outlineLevel="0" collapsed="false">
      <c r="A1896" s="16" t="n">
        <v>43868</v>
      </c>
      <c r="B1896" s="17" t="n">
        <v>9804.98</v>
      </c>
    </row>
    <row r="1897" customFormat="false" ht="15" hidden="false" customHeight="false" outlineLevel="0" collapsed="false">
      <c r="A1897" s="16" t="n">
        <v>43869</v>
      </c>
      <c r="B1897" s="17" t="n">
        <v>9911.13</v>
      </c>
    </row>
    <row r="1898" customFormat="false" ht="15" hidden="false" customHeight="false" outlineLevel="0" collapsed="false">
      <c r="A1898" s="16" t="n">
        <v>43870</v>
      </c>
      <c r="B1898" s="17" t="n">
        <v>10174.81</v>
      </c>
    </row>
    <row r="1899" customFormat="false" ht="15" hidden="false" customHeight="false" outlineLevel="0" collapsed="false">
      <c r="A1899" s="16" t="n">
        <v>43871</v>
      </c>
      <c r="B1899" s="17" t="n">
        <v>9854.5</v>
      </c>
    </row>
    <row r="1900" customFormat="false" ht="15" hidden="false" customHeight="false" outlineLevel="0" collapsed="false">
      <c r="A1900" s="16" t="n">
        <v>43872</v>
      </c>
      <c r="B1900" s="17" t="n">
        <v>10279.99</v>
      </c>
    </row>
    <row r="1901" customFormat="false" ht="15" hidden="false" customHeight="false" outlineLevel="0" collapsed="false">
      <c r="A1901" s="16" t="n">
        <v>43873</v>
      </c>
      <c r="B1901" s="17" t="n">
        <v>10344.01</v>
      </c>
    </row>
    <row r="1902" customFormat="false" ht="15" hidden="false" customHeight="false" outlineLevel="0" collapsed="false">
      <c r="A1902" s="16" t="n">
        <v>43874</v>
      </c>
      <c r="B1902" s="17" t="n">
        <v>10239.57</v>
      </c>
    </row>
    <row r="1903" customFormat="false" ht="15" hidden="false" customHeight="false" outlineLevel="0" collapsed="false">
      <c r="A1903" s="16" t="n">
        <v>43875</v>
      </c>
      <c r="B1903" s="17" t="n">
        <v>10380</v>
      </c>
    </row>
    <row r="1904" customFormat="false" ht="15" hidden="false" customHeight="false" outlineLevel="0" collapsed="false">
      <c r="A1904" s="16" t="n">
        <v>43876</v>
      </c>
      <c r="B1904" s="17" t="n">
        <v>9901.34</v>
      </c>
    </row>
    <row r="1905" customFormat="false" ht="15" hidden="false" customHeight="false" outlineLevel="0" collapsed="false">
      <c r="A1905" s="16" t="n">
        <v>43877</v>
      </c>
      <c r="B1905" s="17" t="n">
        <v>9915.04</v>
      </c>
    </row>
    <row r="1906" customFormat="false" ht="15" hidden="false" customHeight="false" outlineLevel="0" collapsed="false">
      <c r="A1906" s="16" t="n">
        <v>43878</v>
      </c>
      <c r="B1906" s="17" t="n">
        <v>9711.95</v>
      </c>
    </row>
    <row r="1907" customFormat="false" ht="15" hidden="false" customHeight="false" outlineLevel="0" collapsed="false">
      <c r="A1907" s="16" t="n">
        <v>43879</v>
      </c>
      <c r="B1907" s="17" t="n">
        <v>10191.51</v>
      </c>
    </row>
    <row r="1908" customFormat="false" ht="15" hidden="false" customHeight="false" outlineLevel="0" collapsed="false">
      <c r="A1908" s="16" t="n">
        <v>43880</v>
      </c>
      <c r="B1908" s="17" t="n">
        <v>9591.54</v>
      </c>
    </row>
    <row r="1909" customFormat="false" ht="15" hidden="false" customHeight="false" outlineLevel="0" collapsed="false">
      <c r="A1909" s="16" t="n">
        <v>43881</v>
      </c>
      <c r="B1909" s="17" t="n">
        <v>9610.05</v>
      </c>
    </row>
    <row r="1910" customFormat="false" ht="15" hidden="false" customHeight="false" outlineLevel="0" collapsed="false">
      <c r="A1910" s="16" t="n">
        <v>43882</v>
      </c>
      <c r="B1910" s="17" t="n">
        <v>9697.01</v>
      </c>
    </row>
    <row r="1911" customFormat="false" ht="15" hidden="false" customHeight="false" outlineLevel="0" collapsed="false">
      <c r="A1911" s="16" t="n">
        <v>43883</v>
      </c>
      <c r="B1911" s="17" t="n">
        <v>9668.26</v>
      </c>
    </row>
    <row r="1912" customFormat="false" ht="15" hidden="false" customHeight="false" outlineLevel="0" collapsed="false">
      <c r="A1912" s="16" t="n">
        <v>43884</v>
      </c>
      <c r="B1912" s="17" t="n">
        <v>9964.16</v>
      </c>
    </row>
    <row r="1913" customFormat="false" ht="15" hidden="false" customHeight="false" outlineLevel="0" collapsed="false">
      <c r="A1913" s="16" t="n">
        <v>43885</v>
      </c>
      <c r="B1913" s="17" t="n">
        <v>9668.08</v>
      </c>
    </row>
    <row r="1914" customFormat="false" ht="15" hidden="false" customHeight="false" outlineLevel="0" collapsed="false">
      <c r="A1914" s="16" t="n">
        <v>43886</v>
      </c>
      <c r="B1914" s="17" t="n">
        <v>9301.01</v>
      </c>
    </row>
    <row r="1915" customFormat="false" ht="15" hidden="false" customHeight="false" outlineLevel="0" collapsed="false">
      <c r="A1915" s="16" t="n">
        <v>43887</v>
      </c>
      <c r="B1915" s="17" t="n">
        <v>8776.01</v>
      </c>
    </row>
    <row r="1916" customFormat="false" ht="15" hidden="false" customHeight="false" outlineLevel="0" collapsed="false">
      <c r="A1916" s="16" t="n">
        <v>43888</v>
      </c>
      <c r="B1916" s="17" t="n">
        <v>8816.71</v>
      </c>
    </row>
    <row r="1917" customFormat="false" ht="15" hidden="false" customHeight="false" outlineLevel="0" collapsed="false">
      <c r="A1917" s="16" t="n">
        <v>43889</v>
      </c>
      <c r="B1917" s="17" t="n">
        <v>8713.16</v>
      </c>
    </row>
    <row r="1918" customFormat="false" ht="15" hidden="false" customHeight="false" outlineLevel="0" collapsed="false">
      <c r="A1918" s="16" t="n">
        <v>43890</v>
      </c>
      <c r="B1918" s="17" t="n">
        <v>8552.08</v>
      </c>
    </row>
    <row r="1919" customFormat="false" ht="15" hidden="false" customHeight="false" outlineLevel="0" collapsed="false">
      <c r="A1919" s="16" t="n">
        <v>43891</v>
      </c>
      <c r="B1919" s="17" t="n">
        <v>8490.3</v>
      </c>
    </row>
    <row r="1920" customFormat="false" ht="15" hidden="false" customHeight="false" outlineLevel="0" collapsed="false">
      <c r="A1920" s="16" t="n">
        <v>43892</v>
      </c>
      <c r="B1920" s="17" t="n">
        <v>8923.52</v>
      </c>
    </row>
    <row r="1921" customFormat="false" ht="15" hidden="false" customHeight="false" outlineLevel="0" collapsed="false">
      <c r="A1921" s="16" t="n">
        <v>43893</v>
      </c>
      <c r="B1921" s="17" t="n">
        <v>8769.67</v>
      </c>
    </row>
    <row r="1922" customFormat="false" ht="15" hidden="false" customHeight="false" outlineLevel="0" collapsed="false">
      <c r="A1922" s="16" t="n">
        <v>43894</v>
      </c>
      <c r="B1922" s="17" t="n">
        <v>8765</v>
      </c>
    </row>
    <row r="1923" customFormat="false" ht="15" hidden="false" customHeight="false" outlineLevel="0" collapsed="false">
      <c r="A1923" s="16" t="n">
        <v>43895</v>
      </c>
      <c r="B1923" s="17" t="n">
        <v>9053.56</v>
      </c>
    </row>
    <row r="1924" customFormat="false" ht="15" hidden="false" customHeight="false" outlineLevel="0" collapsed="false">
      <c r="A1924" s="16" t="n">
        <v>43896</v>
      </c>
      <c r="B1924" s="17" t="n">
        <v>9162.98</v>
      </c>
    </row>
    <row r="1925" customFormat="false" ht="15" hidden="false" customHeight="false" outlineLevel="0" collapsed="false">
      <c r="A1925" s="16" t="n">
        <v>43897</v>
      </c>
      <c r="B1925" s="17" t="n">
        <v>8885.68</v>
      </c>
    </row>
    <row r="1926" customFormat="false" ht="15" hidden="false" customHeight="false" outlineLevel="0" collapsed="false">
      <c r="A1926" s="16" t="n">
        <v>43898</v>
      </c>
      <c r="B1926" s="17" t="n">
        <v>8068</v>
      </c>
    </row>
    <row r="1927" customFormat="false" ht="15" hidden="false" customHeight="false" outlineLevel="0" collapsed="false">
      <c r="A1927" s="16" t="n">
        <v>43899</v>
      </c>
      <c r="B1927" s="17" t="n">
        <v>7945.03</v>
      </c>
    </row>
    <row r="1928" customFormat="false" ht="15" hidden="false" customHeight="false" outlineLevel="0" collapsed="false">
      <c r="A1928" s="16" t="n">
        <v>43900</v>
      </c>
      <c r="B1928" s="17" t="n">
        <v>7887.01</v>
      </c>
    </row>
    <row r="1929" customFormat="false" ht="15" hidden="false" customHeight="false" outlineLevel="0" collapsed="false">
      <c r="A1929" s="16" t="n">
        <v>43901</v>
      </c>
      <c r="B1929" s="17" t="n">
        <v>7957.02</v>
      </c>
    </row>
    <row r="1930" customFormat="false" ht="15" hidden="false" customHeight="false" outlineLevel="0" collapsed="false">
      <c r="A1930" s="16" t="n">
        <v>43902</v>
      </c>
      <c r="B1930" s="17" t="n">
        <v>4980</v>
      </c>
    </row>
    <row r="1931" customFormat="false" ht="15" hidden="false" customHeight="false" outlineLevel="0" collapsed="false">
      <c r="A1931" s="16" t="n">
        <v>43903</v>
      </c>
      <c r="B1931" s="17" t="n">
        <v>5592.77</v>
      </c>
    </row>
    <row r="1932" customFormat="false" ht="15" hidden="false" customHeight="false" outlineLevel="0" collapsed="false">
      <c r="A1932" s="16" t="n">
        <v>43904</v>
      </c>
      <c r="B1932" s="17" t="n">
        <v>5182.62</v>
      </c>
    </row>
    <row r="1933" customFormat="false" ht="15" hidden="false" customHeight="false" outlineLevel="0" collapsed="false">
      <c r="A1933" s="16" t="n">
        <v>43905</v>
      </c>
      <c r="B1933" s="17" t="n">
        <v>5327.12</v>
      </c>
    </row>
    <row r="1934" customFormat="false" ht="15" hidden="false" customHeight="false" outlineLevel="0" collapsed="false">
      <c r="A1934" s="16" t="n">
        <v>43906</v>
      </c>
      <c r="B1934" s="17" t="n">
        <v>5074.2</v>
      </c>
    </row>
    <row r="1935" customFormat="false" ht="15" hidden="false" customHeight="false" outlineLevel="0" collapsed="false">
      <c r="A1935" s="16" t="n">
        <v>43907</v>
      </c>
      <c r="B1935" s="17" t="n">
        <v>5361.77</v>
      </c>
    </row>
    <row r="1936" customFormat="false" ht="15" hidden="false" customHeight="false" outlineLevel="0" collapsed="false">
      <c r="A1936" s="16" t="n">
        <v>43908</v>
      </c>
      <c r="B1936" s="17" t="n">
        <v>5426.71</v>
      </c>
    </row>
    <row r="1937" customFormat="false" ht="15" hidden="false" customHeight="false" outlineLevel="0" collapsed="false">
      <c r="A1937" s="16" t="n">
        <v>43909</v>
      </c>
      <c r="B1937" s="17" t="n">
        <v>6219.99</v>
      </c>
    </row>
    <row r="1938" customFormat="false" ht="15" hidden="false" customHeight="false" outlineLevel="0" collapsed="false">
      <c r="A1938" s="16" t="n">
        <v>43910</v>
      </c>
      <c r="B1938" s="17" t="n">
        <v>6215.4</v>
      </c>
    </row>
    <row r="1939" customFormat="false" ht="15" hidden="false" customHeight="false" outlineLevel="0" collapsed="false">
      <c r="A1939" s="16" t="n">
        <v>43911</v>
      </c>
      <c r="B1939" s="17" t="n">
        <v>6168.72</v>
      </c>
    </row>
    <row r="1940" customFormat="false" ht="15" hidden="false" customHeight="false" outlineLevel="0" collapsed="false">
      <c r="A1940" s="16" t="n">
        <v>43912</v>
      </c>
      <c r="B1940" s="17" t="n">
        <v>5791.69</v>
      </c>
    </row>
    <row r="1941" customFormat="false" ht="15" hidden="false" customHeight="false" outlineLevel="0" collapsed="false">
      <c r="A1941" s="16" t="n">
        <v>43913</v>
      </c>
      <c r="B1941" s="17" t="n">
        <v>6583.38</v>
      </c>
    </row>
    <row r="1942" customFormat="false" ht="15" hidden="false" customHeight="false" outlineLevel="0" collapsed="false">
      <c r="A1942" s="16" t="n">
        <v>43914</v>
      </c>
      <c r="B1942" s="17" t="n">
        <v>6742.21</v>
      </c>
    </row>
    <row r="1943" customFormat="false" ht="15" hidden="false" customHeight="false" outlineLevel="0" collapsed="false">
      <c r="A1943" s="16" t="n">
        <v>43915</v>
      </c>
      <c r="B1943" s="17" t="n">
        <v>6752.83</v>
      </c>
    </row>
    <row r="1944" customFormat="false" ht="15" hidden="false" customHeight="false" outlineLevel="0" collapsed="false">
      <c r="A1944" s="16" t="n">
        <v>43916</v>
      </c>
      <c r="B1944" s="17" t="n">
        <v>6772.2</v>
      </c>
    </row>
    <row r="1945" customFormat="false" ht="15" hidden="false" customHeight="false" outlineLevel="0" collapsed="false">
      <c r="A1945" s="16" t="n">
        <v>43917</v>
      </c>
      <c r="B1945" s="17" t="n">
        <v>6320.46</v>
      </c>
    </row>
    <row r="1946" customFormat="false" ht="15" hidden="false" customHeight="false" outlineLevel="0" collapsed="false">
      <c r="A1946" s="16" t="n">
        <v>43918</v>
      </c>
      <c r="B1946" s="17" t="n">
        <v>6269.81</v>
      </c>
    </row>
    <row r="1947" customFormat="false" ht="15" hidden="false" customHeight="false" outlineLevel="0" collapsed="false">
      <c r="A1947" s="16" t="n">
        <v>43919</v>
      </c>
      <c r="B1947" s="17" t="n">
        <v>5897.55</v>
      </c>
    </row>
    <row r="1948" customFormat="false" ht="15" hidden="false" customHeight="false" outlineLevel="0" collapsed="false">
      <c r="A1948" s="16" t="n">
        <v>43920</v>
      </c>
      <c r="B1948" s="17" t="n">
        <v>6401.26</v>
      </c>
    </row>
    <row r="1949" customFormat="false" ht="15" hidden="false" customHeight="false" outlineLevel="0" collapsed="false">
      <c r="A1949" s="16" t="n">
        <v>43921</v>
      </c>
      <c r="B1949" s="17" t="n">
        <v>6434.73</v>
      </c>
    </row>
    <row r="1950" customFormat="false" ht="15" hidden="false" customHeight="false" outlineLevel="0" collapsed="false">
      <c r="A1950" s="16" t="n">
        <v>43922</v>
      </c>
      <c r="B1950" s="17" t="n">
        <v>6719.39</v>
      </c>
    </row>
    <row r="1951" customFormat="false" ht="15" hidden="false" customHeight="false" outlineLevel="0" collapsed="false">
      <c r="A1951" s="16" t="n">
        <v>43923</v>
      </c>
      <c r="B1951" s="17" t="n">
        <v>6789.84</v>
      </c>
    </row>
    <row r="1952" customFormat="false" ht="15" hidden="false" customHeight="false" outlineLevel="0" collapsed="false">
      <c r="A1952" s="16" t="n">
        <v>43924</v>
      </c>
      <c r="B1952" s="17" t="n">
        <v>6727.99</v>
      </c>
    </row>
    <row r="1953" customFormat="false" ht="15" hidden="false" customHeight="false" outlineLevel="0" collapsed="false">
      <c r="A1953" s="16" t="n">
        <v>43925</v>
      </c>
      <c r="B1953" s="17" t="n">
        <v>6896.6</v>
      </c>
    </row>
    <row r="1954" customFormat="false" ht="15" hidden="false" customHeight="false" outlineLevel="0" collapsed="false">
      <c r="A1954" s="16" t="n">
        <v>43926</v>
      </c>
      <c r="B1954" s="17" t="n">
        <v>6779.75</v>
      </c>
    </row>
    <row r="1955" customFormat="false" ht="15" hidden="false" customHeight="false" outlineLevel="0" collapsed="false">
      <c r="A1955" s="16" t="n">
        <v>43927</v>
      </c>
      <c r="B1955" s="17" t="n">
        <v>7320.07</v>
      </c>
    </row>
    <row r="1956" customFormat="false" ht="15" hidden="false" customHeight="false" outlineLevel="0" collapsed="false">
      <c r="A1956" s="16" t="n">
        <v>43928</v>
      </c>
      <c r="B1956" s="17" t="n">
        <v>7204.58</v>
      </c>
    </row>
    <row r="1957" customFormat="false" ht="15" hidden="false" customHeight="false" outlineLevel="0" collapsed="false">
      <c r="A1957" s="16" t="n">
        <v>43929</v>
      </c>
      <c r="B1957" s="17" t="n">
        <v>7343.65</v>
      </c>
    </row>
    <row r="1958" customFormat="false" ht="15" hidden="false" customHeight="false" outlineLevel="0" collapsed="false">
      <c r="A1958" s="16" t="n">
        <v>43930</v>
      </c>
      <c r="B1958" s="17" t="n">
        <v>7294.69</v>
      </c>
    </row>
    <row r="1959" customFormat="false" ht="15" hidden="false" customHeight="false" outlineLevel="0" collapsed="false">
      <c r="A1959" s="16" t="n">
        <v>43931</v>
      </c>
      <c r="B1959" s="17" t="n">
        <v>6892.54</v>
      </c>
    </row>
    <row r="1960" customFormat="false" ht="15" hidden="false" customHeight="false" outlineLevel="0" collapsed="false">
      <c r="A1960" s="16" t="n">
        <v>43932</v>
      </c>
      <c r="B1960" s="17" t="n">
        <v>6891.43</v>
      </c>
    </row>
    <row r="1961" customFormat="false" ht="15" hidden="false" customHeight="false" outlineLevel="0" collapsed="false">
      <c r="A1961" s="16" t="n">
        <v>43933</v>
      </c>
      <c r="B1961" s="17" t="n">
        <v>6860.97</v>
      </c>
    </row>
    <row r="1962" customFormat="false" ht="15" hidden="false" customHeight="false" outlineLevel="0" collapsed="false">
      <c r="A1962" s="16" t="n">
        <v>43934</v>
      </c>
      <c r="B1962" s="17" t="n">
        <v>6871</v>
      </c>
    </row>
    <row r="1963" customFormat="false" ht="15" hidden="false" customHeight="false" outlineLevel="0" collapsed="false">
      <c r="A1963" s="16" t="n">
        <v>43935</v>
      </c>
      <c r="B1963" s="17" t="n">
        <v>6865.72</v>
      </c>
    </row>
    <row r="1964" customFormat="false" ht="15" hidden="false" customHeight="false" outlineLevel="0" collapsed="false">
      <c r="A1964" s="16" t="n">
        <v>43936</v>
      </c>
      <c r="B1964" s="17" t="n">
        <v>6576.76</v>
      </c>
    </row>
    <row r="1965" customFormat="false" ht="15" hidden="false" customHeight="false" outlineLevel="0" collapsed="false">
      <c r="A1965" s="16" t="n">
        <v>43937</v>
      </c>
      <c r="B1965" s="17" t="n">
        <v>7123.29</v>
      </c>
    </row>
    <row r="1966" customFormat="false" ht="15" hidden="false" customHeight="false" outlineLevel="0" collapsed="false">
      <c r="A1966" s="16" t="n">
        <v>43938</v>
      </c>
      <c r="B1966" s="17" t="n">
        <v>7055.22</v>
      </c>
    </row>
    <row r="1967" customFormat="false" ht="15" hidden="false" customHeight="false" outlineLevel="0" collapsed="false">
      <c r="A1967" s="16" t="n">
        <v>43939</v>
      </c>
      <c r="B1967" s="17" t="n">
        <v>7271.53</v>
      </c>
    </row>
    <row r="1968" customFormat="false" ht="15" hidden="false" customHeight="false" outlineLevel="0" collapsed="false">
      <c r="A1968" s="16" t="n">
        <v>43940</v>
      </c>
      <c r="B1968" s="17" t="n">
        <v>7125.31</v>
      </c>
    </row>
    <row r="1969" customFormat="false" ht="15" hidden="false" customHeight="false" outlineLevel="0" collapsed="false">
      <c r="A1969" s="16" t="n">
        <v>43941</v>
      </c>
      <c r="B1969" s="17" t="n">
        <v>6832.57</v>
      </c>
    </row>
    <row r="1970" customFormat="false" ht="15" hidden="false" customHeight="false" outlineLevel="0" collapsed="false">
      <c r="A1970" s="16" t="n">
        <v>43942</v>
      </c>
      <c r="B1970" s="17" t="n">
        <v>6845</v>
      </c>
    </row>
    <row r="1971" customFormat="false" ht="15" hidden="false" customHeight="false" outlineLevel="0" collapsed="false">
      <c r="A1971" s="16" t="n">
        <v>43943</v>
      </c>
      <c r="B1971" s="17" t="n">
        <v>7143.99</v>
      </c>
    </row>
    <row r="1972" customFormat="false" ht="15" hidden="false" customHeight="false" outlineLevel="0" collapsed="false">
      <c r="A1972" s="16" t="n">
        <v>43944</v>
      </c>
      <c r="B1972" s="17" t="n">
        <v>7479.06</v>
      </c>
    </row>
    <row r="1973" customFormat="false" ht="15" hidden="false" customHeight="false" outlineLevel="0" collapsed="false">
      <c r="A1973" s="16" t="n">
        <v>43945</v>
      </c>
      <c r="B1973" s="17" t="n">
        <v>7514.64</v>
      </c>
    </row>
    <row r="1974" customFormat="false" ht="15" hidden="false" customHeight="false" outlineLevel="0" collapsed="false">
      <c r="A1974" s="16" t="n">
        <v>43946</v>
      </c>
      <c r="B1974" s="17" t="n">
        <v>7535.69</v>
      </c>
    </row>
    <row r="1975" customFormat="false" ht="15" hidden="false" customHeight="false" outlineLevel="0" collapsed="false">
      <c r="A1975" s="16" t="n">
        <v>43947</v>
      </c>
      <c r="B1975" s="17" t="n">
        <v>7765.79</v>
      </c>
    </row>
    <row r="1976" customFormat="false" ht="15" hidden="false" customHeight="false" outlineLevel="0" collapsed="false">
      <c r="A1976" s="16" t="n">
        <v>43948</v>
      </c>
      <c r="B1976" s="17" t="n">
        <v>7773</v>
      </c>
    </row>
    <row r="1977" customFormat="false" ht="15" hidden="false" customHeight="false" outlineLevel="0" collapsed="false">
      <c r="A1977" s="16" t="n">
        <v>43949</v>
      </c>
      <c r="B1977" s="17" t="n">
        <v>7774.39</v>
      </c>
    </row>
    <row r="1978" customFormat="false" ht="15" hidden="false" customHeight="false" outlineLevel="0" collapsed="false">
      <c r="A1978" s="16" t="n">
        <v>43950</v>
      </c>
      <c r="B1978" s="17" t="n">
        <v>8789.1</v>
      </c>
    </row>
    <row r="1979" customFormat="false" ht="15" hidden="false" customHeight="false" outlineLevel="0" collapsed="false">
      <c r="A1979" s="16" t="n">
        <v>43951</v>
      </c>
      <c r="B1979" s="17" t="n">
        <v>8652.3</v>
      </c>
    </row>
    <row r="1980" customFormat="false" ht="15" hidden="false" customHeight="false" outlineLevel="0" collapsed="false">
      <c r="A1980" s="16" t="n">
        <v>43952</v>
      </c>
      <c r="B1980" s="17" t="n">
        <v>8813.9</v>
      </c>
    </row>
    <row r="1981" customFormat="false" ht="15" hidden="false" customHeight="false" outlineLevel="0" collapsed="false">
      <c r="A1981" s="16" t="n">
        <v>43953</v>
      </c>
      <c r="B1981" s="17" t="n">
        <v>8992</v>
      </c>
    </row>
    <row r="1982" customFormat="false" ht="15" hidden="false" customHeight="false" outlineLevel="0" collapsed="false">
      <c r="A1982" s="16" t="n">
        <v>43954</v>
      </c>
      <c r="B1982" s="17" t="n">
        <v>8917.63</v>
      </c>
    </row>
    <row r="1983" customFormat="false" ht="15" hidden="false" customHeight="false" outlineLevel="0" collapsed="false">
      <c r="A1983" s="16" t="n">
        <v>43955</v>
      </c>
      <c r="B1983" s="17" t="n">
        <v>8900.29</v>
      </c>
    </row>
    <row r="1984" customFormat="false" ht="15" hidden="false" customHeight="false" outlineLevel="0" collapsed="false">
      <c r="A1984" s="16" t="n">
        <v>43956</v>
      </c>
      <c r="B1984" s="17" t="n">
        <v>9037.69</v>
      </c>
    </row>
    <row r="1985" customFormat="false" ht="15" hidden="false" customHeight="false" outlineLevel="0" collapsed="false">
      <c r="A1985" s="16" t="n">
        <v>43957</v>
      </c>
      <c r="B1985" s="17" t="n">
        <v>9132.24</v>
      </c>
    </row>
    <row r="1986" customFormat="false" ht="15" hidden="false" customHeight="false" outlineLevel="0" collapsed="false">
      <c r="A1986" s="16" t="n">
        <v>43958</v>
      </c>
      <c r="B1986" s="17" t="n">
        <v>10007.56</v>
      </c>
    </row>
    <row r="1987" customFormat="false" ht="15" hidden="false" customHeight="false" outlineLevel="0" collapsed="false">
      <c r="A1987" s="16" t="n">
        <v>43959</v>
      </c>
      <c r="B1987" s="17" t="n">
        <v>9790.23</v>
      </c>
    </row>
    <row r="1988" customFormat="false" ht="15" hidden="false" customHeight="false" outlineLevel="0" collapsed="false">
      <c r="A1988" s="16" t="n">
        <v>43960</v>
      </c>
      <c r="B1988" s="17" t="n">
        <v>9554.91</v>
      </c>
    </row>
    <row r="1989" customFormat="false" ht="15" hidden="false" customHeight="false" outlineLevel="0" collapsed="false">
      <c r="A1989" s="16" t="n">
        <v>43961</v>
      </c>
      <c r="B1989" s="17" t="n">
        <v>8773.89</v>
      </c>
    </row>
    <row r="1990" customFormat="false" ht="15" hidden="false" customHeight="false" outlineLevel="0" collapsed="false">
      <c r="A1990" s="16" t="n">
        <v>43962</v>
      </c>
      <c r="B1990" s="17" t="n">
        <v>8557.37</v>
      </c>
    </row>
    <row r="1991" customFormat="false" ht="15" hidden="false" customHeight="false" outlineLevel="0" collapsed="false">
      <c r="A1991" s="16" t="n">
        <v>43963</v>
      </c>
      <c r="B1991" s="17" t="n">
        <v>8809.14</v>
      </c>
    </row>
    <row r="1992" customFormat="false" ht="15" hidden="false" customHeight="false" outlineLevel="0" collapsed="false">
      <c r="A1992" s="16" t="n">
        <v>43964</v>
      </c>
      <c r="B1992" s="17" t="n">
        <v>9335.84</v>
      </c>
    </row>
    <row r="1993" customFormat="false" ht="15" hidden="false" customHeight="false" outlineLevel="0" collapsed="false">
      <c r="A1993" s="16" t="n">
        <v>43965</v>
      </c>
      <c r="B1993" s="17" t="n">
        <v>9815.22</v>
      </c>
    </row>
    <row r="1994" customFormat="false" ht="15" hidden="false" customHeight="false" outlineLevel="0" collapsed="false">
      <c r="A1994" s="16" t="n">
        <v>43966</v>
      </c>
      <c r="B1994" s="17" t="n">
        <v>9331.18</v>
      </c>
    </row>
    <row r="1995" customFormat="false" ht="15" hidden="false" customHeight="false" outlineLevel="0" collapsed="false">
      <c r="A1995" s="16" t="n">
        <v>43967</v>
      </c>
      <c r="B1995" s="17" t="n">
        <v>9353.26</v>
      </c>
    </row>
    <row r="1996" customFormat="false" ht="15" hidden="false" customHeight="false" outlineLevel="0" collapsed="false">
      <c r="A1996" s="16" t="n">
        <v>43968</v>
      </c>
      <c r="B1996" s="17" t="n">
        <v>9700.33</v>
      </c>
    </row>
    <row r="1997" customFormat="false" ht="15" hidden="false" customHeight="false" outlineLevel="0" collapsed="false">
      <c r="A1997" s="16" t="n">
        <v>43969</v>
      </c>
      <c r="B1997" s="17" t="n">
        <v>9733.21</v>
      </c>
    </row>
    <row r="1998" customFormat="false" ht="15" hidden="false" customHeight="false" outlineLevel="0" collapsed="false">
      <c r="A1998" s="16" t="n">
        <v>43970</v>
      </c>
      <c r="B1998" s="17" t="n">
        <v>9783.91</v>
      </c>
    </row>
    <row r="1999" customFormat="false" ht="15" hidden="false" customHeight="false" outlineLevel="0" collapsed="false">
      <c r="A1999" s="16" t="n">
        <v>43971</v>
      </c>
      <c r="B1999" s="17" t="n">
        <v>9497.76</v>
      </c>
    </row>
    <row r="2000" customFormat="false" ht="15" hidden="false" customHeight="false" outlineLevel="0" collapsed="false">
      <c r="A2000" s="16" t="n">
        <v>43972</v>
      </c>
      <c r="B2000" s="17" t="n">
        <v>9039.12</v>
      </c>
    </row>
    <row r="2001" customFormat="false" ht="15" hidden="false" customHeight="false" outlineLevel="0" collapsed="false">
      <c r="A2001" s="16" t="n">
        <v>43973</v>
      </c>
      <c r="B2001" s="17" t="n">
        <v>9173.23</v>
      </c>
    </row>
    <row r="2002" customFormat="false" ht="15" hidden="false" customHeight="false" outlineLevel="0" collapsed="false">
      <c r="A2002" s="16" t="n">
        <v>43974</v>
      </c>
      <c r="B2002" s="17" t="n">
        <v>9166.02</v>
      </c>
    </row>
    <row r="2003" customFormat="false" ht="15" hidden="false" customHeight="false" outlineLevel="0" collapsed="false">
      <c r="A2003" s="16" t="n">
        <v>43975</v>
      </c>
      <c r="B2003" s="17" t="n">
        <v>8673.64</v>
      </c>
    </row>
    <row r="2004" customFormat="false" ht="15" hidden="false" customHeight="false" outlineLevel="0" collapsed="false">
      <c r="A2004" s="16" t="n">
        <v>43976</v>
      </c>
      <c r="B2004" s="17" t="n">
        <v>8892.39</v>
      </c>
    </row>
    <row r="2005" customFormat="false" ht="15" hidden="false" customHeight="false" outlineLevel="0" collapsed="false">
      <c r="A2005" s="16" t="n">
        <v>43977</v>
      </c>
      <c r="B2005" s="17" t="n">
        <v>8836.77</v>
      </c>
    </row>
    <row r="2006" customFormat="false" ht="15" hidden="false" customHeight="false" outlineLevel="0" collapsed="false">
      <c r="A2006" s="16" t="n">
        <v>43978</v>
      </c>
      <c r="B2006" s="17" t="n">
        <v>9200</v>
      </c>
    </row>
    <row r="2007" customFormat="false" ht="15" hidden="false" customHeight="false" outlineLevel="0" collapsed="false">
      <c r="A2007" s="16" t="n">
        <v>43979</v>
      </c>
      <c r="B2007" s="17" t="n">
        <v>9593.72</v>
      </c>
    </row>
    <row r="2008" customFormat="false" ht="15" hidden="false" customHeight="false" outlineLevel="0" collapsed="false">
      <c r="A2008" s="16" t="n">
        <v>43980</v>
      </c>
      <c r="B2008" s="17" t="n">
        <v>9426.87</v>
      </c>
    </row>
    <row r="2009" customFormat="false" ht="15" hidden="false" customHeight="false" outlineLevel="0" collapsed="false">
      <c r="A2009" s="16" t="n">
        <v>43981</v>
      </c>
      <c r="B2009" s="17" t="n">
        <v>9684.6</v>
      </c>
    </row>
    <row r="2010" customFormat="false" ht="15" hidden="false" customHeight="false" outlineLevel="0" collapsed="false">
      <c r="A2010" s="16" t="n">
        <v>43982</v>
      </c>
      <c r="B2010" s="17" t="n">
        <v>9435.8</v>
      </c>
    </row>
    <row r="2011" customFormat="false" ht="15" hidden="false" customHeight="false" outlineLevel="0" collapsed="false">
      <c r="A2011" s="16" t="n">
        <v>43983</v>
      </c>
      <c r="B2011" s="17" t="n">
        <v>10212.38</v>
      </c>
    </row>
    <row r="2012" customFormat="false" ht="15" hidden="false" customHeight="false" outlineLevel="0" collapsed="false">
      <c r="A2012" s="16" t="n">
        <v>43984</v>
      </c>
      <c r="B2012" s="17" t="n">
        <v>9509.35</v>
      </c>
    </row>
    <row r="2013" customFormat="false" ht="15" hidden="false" customHeight="false" outlineLevel="0" collapsed="false">
      <c r="A2013" s="16" t="n">
        <v>43985</v>
      </c>
      <c r="B2013" s="17" t="n">
        <v>9672.67</v>
      </c>
    </row>
    <row r="2014" customFormat="false" ht="15" hidden="false" customHeight="false" outlineLevel="0" collapsed="false">
      <c r="A2014" s="16" t="n">
        <v>43986</v>
      </c>
      <c r="B2014" s="17" t="n">
        <v>9799.57</v>
      </c>
    </row>
    <row r="2015" customFormat="false" ht="15" hidden="false" customHeight="false" outlineLevel="0" collapsed="false">
      <c r="A2015" s="16" t="n">
        <v>43987</v>
      </c>
      <c r="B2015" s="17" t="n">
        <v>9568.95</v>
      </c>
    </row>
    <row r="2016" customFormat="false" ht="15" hidden="false" customHeight="false" outlineLevel="0" collapsed="false">
      <c r="A2016" s="16" t="n">
        <v>43988</v>
      </c>
      <c r="B2016" s="17" t="n">
        <v>9665.36</v>
      </c>
    </row>
    <row r="2017" customFormat="false" ht="15" hidden="false" customHeight="false" outlineLevel="0" collapsed="false">
      <c r="A2017" s="16" t="n">
        <v>43989</v>
      </c>
      <c r="B2017" s="17" t="n">
        <v>9764</v>
      </c>
    </row>
    <row r="2018" customFormat="false" ht="15" hidden="false" customHeight="false" outlineLevel="0" collapsed="false">
      <c r="A2018" s="16" t="n">
        <v>43990</v>
      </c>
      <c r="B2018" s="17" t="n">
        <v>9833.94</v>
      </c>
    </row>
    <row r="2019" customFormat="false" ht="15" hidden="false" customHeight="false" outlineLevel="0" collapsed="false">
      <c r="A2019" s="16" t="n">
        <v>43991</v>
      </c>
      <c r="B2019" s="17" t="n">
        <v>9778.6</v>
      </c>
    </row>
    <row r="2020" customFormat="false" ht="15" hidden="false" customHeight="false" outlineLevel="0" collapsed="false">
      <c r="A2020" s="16" t="n">
        <v>43992</v>
      </c>
      <c r="B2020" s="17" t="n">
        <v>9899.18</v>
      </c>
    </row>
    <row r="2021" customFormat="false" ht="15" hidden="false" customHeight="false" outlineLevel="0" collapsed="false">
      <c r="A2021" s="16" t="n">
        <v>43993</v>
      </c>
      <c r="B2021" s="17" t="n">
        <v>9258.7</v>
      </c>
    </row>
    <row r="2022" customFormat="false" ht="15" hidden="false" customHeight="false" outlineLevel="0" collapsed="false">
      <c r="A2022" s="16" t="n">
        <v>43994</v>
      </c>
      <c r="B2022" s="17" t="n">
        <v>9466.77</v>
      </c>
    </row>
    <row r="2023" customFormat="false" ht="15" hidden="false" customHeight="false" outlineLevel="0" collapsed="false">
      <c r="A2023" s="16" t="n">
        <v>43995</v>
      </c>
      <c r="B2023" s="17" t="n">
        <v>9477.17</v>
      </c>
    </row>
    <row r="2024" customFormat="false" ht="15" hidden="false" customHeight="false" outlineLevel="0" collapsed="false">
      <c r="A2024" s="16" t="n">
        <v>43996</v>
      </c>
      <c r="B2024" s="17" t="n">
        <v>9315.71</v>
      </c>
    </row>
    <row r="2025" customFormat="false" ht="15" hidden="false" customHeight="false" outlineLevel="0" collapsed="false">
      <c r="A2025" s="16" t="n">
        <v>43997</v>
      </c>
      <c r="B2025" s="17" t="n">
        <v>9437.23</v>
      </c>
    </row>
    <row r="2026" customFormat="false" ht="15" hidden="false" customHeight="false" outlineLevel="0" collapsed="false">
      <c r="A2026" s="16" t="n">
        <v>43998</v>
      </c>
      <c r="B2026" s="17" t="n">
        <v>9534.8</v>
      </c>
    </row>
    <row r="2027" customFormat="false" ht="15" hidden="false" customHeight="false" outlineLevel="0" collapsed="false">
      <c r="A2027" s="16" t="n">
        <v>43999</v>
      </c>
      <c r="B2027" s="17" t="n">
        <v>9460.53</v>
      </c>
    </row>
    <row r="2028" customFormat="false" ht="15" hidden="false" customHeight="false" outlineLevel="0" collapsed="false">
      <c r="A2028" s="16" t="n">
        <v>44000</v>
      </c>
      <c r="B2028" s="17" t="n">
        <v>9368.15</v>
      </c>
    </row>
    <row r="2029" customFormat="false" ht="15" hidden="false" customHeight="false" outlineLevel="0" collapsed="false">
      <c r="A2029" s="16" t="n">
        <v>44001</v>
      </c>
      <c r="B2029" s="17" t="n">
        <v>9285.54</v>
      </c>
    </row>
    <row r="2030" customFormat="false" ht="15" hidden="false" customHeight="false" outlineLevel="0" collapsed="false">
      <c r="A2030" s="16" t="n">
        <v>44002</v>
      </c>
      <c r="B2030" s="17" t="n">
        <v>9361.81</v>
      </c>
    </row>
    <row r="2031" customFormat="false" ht="15" hidden="false" customHeight="false" outlineLevel="0" collapsed="false">
      <c r="A2031" s="16" t="n">
        <v>44003</v>
      </c>
      <c r="B2031" s="17" t="n">
        <v>9279.68</v>
      </c>
    </row>
    <row r="2032" customFormat="false" ht="15" hidden="false" customHeight="false" outlineLevel="0" collapsed="false">
      <c r="A2032" s="16" t="n">
        <v>44004</v>
      </c>
      <c r="B2032" s="17" t="n">
        <v>9700.91</v>
      </c>
    </row>
    <row r="2033" customFormat="false" ht="15" hidden="false" customHeight="false" outlineLevel="0" collapsed="false">
      <c r="A2033" s="16" t="n">
        <v>44005</v>
      </c>
      <c r="B2033" s="17" t="n">
        <v>9623.74</v>
      </c>
    </row>
    <row r="2034" customFormat="false" ht="15" hidden="false" customHeight="false" outlineLevel="0" collapsed="false">
      <c r="A2034" s="16" t="n">
        <v>44006</v>
      </c>
      <c r="B2034" s="17" t="n">
        <v>9284.1</v>
      </c>
    </row>
    <row r="2035" customFormat="false" ht="15" hidden="false" customHeight="false" outlineLevel="0" collapsed="false">
      <c r="A2035" s="16" t="n">
        <v>44007</v>
      </c>
      <c r="B2035" s="17" t="n">
        <v>9232.84</v>
      </c>
    </row>
    <row r="2036" customFormat="false" ht="15" hidden="false" customHeight="false" outlineLevel="0" collapsed="false">
      <c r="A2036" s="16" t="n">
        <v>44008</v>
      </c>
      <c r="B2036" s="17" t="n">
        <v>9157.22</v>
      </c>
    </row>
    <row r="2037" customFormat="false" ht="15" hidden="false" customHeight="false" outlineLevel="0" collapsed="false">
      <c r="A2037" s="16" t="n">
        <v>44009</v>
      </c>
      <c r="B2037" s="17" t="n">
        <v>9001.24</v>
      </c>
    </row>
    <row r="2038" customFormat="false" ht="15" hidden="false" customHeight="false" outlineLevel="0" collapsed="false">
      <c r="A2038" s="16" t="n">
        <v>44010</v>
      </c>
      <c r="B2038" s="17" t="n">
        <v>9122.56</v>
      </c>
    </row>
    <row r="2039" customFormat="false" ht="15" hidden="false" customHeight="false" outlineLevel="0" collapsed="false">
      <c r="A2039" s="16" t="n">
        <v>44011</v>
      </c>
      <c r="B2039" s="17" t="n">
        <v>9191.05</v>
      </c>
    </row>
    <row r="2040" customFormat="false" ht="15" hidden="false" customHeight="false" outlineLevel="0" collapsed="false">
      <c r="A2040" s="16" t="n">
        <v>44012</v>
      </c>
      <c r="B2040" s="17" t="n">
        <v>9129.47</v>
      </c>
    </row>
    <row r="2041" customFormat="false" ht="15" hidden="false" customHeight="false" outlineLevel="0" collapsed="false">
      <c r="A2041" s="16" t="n">
        <v>44013</v>
      </c>
      <c r="B2041" s="17" t="n">
        <v>9239.09</v>
      </c>
    </row>
    <row r="2042" customFormat="false" ht="15" hidden="false" customHeight="false" outlineLevel="0" collapsed="false">
      <c r="A2042" s="16" t="n">
        <v>44014</v>
      </c>
      <c r="B2042" s="17" t="n">
        <v>9088.54</v>
      </c>
    </row>
    <row r="2043" customFormat="false" ht="15" hidden="false" customHeight="false" outlineLevel="0" collapsed="false">
      <c r="A2043" s="16" t="n">
        <v>44015</v>
      </c>
      <c r="B2043" s="17" t="n">
        <v>9050.05</v>
      </c>
    </row>
    <row r="2044" customFormat="false" ht="15" hidden="false" customHeight="false" outlineLevel="0" collapsed="false">
      <c r="A2044" s="16" t="n">
        <v>44016</v>
      </c>
      <c r="B2044" s="17" t="n">
        <v>9138.22</v>
      </c>
    </row>
    <row r="2045" customFormat="false" ht="15" hidden="false" customHeight="false" outlineLevel="0" collapsed="false">
      <c r="A2045" s="16" t="n">
        <v>44017</v>
      </c>
      <c r="B2045" s="17" t="n">
        <v>9088.52</v>
      </c>
    </row>
    <row r="2046" customFormat="false" ht="15" hidden="false" customHeight="false" outlineLevel="0" collapsed="false">
      <c r="A2046" s="16" t="n">
        <v>44018</v>
      </c>
      <c r="B2046" s="17" t="n">
        <v>9331.69</v>
      </c>
    </row>
    <row r="2047" customFormat="false" ht="15" hidden="false" customHeight="false" outlineLevel="0" collapsed="false">
      <c r="A2047" s="16" t="n">
        <v>44019</v>
      </c>
      <c r="B2047" s="17" t="n">
        <v>9263.56</v>
      </c>
    </row>
    <row r="2048" customFormat="false" ht="15" hidden="false" customHeight="false" outlineLevel="0" collapsed="false">
      <c r="A2048" s="16" t="n">
        <v>44020</v>
      </c>
      <c r="B2048" s="17" t="n">
        <v>9436.01</v>
      </c>
    </row>
    <row r="2049" customFormat="false" ht="15" hidden="false" customHeight="false" outlineLevel="0" collapsed="false">
      <c r="A2049" s="16" t="n">
        <v>44021</v>
      </c>
      <c r="B2049" s="17" t="n">
        <v>9230.48</v>
      </c>
    </row>
    <row r="2050" customFormat="false" ht="15" hidden="false" customHeight="false" outlineLevel="0" collapsed="false">
      <c r="A2050" s="16" t="n">
        <v>44022</v>
      </c>
      <c r="B2050" s="17" t="n">
        <v>9298.16</v>
      </c>
    </row>
    <row r="2051" customFormat="false" ht="15" hidden="false" customHeight="false" outlineLevel="0" collapsed="false">
      <c r="A2051" s="16" t="n">
        <v>44023</v>
      </c>
      <c r="B2051" s="17" t="n">
        <v>9235</v>
      </c>
    </row>
    <row r="2052" customFormat="false" ht="15" hidden="false" customHeight="false" outlineLevel="0" collapsed="false">
      <c r="A2052" s="16" t="n">
        <v>44024</v>
      </c>
      <c r="B2052" s="17" t="n">
        <v>9313.77</v>
      </c>
    </row>
    <row r="2053" customFormat="false" ht="15" hidden="false" customHeight="false" outlineLevel="0" collapsed="false">
      <c r="A2053" s="16" t="n">
        <v>44025</v>
      </c>
      <c r="B2053" s="17" t="n">
        <v>9230.14</v>
      </c>
    </row>
    <row r="2054" customFormat="false" ht="15" hidden="false" customHeight="false" outlineLevel="0" collapsed="false">
      <c r="A2054" s="16" t="n">
        <v>44026</v>
      </c>
      <c r="B2054" s="17" t="n">
        <v>9258.34</v>
      </c>
    </row>
    <row r="2055" customFormat="false" ht="15" hidden="false" customHeight="false" outlineLevel="0" collapsed="false">
      <c r="A2055" s="16" t="n">
        <v>44027</v>
      </c>
      <c r="B2055" s="17" t="n">
        <v>9194.51</v>
      </c>
    </row>
    <row r="2056" customFormat="false" ht="15" hidden="false" customHeight="false" outlineLevel="0" collapsed="false">
      <c r="A2056" s="16" t="n">
        <v>44028</v>
      </c>
      <c r="B2056" s="17" t="n">
        <v>9130.91</v>
      </c>
    </row>
    <row r="2057" customFormat="false" ht="15" hidden="false" customHeight="false" outlineLevel="0" collapsed="false">
      <c r="A2057" s="16" t="n">
        <v>44029</v>
      </c>
      <c r="B2057" s="17" t="n">
        <v>9147.65</v>
      </c>
    </row>
    <row r="2058" customFormat="false" ht="15" hidden="false" customHeight="false" outlineLevel="0" collapsed="false">
      <c r="A2058" s="16" t="n">
        <v>44030</v>
      </c>
      <c r="B2058" s="17" t="n">
        <v>9174.6</v>
      </c>
    </row>
    <row r="2059" customFormat="false" ht="15" hidden="false" customHeight="false" outlineLevel="0" collapsed="false">
      <c r="A2059" s="16" t="n">
        <v>44031</v>
      </c>
      <c r="B2059" s="17" t="n">
        <v>9221.71</v>
      </c>
    </row>
    <row r="2060" customFormat="false" ht="15" hidden="false" customHeight="false" outlineLevel="0" collapsed="false">
      <c r="A2060" s="16" t="n">
        <v>44032</v>
      </c>
      <c r="B2060" s="17" t="n">
        <v>9161.13</v>
      </c>
    </row>
    <row r="2061" customFormat="false" ht="15" hidden="false" customHeight="false" outlineLevel="0" collapsed="false">
      <c r="A2061" s="16" t="n">
        <v>44033</v>
      </c>
      <c r="B2061" s="17" t="n">
        <v>9396.65</v>
      </c>
    </row>
    <row r="2062" customFormat="false" ht="15" hidden="false" customHeight="false" outlineLevel="0" collapsed="false">
      <c r="A2062" s="16" t="n">
        <v>44034</v>
      </c>
      <c r="B2062" s="17" t="n">
        <v>9546.31</v>
      </c>
    </row>
    <row r="2063" customFormat="false" ht="15" hidden="false" customHeight="false" outlineLevel="0" collapsed="false">
      <c r="A2063" s="16" t="n">
        <v>44035</v>
      </c>
      <c r="B2063" s="17" t="n">
        <v>9612.05</v>
      </c>
    </row>
    <row r="2064" customFormat="false" ht="15" hidden="false" customHeight="false" outlineLevel="0" collapsed="false">
      <c r="A2064" s="16" t="n">
        <v>44036</v>
      </c>
      <c r="B2064" s="17" t="n">
        <v>9553.41</v>
      </c>
    </row>
    <row r="2065" customFormat="false" ht="15" hidden="false" customHeight="false" outlineLevel="0" collapsed="false">
      <c r="A2065" s="16" t="n">
        <v>44037</v>
      </c>
      <c r="B2065" s="17" t="n">
        <v>9709.02</v>
      </c>
    </row>
    <row r="2066" customFormat="false" ht="15" hidden="false" customHeight="false" outlineLevel="0" collapsed="false">
      <c r="A2066" s="16" t="n">
        <v>44038</v>
      </c>
      <c r="B2066" s="17" t="n">
        <v>9944.58</v>
      </c>
    </row>
    <row r="2067" customFormat="false" ht="15" hidden="false" customHeight="false" outlineLevel="0" collapsed="false">
      <c r="A2067" s="16" t="n">
        <v>44039</v>
      </c>
      <c r="B2067" s="17" t="n">
        <v>11108.44</v>
      </c>
    </row>
    <row r="2068" customFormat="false" ht="15" hidden="false" customHeight="false" outlineLevel="0" collapsed="false">
      <c r="A2068" s="16" t="n">
        <v>44040</v>
      </c>
      <c r="B2068" s="17" t="n">
        <v>10952.85</v>
      </c>
    </row>
    <row r="2069" customFormat="false" ht="15" hidden="false" customHeight="false" outlineLevel="0" collapsed="false">
      <c r="A2069" s="16" t="n">
        <v>44041</v>
      </c>
      <c r="B2069" s="17" t="n">
        <v>11100.39</v>
      </c>
    </row>
    <row r="2070" customFormat="false" ht="15" hidden="false" customHeight="false" outlineLevel="0" collapsed="false">
      <c r="A2070" s="16" t="n">
        <v>44042</v>
      </c>
      <c r="B2070" s="17" t="n">
        <v>11139.67</v>
      </c>
    </row>
    <row r="2071" customFormat="false" ht="15" hidden="false" customHeight="false" outlineLevel="0" collapsed="false">
      <c r="A2071" s="16" t="n">
        <v>44043</v>
      </c>
      <c r="B2071" s="17" t="n">
        <v>11372.76</v>
      </c>
    </row>
    <row r="2072" customFormat="false" ht="15" hidden="false" customHeight="false" outlineLevel="0" collapsed="false">
      <c r="A2072" s="16" t="n">
        <v>44044</v>
      </c>
      <c r="B2072" s="17" t="n">
        <v>11805.82</v>
      </c>
    </row>
    <row r="2073" customFormat="false" ht="15" hidden="false" customHeight="false" outlineLevel="0" collapsed="false">
      <c r="A2073" s="16" t="n">
        <v>44045</v>
      </c>
      <c r="B2073" s="17" t="n">
        <v>11050.03</v>
      </c>
    </row>
    <row r="2074" customFormat="false" ht="15" hidden="false" customHeight="false" outlineLevel="0" collapsed="false">
      <c r="A2074" s="16" t="n">
        <v>44046</v>
      </c>
      <c r="B2074" s="17" t="n">
        <v>11235.44</v>
      </c>
    </row>
    <row r="2075" customFormat="false" ht="15" hidden="false" customHeight="false" outlineLevel="0" collapsed="false">
      <c r="A2075" s="16" t="n">
        <v>44047</v>
      </c>
      <c r="B2075" s="17" t="n">
        <v>11198.04</v>
      </c>
    </row>
    <row r="2076" customFormat="false" ht="15" hidden="false" customHeight="false" outlineLevel="0" collapsed="false">
      <c r="A2076" s="16" t="n">
        <v>44048</v>
      </c>
      <c r="B2076" s="17" t="n">
        <v>11737.59</v>
      </c>
    </row>
    <row r="2077" customFormat="false" ht="15" hidden="false" customHeight="false" outlineLevel="0" collapsed="false">
      <c r="A2077" s="16" t="n">
        <v>44049</v>
      </c>
      <c r="B2077" s="17" t="n">
        <v>11766.62</v>
      </c>
    </row>
    <row r="2078" customFormat="false" ht="15" hidden="false" customHeight="false" outlineLevel="0" collapsed="false">
      <c r="A2078" s="16" t="n">
        <v>44050</v>
      </c>
      <c r="B2078" s="17" t="n">
        <v>11598.96</v>
      </c>
    </row>
    <row r="2079" customFormat="false" ht="15" hidden="false" customHeight="false" outlineLevel="0" collapsed="false">
      <c r="A2079" s="16" t="n">
        <v>44051</v>
      </c>
      <c r="B2079" s="17" t="n">
        <v>11780.14</v>
      </c>
    </row>
    <row r="2080" customFormat="false" ht="15" hidden="false" customHeight="false" outlineLevel="0" collapsed="false">
      <c r="A2080" s="16" t="n">
        <v>44052</v>
      </c>
      <c r="B2080" s="17" t="n">
        <v>11692.76</v>
      </c>
    </row>
    <row r="2081" customFormat="false" ht="15" hidden="false" customHeight="false" outlineLevel="0" collapsed="false">
      <c r="A2081" s="16" t="n">
        <v>44053</v>
      </c>
      <c r="B2081" s="17" t="n">
        <v>11896.19</v>
      </c>
    </row>
    <row r="2082" customFormat="false" ht="15" hidden="false" customHeight="false" outlineLevel="0" collapsed="false">
      <c r="A2082" s="16" t="n">
        <v>44054</v>
      </c>
      <c r="B2082" s="17" t="n">
        <v>11387.01</v>
      </c>
    </row>
    <row r="2083" customFormat="false" ht="15" hidden="false" customHeight="false" outlineLevel="0" collapsed="false">
      <c r="A2083" s="16" t="n">
        <v>44055</v>
      </c>
      <c r="B2083" s="17" t="n">
        <v>11563.16</v>
      </c>
    </row>
    <row r="2084" customFormat="false" ht="15" hidden="false" customHeight="false" outlineLevel="0" collapsed="false">
      <c r="A2084" s="16" t="n">
        <v>44056</v>
      </c>
      <c r="B2084" s="17" t="n">
        <v>11824.99</v>
      </c>
    </row>
    <row r="2085" customFormat="false" ht="15" hidden="false" customHeight="false" outlineLevel="0" collapsed="false">
      <c r="A2085" s="16" t="n">
        <v>44057</v>
      </c>
      <c r="B2085" s="17" t="n">
        <v>11785.29</v>
      </c>
    </row>
    <row r="2086" customFormat="false" ht="15" hidden="false" customHeight="false" outlineLevel="0" collapsed="false">
      <c r="A2086" s="16" t="n">
        <v>44058</v>
      </c>
      <c r="B2086" s="17" t="n">
        <v>11854.27</v>
      </c>
    </row>
    <row r="2087" customFormat="false" ht="15" hidden="false" customHeight="false" outlineLevel="0" collapsed="false">
      <c r="A2087" s="16" t="n">
        <v>44059</v>
      </c>
      <c r="B2087" s="17" t="n">
        <v>11924</v>
      </c>
    </row>
    <row r="2088" customFormat="false" ht="15" hidden="false" customHeight="false" outlineLevel="0" collapsed="false">
      <c r="A2088" s="16" t="n">
        <v>44060</v>
      </c>
      <c r="B2088" s="17" t="n">
        <v>12325.1</v>
      </c>
    </row>
    <row r="2089" customFormat="false" ht="15" hidden="false" customHeight="false" outlineLevel="0" collapsed="false">
      <c r="A2089" s="16" t="n">
        <v>44061</v>
      </c>
      <c r="B2089" s="17" t="n">
        <v>11983.52</v>
      </c>
    </row>
    <row r="2090" customFormat="false" ht="15" hidden="false" customHeight="false" outlineLevel="0" collapsed="false">
      <c r="A2090" s="16" t="n">
        <v>44062</v>
      </c>
      <c r="B2090" s="17" t="n">
        <v>11764.8</v>
      </c>
    </row>
    <row r="2091" customFormat="false" ht="15" hidden="false" customHeight="false" outlineLevel="0" collapsed="false">
      <c r="A2091" s="16" t="n">
        <v>44063</v>
      </c>
      <c r="B2091" s="17" t="n">
        <v>11856.24</v>
      </c>
    </row>
    <row r="2092" customFormat="false" ht="15" hidden="false" customHeight="false" outlineLevel="0" collapsed="false">
      <c r="A2092" s="16" t="n">
        <v>44064</v>
      </c>
      <c r="B2092" s="17" t="n">
        <v>11526.32</v>
      </c>
    </row>
    <row r="2093" customFormat="false" ht="15" hidden="false" customHeight="false" outlineLevel="0" collapsed="false">
      <c r="A2093" s="16" t="n">
        <v>44065</v>
      </c>
      <c r="B2093" s="17" t="n">
        <v>11675.78</v>
      </c>
    </row>
    <row r="2094" customFormat="false" ht="15" hidden="false" customHeight="false" outlineLevel="0" collapsed="false">
      <c r="A2094" s="16" t="n">
        <v>44066</v>
      </c>
      <c r="B2094" s="17" t="n">
        <v>11650.03</v>
      </c>
    </row>
    <row r="2095" customFormat="false" ht="15" hidden="false" customHeight="false" outlineLevel="0" collapsed="false">
      <c r="A2095" s="16" t="n">
        <v>44067</v>
      </c>
      <c r="B2095" s="17" t="n">
        <v>11762.34</v>
      </c>
    </row>
    <row r="2096" customFormat="false" ht="15" hidden="false" customHeight="false" outlineLevel="0" collapsed="false">
      <c r="A2096" s="16" t="n">
        <v>44068</v>
      </c>
      <c r="B2096" s="17" t="n">
        <v>11324.86</v>
      </c>
    </row>
    <row r="2097" customFormat="false" ht="15" hidden="false" customHeight="false" outlineLevel="0" collapsed="false">
      <c r="A2097" s="16" t="n">
        <v>44069</v>
      </c>
      <c r="B2097" s="17" t="n">
        <v>11460.01</v>
      </c>
    </row>
    <row r="2098" customFormat="false" ht="15" hidden="false" customHeight="false" outlineLevel="0" collapsed="false">
      <c r="A2098" s="16" t="n">
        <v>44070</v>
      </c>
      <c r="B2098" s="17" t="n">
        <v>11341.73</v>
      </c>
    </row>
    <row r="2099" customFormat="false" ht="15" hidden="false" customHeight="false" outlineLevel="0" collapsed="false">
      <c r="A2099" s="16" t="n">
        <v>44071</v>
      </c>
      <c r="B2099" s="17" t="n">
        <v>11540</v>
      </c>
    </row>
    <row r="2100" customFormat="false" ht="15" hidden="false" customHeight="false" outlineLevel="0" collapsed="false">
      <c r="A2100" s="16" t="n">
        <v>44072</v>
      </c>
      <c r="B2100" s="17" t="n">
        <v>11468.56</v>
      </c>
    </row>
    <row r="2101" customFormat="false" ht="15" hidden="false" customHeight="false" outlineLevel="0" collapsed="false">
      <c r="A2101" s="16" t="n">
        <v>44073</v>
      </c>
      <c r="B2101" s="17" t="n">
        <v>11724.99</v>
      </c>
    </row>
    <row r="2102" customFormat="false" ht="15" hidden="false" customHeight="false" outlineLevel="0" collapsed="false">
      <c r="A2102" s="16" t="n">
        <v>44074</v>
      </c>
      <c r="B2102" s="17" t="n">
        <v>11665.93</v>
      </c>
    </row>
    <row r="2103" customFormat="false" ht="15" hidden="false" customHeight="false" outlineLevel="0" collapsed="false">
      <c r="A2103" s="16" t="n">
        <v>44075</v>
      </c>
      <c r="B2103" s="17" t="n">
        <v>11911.74</v>
      </c>
    </row>
    <row r="2104" customFormat="false" ht="15" hidden="false" customHeight="false" outlineLevel="0" collapsed="false">
      <c r="A2104" s="16" t="n">
        <v>44076</v>
      </c>
      <c r="B2104" s="17" t="n">
        <v>11390.12</v>
      </c>
    </row>
    <row r="2105" customFormat="false" ht="15" hidden="false" customHeight="false" outlineLevel="0" collapsed="false">
      <c r="A2105" s="16" t="n">
        <v>44077</v>
      </c>
      <c r="B2105" s="17" t="n">
        <v>10225.82</v>
      </c>
    </row>
    <row r="2106" customFormat="false" ht="15" hidden="false" customHeight="false" outlineLevel="0" collapsed="false">
      <c r="A2106" s="16" t="n">
        <v>44078</v>
      </c>
    </row>
    <row r="2107" customFormat="false" ht="15" hidden="false" customHeight="false" outlineLevel="0" collapsed="false">
      <c r="A2107" s="16" t="n">
        <v>44079</v>
      </c>
      <c r="B2107" s="17" t="n">
        <v>10152.97</v>
      </c>
    </row>
    <row r="2108" customFormat="false" ht="15" hidden="false" customHeight="false" outlineLevel="0" collapsed="false">
      <c r="A2108" s="16" t="n">
        <v>44080</v>
      </c>
      <c r="B2108" s="17" t="n">
        <v>10255.2</v>
      </c>
    </row>
    <row r="2109" customFormat="false" ht="15" hidden="false" customHeight="false" outlineLevel="0" collapsed="false">
      <c r="A2109" s="16" t="n">
        <v>44081</v>
      </c>
      <c r="B2109" s="17" t="n">
        <v>10389.85</v>
      </c>
    </row>
    <row r="2110" customFormat="false" ht="15" hidden="false" customHeight="false" outlineLevel="0" collapsed="false">
      <c r="A2110" s="16" t="n">
        <v>44082</v>
      </c>
      <c r="B2110" s="17" t="n">
        <v>10123.21</v>
      </c>
    </row>
    <row r="2111" customFormat="false" ht="15" hidden="false" customHeight="false" outlineLevel="0" collapsed="false">
      <c r="A2111" s="16" t="n">
        <v>44083</v>
      </c>
      <c r="B2111" s="17" t="n">
        <v>10235</v>
      </c>
    </row>
    <row r="2112" customFormat="false" ht="15" hidden="false" customHeight="false" outlineLevel="0" collapsed="false">
      <c r="A2112" s="16" t="n">
        <v>44084</v>
      </c>
      <c r="B2112" s="17" t="n">
        <v>10345.95</v>
      </c>
    </row>
    <row r="2113" customFormat="false" ht="15" hidden="false" customHeight="false" outlineLevel="0" collapsed="false">
      <c r="A2113" s="16" t="n">
        <v>44085</v>
      </c>
      <c r="B2113" s="17" t="n">
        <v>10399.99</v>
      </c>
    </row>
    <row r="2114" customFormat="false" ht="15" hidden="false" customHeight="false" outlineLevel="0" collapsed="false">
      <c r="A2114" s="16" t="n">
        <v>44086</v>
      </c>
      <c r="B2114" s="17" t="n">
        <v>10444.01</v>
      </c>
    </row>
    <row r="2115" customFormat="false" ht="15" hidden="false" customHeight="false" outlineLevel="0" collapsed="false">
      <c r="A2115" s="16" t="n">
        <v>44087</v>
      </c>
      <c r="B2115" s="17" t="n">
        <v>10336.28</v>
      </c>
    </row>
    <row r="2116" customFormat="false" ht="15" hidden="false" customHeight="false" outlineLevel="0" collapsed="false">
      <c r="A2116" s="16" t="n">
        <v>44088</v>
      </c>
      <c r="B2116" s="17" t="n">
        <v>10679.33</v>
      </c>
    </row>
    <row r="2117" customFormat="false" ht="15" hidden="false" customHeight="false" outlineLevel="0" collapsed="false">
      <c r="A2117" s="16" t="n">
        <v>44089</v>
      </c>
      <c r="B2117" s="17" t="n">
        <v>10789.8</v>
      </c>
    </row>
    <row r="2118" customFormat="false" ht="15" hidden="false" customHeight="false" outlineLevel="0" collapsed="false">
      <c r="A2118" s="16" t="n">
        <v>44090</v>
      </c>
      <c r="B2118" s="17" t="n">
        <v>10953.38</v>
      </c>
    </row>
    <row r="2119" customFormat="false" ht="15" hidden="false" customHeight="false" outlineLevel="0" collapsed="false">
      <c r="A2119" s="16" t="n">
        <v>44091</v>
      </c>
      <c r="B2119" s="17" t="n">
        <v>10947.83</v>
      </c>
    </row>
    <row r="2120" customFormat="false" ht="15" hidden="false" customHeight="false" outlineLevel="0" collapsed="false">
      <c r="A2120" s="16" t="n">
        <v>44092</v>
      </c>
      <c r="B2120" s="17" t="n">
        <v>10942.2</v>
      </c>
    </row>
    <row r="2121" customFormat="false" ht="15" hidden="false" customHeight="false" outlineLevel="0" collapsed="false">
      <c r="A2121" s="16" t="n">
        <v>44093</v>
      </c>
      <c r="B2121" s="17" t="n">
        <v>11075.33</v>
      </c>
    </row>
    <row r="2122" customFormat="false" ht="15" hidden="false" customHeight="false" outlineLevel="0" collapsed="false">
      <c r="A2122" s="16" t="n">
        <v>44094</v>
      </c>
      <c r="B2122" s="17" t="n">
        <v>10911.59</v>
      </c>
    </row>
    <row r="2123" customFormat="false" ht="15" hidden="false" customHeight="false" outlineLevel="0" collapsed="false">
      <c r="A2123" s="16" t="n">
        <v>44095</v>
      </c>
      <c r="B2123" s="17" t="n">
        <v>10425.85</v>
      </c>
    </row>
    <row r="2124" customFormat="false" ht="15" hidden="false" customHeight="false" outlineLevel="0" collapsed="false">
      <c r="A2124" s="16" t="n">
        <v>44096</v>
      </c>
      <c r="B2124" s="17" t="n">
        <v>10529.01</v>
      </c>
    </row>
    <row r="2125" customFormat="false" ht="15" hidden="false" customHeight="false" outlineLevel="0" collapsed="false">
      <c r="A2125" s="16" t="n">
        <v>44097</v>
      </c>
      <c r="B2125" s="17" t="n">
        <v>10230.11</v>
      </c>
    </row>
    <row r="2126" customFormat="false" ht="15" hidden="false" customHeight="false" outlineLevel="0" collapsed="false">
      <c r="A2126" s="16" t="n">
        <v>44098</v>
      </c>
      <c r="B2126" s="17" t="n">
        <v>10741</v>
      </c>
    </row>
    <row r="2127" customFormat="false" ht="15" hidden="false" customHeight="false" outlineLevel="0" collapsed="false">
      <c r="A2127" s="16" t="n">
        <v>44099</v>
      </c>
      <c r="B2127" s="17" t="n">
        <v>10693.3</v>
      </c>
    </row>
    <row r="2128" customFormat="false" ht="15" hidden="false" customHeight="false" outlineLevel="0" collapsed="false">
      <c r="A2128" s="16" t="n">
        <v>44100</v>
      </c>
      <c r="B2128" s="17" t="n">
        <v>10730.23</v>
      </c>
    </row>
    <row r="2129" customFormat="false" ht="15" hidden="false" customHeight="false" outlineLevel="0" collapsed="false">
      <c r="A2129" s="16" t="n">
        <v>44101</v>
      </c>
      <c r="B2129" s="17" t="n">
        <v>10792.18</v>
      </c>
    </row>
    <row r="2130" customFormat="false" ht="15" hidden="false" customHeight="false" outlineLevel="0" collapsed="false">
      <c r="A2130" s="16" t="n">
        <v>44102</v>
      </c>
      <c r="B2130" s="17" t="n">
        <v>10681.01</v>
      </c>
    </row>
    <row r="2131" customFormat="false" ht="15" hidden="false" customHeight="false" outlineLevel="0" collapsed="false">
      <c r="A2131" s="16" t="n">
        <v>44103</v>
      </c>
      <c r="B2131" s="17" t="n">
        <v>10845.9</v>
      </c>
    </row>
    <row r="2132" customFormat="false" ht="15" hidden="false" customHeight="false" outlineLevel="0" collapsed="false">
      <c r="A2132" s="16" t="n">
        <v>44104</v>
      </c>
      <c r="B2132" s="17" t="n">
        <v>10783.24</v>
      </c>
    </row>
    <row r="2133" customFormat="false" ht="15" hidden="false" customHeight="false" outlineLevel="0" collapsed="false">
      <c r="A2133" s="16" t="n">
        <v>44105</v>
      </c>
      <c r="B2133" s="17" t="n">
        <v>10598.64</v>
      </c>
    </row>
    <row r="2134" customFormat="false" ht="15" hidden="false" customHeight="false" outlineLevel="0" collapsed="false">
      <c r="A2134" s="16" t="n">
        <v>44106</v>
      </c>
      <c r="B2134" s="17" t="n">
        <v>10577.92</v>
      </c>
    </row>
    <row r="2135" customFormat="false" ht="15" hidden="false" customHeight="false" outlineLevel="0" collapsed="false">
      <c r="A2135" s="16" t="n">
        <v>44107</v>
      </c>
      <c r="B2135" s="17" t="n">
        <v>10545.21</v>
      </c>
    </row>
    <row r="2136" customFormat="false" ht="15" hidden="false" customHeight="false" outlineLevel="0" collapsed="false">
      <c r="A2136" s="16" t="n">
        <v>44108</v>
      </c>
      <c r="B2136" s="17" t="n">
        <v>10662.36</v>
      </c>
    </row>
    <row r="2137" customFormat="false" ht="15" hidden="false" customHeight="false" outlineLevel="0" collapsed="false">
      <c r="A2137" s="16" t="n">
        <v>44109</v>
      </c>
      <c r="B2137" s="17" t="n">
        <v>10800</v>
      </c>
    </row>
    <row r="2138" customFormat="false" ht="15" hidden="false" customHeight="false" outlineLevel="0" collapsed="false">
      <c r="A2138" s="16" t="n">
        <v>44110</v>
      </c>
      <c r="B2138" s="17" t="n">
        <v>10594.15</v>
      </c>
    </row>
    <row r="2139" customFormat="false" ht="15" hidden="false" customHeight="false" outlineLevel="0" collapsed="false">
      <c r="A2139" s="16" t="n">
        <v>44111</v>
      </c>
      <c r="B2139" s="17" t="n">
        <v>10671.23</v>
      </c>
    </row>
    <row r="2140" customFormat="false" ht="15" hidden="false" customHeight="false" outlineLevel="0" collapsed="false">
      <c r="A2140" s="16" t="n">
        <v>44112</v>
      </c>
      <c r="B2140" s="17" t="n">
        <v>10926.71</v>
      </c>
    </row>
    <row r="2141" customFormat="false" ht="15" hidden="false" customHeight="false" outlineLevel="0" collapsed="false">
      <c r="A2141" s="16" t="n">
        <v>44113</v>
      </c>
      <c r="B2141" s="17" t="n">
        <v>11059.3</v>
      </c>
    </row>
    <row r="2142" customFormat="false" ht="15" hidden="false" customHeight="false" outlineLevel="0" collapsed="false">
      <c r="A2142" s="16" t="n">
        <v>44114</v>
      </c>
      <c r="B2142" s="17" t="n">
        <v>11303.56</v>
      </c>
    </row>
    <row r="2143" customFormat="false" ht="15" hidden="false" customHeight="false" outlineLevel="0" collapsed="false">
      <c r="A2143" s="16" t="n">
        <v>44115</v>
      </c>
      <c r="B2143" s="17" t="n">
        <v>11370.45</v>
      </c>
    </row>
    <row r="2144" customFormat="false" ht="15" hidden="false" customHeight="false" outlineLevel="0" collapsed="false">
      <c r="A2144" s="16" t="n">
        <v>44116</v>
      </c>
      <c r="B2144" s="17" t="n">
        <v>11534.83</v>
      </c>
    </row>
    <row r="2145" customFormat="false" ht="15" hidden="false" customHeight="false" outlineLevel="0" collapsed="false">
      <c r="A2145" s="16" t="n">
        <v>44117</v>
      </c>
      <c r="B2145" s="17" t="n">
        <v>11434.36</v>
      </c>
    </row>
    <row r="2146" customFormat="false" ht="15" hidden="false" customHeight="false" outlineLevel="0" collapsed="false">
      <c r="A2146" s="16" t="n">
        <v>44118</v>
      </c>
      <c r="B2146" s="17" t="n">
        <v>11426.87</v>
      </c>
    </row>
    <row r="2147" customFormat="false" ht="15" hidden="false" customHeight="false" outlineLevel="0" collapsed="false">
      <c r="A2147" s="16" t="n">
        <v>44119</v>
      </c>
      <c r="B2147" s="17" t="n">
        <v>11509.25</v>
      </c>
    </row>
    <row r="2148" customFormat="false" ht="15" hidden="false" customHeight="false" outlineLevel="0" collapsed="false">
      <c r="A2148" s="16" t="n">
        <v>44120</v>
      </c>
      <c r="B2148" s="17" t="n">
        <v>11329.33</v>
      </c>
    </row>
    <row r="2149" customFormat="false" ht="15" hidden="false" customHeight="false" outlineLevel="0" collapsed="false">
      <c r="A2149" s="16" t="n">
        <v>44121</v>
      </c>
      <c r="B2149" s="17" t="n">
        <v>11365.96</v>
      </c>
    </row>
    <row r="2150" customFormat="false" ht="15" hidden="false" customHeight="false" outlineLevel="0" collapsed="false">
      <c r="A2150" s="16" t="n">
        <v>44122</v>
      </c>
      <c r="B2150" s="17" t="n">
        <v>11516.56</v>
      </c>
    </row>
    <row r="2151" customFormat="false" ht="15" hidden="false" customHeight="false" outlineLevel="0" collapsed="false">
      <c r="A2151" s="16" t="n">
        <v>44123</v>
      </c>
      <c r="B2151" s="17" t="n">
        <v>11765.09</v>
      </c>
    </row>
    <row r="2152" customFormat="false" ht="15" hidden="false" customHeight="false" outlineLevel="0" collapsed="false">
      <c r="A2152" s="16" t="n">
        <v>44124</v>
      </c>
      <c r="B2152" s="17" t="n">
        <v>11917.34</v>
      </c>
    </row>
    <row r="2153" customFormat="false" ht="15" hidden="false" customHeight="false" outlineLevel="0" collapsed="false">
      <c r="A2153" s="16" t="n">
        <v>44125</v>
      </c>
      <c r="B2153" s="17" t="n">
        <v>12836.37</v>
      </c>
    </row>
    <row r="2154" customFormat="false" ht="15" hidden="false" customHeight="false" outlineLevel="0" collapsed="false">
      <c r="A2154" s="16" t="n">
        <v>44126</v>
      </c>
      <c r="B2154" s="17" t="n">
        <v>12977.02</v>
      </c>
    </row>
    <row r="2155" customFormat="false" ht="15" hidden="false" customHeight="false" outlineLevel="0" collapsed="false">
      <c r="A2155" s="16" t="n">
        <v>44127</v>
      </c>
      <c r="B2155" s="17" t="n">
        <v>12943.03</v>
      </c>
    </row>
    <row r="2156" customFormat="false" ht="15" hidden="false" customHeight="false" outlineLevel="0" collapsed="false">
      <c r="A2156" s="16" t="n">
        <v>44128</v>
      </c>
      <c r="B2156" s="17" t="n">
        <v>13120.87</v>
      </c>
    </row>
    <row r="2157" customFormat="false" ht="15" hidden="false" customHeight="false" outlineLevel="0" collapsed="false">
      <c r="A2157" s="16" t="n">
        <v>44129</v>
      </c>
      <c r="B2157" s="17" t="n">
        <v>13050.32</v>
      </c>
    </row>
    <row r="2158" customFormat="false" ht="15" hidden="false" customHeight="false" outlineLevel="0" collapsed="false">
      <c r="A2158" s="16" t="n">
        <v>44130</v>
      </c>
      <c r="B2158" s="17" t="n">
        <v>13072.95</v>
      </c>
    </row>
    <row r="2159" customFormat="false" ht="15" hidden="false" customHeight="false" outlineLevel="0" collapsed="false">
      <c r="A2159" s="16" t="n">
        <v>44131</v>
      </c>
      <c r="B2159" s="17" t="n">
        <v>13698.18</v>
      </c>
    </row>
    <row r="2160" customFormat="false" ht="15" hidden="false" customHeight="false" outlineLevel="0" collapsed="false">
      <c r="A2160" s="16" t="n">
        <v>44132</v>
      </c>
      <c r="B2160" s="17" t="n">
        <v>13280</v>
      </c>
    </row>
    <row r="2161" customFormat="false" ht="15" hidden="false" customHeight="false" outlineLevel="0" collapsed="false">
      <c r="A2161" s="16" t="n">
        <v>44133</v>
      </c>
      <c r="B2161" s="17" t="n">
        <v>13460</v>
      </c>
    </row>
    <row r="2162" customFormat="false" ht="15" hidden="false" customHeight="false" outlineLevel="0" collapsed="false">
      <c r="A2162" s="16" t="n">
        <v>44134</v>
      </c>
      <c r="B2162" s="17" t="n">
        <v>13582.97</v>
      </c>
    </row>
    <row r="2163" customFormat="false" ht="15" hidden="false" customHeight="false" outlineLevel="0" collapsed="false">
      <c r="A2163" s="16" t="n">
        <v>44135</v>
      </c>
      <c r="B2163" s="17" t="n">
        <v>13745.02</v>
      </c>
    </row>
    <row r="2164" customFormat="false" ht="15" hidden="false" customHeight="false" outlineLevel="0" collapsed="false">
      <c r="A2164" s="16" t="n">
        <v>44136</v>
      </c>
      <c r="B2164" s="17" t="n">
        <v>13784.52</v>
      </c>
    </row>
    <row r="2165" customFormat="false" ht="15" hidden="false" customHeight="false" outlineLevel="0" collapsed="false">
      <c r="A2165" s="16" t="n">
        <v>44137</v>
      </c>
      <c r="B2165" s="17" t="n">
        <v>13573.93</v>
      </c>
    </row>
    <row r="2166" customFormat="false" ht="15" hidden="false" customHeight="false" outlineLevel="0" collapsed="false">
      <c r="A2166" s="16" t="n">
        <v>44138</v>
      </c>
      <c r="B2166" s="17" t="n">
        <v>14050.59</v>
      </c>
    </row>
    <row r="2167" customFormat="false" ht="15" hidden="false" customHeight="false" outlineLevel="0" collapsed="false">
      <c r="A2167" s="16" t="n">
        <v>44139</v>
      </c>
      <c r="B2167" s="17" t="n">
        <v>14160</v>
      </c>
    </row>
    <row r="2168" customFormat="false" ht="15" hidden="false" customHeight="false" outlineLevel="0" collapsed="false">
      <c r="A2168" s="16" t="n">
        <v>44140</v>
      </c>
      <c r="B2168" s="17" t="n">
        <v>15636.6</v>
      </c>
    </row>
    <row r="2169" customFormat="false" ht="15" hidden="false" customHeight="false" outlineLevel="0" collapsed="false">
      <c r="A2169" s="16" t="n">
        <v>44141</v>
      </c>
      <c r="B2169" s="17" t="n">
        <v>15596.33</v>
      </c>
    </row>
    <row r="2170" customFormat="false" ht="15" hidden="false" customHeight="false" outlineLevel="0" collapsed="false">
      <c r="A2170" s="16" t="n">
        <v>44142</v>
      </c>
      <c r="B2170" s="17" t="n">
        <v>14814.62</v>
      </c>
    </row>
    <row r="2171" customFormat="false" ht="15" hidden="false" customHeight="false" outlineLevel="0" collapsed="false">
      <c r="A2171" s="16" t="n">
        <v>44143</v>
      </c>
      <c r="B2171" s="17" t="n">
        <v>15487.88</v>
      </c>
    </row>
    <row r="2172" customFormat="false" ht="15" hidden="false" customHeight="false" outlineLevel="0" collapsed="false">
      <c r="A2172" s="16" t="n">
        <v>44144</v>
      </c>
      <c r="B2172" s="17" t="n">
        <v>15334.37</v>
      </c>
    </row>
    <row r="2173" customFormat="false" ht="15" hidden="false" customHeight="false" outlineLevel="0" collapsed="false">
      <c r="A2173" s="16" t="n">
        <v>44145</v>
      </c>
      <c r="B2173" s="17" t="n">
        <v>15325.25</v>
      </c>
    </row>
    <row r="2174" customFormat="false" ht="15" hidden="false" customHeight="false" outlineLevel="0" collapsed="false">
      <c r="A2174" s="16" t="n">
        <v>44146</v>
      </c>
      <c r="B2174" s="17" t="n">
        <v>15723.81</v>
      </c>
    </row>
    <row r="2175" customFormat="false" ht="15" hidden="false" customHeight="false" outlineLevel="0" collapsed="false">
      <c r="A2175" s="16" t="n">
        <v>44147</v>
      </c>
      <c r="B2175" s="17" t="n">
        <v>16319.72</v>
      </c>
    </row>
    <row r="2176" customFormat="false" ht="15" hidden="false" customHeight="false" outlineLevel="0" collapsed="false">
      <c r="A2176" s="16" t="n">
        <v>44148</v>
      </c>
      <c r="B2176" s="17" t="n">
        <v>16339.59</v>
      </c>
    </row>
    <row r="2177" customFormat="false" ht="15" hidden="false" customHeight="false" outlineLevel="0" collapsed="false">
      <c r="A2177" s="16" t="n">
        <v>44149</v>
      </c>
      <c r="B2177" s="17" t="n">
        <v>16093.3</v>
      </c>
    </row>
    <row r="2178" customFormat="false" ht="15" hidden="false" customHeight="false" outlineLevel="0" collapsed="false">
      <c r="A2178" s="16" t="n">
        <v>44150</v>
      </c>
      <c r="B2178" s="17" t="n">
        <v>15946.64</v>
      </c>
    </row>
    <row r="2179" customFormat="false" ht="15" hidden="false" customHeight="false" outlineLevel="0" collapsed="false">
      <c r="A2179" s="16" t="n">
        <v>44151</v>
      </c>
      <c r="B2179" s="17" t="n">
        <v>16714.58</v>
      </c>
    </row>
    <row r="2180" customFormat="false" ht="15" hidden="false" customHeight="false" outlineLevel="0" collapsed="false">
      <c r="A2180" s="16" t="n">
        <v>44152</v>
      </c>
      <c r="B2180" s="17" t="n">
        <v>17660.9</v>
      </c>
    </row>
    <row r="2181" customFormat="false" ht="15" hidden="false" customHeight="false" outlineLevel="0" collapsed="false">
      <c r="A2181" s="16" t="n">
        <v>44153</v>
      </c>
      <c r="B2181" s="17" t="n">
        <v>17802.82</v>
      </c>
    </row>
    <row r="2182" customFormat="false" ht="15" hidden="false" customHeight="false" outlineLevel="0" collapsed="false">
      <c r="A2182" s="16" t="n">
        <v>44154</v>
      </c>
      <c r="B2182" s="17" t="n">
        <v>17804.44</v>
      </c>
    </row>
    <row r="2183" customFormat="false" ht="15" hidden="false" customHeight="false" outlineLevel="0" collapsed="false">
      <c r="A2183" s="16" t="n">
        <v>44155</v>
      </c>
      <c r="B2183" s="17" t="n">
        <v>18702.87</v>
      </c>
    </row>
    <row r="2184" customFormat="false" ht="15" hidden="false" customHeight="false" outlineLevel="0" collapsed="false">
      <c r="A2184" s="16" t="n">
        <v>44156</v>
      </c>
      <c r="B2184" s="17" t="n">
        <v>18710.14</v>
      </c>
    </row>
    <row r="2185" customFormat="false" ht="15" hidden="false" customHeight="false" outlineLevel="0" collapsed="false">
      <c r="A2185" s="16" t="n">
        <v>44157</v>
      </c>
      <c r="B2185" s="17" t="n">
        <v>18477.48</v>
      </c>
    </row>
    <row r="2186" customFormat="false" ht="15" hidden="false" customHeight="false" outlineLevel="0" collapsed="false">
      <c r="A2186" s="16" t="n">
        <v>44158</v>
      </c>
      <c r="B2186" s="17" t="n">
        <v>18391.21</v>
      </c>
    </row>
    <row r="2187" customFormat="false" ht="15" hidden="false" customHeight="false" outlineLevel="0" collapsed="false">
      <c r="A2187" s="16" t="n">
        <v>44159</v>
      </c>
      <c r="B2187" s="17" t="n">
        <v>19185.07</v>
      </c>
    </row>
    <row r="2188" customFormat="false" ht="15" hidden="false" customHeight="false" outlineLevel="0" collapsed="false">
      <c r="A2188" s="16" t="n">
        <v>44160</v>
      </c>
      <c r="B2188" s="17" t="n">
        <v>18706.15</v>
      </c>
    </row>
    <row r="2189" customFormat="false" ht="15" hidden="false" customHeight="false" outlineLevel="0" collapsed="false">
      <c r="A2189" s="16" t="n">
        <v>44161</v>
      </c>
      <c r="B2189" s="17" t="n">
        <v>17173</v>
      </c>
    </row>
    <row r="2190" customFormat="false" ht="15" hidden="false" customHeight="false" outlineLevel="0" collapsed="false">
      <c r="A2190" s="16" t="n">
        <v>44162</v>
      </c>
      <c r="B2190" s="17" t="n">
        <v>17156.99</v>
      </c>
    </row>
    <row r="2191" customFormat="false" ht="15" hidden="false" customHeight="false" outlineLevel="0" collapsed="false">
      <c r="A2191" s="16" t="n">
        <v>44163</v>
      </c>
      <c r="B2191" s="17" t="n">
        <v>17718.3</v>
      </c>
    </row>
    <row r="2192" customFormat="false" ht="15" hidden="false" customHeight="false" outlineLevel="0" collapsed="false">
      <c r="A2192" s="16" t="n">
        <v>44164</v>
      </c>
      <c r="B2192" s="17" t="n">
        <v>18238.52</v>
      </c>
    </row>
    <row r="2193" customFormat="false" ht="15" hidden="false" customHeight="false" outlineLevel="0" collapsed="false">
      <c r="A2193" s="16" t="n">
        <v>44165</v>
      </c>
      <c r="B2193" s="17" t="n">
        <v>19727</v>
      </c>
    </row>
    <row r="2194" customFormat="false" ht="15" hidden="false" customHeight="false" outlineLevel="0" collapsed="false">
      <c r="A2194" s="16" t="n">
        <v>44166</v>
      </c>
      <c r="B2194" s="17" t="n">
        <v>18763.35</v>
      </c>
    </row>
    <row r="2195" customFormat="false" ht="15" hidden="false" customHeight="false" outlineLevel="0" collapsed="false">
      <c r="A2195" s="16" t="n">
        <v>44167</v>
      </c>
      <c r="B2195" s="17" t="n">
        <v>19245.61</v>
      </c>
    </row>
    <row r="2196" customFormat="false" ht="15" hidden="false" customHeight="false" outlineLevel="0" collapsed="false">
      <c r="A2196" s="16" t="n">
        <v>44168</v>
      </c>
      <c r="B2196" s="17" t="n">
        <v>19430.07</v>
      </c>
    </row>
    <row r="2197" customFormat="false" ht="15" hidden="false" customHeight="false" outlineLevel="0" collapsed="false">
      <c r="A2197" s="16" t="n">
        <v>44169</v>
      </c>
      <c r="B2197" s="17" t="n">
        <v>18692.32</v>
      </c>
    </row>
    <row r="2198" customFormat="false" ht="15" hidden="false" customHeight="false" outlineLevel="0" collapsed="false">
      <c r="A2198" s="16" t="n">
        <v>44170</v>
      </c>
      <c r="B2198" s="17" t="n">
        <v>19156.82</v>
      </c>
    </row>
    <row r="2199" customFormat="false" ht="15" hidden="false" customHeight="false" outlineLevel="0" collapsed="false">
      <c r="A2199" s="16" t="n">
        <v>44171</v>
      </c>
      <c r="B2199" s="17" t="n">
        <v>19397.08</v>
      </c>
    </row>
    <row r="2200" customFormat="false" ht="15" hidden="false" customHeight="false" outlineLevel="0" collapsed="false">
      <c r="A2200" s="16" t="n">
        <v>44172</v>
      </c>
      <c r="B2200" s="17" t="n">
        <v>19202.88</v>
      </c>
    </row>
    <row r="2201" customFormat="false" ht="15" hidden="false" customHeight="false" outlineLevel="0" collapsed="false">
      <c r="A2201" s="16" t="n">
        <v>44173</v>
      </c>
      <c r="B2201" s="17" t="n">
        <v>18311.76</v>
      </c>
    </row>
    <row r="2202" customFormat="false" ht="15" hidden="false" customHeight="false" outlineLevel="0" collapsed="false">
      <c r="A2202" s="16" t="n">
        <v>44174</v>
      </c>
      <c r="B2202" s="17" t="n">
        <v>18550.01</v>
      </c>
    </row>
    <row r="2203" customFormat="false" ht="15" hidden="false" customHeight="false" outlineLevel="0" collapsed="false">
      <c r="A2203" s="16" t="n">
        <v>44175</v>
      </c>
      <c r="B2203" s="17" t="n">
        <v>18286.8</v>
      </c>
    </row>
    <row r="2204" customFormat="false" ht="15" hidden="false" customHeight="false" outlineLevel="0" collapsed="false">
      <c r="A2204" s="16" t="n">
        <v>44176</v>
      </c>
      <c r="B2204" s="17" t="n">
        <v>18048.14</v>
      </c>
    </row>
    <row r="2205" customFormat="false" ht="15" hidden="false" customHeight="false" outlineLevel="0" collapsed="false">
      <c r="A2205" s="16" t="n">
        <v>44177</v>
      </c>
      <c r="B2205" s="17" t="n">
        <v>18826.36</v>
      </c>
    </row>
    <row r="2206" customFormat="false" ht="15" hidden="false" customHeight="false" outlineLevel="0" collapsed="false">
      <c r="A2206" s="16" t="n">
        <v>44178</v>
      </c>
      <c r="B2206" s="17" t="n">
        <v>19133.04</v>
      </c>
    </row>
    <row r="2207" customFormat="false" ht="15" hidden="false" customHeight="false" outlineLevel="0" collapsed="false">
      <c r="A2207" s="16" t="n">
        <v>44179</v>
      </c>
      <c r="B2207" s="17" t="n">
        <v>19288.43</v>
      </c>
    </row>
    <row r="2208" customFormat="false" ht="15" hidden="false" customHeight="false" outlineLevel="0" collapsed="false">
      <c r="A2208" s="16" t="n">
        <v>44180</v>
      </c>
      <c r="B2208" s="17" t="n">
        <v>19451.34</v>
      </c>
    </row>
    <row r="2209" customFormat="false" ht="15" hidden="false" customHeight="false" outlineLevel="0" collapsed="false">
      <c r="A2209" s="16" t="n">
        <v>44181</v>
      </c>
      <c r="B2209" s="17" t="n">
        <v>21384.63</v>
      </c>
    </row>
    <row r="2210" customFormat="false" ht="15" hidden="false" customHeight="false" outlineLevel="0" collapsed="false">
      <c r="A2210" s="16" t="n">
        <v>44182</v>
      </c>
      <c r="B2210" s="17" t="n">
        <v>22830.34</v>
      </c>
    </row>
    <row r="2211" customFormat="false" ht="15" hidden="false" customHeight="false" outlineLevel="0" collapsed="false">
      <c r="A2211" s="16" t="n">
        <v>44183</v>
      </c>
      <c r="B2211" s="17" t="n">
        <v>23169.26</v>
      </c>
    </row>
    <row r="2212" customFormat="false" ht="15" hidden="false" customHeight="false" outlineLevel="0" collapsed="false">
      <c r="A2212" s="16" t="n">
        <v>44184</v>
      </c>
      <c r="B2212" s="17" t="n">
        <v>23814.91</v>
      </c>
    </row>
    <row r="2213" customFormat="false" ht="15" hidden="false" customHeight="false" outlineLevel="0" collapsed="false">
      <c r="A2213" s="16" t="n">
        <v>44185</v>
      </c>
      <c r="B2213" s="17" t="n">
        <v>23451.68</v>
      </c>
    </row>
    <row r="2214" customFormat="false" ht="15" hidden="false" customHeight="false" outlineLevel="0" collapsed="false">
      <c r="A2214" s="16" t="n">
        <v>44186</v>
      </c>
      <c r="B2214" s="17" t="n">
        <v>22777.26</v>
      </c>
    </row>
    <row r="2215" customFormat="false" ht="15" hidden="false" customHeight="false" outlineLevel="0" collapsed="false">
      <c r="A2215" s="16" t="n">
        <v>44187</v>
      </c>
      <c r="B2215" s="17" t="n">
        <v>23839.99</v>
      </c>
    </row>
    <row r="2216" customFormat="false" ht="15" hidden="false" customHeight="false" outlineLevel="0" collapsed="false">
      <c r="A2216" s="16" t="n">
        <v>44188</v>
      </c>
      <c r="B2216" s="17" t="n">
        <v>23196.57</v>
      </c>
    </row>
    <row r="2217" customFormat="false" ht="15" hidden="false" customHeight="false" outlineLevel="0" collapsed="false">
      <c r="A2217" s="16" t="n">
        <v>44189</v>
      </c>
      <c r="B2217" s="17" t="n">
        <v>23740.01</v>
      </c>
    </row>
    <row r="2218" customFormat="false" ht="15" hidden="false" customHeight="false" outlineLevel="0" collapsed="false">
      <c r="A2218" s="16" t="n">
        <v>44190</v>
      </c>
      <c r="B2218" s="17" t="n">
        <v>24736.42</v>
      </c>
    </row>
    <row r="2219" customFormat="false" ht="15" hidden="false" customHeight="false" outlineLevel="0" collapsed="false">
      <c r="A2219" s="16" t="n">
        <v>44191</v>
      </c>
      <c r="B2219" s="17" t="n">
        <v>26519.1</v>
      </c>
    </row>
    <row r="2220" customFormat="false" ht="15" hidden="false" customHeight="false" outlineLevel="0" collapsed="false">
      <c r="A2220" s="16" t="n">
        <v>44192</v>
      </c>
      <c r="B2220" s="17" t="n">
        <v>26320.06</v>
      </c>
    </row>
    <row r="2221" customFormat="false" ht="15" hidden="false" customHeight="false" outlineLevel="0" collapsed="false">
      <c r="A2221" s="16" t="n">
        <v>44193</v>
      </c>
      <c r="B2221" s="17" t="n">
        <v>27044.14</v>
      </c>
    </row>
    <row r="2222" customFormat="false" ht="15" hidden="false" customHeight="false" outlineLevel="0" collapsed="false">
      <c r="A2222" s="16" t="n">
        <v>44194</v>
      </c>
      <c r="B2222" s="17" t="n">
        <v>27407.85</v>
      </c>
    </row>
    <row r="2223" customFormat="false" ht="15" hidden="false" customHeight="false" outlineLevel="0" collapsed="false">
      <c r="A2223" s="16" t="n">
        <v>44195</v>
      </c>
      <c r="B2223" s="17" t="n">
        <v>28934.56</v>
      </c>
    </row>
    <row r="2224" customFormat="false" ht="15" hidden="false" customHeight="false" outlineLevel="0" collapsed="false">
      <c r="A2224" s="16" t="n">
        <v>44196</v>
      </c>
      <c r="B2224" s="17" t="n">
        <v>29026.97</v>
      </c>
    </row>
    <row r="2225" customFormat="false" ht="15" hidden="false" customHeight="false" outlineLevel="0" collapsed="false">
      <c r="A2225" s="16" t="n">
        <v>44197</v>
      </c>
      <c r="B2225" s="17" t="n">
        <v>29391.09</v>
      </c>
    </row>
    <row r="2226" customFormat="false" ht="15" hidden="false" customHeight="false" outlineLevel="0" collapsed="false">
      <c r="A2226" s="16" t="n">
        <v>44198</v>
      </c>
      <c r="B2226" s="17" t="n">
        <v>32244.73</v>
      </c>
    </row>
    <row r="2227" customFormat="false" ht="15" hidden="false" customHeight="false" outlineLevel="0" collapsed="false">
      <c r="A2227" s="16" t="n">
        <v>44199</v>
      </c>
      <c r="B2227" s="17" t="n">
        <v>33134.1</v>
      </c>
    </row>
    <row r="2228" customFormat="false" ht="15" hidden="false" customHeight="false" outlineLevel="0" collapsed="false">
      <c r="A2228" s="16" t="n">
        <v>44200</v>
      </c>
      <c r="B2228" s="17" t="n">
        <v>32127.31</v>
      </c>
    </row>
    <row r="2229" customFormat="false" ht="15" hidden="false" customHeight="false" outlineLevel="0" collapsed="false">
      <c r="A2229" s="16" t="n">
        <v>44201</v>
      </c>
      <c r="B2229" s="17" t="n">
        <v>34131.23</v>
      </c>
    </row>
    <row r="2230" customFormat="false" ht="15" hidden="false" customHeight="false" outlineLevel="0" collapsed="false">
      <c r="A2230" s="16" t="n">
        <v>44202</v>
      </c>
      <c r="B2230" s="17" t="n">
        <v>36979.81</v>
      </c>
    </row>
    <row r="2231" customFormat="false" ht="15" hidden="false" customHeight="false" outlineLevel="0" collapsed="false">
      <c r="A2231" s="16" t="n">
        <v>44203</v>
      </c>
      <c r="B2231" s="17" t="n">
        <v>39573.39</v>
      </c>
    </row>
    <row r="2232" customFormat="false" ht="15" hidden="false" customHeight="false" outlineLevel="0" collapsed="false">
      <c r="A2232" s="16" t="n">
        <v>44204</v>
      </c>
      <c r="B2232" s="17" t="n">
        <v>40666.72</v>
      </c>
    </row>
    <row r="2233" customFormat="false" ht="15" hidden="false" customHeight="false" outlineLevel="0" collapsed="false">
      <c r="A2233" s="16" t="n">
        <v>44205</v>
      </c>
      <c r="B2233" s="17" t="n">
        <v>40346.3</v>
      </c>
    </row>
    <row r="2234" customFormat="false" ht="15" hidden="false" customHeight="false" outlineLevel="0" collapsed="false">
      <c r="A2234" s="16" t="n">
        <v>44206</v>
      </c>
      <c r="B2234" s="17" t="n">
        <v>38242.02</v>
      </c>
    </row>
    <row r="2235" customFormat="false" ht="15" hidden="false" customHeight="false" outlineLevel="0" collapsed="false">
      <c r="A2235" s="16" t="n">
        <v>44207</v>
      </c>
      <c r="B2235" s="17" t="n">
        <v>35474.31</v>
      </c>
    </row>
    <row r="2236" customFormat="false" ht="15" hidden="false" customHeight="false" outlineLevel="0" collapsed="false">
      <c r="A2236" s="16" t="n">
        <v>44208</v>
      </c>
      <c r="B2236" s="17" t="n">
        <v>33968.43</v>
      </c>
    </row>
    <row r="2237" customFormat="false" ht="15" hidden="false" customHeight="false" outlineLevel="0" collapsed="false">
      <c r="A2237" s="16" t="n">
        <v>44209</v>
      </c>
      <c r="B2237" s="17" t="n">
        <v>37520.66</v>
      </c>
    </row>
    <row r="2238" customFormat="false" ht="15" hidden="false" customHeight="false" outlineLevel="0" collapsed="false">
      <c r="A2238" s="16" t="n">
        <v>44210</v>
      </c>
      <c r="B2238" s="17" t="n">
        <v>39171.12</v>
      </c>
    </row>
    <row r="2239" customFormat="false" ht="15" hidden="false" customHeight="false" outlineLevel="0" collapsed="false">
      <c r="A2239" s="16" t="n">
        <v>44211</v>
      </c>
      <c r="B2239" s="17" t="n">
        <v>36868.39</v>
      </c>
    </row>
    <row r="2240" customFormat="false" ht="15" hidden="false" customHeight="false" outlineLevel="0" collapsed="false">
      <c r="A2240" s="16" t="n">
        <v>44212</v>
      </c>
      <c r="B2240" s="17" t="n">
        <v>35869.47</v>
      </c>
    </row>
    <row r="2241" customFormat="false" ht="15" hidden="false" customHeight="false" outlineLevel="0" collapsed="false">
      <c r="A2241" s="16" t="n">
        <v>44213</v>
      </c>
      <c r="B2241" s="17" t="n">
        <v>35931.15</v>
      </c>
    </row>
    <row r="2242" customFormat="false" ht="15" hidden="false" customHeight="false" outlineLevel="0" collapsed="false">
      <c r="A2242" s="16" t="n">
        <v>44214</v>
      </c>
      <c r="B2242" s="17" t="n">
        <v>36765.97</v>
      </c>
    </row>
    <row r="2243" customFormat="false" ht="15" hidden="false" customHeight="false" outlineLevel="0" collapsed="false">
      <c r="A2243" s="16" t="n">
        <v>44215</v>
      </c>
      <c r="B2243" s="17" t="n">
        <v>35673.03</v>
      </c>
    </row>
    <row r="2244" customFormat="false" ht="15" hidden="false" customHeight="false" outlineLevel="0" collapsed="false">
      <c r="A2244" s="16" t="n">
        <v>44216</v>
      </c>
      <c r="B2244" s="17" t="n">
        <v>35570.44</v>
      </c>
    </row>
    <row r="2245" customFormat="false" ht="15" hidden="false" customHeight="false" outlineLevel="0" collapsed="false">
      <c r="A2245" s="16" t="n">
        <v>44217</v>
      </c>
      <c r="B2245" s="17" t="n">
        <v>30647.26</v>
      </c>
    </row>
    <row r="2246" customFormat="false" ht="15" hidden="false" customHeight="false" outlineLevel="0" collapsed="false">
      <c r="A2246" s="16" t="n">
        <v>44218</v>
      </c>
      <c r="B2246" s="17" t="n">
        <v>32885.51</v>
      </c>
    </row>
    <row r="2247" customFormat="false" ht="15" hidden="false" customHeight="false" outlineLevel="0" collapsed="false">
      <c r="A2247" s="16" t="n">
        <v>44219</v>
      </c>
      <c r="B2247" s="17" t="n">
        <v>32021.33</v>
      </c>
    </row>
    <row r="2248" customFormat="false" ht="15" hidden="false" customHeight="false" outlineLevel="0" collapsed="false">
      <c r="A2248" s="16" t="n">
        <v>44220</v>
      </c>
      <c r="B2248" s="17" t="n">
        <v>32250.01</v>
      </c>
    </row>
    <row r="2249" customFormat="false" ht="15" hidden="false" customHeight="false" outlineLevel="0" collapsed="false">
      <c r="A2249" s="16" t="n">
        <v>44221</v>
      </c>
      <c r="B2249" s="17" t="n">
        <v>31979</v>
      </c>
    </row>
    <row r="2250" customFormat="false" ht="15" hidden="false" customHeight="false" outlineLevel="0" collapsed="false">
      <c r="A2250" s="16" t="n">
        <v>44222</v>
      </c>
      <c r="B2250" s="17" t="n">
        <v>32579.82</v>
      </c>
    </row>
    <row r="2251" customFormat="false" ht="15" hidden="false" customHeight="false" outlineLevel="0" collapsed="false">
      <c r="A2251" s="16" t="n">
        <v>44223</v>
      </c>
      <c r="B2251" s="17" t="n">
        <v>30552.06</v>
      </c>
    </row>
    <row r="2252" customFormat="false" ht="15" hidden="false" customHeight="false" outlineLevel="0" collapsed="false">
      <c r="A2252" s="16" t="n">
        <v>44224</v>
      </c>
      <c r="B2252" s="17" t="n">
        <v>33484.8</v>
      </c>
    </row>
    <row r="2253" customFormat="false" ht="15" hidden="false" customHeight="false" outlineLevel="0" collapsed="false">
      <c r="A2253" s="16" t="n">
        <v>44225</v>
      </c>
      <c r="B2253" s="17" t="n">
        <v>34330.14</v>
      </c>
    </row>
    <row r="2254" customFormat="false" ht="15" hidden="false" customHeight="false" outlineLevel="0" collapsed="false">
      <c r="A2254" s="16" t="n">
        <v>44226</v>
      </c>
      <c r="B2254" s="17" t="n">
        <v>34229.25</v>
      </c>
    </row>
    <row r="2255" customFormat="false" ht="15" hidden="false" customHeight="false" outlineLevel="0" collapsed="false">
      <c r="A2255" s="16" t="n">
        <v>44227</v>
      </c>
      <c r="B2255" s="17" t="n">
        <v>33076.09</v>
      </c>
    </row>
    <row r="2256" customFormat="false" ht="15" hidden="false" customHeight="false" outlineLevel="0" collapsed="false">
      <c r="A2256" s="16" t="n">
        <v>44228</v>
      </c>
      <c r="B2256" s="17" t="n">
        <v>33457.6</v>
      </c>
    </row>
    <row r="2257" customFormat="false" ht="15" hidden="false" customHeight="false" outlineLevel="0" collapsed="false">
      <c r="A2257" s="16" t="n">
        <v>44229</v>
      </c>
      <c r="B2257" s="17" t="n">
        <v>35511.07</v>
      </c>
    </row>
    <row r="2258" customFormat="false" ht="15" hidden="false" customHeight="false" outlineLevel="0" collapsed="false">
      <c r="A2258" s="16" t="n">
        <v>44230</v>
      </c>
      <c r="B2258" s="17" t="n">
        <v>37769.41</v>
      </c>
    </row>
    <row r="2259" customFormat="false" ht="15" hidden="false" customHeight="false" outlineLevel="0" collapsed="false">
      <c r="A2259" s="16" t="n">
        <v>44231</v>
      </c>
      <c r="B2259" s="17" t="n">
        <v>37070.87</v>
      </c>
    </row>
    <row r="2260" customFormat="false" ht="15" hidden="false" customHeight="false" outlineLevel="0" collapsed="false">
      <c r="A2260" s="16" t="n">
        <v>44232</v>
      </c>
      <c r="B2260" s="17" t="n">
        <v>38376.86</v>
      </c>
    </row>
    <row r="2261" customFormat="false" ht="15" hidden="false" customHeight="false" outlineLevel="0" collapsed="false">
      <c r="A2261" s="16" t="n">
        <v>44233</v>
      </c>
      <c r="B2261" s="17" t="n">
        <v>38995.52</v>
      </c>
    </row>
    <row r="2262" customFormat="false" ht="15" hidden="false" customHeight="false" outlineLevel="0" collapsed="false">
      <c r="A2262" s="16" t="n">
        <v>44234</v>
      </c>
      <c r="B2262" s="17" t="n">
        <v>38888.74</v>
      </c>
    </row>
    <row r="2263" customFormat="false" ht="15" hidden="false" customHeight="false" outlineLevel="0" collapsed="false">
      <c r="A2263" s="16" t="n">
        <v>44235</v>
      </c>
      <c r="B2263" s="17" t="n">
        <v>46674.44</v>
      </c>
    </row>
    <row r="2264" customFormat="false" ht="15" hidden="false" customHeight="false" outlineLevel="0" collapsed="false">
      <c r="A2264" s="16" t="n">
        <v>44236</v>
      </c>
      <c r="B2264" s="17" t="n">
        <v>46595.44</v>
      </c>
    </row>
    <row r="2265" customFormat="false" ht="15" hidden="false" customHeight="false" outlineLevel="0" collapsed="false">
      <c r="A2265" s="16" t="n">
        <v>44237</v>
      </c>
      <c r="B2265" s="17" t="n">
        <v>44887.29</v>
      </c>
    </row>
    <row r="2266" customFormat="false" ht="15" hidden="false" customHeight="false" outlineLevel="0" collapsed="false">
      <c r="A2266" s="16" t="n">
        <v>44238</v>
      </c>
      <c r="B2266" s="17" t="n">
        <v>48121</v>
      </c>
    </row>
    <row r="2267" customFormat="false" ht="15" hidden="false" customHeight="false" outlineLevel="0" collapsed="false">
      <c r="A2267" s="16" t="n">
        <v>44239</v>
      </c>
      <c r="B2267" s="17" t="n">
        <v>47524.18</v>
      </c>
    </row>
    <row r="2268" customFormat="false" ht="15" hidden="false" customHeight="false" outlineLevel="0" collapsed="false">
      <c r="A2268" s="16" t="n">
        <v>44240</v>
      </c>
      <c r="B2268" s="17" t="n">
        <v>47274.23</v>
      </c>
    </row>
    <row r="2269" customFormat="false" ht="15" hidden="false" customHeight="false" outlineLevel="0" collapsed="false">
      <c r="A2269" s="16" t="n">
        <v>44241</v>
      </c>
      <c r="B2269" s="17" t="n">
        <v>48703.26</v>
      </c>
    </row>
    <row r="2270" customFormat="false" ht="15" hidden="false" customHeight="false" outlineLevel="0" collapsed="false">
      <c r="A2270" s="16" t="n">
        <v>44242</v>
      </c>
      <c r="B2270" s="17" t="n">
        <v>47911.87</v>
      </c>
    </row>
    <row r="2271" customFormat="false" ht="15" hidden="false" customHeight="false" outlineLevel="0" collapsed="false">
      <c r="A2271" s="16" t="n">
        <v>44243</v>
      </c>
      <c r="B2271" s="17" t="n">
        <v>49257.23</v>
      </c>
    </row>
    <row r="2272" customFormat="false" ht="15" hidden="false" customHeight="false" outlineLevel="0" collapsed="false">
      <c r="A2272" s="16" t="n">
        <v>44244</v>
      </c>
      <c r="B2272" s="17" t="n">
        <v>52269.84</v>
      </c>
    </row>
    <row r="2273" customFormat="false" ht="15" hidden="false" customHeight="false" outlineLevel="0" collapsed="false">
      <c r="A2273" s="16" t="n">
        <v>44245</v>
      </c>
      <c r="B2273" s="17" t="n">
        <v>51644.16</v>
      </c>
    </row>
    <row r="2274" customFormat="false" ht="15" hidden="false" customHeight="false" outlineLevel="0" collapsed="false">
      <c r="A2274" s="16" t="n">
        <v>44246</v>
      </c>
      <c r="B2274" s="17" t="n">
        <v>56029.51</v>
      </c>
    </row>
    <row r="2275" customFormat="false" ht="15" hidden="false" customHeight="false" outlineLevel="0" collapsed="false">
      <c r="A2275" s="16" t="n">
        <v>44247</v>
      </c>
      <c r="B2275" s="17" t="n">
        <v>55960.05</v>
      </c>
    </row>
    <row r="2276" customFormat="false" ht="15" hidden="false" customHeight="false" outlineLevel="0" collapsed="false">
      <c r="A2276" s="16" t="n">
        <v>44248</v>
      </c>
      <c r="B2276" s="17" t="n">
        <v>57538.47</v>
      </c>
    </row>
    <row r="2277" customFormat="false" ht="15" hidden="false" customHeight="false" outlineLevel="0" collapsed="false">
      <c r="A2277" s="16" t="n">
        <v>44249</v>
      </c>
      <c r="B2277" s="17" t="n">
        <v>54130.33</v>
      </c>
    </row>
    <row r="2278" customFormat="false" ht="15" hidden="false" customHeight="false" outlineLevel="0" collapsed="false">
      <c r="A2278" s="16" t="n">
        <v>44250</v>
      </c>
      <c r="B2278" s="17" t="n">
        <v>48972.11</v>
      </c>
    </row>
    <row r="2279" customFormat="false" ht="15" hidden="false" customHeight="false" outlineLevel="0" collapsed="false">
      <c r="A2279" s="16" t="n">
        <v>44251</v>
      </c>
      <c r="B2279" s="17" t="n">
        <v>49789.99</v>
      </c>
    </row>
    <row r="2280" customFormat="false" ht="15" hidden="false" customHeight="false" outlineLevel="0" collapsed="false">
      <c r="A2280" s="16" t="n">
        <v>44252</v>
      </c>
      <c r="B2280" s="17" t="n">
        <v>46927.73</v>
      </c>
    </row>
    <row r="2281" customFormat="false" ht="15" hidden="false" customHeight="false" outlineLevel="0" collapsed="false">
      <c r="A2281" s="16" t="n">
        <v>44253</v>
      </c>
      <c r="B2281" s="17" t="n">
        <v>46360.17</v>
      </c>
    </row>
    <row r="2282" customFormat="false" ht="15" hidden="false" customHeight="false" outlineLevel="0" collapsed="false">
      <c r="A2282" s="16" t="n">
        <v>44254</v>
      </c>
      <c r="B2282" s="17" t="n">
        <v>45973.56</v>
      </c>
    </row>
    <row r="2283" customFormat="false" ht="15" hidden="false" customHeight="false" outlineLevel="0" collapsed="false">
      <c r="A2283" s="16" t="n">
        <v>44255</v>
      </c>
      <c r="B2283" s="17" t="n">
        <v>45352.29</v>
      </c>
    </row>
    <row r="2284" customFormat="false" ht="15" hidden="false" customHeight="false" outlineLevel="0" collapsed="false">
      <c r="A2284" s="16" t="n">
        <v>44256</v>
      </c>
      <c r="B2284" s="17" t="n">
        <v>49652.19</v>
      </c>
    </row>
    <row r="2285" customFormat="false" ht="15" hidden="false" customHeight="false" outlineLevel="0" collapsed="false">
      <c r="A2285" s="16" t="n">
        <v>44257</v>
      </c>
      <c r="B2285" s="17" t="n">
        <v>48368.22</v>
      </c>
    </row>
    <row r="2286" customFormat="false" ht="15" hidden="false" customHeight="false" outlineLevel="0" collapsed="false">
      <c r="A2286" s="16" t="n">
        <v>44258</v>
      </c>
      <c r="B2286" s="17" t="n">
        <v>50164.67</v>
      </c>
    </row>
    <row r="2287" customFormat="false" ht="15" hidden="false" customHeight="false" outlineLevel="0" collapsed="false">
      <c r="A2287" s="16" t="n">
        <v>44259</v>
      </c>
      <c r="B2287" s="17" t="n">
        <v>48327.39</v>
      </c>
    </row>
    <row r="2288" customFormat="false" ht="15" hidden="false" customHeight="false" outlineLevel="0" collapsed="false">
      <c r="A2288" s="16" t="n">
        <v>44260</v>
      </c>
      <c r="B2288" s="17" t="n">
        <v>48908.09</v>
      </c>
    </row>
    <row r="2289" customFormat="false" ht="15" hidden="false" customHeight="false" outlineLevel="0" collapsed="false">
      <c r="A2289" s="16" t="n">
        <v>44261</v>
      </c>
      <c r="B2289" s="17" t="n">
        <v>48986.85</v>
      </c>
    </row>
    <row r="2290" customFormat="false" ht="15" hidden="false" customHeight="false" outlineLevel="0" collapsed="false">
      <c r="A2290" s="16" t="n">
        <v>44262</v>
      </c>
      <c r="B2290" s="17" t="n">
        <v>50858.34</v>
      </c>
    </row>
    <row r="2291" customFormat="false" ht="15" hidden="false" customHeight="false" outlineLevel="0" collapsed="false">
      <c r="A2291" s="16" t="n">
        <v>44263</v>
      </c>
      <c r="B2291" s="17" t="n">
        <v>52472.59</v>
      </c>
    </row>
    <row r="2292" customFormat="false" ht="15" hidden="false" customHeight="false" outlineLevel="0" collapsed="false">
      <c r="A2292" s="16" t="n">
        <v>44264</v>
      </c>
      <c r="B2292" s="17" t="n">
        <v>54999.99</v>
      </c>
    </row>
    <row r="2293" customFormat="false" ht="15" hidden="false" customHeight="false" outlineLevel="0" collapsed="false">
      <c r="A2293" s="16" t="n">
        <v>44265</v>
      </c>
      <c r="B2293" s="17" t="n">
        <v>56046.27</v>
      </c>
    </row>
    <row r="2294" customFormat="false" ht="15" hidden="false" customHeight="false" outlineLevel="0" collapsed="false">
      <c r="A2294" s="16" t="n">
        <v>44266</v>
      </c>
      <c r="B2294" s="17" t="n">
        <v>57911.02</v>
      </c>
    </row>
    <row r="2295" customFormat="false" ht="15" hidden="false" customHeight="false" outlineLevel="0" collapsed="false">
      <c r="A2295" s="16" t="n">
        <v>44267</v>
      </c>
      <c r="B2295" s="17" t="n">
        <v>57174.89</v>
      </c>
    </row>
    <row r="2296" customFormat="false" ht="15" hidden="false" customHeight="false" outlineLevel="0" collapsed="false">
      <c r="A2296" s="16" t="n">
        <v>44268</v>
      </c>
      <c r="B2296" s="17" t="n">
        <v>61130.22</v>
      </c>
    </row>
    <row r="2297" customFormat="false" ht="15" hidden="false" customHeight="false" outlineLevel="0" collapsed="false">
      <c r="A2297" s="16" t="n">
        <v>44269</v>
      </c>
      <c r="B2297" s="17" t="n">
        <v>59192.98</v>
      </c>
    </row>
    <row r="2298" customFormat="false" ht="15" hidden="false" customHeight="false" outlineLevel="0" collapsed="false">
      <c r="A2298" s="16" t="n">
        <v>44270</v>
      </c>
      <c r="B2298" s="17" t="n">
        <v>55430.19</v>
      </c>
    </row>
    <row r="2299" customFormat="false" ht="15" hidden="false" customHeight="false" outlineLevel="0" collapsed="false">
      <c r="A2299" s="16" t="n">
        <v>44271</v>
      </c>
      <c r="B2299" s="17" t="n">
        <v>57126.52</v>
      </c>
    </row>
    <row r="2300" customFormat="false" ht="15" hidden="false" customHeight="false" outlineLevel="0" collapsed="false">
      <c r="A2300" s="16" t="n">
        <v>44272</v>
      </c>
      <c r="B2300" s="17" t="n">
        <v>59221.23</v>
      </c>
    </row>
    <row r="2301" customFormat="false" ht="15" hidden="false" customHeight="false" outlineLevel="0" collapsed="false">
      <c r="A2301" s="16" t="n">
        <v>44273</v>
      </c>
      <c r="B2301" s="17" t="n">
        <v>57562.46</v>
      </c>
    </row>
    <row r="2302" customFormat="false" ht="15" hidden="false" customHeight="false" outlineLevel="0" collapsed="false">
      <c r="A2302" s="16" t="n">
        <v>44274</v>
      </c>
      <c r="B2302" s="17" t="n">
        <v>58001.29</v>
      </c>
    </row>
    <row r="2303" customFormat="false" ht="15" hidden="false" customHeight="false" outlineLevel="0" collapsed="false">
      <c r="A2303" s="16" t="n">
        <v>44275</v>
      </c>
      <c r="B2303" s="17" t="n">
        <v>58051.01</v>
      </c>
    </row>
    <row r="2304" customFormat="false" ht="15" hidden="false" customHeight="false" outlineLevel="0" collapsed="false">
      <c r="A2304" s="16" t="n">
        <v>44276</v>
      </c>
      <c r="B2304" s="17" t="n">
        <v>57402.03</v>
      </c>
    </row>
    <row r="2305" customFormat="false" ht="15" hidden="false" customHeight="false" outlineLevel="0" collapsed="false">
      <c r="A2305" s="16" t="n">
        <v>44277</v>
      </c>
      <c r="B2305" s="17" t="n">
        <v>54230.21</v>
      </c>
    </row>
    <row r="2306" customFormat="false" ht="15" hidden="false" customHeight="false" outlineLevel="0" collapsed="false">
      <c r="A2306" s="16" t="n">
        <v>44278</v>
      </c>
      <c r="B2306" s="17" t="n">
        <v>54268.81</v>
      </c>
    </row>
    <row r="2307" customFormat="false" ht="15" hidden="false" customHeight="false" outlineLevel="0" collapsed="false">
      <c r="A2307" s="16" t="n">
        <v>44279</v>
      </c>
      <c r="B2307" s="17" t="n">
        <v>52294.65</v>
      </c>
    </row>
    <row r="2308" customFormat="false" ht="15" hidden="false" customHeight="false" outlineLevel="0" collapsed="false">
      <c r="A2308" s="16" t="n">
        <v>44280</v>
      </c>
      <c r="B2308" s="17" t="n">
        <v>51386.2</v>
      </c>
    </row>
    <row r="2309" customFormat="false" ht="15" hidden="false" customHeight="false" outlineLevel="0" collapsed="false">
      <c r="A2309" s="16" t="n">
        <v>44281</v>
      </c>
      <c r="B2309" s="17" t="n">
        <v>55314.11</v>
      </c>
    </row>
    <row r="2310" customFormat="false" ht="15" hidden="false" customHeight="false" outlineLevel="0" collapsed="false">
      <c r="A2310" s="16" t="n">
        <v>44282</v>
      </c>
      <c r="B2310" s="17" t="n">
        <v>55932.18</v>
      </c>
    </row>
    <row r="2311" customFormat="false" ht="15" hidden="false" customHeight="false" outlineLevel="0" collapsed="false">
      <c r="A2311" s="16" t="n">
        <v>44283</v>
      </c>
      <c r="B2311" s="17" t="n">
        <v>55821.59</v>
      </c>
    </row>
    <row r="2312" customFormat="false" ht="15" hidden="false" customHeight="false" outlineLevel="0" collapsed="false">
      <c r="A2312" s="16" t="n">
        <v>44284</v>
      </c>
      <c r="B2312" s="17" t="n">
        <v>57630.72</v>
      </c>
    </row>
    <row r="2313" customFormat="false" ht="15" hidden="false" customHeight="false" outlineLevel="0" collapsed="false">
      <c r="A2313" s="16" t="n">
        <v>44285</v>
      </c>
      <c r="B2313" s="17" t="n">
        <v>58800</v>
      </c>
    </row>
    <row r="2314" customFormat="false" ht="15" hidden="false" customHeight="false" outlineLevel="0" collapsed="false">
      <c r="A2314" s="16" t="n">
        <v>44286</v>
      </c>
      <c r="B2314" s="17" t="n">
        <v>58837.71</v>
      </c>
    </row>
    <row r="2315" customFormat="false" ht="15" hidden="false" customHeight="false" outlineLevel="0" collapsed="false">
      <c r="A2315" s="16" t="n">
        <v>44287</v>
      </c>
      <c r="B2315" s="17" t="n">
        <v>58768.84</v>
      </c>
    </row>
    <row r="2316" customFormat="false" ht="15" hidden="false" customHeight="false" outlineLevel="0" collapsed="false">
      <c r="A2316" s="16" t="n">
        <v>44288</v>
      </c>
      <c r="B2316" s="17" t="n">
        <v>59019.55</v>
      </c>
    </row>
    <row r="2317" customFormat="false" ht="15" hidden="false" customHeight="false" outlineLevel="0" collapsed="false">
      <c r="A2317" s="16" t="n">
        <v>44289</v>
      </c>
      <c r="B2317" s="17" t="n">
        <v>56731</v>
      </c>
    </row>
    <row r="2318" customFormat="false" ht="15" hidden="false" customHeight="false" outlineLevel="0" collapsed="false">
      <c r="A2318" s="16" t="n">
        <v>44290</v>
      </c>
      <c r="B2318" s="17" t="n">
        <v>58266.39</v>
      </c>
    </row>
    <row r="2319" customFormat="false" ht="15" hidden="false" customHeight="false" outlineLevel="0" collapsed="false">
      <c r="A2319" s="16" t="n">
        <v>44291</v>
      </c>
      <c r="B2319" s="17" t="n">
        <v>59200</v>
      </c>
    </row>
    <row r="2320" customFormat="false" ht="15" hidden="false" customHeight="false" outlineLevel="0" collapsed="false">
      <c r="A2320" s="16" t="n">
        <v>44292</v>
      </c>
      <c r="B2320" s="17" t="n">
        <v>58018.31</v>
      </c>
    </row>
    <row r="2321" customFormat="false" ht="15" hidden="false" customHeight="false" outlineLevel="0" collapsed="false">
      <c r="A2321" s="16" t="n">
        <v>44293</v>
      </c>
      <c r="B2321" s="17" t="n">
        <v>55962.11</v>
      </c>
    </row>
    <row r="2322" customFormat="false" ht="15" hidden="false" customHeight="false" outlineLevel="0" collapsed="false">
      <c r="A2322" s="16" t="n">
        <v>44294</v>
      </c>
      <c r="B2322" s="17" t="n">
        <v>58108.65</v>
      </c>
    </row>
    <row r="2323" customFormat="false" ht="15" hidden="false" customHeight="false" outlineLevel="0" collapsed="false">
      <c r="A2323" s="16" t="n">
        <v>44295</v>
      </c>
      <c r="B2323" s="17" t="n">
        <v>58126.14</v>
      </c>
    </row>
    <row r="2324" customFormat="false" ht="15" hidden="false" customHeight="false" outlineLevel="0" collapsed="false">
      <c r="A2324" s="16" t="n">
        <v>44296</v>
      </c>
      <c r="B2324" s="17" t="n">
        <v>60039.35</v>
      </c>
    </row>
    <row r="2325" customFormat="false" ht="15" hidden="false" customHeight="false" outlineLevel="0" collapsed="false">
      <c r="A2325" s="16" t="n">
        <v>44297</v>
      </c>
      <c r="B2325" s="17" t="n">
        <v>60133.37</v>
      </c>
    </row>
    <row r="2326" customFormat="false" ht="15" hidden="false" customHeight="false" outlineLevel="0" collapsed="false">
      <c r="A2326" s="16" t="n">
        <v>44298</v>
      </c>
      <c r="B2326" s="17" t="n">
        <v>59903.04</v>
      </c>
    </row>
    <row r="2327" customFormat="false" ht="15" hidden="false" customHeight="false" outlineLevel="0" collapsed="false">
      <c r="A2327" s="16" t="n">
        <v>44299</v>
      </c>
      <c r="B2327" s="17" t="n">
        <v>63660.94</v>
      </c>
    </row>
    <row r="2328" customFormat="false" ht="15" hidden="false" customHeight="false" outlineLevel="0" collapsed="false">
      <c r="A2328" s="16" t="n">
        <v>44300</v>
      </c>
      <c r="B2328" s="17" t="n">
        <v>63283.43</v>
      </c>
    </row>
    <row r="2329" customFormat="false" ht="15" hidden="false" customHeight="false" outlineLevel="0" collapsed="false">
      <c r="A2329" s="16" t="n">
        <v>44301</v>
      </c>
      <c r="B2329" s="17" t="n">
        <v>63346.93</v>
      </c>
    </row>
    <row r="2330" customFormat="false" ht="15" hidden="false" customHeight="false" outlineLevel="0" collapsed="false">
      <c r="A2330" s="16" t="n">
        <v>44302</v>
      </c>
      <c r="B2330" s="17" t="n">
        <v>61486.08</v>
      </c>
    </row>
    <row r="2331" customFormat="false" ht="15" hidden="false" customHeight="false" outlineLevel="0" collapsed="false">
      <c r="A2331" s="16" t="n">
        <v>44303</v>
      </c>
      <c r="B2331" s="17" t="n">
        <v>60199.33</v>
      </c>
    </row>
    <row r="2332" customFormat="false" ht="15" hidden="false" customHeight="false" outlineLevel="0" collapsed="false">
      <c r="A2332" s="16" t="n">
        <v>44304</v>
      </c>
      <c r="B2332" s="17" t="n">
        <v>56351.2</v>
      </c>
    </row>
    <row r="2333" customFormat="false" ht="15" hidden="false" customHeight="false" outlineLevel="0" collapsed="false">
      <c r="A2333" s="16" t="n">
        <v>44305</v>
      </c>
      <c r="B2333" s="17" t="n">
        <v>55797.39</v>
      </c>
    </row>
    <row r="2334" customFormat="false" ht="15" hidden="false" customHeight="false" outlineLevel="0" collapsed="false">
      <c r="A2334" s="16" t="n">
        <v>44306</v>
      </c>
      <c r="B2334" s="17" t="n">
        <v>56514.9</v>
      </c>
    </row>
    <row r="2335" customFormat="false" ht="15" hidden="false" customHeight="false" outlineLevel="0" collapsed="false">
      <c r="A2335" s="16" t="n">
        <v>44307</v>
      </c>
      <c r="B2335" s="17" t="n">
        <v>53919.48</v>
      </c>
    </row>
    <row r="2336" customFormat="false" ht="15" hidden="false" customHeight="false" outlineLevel="0" collapsed="false">
      <c r="A2336" s="16" t="n">
        <v>44308</v>
      </c>
      <c r="B2336" s="17" t="n">
        <v>51653.27</v>
      </c>
    </row>
    <row r="2337" customFormat="false" ht="15" hidden="false" customHeight="false" outlineLevel="0" collapsed="false">
      <c r="A2337" s="16" t="n">
        <v>44309</v>
      </c>
      <c r="B2337" s="17" t="n">
        <v>51231.69</v>
      </c>
    </row>
    <row r="2338" customFormat="false" ht="15" hidden="false" customHeight="false" outlineLevel="0" collapsed="false">
      <c r="A2338" s="16" t="n">
        <v>44310</v>
      </c>
      <c r="B2338" s="17" t="n">
        <v>50167.5</v>
      </c>
    </row>
    <row r="2339" customFormat="false" ht="15" hidden="false" customHeight="false" outlineLevel="0" collapsed="false">
      <c r="A2339" s="16" t="n">
        <v>44311</v>
      </c>
      <c r="B2339" s="17" t="n">
        <v>49272.06</v>
      </c>
    </row>
    <row r="2340" customFormat="false" ht="15" hidden="false" customHeight="false" outlineLevel="0" collapsed="false">
      <c r="A2340" s="16" t="n">
        <v>44312</v>
      </c>
      <c r="B2340" s="17" t="n">
        <v>53969.71</v>
      </c>
    </row>
    <row r="2341" customFormat="false" ht="15" hidden="false" customHeight="false" outlineLevel="0" collapsed="false">
      <c r="A2341" s="16" t="n">
        <v>44313</v>
      </c>
      <c r="B2341" s="17" t="n">
        <v>55120.81</v>
      </c>
    </row>
    <row r="2342" customFormat="false" ht="15" hidden="false" customHeight="false" outlineLevel="0" collapsed="false">
      <c r="A2342" s="16" t="n">
        <v>44314</v>
      </c>
      <c r="B2342" s="17" t="n">
        <v>54964.11</v>
      </c>
    </row>
    <row r="2343" customFormat="false" ht="15" hidden="false" customHeight="false" outlineLevel="0" collapsed="false">
      <c r="A2343" s="16" t="n">
        <v>44315</v>
      </c>
      <c r="B2343" s="17" t="n">
        <v>53562.87</v>
      </c>
    </row>
    <row r="2344" customFormat="false" ht="15" hidden="false" customHeight="false" outlineLevel="0" collapsed="false">
      <c r="A2344" s="16" t="n">
        <v>44316</v>
      </c>
      <c r="B2344" s="17" t="n">
        <v>57640.17</v>
      </c>
    </row>
    <row r="2345" customFormat="false" ht="15" hidden="false" customHeight="false" outlineLevel="0" collapsed="false">
      <c r="A2345" s="16" t="n">
        <v>44317</v>
      </c>
      <c r="B2345" s="17" t="n">
        <v>57868.94</v>
      </c>
    </row>
    <row r="2346" customFormat="false" ht="15" hidden="false" customHeight="false" outlineLevel="0" collapsed="false">
      <c r="A2346" s="16" t="n">
        <v>44318</v>
      </c>
      <c r="B2346" s="17" t="n">
        <v>56631.64</v>
      </c>
    </row>
    <row r="2347" customFormat="false" ht="15" hidden="false" customHeight="false" outlineLevel="0" collapsed="false">
      <c r="A2347" s="16" t="n">
        <v>44319</v>
      </c>
      <c r="B2347" s="17" t="n">
        <v>57213.29</v>
      </c>
    </row>
    <row r="2348" customFormat="false" ht="15" hidden="false" customHeight="false" outlineLevel="0" collapsed="false">
      <c r="A2348" s="16" t="n">
        <v>44320</v>
      </c>
      <c r="B2348" s="17" t="n">
        <v>53128.68</v>
      </c>
    </row>
    <row r="2349" customFormat="false" ht="15" hidden="false" customHeight="false" outlineLevel="0" collapsed="false">
      <c r="A2349" s="16" t="n">
        <v>44321</v>
      </c>
      <c r="B2349" s="17" t="n">
        <v>57518.01</v>
      </c>
    </row>
    <row r="2350" customFormat="false" ht="15" hidden="false" customHeight="false" outlineLevel="0" collapsed="false">
      <c r="A2350" s="16" t="n">
        <v>44322</v>
      </c>
      <c r="B2350" s="17" t="n">
        <v>56485.77</v>
      </c>
    </row>
    <row r="2351" customFormat="false" ht="15" hidden="false" customHeight="false" outlineLevel="0" collapsed="false">
      <c r="A2351" s="16" t="n">
        <v>44323</v>
      </c>
      <c r="B2351" s="17" t="n">
        <v>57373.88</v>
      </c>
    </row>
    <row r="2352" customFormat="false" ht="15" hidden="false" customHeight="false" outlineLevel="0" collapsed="false">
      <c r="A2352" s="16" t="n">
        <v>44324</v>
      </c>
      <c r="B2352" s="17" t="n">
        <v>59045.17</v>
      </c>
    </row>
    <row r="2353" customFormat="false" ht="15" hidden="false" customHeight="false" outlineLevel="0" collapsed="false">
      <c r="A2353" s="16" t="n">
        <v>44325</v>
      </c>
      <c r="B2353" s="17" t="n">
        <v>58410.34</v>
      </c>
    </row>
    <row r="2354" customFormat="false" ht="15" hidden="false" customHeight="false" outlineLevel="0" collapsed="false">
      <c r="A2354" s="16" t="n">
        <v>44326</v>
      </c>
      <c r="B2354" s="17" t="n">
        <v>55936.77</v>
      </c>
    </row>
    <row r="2355" customFormat="false" ht="15" hidden="false" customHeight="false" outlineLevel="0" collapsed="false">
      <c r="A2355" s="16" t="n">
        <v>44327</v>
      </c>
      <c r="B2355" s="17" t="n">
        <v>56719</v>
      </c>
    </row>
    <row r="2356" customFormat="false" ht="15" hidden="false" customHeight="false" outlineLevel="0" collapsed="false">
      <c r="A2356" s="16" t="n">
        <v>44328</v>
      </c>
      <c r="B2356" s="17" t="n">
        <v>49095.57</v>
      </c>
    </row>
    <row r="2357" customFormat="false" ht="15" hidden="false" customHeight="false" outlineLevel="0" collapsed="false">
      <c r="A2357" s="16" t="n">
        <v>44329</v>
      </c>
      <c r="B2357" s="17" t="n">
        <v>49635.45</v>
      </c>
    </row>
    <row r="2358" customFormat="false" ht="15" hidden="false" customHeight="false" outlineLevel="0" collapsed="false">
      <c r="A2358" s="16" t="n">
        <v>44330</v>
      </c>
      <c r="B2358" s="17" t="n">
        <v>49923.92</v>
      </c>
    </row>
    <row r="2359" customFormat="false" ht="15" hidden="false" customHeight="false" outlineLevel="0" collapsed="false">
      <c r="A2359" s="16" t="n">
        <v>44331</v>
      </c>
      <c r="B2359" s="17" t="n">
        <v>46984.74</v>
      </c>
    </row>
    <row r="2360" customFormat="false" ht="15" hidden="false" customHeight="false" outlineLevel="0" collapsed="false">
      <c r="A2360" s="16" t="n">
        <v>44332</v>
      </c>
      <c r="B2360" s="17" t="n">
        <v>46523.31</v>
      </c>
    </row>
    <row r="2361" customFormat="false" ht="15" hidden="false" customHeight="false" outlineLevel="0" collapsed="false">
      <c r="A2361" s="16" t="n">
        <v>44333</v>
      </c>
      <c r="B2361" s="17" t="n">
        <v>43768.74</v>
      </c>
    </row>
    <row r="2362" customFormat="false" ht="15" hidden="false" customHeight="false" outlineLevel="0" collapsed="false">
      <c r="A2362" s="16" t="n">
        <v>44334</v>
      </c>
      <c r="B2362" s="17" t="n">
        <v>42989.8</v>
      </c>
    </row>
    <row r="2363" customFormat="false" ht="15" hidden="false" customHeight="false" outlineLevel="0" collapsed="false">
      <c r="A2363" s="16" t="n">
        <v>44335</v>
      </c>
      <c r="B2363" s="17" t="n">
        <v>37236.61</v>
      </c>
    </row>
    <row r="2364" customFormat="false" ht="15" hidden="false" customHeight="false" outlineLevel="0" collapsed="false">
      <c r="A2364" s="16" t="n">
        <v>44336</v>
      </c>
      <c r="B2364" s="17" t="n">
        <v>40749.78</v>
      </c>
    </row>
    <row r="2365" customFormat="false" ht="15" hidden="false" customHeight="false" outlineLevel="0" collapsed="false">
      <c r="A2365" s="16" t="n">
        <v>44337</v>
      </c>
      <c r="B2365" s="17" t="n">
        <v>37425</v>
      </c>
    </row>
    <row r="2366" customFormat="false" ht="15" hidden="false" customHeight="false" outlineLevel="0" collapsed="false">
      <c r="A2366" s="16" t="n">
        <v>44338</v>
      </c>
      <c r="B2366" s="17" t="n">
        <v>37383.34</v>
      </c>
    </row>
    <row r="2367" customFormat="false" ht="15" hidden="false" customHeight="false" outlineLevel="0" collapsed="false">
      <c r="A2367" s="16" t="n">
        <v>44339</v>
      </c>
      <c r="B2367" s="17" t="n">
        <v>34927.4</v>
      </c>
    </row>
    <row r="2368" customFormat="false" ht="15" hidden="false" customHeight="false" outlineLevel="0" collapsed="false">
      <c r="A2368" s="16" t="n">
        <v>44340</v>
      </c>
      <c r="B2368" s="17" t="n">
        <v>38725.06</v>
      </c>
    </row>
    <row r="2369" customFormat="false" ht="15" hidden="false" customHeight="false" outlineLevel="0" collapsed="false">
      <c r="A2369" s="16" t="n">
        <v>44341</v>
      </c>
      <c r="B2369" s="17" t="n">
        <v>38370</v>
      </c>
    </row>
    <row r="2370" customFormat="false" ht="15" hidden="false" customHeight="false" outlineLevel="0" collapsed="false">
      <c r="A2370" s="16" t="n">
        <v>44342</v>
      </c>
      <c r="B2370" s="17" t="n">
        <v>39213.41</v>
      </c>
    </row>
    <row r="2371" customFormat="false" ht="15" hidden="false" customHeight="false" outlineLevel="0" collapsed="false">
      <c r="A2371" s="16" t="n">
        <v>44343</v>
      </c>
      <c r="B2371" s="17" t="n">
        <v>38368.17</v>
      </c>
    </row>
    <row r="2372" customFormat="false" ht="15" hidden="false" customHeight="false" outlineLevel="0" collapsed="false">
      <c r="A2372" s="16" t="n">
        <v>44344</v>
      </c>
      <c r="B2372" s="17" t="n">
        <v>35770</v>
      </c>
    </row>
    <row r="2373" customFormat="false" ht="15" hidden="false" customHeight="false" outlineLevel="0" collapsed="false">
      <c r="A2373" s="16" t="n">
        <v>44345</v>
      </c>
      <c r="B2373" s="17" t="n">
        <v>34621.64</v>
      </c>
    </row>
    <row r="2374" customFormat="false" ht="15" hidden="false" customHeight="false" outlineLevel="0" collapsed="false">
      <c r="A2374" s="16" t="n">
        <v>44346</v>
      </c>
      <c r="B2374" s="17" t="n">
        <v>35545.27</v>
      </c>
    </row>
    <row r="2375" customFormat="false" ht="15" hidden="false" customHeight="false" outlineLevel="0" collapsed="false">
      <c r="A2375" s="16" t="n">
        <v>44347</v>
      </c>
      <c r="B2375" s="17" t="n">
        <v>37153.71</v>
      </c>
    </row>
    <row r="2376" customFormat="false" ht="15" hidden="false" customHeight="false" outlineLevel="0" collapsed="false">
      <c r="A2376" s="16" t="n">
        <v>44348</v>
      </c>
      <c r="B2376" s="17" t="n">
        <v>36764.58</v>
      </c>
    </row>
    <row r="2377" customFormat="false" ht="15" hidden="false" customHeight="false" outlineLevel="0" collapsed="false">
      <c r="A2377" s="16" t="n">
        <v>44349</v>
      </c>
      <c r="B2377" s="17" t="n">
        <v>37501.36</v>
      </c>
    </row>
    <row r="2378" customFormat="false" ht="15" hidden="false" customHeight="false" outlineLevel="0" collapsed="false">
      <c r="A2378" s="16" t="n">
        <v>44350</v>
      </c>
      <c r="B2378" s="17" t="n">
        <v>39215.09</v>
      </c>
    </row>
    <row r="2379" customFormat="false" ht="15" hidden="false" customHeight="false" outlineLevel="0" collapsed="false">
      <c r="A2379" s="16" t="n">
        <v>44351</v>
      </c>
      <c r="B2379" s="17" t="n">
        <v>36895.48</v>
      </c>
    </row>
    <row r="2380" customFormat="false" ht="15" hidden="false" customHeight="false" outlineLevel="0" collapsed="false">
      <c r="A2380" s="16" t="n">
        <v>44352</v>
      </c>
      <c r="B2380" s="17" t="n">
        <v>35565</v>
      </c>
    </row>
    <row r="2381" customFormat="false" ht="15" hidden="false" customHeight="false" outlineLevel="0" collapsed="false">
      <c r="A2381" s="16" t="n">
        <v>44353</v>
      </c>
      <c r="B2381" s="17" t="n">
        <v>35873.42</v>
      </c>
    </row>
    <row r="2382" customFormat="false" ht="15" hidden="false" customHeight="false" outlineLevel="0" collapsed="false">
      <c r="A2382" s="16" t="n">
        <v>44354</v>
      </c>
      <c r="B2382" s="17" t="n">
        <v>33816.09</v>
      </c>
    </row>
    <row r="2383" customFormat="false" ht="15" hidden="false" customHeight="false" outlineLevel="0" collapsed="false">
      <c r="A2383" s="16" t="n">
        <v>44355</v>
      </c>
      <c r="B2383" s="17" t="n">
        <v>33432.26</v>
      </c>
    </row>
    <row r="2384" customFormat="false" ht="15" hidden="false" customHeight="false" outlineLevel="0" collapsed="false">
      <c r="A2384" s="16" t="n">
        <v>44356</v>
      </c>
      <c r="B2384" s="17" t="n">
        <v>37357.02</v>
      </c>
    </row>
    <row r="2385" customFormat="false" ht="15" hidden="false" customHeight="false" outlineLevel="0" collapsed="false">
      <c r="A2385" s="16" t="n">
        <v>44357</v>
      </c>
      <c r="B2385" s="17" t="n">
        <v>36717.51</v>
      </c>
    </row>
    <row r="2386" customFormat="false" ht="15" hidden="false" customHeight="false" outlineLevel="0" collapsed="false">
      <c r="A2386" s="16" t="n">
        <v>44358</v>
      </c>
      <c r="B2386" s="17" t="n">
        <v>37282.15</v>
      </c>
    </row>
    <row r="2387" customFormat="false" ht="15" hidden="false" customHeight="false" outlineLevel="0" collapsed="false">
      <c r="A2387" s="16" t="n">
        <v>44359</v>
      </c>
      <c r="B2387" s="17" t="n">
        <v>35609.66</v>
      </c>
    </row>
    <row r="2388" customFormat="false" ht="15" hidden="false" customHeight="false" outlineLevel="0" collapsed="false">
      <c r="A2388" s="16" t="n">
        <v>44360</v>
      </c>
      <c r="B2388" s="17" t="n">
        <v>39122.03</v>
      </c>
    </row>
    <row r="2389" customFormat="false" ht="15" hidden="false" customHeight="false" outlineLevel="0" collapsed="false">
      <c r="A2389" s="16" t="n">
        <v>44361</v>
      </c>
      <c r="B2389" s="17" t="n">
        <v>40496.92</v>
      </c>
    </row>
    <row r="2390" customFormat="false" ht="15" hidden="false" customHeight="false" outlineLevel="0" collapsed="false">
      <c r="A2390" s="16" t="n">
        <v>44362</v>
      </c>
      <c r="B2390" s="17" t="n">
        <v>40093.93</v>
      </c>
    </row>
    <row r="2391" customFormat="false" ht="15" hidden="false" customHeight="false" outlineLevel="0" collapsed="false">
      <c r="A2391" s="16" t="n">
        <v>44363</v>
      </c>
      <c r="B2391" s="17" t="n">
        <v>38394.4</v>
      </c>
    </row>
    <row r="2392" customFormat="false" ht="15" hidden="false" customHeight="false" outlineLevel="0" collapsed="false">
      <c r="A2392" s="16" t="n">
        <v>44364</v>
      </c>
      <c r="B2392" s="17" t="n">
        <v>38027.63</v>
      </c>
    </row>
    <row r="2393" customFormat="false" ht="15" hidden="false" customHeight="false" outlineLevel="0" collapsed="false">
      <c r="A2393" s="16" t="n">
        <v>44365</v>
      </c>
      <c r="B2393" s="17" t="n">
        <v>35777.39</v>
      </c>
    </row>
    <row r="2394" customFormat="false" ht="15" hidden="false" customHeight="false" outlineLevel="0" collapsed="false">
      <c r="A2394" s="16" t="n">
        <v>44366</v>
      </c>
      <c r="B2394" s="17" t="n">
        <v>35498.24</v>
      </c>
    </row>
    <row r="2395" customFormat="false" ht="15" hidden="false" customHeight="false" outlineLevel="0" collapsed="false">
      <c r="A2395" s="16" t="n">
        <v>44367</v>
      </c>
      <c r="B2395" s="17" t="n">
        <v>35565.82</v>
      </c>
    </row>
    <row r="2396" customFormat="false" ht="15" hidden="false" customHeight="false" outlineLevel="0" collapsed="false">
      <c r="A2396" s="16" t="n">
        <v>44368</v>
      </c>
      <c r="B2396" s="17" t="n">
        <v>31686.69</v>
      </c>
    </row>
    <row r="2397" customFormat="false" ht="15" hidden="false" customHeight="false" outlineLevel="0" collapsed="false">
      <c r="A2397" s="16" t="n">
        <v>44369</v>
      </c>
      <c r="B2397" s="17" t="n">
        <v>32508.26</v>
      </c>
    </row>
    <row r="2398" customFormat="false" ht="15" hidden="false" customHeight="false" outlineLevel="0" collapsed="false">
      <c r="A2398" s="16" t="n">
        <v>44370</v>
      </c>
      <c r="B2398" s="17" t="n">
        <v>33688.35</v>
      </c>
    </row>
    <row r="2399" customFormat="false" ht="15" hidden="false" customHeight="false" outlineLevel="0" collapsed="false">
      <c r="A2399" s="16" t="n">
        <v>44371</v>
      </c>
      <c r="B2399" s="17" t="n">
        <v>34695.34</v>
      </c>
    </row>
    <row r="2400" customFormat="false" ht="15" hidden="false" customHeight="false" outlineLevel="0" collapsed="false">
      <c r="A2400" s="16" t="n">
        <v>44372</v>
      </c>
      <c r="B2400" s="17" t="n">
        <v>31704.87</v>
      </c>
    </row>
    <row r="2401" customFormat="false" ht="15" hidden="false" customHeight="false" outlineLevel="0" collapsed="false">
      <c r="A2401" s="16" t="n">
        <v>44373</v>
      </c>
      <c r="B2401" s="17" t="n">
        <v>32265.95</v>
      </c>
    </row>
    <row r="2402" customFormat="false" ht="15" hidden="false" customHeight="false" outlineLevel="0" collapsed="false">
      <c r="A2402" s="16" t="n">
        <v>44374</v>
      </c>
      <c r="B2402" s="17" t="n">
        <v>34596.99</v>
      </c>
    </row>
    <row r="2403" customFormat="false" ht="15" hidden="false" customHeight="false" outlineLevel="0" collapsed="false">
      <c r="A2403" s="16" t="n">
        <v>44375</v>
      </c>
      <c r="B2403" s="17" t="n">
        <v>34541.8</v>
      </c>
    </row>
    <row r="2404" customFormat="false" ht="15" hidden="false" customHeight="false" outlineLevel="0" collapsed="false">
      <c r="A2404" s="16" t="n">
        <v>44376</v>
      </c>
      <c r="B2404" s="17" t="n">
        <v>35928.75</v>
      </c>
    </row>
    <row r="2405" customFormat="false" ht="15" hidden="false" customHeight="false" outlineLevel="0" collapsed="false">
      <c r="A2405" s="16" t="n">
        <v>44377</v>
      </c>
      <c r="B2405" s="17" t="n">
        <v>34995.83</v>
      </c>
    </row>
    <row r="2406" customFormat="false" ht="15" hidden="false" customHeight="false" outlineLevel="0" collapsed="false">
      <c r="A2406" s="16" t="n">
        <v>44378</v>
      </c>
      <c r="B2406" s="17" t="n">
        <v>33538.49</v>
      </c>
    </row>
    <row r="2407" customFormat="false" ht="15" hidden="false" customHeight="false" outlineLevel="0" collapsed="false">
      <c r="A2407" s="16" t="n">
        <v>44379</v>
      </c>
      <c r="B2407" s="17" t="n">
        <v>33832.49</v>
      </c>
    </row>
    <row r="2408" customFormat="false" ht="15" hidden="false" customHeight="false" outlineLevel="0" collapsed="false">
      <c r="A2408" s="16" t="n">
        <v>44380</v>
      </c>
      <c r="B2408" s="17" t="n">
        <v>34633.93</v>
      </c>
    </row>
    <row r="2409" customFormat="false" ht="15" hidden="false" customHeight="false" outlineLevel="0" collapsed="false">
      <c r="A2409" s="16" t="n">
        <v>44381</v>
      </c>
      <c r="B2409" s="17" t="n">
        <v>35126.9</v>
      </c>
    </row>
    <row r="2410" customFormat="false" ht="15" hidden="false" customHeight="false" outlineLevel="0" collapsed="false">
      <c r="A2410" s="16" t="n">
        <v>44382</v>
      </c>
      <c r="B2410" s="17" t="n">
        <v>33673.22</v>
      </c>
    </row>
    <row r="2411" customFormat="false" ht="15" hidden="false" customHeight="false" outlineLevel="0" collapsed="false">
      <c r="A2411" s="16" t="n">
        <v>44383</v>
      </c>
      <c r="B2411" s="17" t="n">
        <v>34193.9</v>
      </c>
    </row>
    <row r="2412" customFormat="false" ht="15" hidden="false" customHeight="false" outlineLevel="0" collapsed="false">
      <c r="A2412" s="16" t="n">
        <v>44384</v>
      </c>
      <c r="B2412" s="17" t="n">
        <v>33791</v>
      </c>
    </row>
    <row r="2413" customFormat="false" ht="15" hidden="false" customHeight="false" outlineLevel="0" collapsed="false">
      <c r="A2413" s="16" t="n">
        <v>44385</v>
      </c>
      <c r="B2413" s="17" t="n">
        <v>32878.23</v>
      </c>
    </row>
    <row r="2414" customFormat="false" ht="15" hidden="false" customHeight="false" outlineLevel="0" collapsed="false">
      <c r="A2414" s="16" t="n">
        <v>44386</v>
      </c>
      <c r="B2414" s="17" t="n">
        <v>33766.87</v>
      </c>
    </row>
    <row r="2415" customFormat="false" ht="15" hidden="false" customHeight="false" outlineLevel="0" collapsed="false">
      <c r="A2415" s="16" t="n">
        <v>44387</v>
      </c>
      <c r="B2415" s="17" t="n">
        <v>33547.19</v>
      </c>
    </row>
    <row r="2416" customFormat="false" ht="15" hidden="false" customHeight="false" outlineLevel="0" collapsed="false">
      <c r="A2416" s="16" t="n">
        <v>44388</v>
      </c>
      <c r="B2416" s="17" t="n">
        <v>34236.21</v>
      </c>
    </row>
    <row r="2417" customFormat="false" ht="15" hidden="false" customHeight="false" outlineLevel="0" collapsed="false">
      <c r="A2417" s="16" t="n">
        <v>44389</v>
      </c>
      <c r="B2417" s="17" t="n">
        <v>33096.86</v>
      </c>
    </row>
    <row r="2418" customFormat="false" ht="15" hidden="false" customHeight="false" outlineLevel="0" collapsed="false">
      <c r="A2418" s="16" t="n">
        <v>44390</v>
      </c>
      <c r="B2418" s="17" t="n">
        <v>32768.54</v>
      </c>
    </row>
    <row r="2419" customFormat="false" ht="15" hidden="false" customHeight="false" outlineLevel="0" collapsed="false">
      <c r="A2419" s="16" t="n">
        <v>44391</v>
      </c>
      <c r="B2419" s="17" t="n">
        <v>32817.18</v>
      </c>
    </row>
    <row r="2420" customFormat="false" ht="15" hidden="false" customHeight="false" outlineLevel="0" collapsed="false">
      <c r="A2420" s="16" t="n">
        <v>44392</v>
      </c>
      <c r="B2420" s="17" t="n">
        <v>31891.09</v>
      </c>
    </row>
    <row r="2421" customFormat="false" ht="15" hidden="false" customHeight="false" outlineLevel="0" collapsed="false">
      <c r="A2421" s="16" t="n">
        <v>44393</v>
      </c>
      <c r="B2421" s="17" t="n">
        <v>31408.78</v>
      </c>
    </row>
    <row r="2422" customFormat="false" ht="15" hidden="false" customHeight="false" outlineLevel="0" collapsed="false">
      <c r="A2422" s="16" t="n">
        <v>44394</v>
      </c>
      <c r="B2422" s="17" t="n">
        <v>31503.78</v>
      </c>
    </row>
    <row r="2423" customFormat="false" ht="15" hidden="false" customHeight="false" outlineLevel="0" collapsed="false">
      <c r="A2423" s="16" t="n">
        <v>44395</v>
      </c>
      <c r="B2423" s="17" t="n">
        <v>31753.02</v>
      </c>
    </row>
    <row r="2424" customFormat="false" ht="15" hidden="false" customHeight="false" outlineLevel="0" collapsed="false">
      <c r="A2424" s="16" t="n">
        <v>44396</v>
      </c>
      <c r="B2424" s="17" t="n">
        <v>30849.9</v>
      </c>
    </row>
    <row r="2425" customFormat="false" ht="15" hidden="false" customHeight="false" outlineLevel="0" collapsed="false">
      <c r="A2425" s="16" t="n">
        <v>44397</v>
      </c>
      <c r="B2425" s="17" t="n">
        <v>29788.61</v>
      </c>
    </row>
    <row r="2426" customFormat="false" ht="15" hidden="false" customHeight="false" outlineLevel="0" collapsed="false">
      <c r="A2426" s="16" t="n">
        <v>44398</v>
      </c>
      <c r="B2426" s="17" t="n">
        <v>32086.04</v>
      </c>
    </row>
    <row r="2427" customFormat="false" ht="15" hidden="false" customHeight="false" outlineLevel="0" collapsed="false">
      <c r="A2427" s="16" t="n">
        <v>44399</v>
      </c>
      <c r="B2427" s="17" t="n">
        <v>32327.95</v>
      </c>
    </row>
    <row r="2428" customFormat="false" ht="15" hidden="false" customHeight="false" outlineLevel="0" collapsed="false">
      <c r="A2428" s="16" t="n">
        <v>44400</v>
      </c>
      <c r="B2428" s="17" t="n">
        <v>33700</v>
      </c>
    </row>
    <row r="2429" customFormat="false" ht="15" hidden="false" customHeight="false" outlineLevel="0" collapsed="false">
      <c r="A2429" s="16" t="n">
        <v>44401</v>
      </c>
      <c r="B2429" s="17" t="n">
        <v>34275.43</v>
      </c>
    </row>
    <row r="2430" customFormat="false" ht="15" hidden="false" customHeight="false" outlineLevel="0" collapsed="false">
      <c r="A2430" s="16" t="n">
        <v>44402</v>
      </c>
      <c r="B2430" s="17" t="n">
        <v>35368.57</v>
      </c>
    </row>
    <row r="2431" customFormat="false" ht="15" hidden="false" customHeight="false" outlineLevel="0" collapsed="false">
      <c r="A2431" s="16" t="n">
        <v>44403</v>
      </c>
      <c r="B2431" s="17" t="n">
        <v>37269.12</v>
      </c>
    </row>
    <row r="2432" customFormat="false" ht="15" hidden="false" customHeight="false" outlineLevel="0" collapsed="false">
      <c r="A2432" s="16" t="n">
        <v>44404</v>
      </c>
      <c r="B2432" s="17" t="n">
        <v>39381.82</v>
      </c>
    </row>
    <row r="2433" customFormat="false" ht="15" hidden="false" customHeight="false" outlineLevel="0" collapsed="false">
      <c r="A2433" s="16" t="n">
        <v>44405</v>
      </c>
      <c r="B2433" s="17" t="n">
        <v>40031.56</v>
      </c>
    </row>
    <row r="2434" customFormat="false" ht="15" hidden="false" customHeight="false" outlineLevel="0" collapsed="false">
      <c r="A2434" s="16" t="n">
        <v>44406</v>
      </c>
      <c r="B2434" s="17" t="n">
        <v>40024.94</v>
      </c>
    </row>
    <row r="2435" customFormat="false" ht="15" hidden="false" customHeight="false" outlineLevel="0" collapsed="false">
      <c r="A2435" s="16" t="n">
        <v>44407</v>
      </c>
      <c r="B2435" s="17" t="n">
        <v>42188.95</v>
      </c>
    </row>
    <row r="2436" customFormat="false" ht="15" hidden="false" customHeight="false" outlineLevel="0" collapsed="false">
      <c r="A2436" s="16" t="n">
        <v>44408</v>
      </c>
      <c r="B2436" s="17" t="n">
        <v>41472.42</v>
      </c>
    </row>
    <row r="2437" customFormat="false" ht="15" hidden="false" customHeight="false" outlineLevel="0" collapsed="false">
      <c r="A2437" s="16" t="n">
        <v>44409</v>
      </c>
      <c r="B2437" s="17" t="n">
        <v>39816.76</v>
      </c>
    </row>
    <row r="2438" customFormat="false" ht="15" hidden="false" customHeight="false" outlineLevel="0" collapsed="false">
      <c r="A2438" s="16" t="n">
        <v>44410</v>
      </c>
      <c r="B2438" s="17" t="n">
        <v>39146.69</v>
      </c>
    </row>
    <row r="2439" customFormat="false" ht="15" hidden="false" customHeight="false" outlineLevel="0" collapsed="false">
      <c r="A2439" s="16" t="n">
        <v>44411</v>
      </c>
      <c r="B2439" s="17" t="n">
        <v>38207.27</v>
      </c>
    </row>
    <row r="2440" customFormat="false" ht="15" hidden="false" customHeight="false" outlineLevel="0" collapsed="false">
      <c r="A2440" s="16" t="n">
        <v>44412</v>
      </c>
      <c r="B2440" s="17" t="n">
        <v>39730</v>
      </c>
    </row>
    <row r="2441" customFormat="false" ht="15" hidden="false" customHeight="false" outlineLevel="0" collapsed="false">
      <c r="A2441" s="16" t="n">
        <v>44413</v>
      </c>
      <c r="B2441" s="17" t="n">
        <v>40893.75</v>
      </c>
    </row>
    <row r="2442" customFormat="false" ht="15" hidden="false" customHeight="false" outlineLevel="0" collapsed="false">
      <c r="A2442" s="16" t="n">
        <v>44414</v>
      </c>
      <c r="B2442" s="17" t="n">
        <v>42827.76</v>
      </c>
    </row>
    <row r="2443" customFormat="false" ht="15" hidden="false" customHeight="false" outlineLevel="0" collapsed="false">
      <c r="A2443" s="16" t="n">
        <v>44415</v>
      </c>
      <c r="B2443" s="17" t="n">
        <v>44488.87</v>
      </c>
    </row>
    <row r="2444" customFormat="false" ht="15" hidden="false" customHeight="false" outlineLevel="0" collapsed="false">
      <c r="A2444" s="16" t="n">
        <v>44416</v>
      </c>
      <c r="B2444" s="17" t="n">
        <v>43933.26</v>
      </c>
    </row>
    <row r="2445" customFormat="false" ht="15" hidden="false" customHeight="false" outlineLevel="0" collapsed="false">
      <c r="A2445" s="16" t="n">
        <v>44417</v>
      </c>
      <c r="B2445" s="17" t="n">
        <v>46208.5</v>
      </c>
    </row>
    <row r="2446" customFormat="false" ht="15" hidden="false" customHeight="false" outlineLevel="0" collapsed="false">
      <c r="A2446" s="16" t="n">
        <v>44418</v>
      </c>
      <c r="B2446" s="17" t="n">
        <v>45565.76</v>
      </c>
    </row>
    <row r="2447" customFormat="false" ht="15" hidden="false" customHeight="false" outlineLevel="0" collapsed="false">
      <c r="A2447" s="16" t="n">
        <v>44419</v>
      </c>
      <c r="B2447" s="17" t="n">
        <v>45482.95</v>
      </c>
    </row>
    <row r="2448" customFormat="false" ht="15" hidden="false" customHeight="false" outlineLevel="0" collapsed="false">
      <c r="A2448" s="16" t="n">
        <v>44420</v>
      </c>
      <c r="B2448" s="17" t="n">
        <v>44454.37</v>
      </c>
    </row>
    <row r="2449" customFormat="false" ht="15" hidden="false" customHeight="false" outlineLevel="0" collapsed="false">
      <c r="A2449" s="16" t="n">
        <v>44421</v>
      </c>
      <c r="B2449" s="17" t="n">
        <v>47765.41</v>
      </c>
    </row>
    <row r="2450" customFormat="false" ht="15" hidden="false" customHeight="false" outlineLevel="0" collapsed="false">
      <c r="A2450" s="16" t="n">
        <v>44422</v>
      </c>
      <c r="B2450" s="17" t="n">
        <v>47134.61</v>
      </c>
    </row>
    <row r="2451" customFormat="false" ht="15" hidden="false" customHeight="false" outlineLevel="0" collapsed="false">
      <c r="A2451" s="16" t="n">
        <v>44423</v>
      </c>
      <c r="B2451" s="17" t="n">
        <v>47090</v>
      </c>
    </row>
    <row r="2452" customFormat="false" ht="15" hidden="false" customHeight="false" outlineLevel="0" collapsed="false">
      <c r="A2452" s="16" t="n">
        <v>44424</v>
      </c>
      <c r="B2452" s="17" t="n">
        <v>45930.71</v>
      </c>
    </row>
    <row r="2453" customFormat="false" ht="15" hidden="false" customHeight="false" outlineLevel="0" collapsed="false">
      <c r="A2453" s="16" t="n">
        <v>44425</v>
      </c>
      <c r="B2453" s="17" t="n">
        <v>44718.51</v>
      </c>
    </row>
    <row r="2454" customFormat="false" ht="15" hidden="false" customHeight="false" outlineLevel="0" collapsed="false">
      <c r="A2454" s="16" t="n">
        <v>44426</v>
      </c>
      <c r="B2454" s="17" t="n">
        <v>44735.2</v>
      </c>
    </row>
    <row r="2455" customFormat="false" ht="15" hidden="false" customHeight="false" outlineLevel="0" collapsed="false">
      <c r="A2455" s="16" t="n">
        <v>44427</v>
      </c>
      <c r="B2455" s="17" t="n">
        <v>46736.74</v>
      </c>
    </row>
    <row r="2456" customFormat="false" ht="15" hidden="false" customHeight="false" outlineLevel="0" collapsed="false">
      <c r="A2456" s="16" t="n">
        <v>44428</v>
      </c>
      <c r="B2456" s="17" t="n">
        <v>49350.99</v>
      </c>
    </row>
    <row r="2457" customFormat="false" ht="15" hidden="false" customHeight="false" outlineLevel="0" collapsed="false">
      <c r="A2457" s="16" t="n">
        <v>44429</v>
      </c>
      <c r="B2457" s="17" t="n">
        <v>48896.95</v>
      </c>
    </row>
    <row r="2458" customFormat="false" ht="15" hidden="false" customHeight="false" outlineLevel="0" collapsed="false">
      <c r="A2458" s="16" t="n">
        <v>44430</v>
      </c>
      <c r="B2458" s="17" t="n">
        <v>49328.47</v>
      </c>
    </row>
    <row r="2459" customFormat="false" ht="15" hidden="false" customHeight="false" outlineLevel="0" collapsed="false">
      <c r="A2459" s="16" t="n">
        <v>44431</v>
      </c>
      <c r="B2459" s="17" t="n">
        <v>49464.66</v>
      </c>
    </row>
    <row r="2460" customFormat="false" ht="15" hidden="false" customHeight="false" outlineLevel="0" collapsed="false">
      <c r="A2460" s="16" t="n">
        <v>44432</v>
      </c>
      <c r="B2460" s="17" t="n">
        <v>47770.4</v>
      </c>
    </row>
    <row r="2461" customFormat="false" ht="15" hidden="false" customHeight="false" outlineLevel="0" collapsed="false">
      <c r="A2461" s="16" t="n">
        <v>44433</v>
      </c>
      <c r="B2461" s="17" t="n">
        <v>48985.05</v>
      </c>
    </row>
    <row r="2462" customFormat="false" ht="15" hidden="false" customHeight="false" outlineLevel="0" collapsed="false">
      <c r="A2462" s="16" t="n">
        <v>44434</v>
      </c>
      <c r="B2462" s="17" t="n">
        <v>46770.6</v>
      </c>
    </row>
    <row r="2463" customFormat="false" ht="15" hidden="false" customHeight="false" outlineLevel="0" collapsed="false">
      <c r="A2463" s="16" t="n">
        <v>44435</v>
      </c>
      <c r="B2463" s="17" t="n">
        <v>49082.04</v>
      </c>
    </row>
    <row r="2464" customFormat="false" ht="15" hidden="false" customHeight="false" outlineLevel="0" collapsed="false">
      <c r="A2464" s="16" t="n">
        <v>44436</v>
      </c>
      <c r="B2464" s="17" t="n">
        <v>48963.41</v>
      </c>
    </row>
    <row r="2465" customFormat="false" ht="15" hidden="false" customHeight="false" outlineLevel="0" collapsed="false">
      <c r="A2465" s="16" t="n">
        <v>44437</v>
      </c>
      <c r="B2465" s="17" t="n">
        <v>48770.78</v>
      </c>
    </row>
    <row r="2466" customFormat="false" ht="15" hidden="false" customHeight="false" outlineLevel="0" collapsed="false">
      <c r="A2466" s="16" t="n">
        <v>44438</v>
      </c>
      <c r="B2466" s="17" t="n">
        <v>46924.16</v>
      </c>
    </row>
    <row r="2467" customFormat="false" ht="15" hidden="false" customHeight="false" outlineLevel="0" collapsed="false">
      <c r="A2467" s="16" t="n">
        <v>44439</v>
      </c>
      <c r="B2467" s="17" t="n">
        <v>47065.73</v>
      </c>
    </row>
    <row r="2468" customFormat="false" ht="15" hidden="false" customHeight="false" outlineLevel="0" collapsed="false">
      <c r="A2468" s="16" t="n">
        <v>44440</v>
      </c>
      <c r="B2468" s="17" t="n">
        <v>48889.19</v>
      </c>
    </row>
    <row r="2469" customFormat="false" ht="15" hidden="false" customHeight="false" outlineLevel="0" collapsed="false">
      <c r="A2469" s="16" t="n">
        <v>44441</v>
      </c>
      <c r="B2469" s="17" t="n">
        <v>49273.33</v>
      </c>
    </row>
    <row r="2470" customFormat="false" ht="15" hidden="false" customHeight="false" outlineLevel="0" collapsed="false">
      <c r="A2470" s="16" t="n">
        <v>44442</v>
      </c>
      <c r="B2470" s="17" t="n">
        <v>49919.31</v>
      </c>
    </row>
    <row r="2471" customFormat="false" ht="15" hidden="false" customHeight="false" outlineLevel="0" collapsed="false">
      <c r="A2471" s="16" t="n">
        <v>44443</v>
      </c>
      <c r="B2471" s="17" t="n">
        <v>49949.07</v>
      </c>
    </row>
    <row r="2472" customFormat="false" ht="15" hidden="false" customHeight="false" outlineLevel="0" collapsed="false">
      <c r="A2472" s="16" t="n">
        <v>44444</v>
      </c>
      <c r="B2472" s="17" t="n">
        <v>51782.76</v>
      </c>
    </row>
    <row r="2473" customFormat="false" ht="15" hidden="false" customHeight="false" outlineLevel="0" collapsed="false">
      <c r="A2473" s="16" t="n">
        <v>44445</v>
      </c>
      <c r="B2473" s="17" t="n">
        <v>52691.2</v>
      </c>
    </row>
    <row r="2474" customFormat="false" ht="15" hidden="false" customHeight="false" outlineLevel="0" collapsed="false">
      <c r="A2474" s="16" t="n">
        <v>44446</v>
      </c>
      <c r="B2474" s="17" t="n">
        <v>46943.82</v>
      </c>
    </row>
    <row r="2475" customFormat="false" ht="15" hidden="false" customHeight="false" outlineLevel="0" collapsed="false">
      <c r="A2475" s="16" t="n">
        <v>44447</v>
      </c>
      <c r="B2475" s="17" t="n">
        <v>46022.48</v>
      </c>
    </row>
    <row r="2476" customFormat="false" ht="15" hidden="false" customHeight="false" outlineLevel="0" collapsed="false">
      <c r="A2476" s="16" t="n">
        <v>44448</v>
      </c>
      <c r="B2476" s="17" t="n">
        <v>46414.58</v>
      </c>
    </row>
    <row r="2477" customFormat="false" ht="15" hidden="false" customHeight="false" outlineLevel="0" collapsed="false">
      <c r="A2477" s="16" t="n">
        <v>44449</v>
      </c>
      <c r="B2477" s="17" t="n">
        <v>44897.75</v>
      </c>
    </row>
    <row r="2478" customFormat="false" ht="15" hidden="false" customHeight="false" outlineLevel="0" collapsed="false">
      <c r="A2478" s="16" t="n">
        <v>44450</v>
      </c>
      <c r="B2478" s="17" t="n">
        <v>45127.48</v>
      </c>
    </row>
    <row r="2479" customFormat="false" ht="15" hidden="false" customHeight="false" outlineLevel="0" collapsed="false">
      <c r="A2479" s="16" t="n">
        <v>44451</v>
      </c>
      <c r="B2479" s="17" t="n">
        <v>46010.13</v>
      </c>
    </row>
    <row r="2480" customFormat="false" ht="15" hidden="false" customHeight="false" outlineLevel="0" collapsed="false">
      <c r="A2480" s="16" t="n">
        <v>44452</v>
      </c>
      <c r="B2480" s="17" t="n">
        <v>44969.02</v>
      </c>
    </row>
    <row r="2481" customFormat="false" ht="15" hidden="false" customHeight="false" outlineLevel="0" collapsed="false">
      <c r="A2481" s="16" t="n">
        <v>44453</v>
      </c>
      <c r="B2481" s="17" t="n">
        <v>47096.48</v>
      </c>
    </row>
    <row r="2482" customFormat="false" ht="15" hidden="false" customHeight="false" outlineLevel="0" collapsed="false">
      <c r="A2482" s="16" t="n">
        <v>44454</v>
      </c>
      <c r="B2482" s="17" t="n">
        <v>48106.71</v>
      </c>
    </row>
    <row r="2483" customFormat="false" ht="15" hidden="false" customHeight="false" outlineLevel="0" collapsed="false">
      <c r="A2483" s="16" t="n">
        <v>44455</v>
      </c>
      <c r="B2483" s="17" t="n">
        <v>47772.7</v>
      </c>
    </row>
    <row r="2484" customFormat="false" ht="15" hidden="false" customHeight="false" outlineLevel="0" collapsed="false">
      <c r="A2484" s="16" t="n">
        <v>44456</v>
      </c>
      <c r="B2484" s="17" t="n">
        <v>47337.8</v>
      </c>
    </row>
    <row r="2485" customFormat="false" ht="15" hidden="false" customHeight="false" outlineLevel="0" collapsed="false">
      <c r="A2485" s="16" t="n">
        <v>44457</v>
      </c>
      <c r="B2485" s="17" t="n">
        <v>48300.04</v>
      </c>
    </row>
    <row r="2486" customFormat="false" ht="15" hidden="false" customHeight="false" outlineLevel="0" collapsed="false">
      <c r="A2486" s="16" t="n">
        <v>44458</v>
      </c>
      <c r="B2486" s="17" t="n">
        <v>47270.75</v>
      </c>
    </row>
    <row r="2487" customFormat="false" ht="15" hidden="false" customHeight="false" outlineLevel="0" collapsed="false">
      <c r="A2487" s="16" t="n">
        <v>44459</v>
      </c>
      <c r="B2487" s="17" t="n">
        <v>42991.14</v>
      </c>
    </row>
    <row r="2488" customFormat="false" ht="15" hidden="false" customHeight="false" outlineLevel="0" collapsed="false">
      <c r="A2488" s="16" t="n">
        <v>44460</v>
      </c>
      <c r="B2488" s="17" t="n">
        <v>40656.13</v>
      </c>
    </row>
    <row r="2489" customFormat="false" ht="15" hidden="false" customHeight="false" outlineLevel="0" collapsed="false">
      <c r="A2489" s="16" t="n">
        <v>44461</v>
      </c>
      <c r="B2489" s="17" t="n">
        <v>43544.09</v>
      </c>
    </row>
    <row r="2490" customFormat="false" ht="15" hidden="false" customHeight="false" outlineLevel="0" collapsed="false">
      <c r="A2490" s="16" t="n">
        <v>44462</v>
      </c>
      <c r="B2490" s="17" t="n">
        <v>44892.71</v>
      </c>
    </row>
    <row r="2491" customFormat="false" ht="15" hidden="false" customHeight="false" outlineLevel="0" collapsed="false">
      <c r="A2491" s="16" t="n">
        <v>44463</v>
      </c>
      <c r="B2491" s="17" t="n">
        <v>42816.65</v>
      </c>
    </row>
    <row r="2492" customFormat="false" ht="15" hidden="false" customHeight="false" outlineLevel="0" collapsed="false">
      <c r="A2492" s="16" t="n">
        <v>44464</v>
      </c>
      <c r="B2492" s="17" t="n">
        <v>42682.26</v>
      </c>
    </row>
    <row r="2493" customFormat="false" ht="15" hidden="false" customHeight="false" outlineLevel="0" collapsed="false">
      <c r="A2493" s="16" t="n">
        <v>44465</v>
      </c>
      <c r="B2493" s="17" t="n">
        <v>43142.04</v>
      </c>
    </row>
    <row r="2494" customFormat="false" ht="15" hidden="false" customHeight="false" outlineLevel="0" collapsed="false">
      <c r="A2494" s="16" t="n">
        <v>44466</v>
      </c>
      <c r="B2494" s="17" t="n">
        <v>42214.52</v>
      </c>
    </row>
    <row r="2495" customFormat="false" ht="15" hidden="false" customHeight="false" outlineLevel="0" collapsed="false">
      <c r="A2495" s="16" t="n">
        <v>44467</v>
      </c>
      <c r="B2495" s="17" t="n">
        <v>41006.19</v>
      </c>
    </row>
    <row r="2496" customFormat="false" ht="15" hidden="false" customHeight="false" outlineLevel="0" collapsed="false">
      <c r="A2496" s="16" t="n">
        <v>44468</v>
      </c>
      <c r="B2496" s="17" t="n">
        <v>41522.49</v>
      </c>
    </row>
    <row r="2497" customFormat="false" ht="15" hidden="false" customHeight="false" outlineLevel="0" collapsed="false">
      <c r="A2497" s="16" t="n">
        <v>44469</v>
      </c>
      <c r="B2497" s="17" t="n">
        <v>43834.03</v>
      </c>
    </row>
    <row r="2498" customFormat="false" ht="15" hidden="false" customHeight="false" outlineLevel="0" collapsed="false">
      <c r="A2498" s="16" t="n">
        <v>44470</v>
      </c>
      <c r="B2498" s="17" t="n">
        <v>48145.34</v>
      </c>
    </row>
    <row r="2499" customFormat="false" ht="15" hidden="false" customHeight="false" outlineLevel="0" collapsed="false">
      <c r="A2499" s="16" t="n">
        <v>44471</v>
      </c>
      <c r="B2499" s="17" t="n">
        <v>47692.85</v>
      </c>
    </row>
    <row r="2500" customFormat="false" ht="15" hidden="false" customHeight="false" outlineLevel="0" collapsed="false">
      <c r="A2500" s="16" t="n">
        <v>44472</v>
      </c>
      <c r="B2500" s="17" t="n">
        <v>48179.83</v>
      </c>
    </row>
    <row r="2501" customFormat="false" ht="15" hidden="false" customHeight="false" outlineLevel="0" collapsed="false">
      <c r="A2501" s="16" t="n">
        <v>44473</v>
      </c>
      <c r="B2501" s="17" t="n">
        <v>49248.68</v>
      </c>
    </row>
    <row r="2502" customFormat="false" ht="15" hidden="false" customHeight="false" outlineLevel="0" collapsed="false">
      <c r="A2502" s="16" t="n">
        <v>44474</v>
      </c>
      <c r="B2502" s="17" t="n">
        <v>51441.74</v>
      </c>
    </row>
    <row r="2503" customFormat="false" ht="15" hidden="false" customHeight="false" outlineLevel="0" collapsed="false">
      <c r="A2503" s="16" t="n">
        <v>44475</v>
      </c>
      <c r="B2503" s="17" t="n">
        <v>55278.64</v>
      </c>
    </row>
    <row r="2504" customFormat="false" ht="15" hidden="false" customHeight="false" outlineLevel="0" collapsed="false">
      <c r="A2504" s="16" t="n">
        <v>44476</v>
      </c>
      <c r="B2504" s="17" t="n">
        <v>53844.74</v>
      </c>
    </row>
    <row r="2505" customFormat="false" ht="15" hidden="false" customHeight="false" outlineLevel="0" collapsed="false">
      <c r="A2505" s="16" t="n">
        <v>44477</v>
      </c>
      <c r="B2505" s="17" t="n">
        <v>53983.21</v>
      </c>
    </row>
    <row r="2506" customFormat="false" ht="15" hidden="false" customHeight="false" outlineLevel="0" collapsed="false">
      <c r="A2506" s="16" t="n">
        <v>44478</v>
      </c>
      <c r="B2506" s="17" t="n">
        <v>54951.3</v>
      </c>
    </row>
    <row r="2507" customFormat="false" ht="15" hidden="false" customHeight="false" outlineLevel="0" collapsed="false">
      <c r="A2507" s="16" t="n">
        <v>44479</v>
      </c>
      <c r="B2507" s="17" t="n">
        <v>54655.3</v>
      </c>
    </row>
    <row r="2508" customFormat="false" ht="15" hidden="false" customHeight="false" outlineLevel="0" collapsed="false">
      <c r="A2508" s="16" t="n">
        <v>44480</v>
      </c>
      <c r="B2508" s="17" t="n">
        <v>57440.05</v>
      </c>
    </row>
    <row r="2509" customFormat="false" ht="15" hidden="false" customHeight="false" outlineLevel="0" collapsed="false">
      <c r="A2509" s="16" t="n">
        <v>44481</v>
      </c>
      <c r="B2509" s="17" t="n">
        <v>56019.29</v>
      </c>
    </row>
    <row r="2510" customFormat="false" ht="15" hidden="false" customHeight="false" outlineLevel="0" collapsed="false">
      <c r="A2510" s="16" t="n">
        <v>44482</v>
      </c>
      <c r="B2510" s="17" t="n">
        <v>57372.59</v>
      </c>
    </row>
    <row r="2511" customFormat="false" ht="15" hidden="false" customHeight="false" outlineLevel="0" collapsed="false">
      <c r="A2511" s="16" t="n">
        <v>44483</v>
      </c>
      <c r="B2511" s="17" t="n">
        <v>57327.09</v>
      </c>
    </row>
    <row r="2512" customFormat="false" ht="15" hidden="false" customHeight="false" outlineLevel="0" collapsed="false">
      <c r="A2512" s="16" t="n">
        <v>44484</v>
      </c>
      <c r="B2512" s="17" t="n">
        <v>61682.48</v>
      </c>
    </row>
    <row r="2513" customFormat="false" ht="15" hidden="false" customHeight="false" outlineLevel="0" collapsed="false">
      <c r="A2513" s="16" t="n">
        <v>44485</v>
      </c>
      <c r="B2513" s="17" t="n">
        <v>60880.85</v>
      </c>
    </row>
    <row r="2514" customFormat="false" ht="15" hidden="false" customHeight="false" outlineLevel="0" collapsed="false">
      <c r="A2514" s="16" t="n">
        <v>44486</v>
      </c>
      <c r="B2514" s="17" t="n">
        <v>61541.01</v>
      </c>
    </row>
    <row r="2515" customFormat="false" ht="15" hidden="false" customHeight="false" outlineLevel="0" collapsed="false">
      <c r="A2515" s="16" t="n">
        <v>44487</v>
      </c>
      <c r="B2515" s="17" t="n">
        <v>62036.95</v>
      </c>
    </row>
    <row r="2516" customFormat="false" ht="15" hidden="false" customHeight="false" outlineLevel="0" collapsed="false">
      <c r="A2516" s="16" t="n">
        <v>44488</v>
      </c>
      <c r="B2516" s="17" t="n">
        <v>64353.53</v>
      </c>
    </row>
    <row r="2517" customFormat="false" ht="15" hidden="false" customHeight="false" outlineLevel="0" collapsed="false">
      <c r="A2517" s="16" t="n">
        <v>44489</v>
      </c>
      <c r="B2517" s="17" t="n">
        <v>66005.17</v>
      </c>
    </row>
    <row r="2518" customFormat="false" ht="15" hidden="false" customHeight="false" outlineLevel="0" collapsed="false">
      <c r="A2518" s="16" t="n">
        <v>44490</v>
      </c>
      <c r="B2518" s="17" t="n">
        <v>62152.09</v>
      </c>
    </row>
    <row r="2519" customFormat="false" ht="15" hidden="false" customHeight="false" outlineLevel="0" collapsed="false">
      <c r="A2519" s="16" t="n">
        <v>44491</v>
      </c>
      <c r="B2519" s="17" t="n">
        <v>60671.75</v>
      </c>
    </row>
    <row r="2520" customFormat="false" ht="15" hidden="false" customHeight="false" outlineLevel="0" collapsed="false">
      <c r="A2520" s="16" t="n">
        <v>44492</v>
      </c>
      <c r="B2520" s="17" t="n">
        <v>61308.09</v>
      </c>
    </row>
    <row r="2521" customFormat="false" ht="15" hidden="false" customHeight="false" outlineLevel="0" collapsed="false">
      <c r="A2521" s="16" t="n">
        <v>44493</v>
      </c>
      <c r="B2521" s="17" t="n">
        <v>60889.41</v>
      </c>
    </row>
    <row r="2522" customFormat="false" ht="15" hidden="false" customHeight="false" outlineLevel="0" collapsed="false">
      <c r="A2522" s="16" t="n">
        <v>44494</v>
      </c>
      <c r="B2522" s="17" t="n">
        <v>63102.83</v>
      </c>
    </row>
    <row r="2523" customFormat="false" ht="15" hidden="false" customHeight="false" outlineLevel="0" collapsed="false">
      <c r="A2523" s="16" t="n">
        <v>44495</v>
      </c>
      <c r="B2523" s="17" t="n">
        <v>60341.21</v>
      </c>
    </row>
    <row r="2524" customFormat="false" ht="15" hidden="false" customHeight="false" outlineLevel="0" collapsed="false">
      <c r="A2524" s="16" t="n">
        <v>44496</v>
      </c>
      <c r="B2524" s="17" t="n">
        <v>58517.61</v>
      </c>
    </row>
    <row r="2525" customFormat="false" ht="15" hidden="false" customHeight="false" outlineLevel="0" collapsed="false">
      <c r="A2525" s="16" t="n">
        <v>44497</v>
      </c>
      <c r="B2525" s="17" t="n">
        <v>60577.62</v>
      </c>
    </row>
    <row r="2526" customFormat="false" ht="15" hidden="false" customHeight="false" outlineLevel="0" collapsed="false">
      <c r="A2526" s="16" t="n">
        <v>44498</v>
      </c>
      <c r="B2526" s="17" t="n">
        <v>62316.4</v>
      </c>
    </row>
    <row r="2527" customFormat="false" ht="15" hidden="false" customHeight="false" outlineLevel="0" collapsed="false">
      <c r="A2527" s="16" t="n">
        <v>44499</v>
      </c>
      <c r="B2527" s="17" t="n">
        <v>62062.88</v>
      </c>
    </row>
    <row r="2528" customFormat="false" ht="15" hidden="false" customHeight="false" outlineLevel="0" collapsed="false">
      <c r="A2528" s="16" t="n">
        <v>44500</v>
      </c>
      <c r="B2528" s="17" t="n">
        <v>61333.45</v>
      </c>
    </row>
    <row r="2529" customFormat="false" ht="15" hidden="false" customHeight="false" outlineLevel="0" collapsed="false">
      <c r="A2529" s="16" t="n">
        <v>44501</v>
      </c>
      <c r="B2529" s="17" t="n">
        <v>60950</v>
      </c>
    </row>
    <row r="2530" customFormat="false" ht="15" hidden="false" customHeight="false" outlineLevel="0" collapsed="false">
      <c r="A2530" s="16" t="n">
        <v>44502</v>
      </c>
      <c r="B2530" s="17" t="n">
        <v>63357.2</v>
      </c>
    </row>
    <row r="2531" customFormat="false" ht="15" hidden="false" customHeight="false" outlineLevel="0" collapsed="false">
      <c r="A2531" s="16" t="n">
        <v>44503</v>
      </c>
      <c r="B2531" s="17" t="n">
        <v>62944.4</v>
      </c>
    </row>
    <row r="2532" customFormat="false" ht="15" hidden="false" customHeight="false" outlineLevel="0" collapsed="false">
      <c r="A2532" s="16" t="n">
        <v>44504</v>
      </c>
      <c r="B2532" s="17" t="n">
        <v>61499.24</v>
      </c>
    </row>
    <row r="2533" customFormat="false" ht="15" hidden="false" customHeight="false" outlineLevel="0" collapsed="false">
      <c r="A2533" s="16" t="n">
        <v>44505</v>
      </c>
      <c r="B2533" s="17" t="n">
        <v>61000.01</v>
      </c>
    </row>
    <row r="2534" customFormat="false" ht="15" hidden="false" customHeight="false" outlineLevel="0" collapsed="false">
      <c r="A2534" s="16" t="n">
        <v>44506</v>
      </c>
      <c r="B2534" s="17" t="n">
        <v>61539.3</v>
      </c>
    </row>
    <row r="2535" customFormat="false" ht="15" hidden="false" customHeight="false" outlineLevel="0" collapsed="false">
      <c r="A2535" s="16" t="n">
        <v>44507</v>
      </c>
      <c r="B2535" s="17" t="n">
        <v>63433.66</v>
      </c>
    </row>
    <row r="2536" customFormat="false" ht="15" hidden="false" customHeight="false" outlineLevel="0" collapsed="false">
      <c r="A2536" s="16" t="n">
        <v>44508</v>
      </c>
      <c r="B2536" s="17" t="n">
        <v>67510.06</v>
      </c>
    </row>
    <row r="2537" customFormat="false" ht="15" hidden="false" customHeight="false" outlineLevel="0" collapsed="false">
      <c r="A2537" s="16" t="n">
        <v>44509</v>
      </c>
      <c r="B2537" s="17" t="n">
        <v>66967.98</v>
      </c>
    </row>
    <row r="2538" customFormat="false" ht="15" hidden="false" customHeight="false" outlineLevel="0" collapsed="false">
      <c r="A2538" s="16" t="n">
        <v>44510</v>
      </c>
      <c r="B2538" s="17" t="n">
        <v>64896.86</v>
      </c>
    </row>
    <row r="2539" customFormat="false" ht="15" hidden="false" customHeight="false" outlineLevel="0" collapsed="false">
      <c r="A2539" s="16" t="n">
        <v>44511</v>
      </c>
      <c r="B2539" s="17" t="n">
        <v>64793.69</v>
      </c>
    </row>
    <row r="2540" customFormat="false" ht="15" hidden="false" customHeight="false" outlineLevel="0" collapsed="false">
      <c r="A2540" s="16" t="n">
        <v>44512</v>
      </c>
      <c r="B2540" s="17" t="n">
        <v>64158.51</v>
      </c>
    </row>
    <row r="2541" customFormat="false" ht="15" hidden="false" customHeight="false" outlineLevel="0" collapsed="false">
      <c r="A2541" s="16" t="n">
        <v>44513</v>
      </c>
      <c r="B2541" s="17" t="n">
        <v>64482.54</v>
      </c>
    </row>
    <row r="2542" customFormat="false" ht="15" hidden="false" customHeight="false" outlineLevel="0" collapsed="false">
      <c r="A2542" s="16" t="n">
        <v>44514</v>
      </c>
      <c r="B2542" s="17" t="n">
        <v>65714.05</v>
      </c>
    </row>
    <row r="2543" customFormat="false" ht="15" hidden="false" customHeight="false" outlineLevel="0" collapsed="false">
      <c r="A2543" s="16" t="n">
        <v>44515</v>
      </c>
      <c r="B2543" s="17" t="n">
        <v>63441.68</v>
      </c>
    </row>
    <row r="2544" customFormat="false" ht="15" hidden="false" customHeight="false" outlineLevel="0" collapsed="false">
      <c r="A2544" s="16" t="n">
        <v>44516</v>
      </c>
      <c r="B2544" s="17" t="n">
        <v>60147.32</v>
      </c>
    </row>
    <row r="2545" customFormat="false" ht="15" hidden="false" customHeight="false" outlineLevel="0" collapsed="false">
      <c r="A2545" s="16" t="n">
        <v>44517</v>
      </c>
      <c r="B2545" s="17" t="n">
        <v>60314.28</v>
      </c>
    </row>
    <row r="2546" customFormat="false" ht="15" hidden="false" customHeight="false" outlineLevel="0" collapsed="false">
      <c r="A2546" s="16" t="n">
        <v>44518</v>
      </c>
      <c r="B2546" s="17" t="n">
        <v>57017.38</v>
      </c>
    </row>
    <row r="2547" customFormat="false" ht="15" hidden="false" customHeight="false" outlineLevel="0" collapsed="false">
      <c r="A2547" s="16" t="n">
        <v>44519</v>
      </c>
      <c r="B2547" s="17" t="n">
        <v>58187.85</v>
      </c>
    </row>
    <row r="2548" customFormat="false" ht="15" hidden="false" customHeight="false" outlineLevel="0" collapsed="false">
      <c r="A2548" s="16" t="n">
        <v>44520</v>
      </c>
      <c r="B2548" s="17" t="n">
        <v>59771.71</v>
      </c>
    </row>
    <row r="2549" customFormat="false" ht="15" hidden="false" customHeight="false" outlineLevel="0" collapsed="false">
      <c r="A2549" s="16" t="n">
        <v>44521</v>
      </c>
      <c r="B2549" s="17" t="n">
        <v>58742.9</v>
      </c>
    </row>
    <row r="2550" customFormat="false" ht="15" hidden="false" customHeight="false" outlineLevel="0" collapsed="false">
      <c r="A2550" s="16" t="n">
        <v>44522</v>
      </c>
      <c r="B2550" s="17" t="n">
        <v>56254.57</v>
      </c>
    </row>
    <row r="2551" customFormat="false" ht="15" hidden="false" customHeight="false" outlineLevel="0" collapsed="false">
      <c r="A2551" s="16" t="n">
        <v>44523</v>
      </c>
      <c r="B2551" s="17" t="n">
        <v>57599.99</v>
      </c>
    </row>
    <row r="2552" customFormat="false" ht="15" hidden="false" customHeight="false" outlineLevel="0" collapsed="false">
      <c r="A2552" s="16" t="n">
        <v>44524</v>
      </c>
      <c r="B2552" s="17" t="n">
        <v>57255.24</v>
      </c>
    </row>
    <row r="2553" customFormat="false" ht="15" hidden="false" customHeight="false" outlineLevel="0" collapsed="false">
      <c r="A2553" s="16" t="n">
        <v>44525</v>
      </c>
      <c r="B2553" s="17" t="n">
        <v>59022.44</v>
      </c>
    </row>
    <row r="2554" customFormat="false" ht="15" hidden="false" customHeight="false" outlineLevel="0" collapsed="false">
      <c r="A2554" s="16" t="n">
        <v>44526</v>
      </c>
      <c r="B2554" s="17" t="n">
        <v>53839.39</v>
      </c>
    </row>
    <row r="2555" customFormat="false" ht="15" hidden="false" customHeight="false" outlineLevel="0" collapsed="false">
      <c r="A2555" s="16" t="n">
        <v>44527</v>
      </c>
      <c r="B2555" s="17" t="n">
        <v>54665.93</v>
      </c>
    </row>
    <row r="2556" customFormat="false" ht="15" hidden="false" customHeight="false" outlineLevel="0" collapsed="false">
      <c r="A2556" s="16" t="n">
        <v>44528</v>
      </c>
      <c r="B2556" s="17" t="n">
        <v>57471.87</v>
      </c>
    </row>
    <row r="2557" customFormat="false" ht="15" hidden="false" customHeight="false" outlineLevel="0" collapsed="false">
      <c r="A2557" s="16" t="n">
        <v>44529</v>
      </c>
      <c r="B2557" s="17" t="n">
        <v>57828.33</v>
      </c>
    </row>
    <row r="2558" customFormat="false" ht="15" hidden="false" customHeight="false" outlineLevel="0" collapsed="false">
      <c r="A2558" s="16" t="n">
        <v>44530</v>
      </c>
      <c r="B2558" s="17" t="n">
        <v>56879.47</v>
      </c>
    </row>
    <row r="2559" customFormat="false" ht="15" hidden="false" customHeight="false" outlineLevel="0" collapsed="false">
      <c r="A2559" s="16" t="n">
        <v>44531</v>
      </c>
      <c r="B2559" s="17" t="n">
        <v>57228.47</v>
      </c>
    </row>
    <row r="2560" customFormat="false" ht="15" hidden="false" customHeight="false" outlineLevel="0" collapsed="false">
      <c r="A2560" s="16" t="n">
        <v>44532</v>
      </c>
      <c r="B2560" s="17" t="n">
        <v>56566.29</v>
      </c>
    </row>
    <row r="2561" customFormat="false" ht="15" hidden="false" customHeight="false" outlineLevel="0" collapsed="false">
      <c r="A2561" s="16" t="n">
        <v>44533</v>
      </c>
      <c r="B2561" s="17" t="n">
        <v>53681.96</v>
      </c>
    </row>
    <row r="2562" customFormat="false" ht="15" hidden="false" customHeight="false" outlineLevel="0" collapsed="false">
      <c r="A2562" s="16" t="n">
        <v>44534</v>
      </c>
      <c r="B2562" s="17" t="n">
        <v>49335</v>
      </c>
    </row>
    <row r="2563" customFormat="false" ht="15" hidden="false" customHeight="false" outlineLevel="0" collapsed="false">
      <c r="A2563" s="16" t="n">
        <v>44535</v>
      </c>
      <c r="B2563" s="17" t="n">
        <v>49511.76</v>
      </c>
    </row>
    <row r="2564" customFormat="false" ht="15" hidden="false" customHeight="false" outlineLevel="0" collapsed="false">
      <c r="A2564" s="16" t="n">
        <v>44536</v>
      </c>
      <c r="B2564" s="17" t="n">
        <v>50588.91</v>
      </c>
    </row>
    <row r="2565" customFormat="false" ht="15" hidden="false" customHeight="false" outlineLevel="0" collapsed="false">
      <c r="A2565" s="16" t="n">
        <v>44537</v>
      </c>
      <c r="B2565" s="17" t="n">
        <v>50676.09</v>
      </c>
    </row>
    <row r="2566" customFormat="false" ht="15" hidden="false" customHeight="false" outlineLevel="0" collapsed="false">
      <c r="A2566" s="16" t="n">
        <v>44538</v>
      </c>
      <c r="B2566" s="17" t="n">
        <v>50531.51</v>
      </c>
    </row>
    <row r="2567" customFormat="false" ht="15" hidden="false" customHeight="false" outlineLevel="0" collapsed="false">
      <c r="A2567" s="16" t="n">
        <v>44539</v>
      </c>
      <c r="B2567" s="17" t="n">
        <v>47639.07</v>
      </c>
    </row>
    <row r="2568" customFormat="false" ht="15" hidden="false" customHeight="false" outlineLevel="0" collapsed="false">
      <c r="A2568" s="16" t="n">
        <v>44540</v>
      </c>
      <c r="B2568" s="17" t="n">
        <v>47268.48</v>
      </c>
    </row>
    <row r="2569" customFormat="false" ht="15" hidden="false" customHeight="false" outlineLevel="0" collapsed="false">
      <c r="A2569" s="16" t="n">
        <v>44541</v>
      </c>
      <c r="B2569" s="17" t="n">
        <v>49432.46</v>
      </c>
    </row>
    <row r="2570" customFormat="false" ht="15" hidden="false" customHeight="false" outlineLevel="0" collapsed="false">
      <c r="A2570" s="16" t="n">
        <v>44542</v>
      </c>
      <c r="B2570" s="17" t="n">
        <v>50065.39</v>
      </c>
    </row>
    <row r="2571" customFormat="false" ht="15" hidden="false" customHeight="false" outlineLevel="0" collapsed="false">
      <c r="A2571" s="16" t="n">
        <v>44543</v>
      </c>
      <c r="B2571" s="17" t="n">
        <v>46639.86</v>
      </c>
    </row>
    <row r="2572" customFormat="false" ht="15" hidden="false" customHeight="false" outlineLevel="0" collapsed="false">
      <c r="A2572" s="16" t="n">
        <v>44544</v>
      </c>
      <c r="B2572" s="17" t="n">
        <v>48343.16</v>
      </c>
    </row>
    <row r="2573" customFormat="false" ht="15" hidden="false" customHeight="false" outlineLevel="0" collapsed="false">
      <c r="A2573" s="16" t="n">
        <v>44545</v>
      </c>
      <c r="B2573" s="17" t="n">
        <v>48885.97</v>
      </c>
    </row>
    <row r="2574" customFormat="false" ht="15" hidden="false" customHeight="false" outlineLevel="0" collapsed="false">
      <c r="A2574" s="16" t="n">
        <v>44546</v>
      </c>
      <c r="B2574" s="17" t="n">
        <v>47605.48</v>
      </c>
    </row>
    <row r="2575" customFormat="false" ht="15" hidden="false" customHeight="false" outlineLevel="0" collapsed="false">
      <c r="A2575" s="16" t="n">
        <v>44547</v>
      </c>
      <c r="B2575" s="17" t="n">
        <v>46240.15</v>
      </c>
    </row>
    <row r="2576" customFormat="false" ht="15" hidden="false" customHeight="false" outlineLevel="0" collapsed="false">
      <c r="A2576" s="16" t="n">
        <v>44548</v>
      </c>
      <c r="B2576" s="17" t="n">
        <v>46813.13</v>
      </c>
    </row>
    <row r="2577" customFormat="false" ht="15" hidden="false" customHeight="false" outlineLevel="0" collapsed="false">
      <c r="A2577" s="16" t="n">
        <v>44549</v>
      </c>
      <c r="B2577" s="17" t="n">
        <v>46683.77</v>
      </c>
    </row>
    <row r="2578" customFormat="false" ht="15" hidden="false" customHeight="false" outlineLevel="0" collapsed="false">
      <c r="A2578" s="16" t="n">
        <v>44550</v>
      </c>
      <c r="B2578" s="17" t="n">
        <v>46963.71</v>
      </c>
    </row>
    <row r="2579" customFormat="false" ht="15" hidden="false" customHeight="false" outlineLevel="0" collapsed="false">
      <c r="A2579" s="16" t="n">
        <v>44551</v>
      </c>
      <c r="B2579" s="17" t="n">
        <v>48954.47</v>
      </c>
    </row>
    <row r="2580" customFormat="false" ht="15" hidden="false" customHeight="false" outlineLevel="0" collapsed="false">
      <c r="A2580" s="16" t="n">
        <v>44552</v>
      </c>
      <c r="B2580" s="17" t="n">
        <v>48646.94</v>
      </c>
    </row>
    <row r="2581" customFormat="false" ht="15" hidden="false" customHeight="false" outlineLevel="0" collapsed="false">
      <c r="A2581" s="16" t="n">
        <v>44553</v>
      </c>
      <c r="B2581" s="17" t="n">
        <v>50840.46</v>
      </c>
    </row>
    <row r="2582" customFormat="false" ht="15" hidden="false" customHeight="false" outlineLevel="0" collapsed="false">
      <c r="A2582" s="16" t="n">
        <v>44554</v>
      </c>
      <c r="B2582" s="17" t="n">
        <v>50815.7</v>
      </c>
    </row>
    <row r="2583" customFormat="false" ht="15" hidden="false" customHeight="false" outlineLevel="0" collapsed="false">
      <c r="A2583" s="16" t="n">
        <v>44555</v>
      </c>
      <c r="B2583" s="17" t="n">
        <v>50395.07</v>
      </c>
    </row>
    <row r="2584" customFormat="false" ht="15" hidden="false" customHeight="false" outlineLevel="0" collapsed="false">
      <c r="A2584" s="16" t="n">
        <v>44556</v>
      </c>
      <c r="B2584" s="17" t="n">
        <v>50841.73</v>
      </c>
    </row>
    <row r="2585" customFormat="false" ht="15" hidden="false" customHeight="false" outlineLevel="0" collapsed="false">
      <c r="A2585" s="16" t="n">
        <v>44557</v>
      </c>
      <c r="B2585" s="17" t="n">
        <v>50663.26</v>
      </c>
    </row>
    <row r="2586" customFormat="false" ht="15" hidden="false" customHeight="false" outlineLevel="0" collapsed="false">
      <c r="A2586" s="16" t="n">
        <v>44558</v>
      </c>
      <c r="B2586" s="17" t="n">
        <v>47594.55</v>
      </c>
    </row>
    <row r="2587" customFormat="false" ht="15" hidden="false" customHeight="false" outlineLevel="0" collapsed="false">
      <c r="A2587" s="16" t="n">
        <v>44559</v>
      </c>
      <c r="B2587" s="17" t="n">
        <v>46518.8</v>
      </c>
    </row>
    <row r="2588" customFormat="false" ht="15" hidden="false" customHeight="false" outlineLevel="0" collapsed="false">
      <c r="A2588" s="16" t="n">
        <v>44560</v>
      </c>
      <c r="B2588" s="17" t="n">
        <v>47097.85</v>
      </c>
    </row>
    <row r="2589" customFormat="false" ht="15" hidden="false" customHeight="false" outlineLevel="0" collapsed="false">
      <c r="A2589" s="16" t="n">
        <v>44561</v>
      </c>
      <c r="B2589" s="17" t="n">
        <v>46244.63</v>
      </c>
    </row>
    <row r="2590" customFormat="false" ht="15" hidden="false" customHeight="false" outlineLevel="0" collapsed="false">
      <c r="A2590" s="16" t="n">
        <v>44562</v>
      </c>
      <c r="B2590" s="17" t="n">
        <v>47748.83</v>
      </c>
    </row>
    <row r="2591" customFormat="false" ht="15" hidden="false" customHeight="false" outlineLevel="0" collapsed="false">
      <c r="A2591" s="16" t="n">
        <v>44563</v>
      </c>
      <c r="B2591" s="17" t="n">
        <v>47258.52</v>
      </c>
    </row>
    <row r="2592" customFormat="false" ht="15" hidden="false" customHeight="false" outlineLevel="0" collapsed="false">
      <c r="A2592" s="16" t="n">
        <v>44564</v>
      </c>
      <c r="B2592" s="17" t="n">
        <v>46519.76</v>
      </c>
    </row>
    <row r="2593" customFormat="false" ht="15" hidden="false" customHeight="false" outlineLevel="0" collapsed="false">
      <c r="A2593" s="16" t="n">
        <v>44565</v>
      </c>
      <c r="B2593" s="17" t="n">
        <v>45889.4</v>
      </c>
    </row>
    <row r="2594" customFormat="false" ht="15" hidden="false" customHeight="false" outlineLevel="0" collapsed="false">
      <c r="A2594" s="16" t="n">
        <v>44566</v>
      </c>
      <c r="B2594" s="17" t="n">
        <v>43422.85</v>
      </c>
    </row>
    <row r="2595" customFormat="false" ht="15" hidden="false" customHeight="false" outlineLevel="0" collapsed="false">
      <c r="A2595" s="16" t="n">
        <v>44567</v>
      </c>
      <c r="B2595" s="17" t="n">
        <v>43133.33</v>
      </c>
    </row>
    <row r="2596" customFormat="false" ht="15" hidden="false" customHeight="false" outlineLevel="0" collapsed="false">
      <c r="A2596" s="16" t="n">
        <v>44568</v>
      </c>
      <c r="B2596" s="17" t="n">
        <v>41656.16</v>
      </c>
    </row>
    <row r="2597" customFormat="false" ht="15" hidden="false" customHeight="false" outlineLevel="0" collapsed="false">
      <c r="A2597" s="16" t="n">
        <v>44569</v>
      </c>
      <c r="B2597" s="17" t="n">
        <v>41667.48</v>
      </c>
    </row>
    <row r="2598" customFormat="false" ht="15" hidden="false" customHeight="false" outlineLevel="0" collapsed="false">
      <c r="A2598" s="16" t="n">
        <v>44570</v>
      </c>
      <c r="B2598" s="17" t="n">
        <v>41838.78</v>
      </c>
    </row>
    <row r="2599" customFormat="false" ht="15" hidden="false" customHeight="false" outlineLevel="0" collapsed="false">
      <c r="A2599" s="16" t="n">
        <v>44571</v>
      </c>
      <c r="B2599" s="17" t="n">
        <v>41872.47</v>
      </c>
    </row>
    <row r="2600" customFormat="false" ht="15" hidden="false" customHeight="false" outlineLevel="0" collapsed="false">
      <c r="A2600" s="16" t="n">
        <v>44572</v>
      </c>
      <c r="B2600" s="17" t="n">
        <v>42771.24</v>
      </c>
    </row>
    <row r="2601" customFormat="false" ht="15" hidden="false" customHeight="false" outlineLevel="0" collapsed="false">
      <c r="A2601" s="16" t="n">
        <v>44573</v>
      </c>
      <c r="B2601" s="17" t="n">
        <v>43884.25</v>
      </c>
    </row>
    <row r="2602" customFormat="false" ht="15" hidden="false" customHeight="false" outlineLevel="0" collapsed="false">
      <c r="A2602" s="16" t="n">
        <v>44574</v>
      </c>
      <c r="B2602" s="17" t="n">
        <v>42617.64</v>
      </c>
    </row>
    <row r="2603" customFormat="false" ht="15" hidden="false" customHeight="false" outlineLevel="0" collapsed="false">
      <c r="A2603" s="16" t="n">
        <v>44575</v>
      </c>
      <c r="B2603" s="17" t="n">
        <v>43158.68</v>
      </c>
    </row>
    <row r="2604" customFormat="false" ht="15" hidden="false" customHeight="false" outlineLevel="0" collapsed="false">
      <c r="A2604" s="16" t="n">
        <v>44576</v>
      </c>
      <c r="B2604" s="17" t="n">
        <v>43082.34</v>
      </c>
    </row>
    <row r="2605" customFormat="false" ht="15" hidden="false" customHeight="false" outlineLevel="0" collapsed="false">
      <c r="A2605" s="16" t="n">
        <v>44577</v>
      </c>
      <c r="B2605" s="17" t="n">
        <v>43137.67</v>
      </c>
    </row>
    <row r="2606" customFormat="false" ht="15" hidden="false" customHeight="false" outlineLevel="0" collapsed="false">
      <c r="A2606" s="16" t="n">
        <v>44578</v>
      </c>
      <c r="B2606" s="17" t="n">
        <v>42285.47</v>
      </c>
    </row>
    <row r="2607" customFormat="false" ht="15" hidden="false" customHeight="false" outlineLevel="0" collapsed="false">
      <c r="A2607" s="16" t="n">
        <v>44579</v>
      </c>
      <c r="B2607" s="17" t="n">
        <v>42411.61</v>
      </c>
    </row>
    <row r="2608" customFormat="false" ht="15" hidden="false" customHeight="false" outlineLevel="0" collapsed="false">
      <c r="A2608" s="16" t="n">
        <v>44580</v>
      </c>
      <c r="B2608" s="17" t="n">
        <v>41723.49</v>
      </c>
    </row>
    <row r="2609" customFormat="false" ht="15" hidden="false" customHeight="false" outlineLevel="0" collapsed="false">
      <c r="A2609" s="16" t="n">
        <v>44581</v>
      </c>
      <c r="B2609" s="17" t="n">
        <v>40696.22</v>
      </c>
    </row>
    <row r="2610" customFormat="false" ht="15" hidden="false" customHeight="false" outlineLevel="0" collapsed="false">
      <c r="A2610" s="16" t="n">
        <v>44582</v>
      </c>
      <c r="B2610" s="17" t="n">
        <v>36513.29</v>
      </c>
    </row>
    <row r="2611" customFormat="false" ht="15" hidden="false" customHeight="false" outlineLevel="0" collapsed="false">
      <c r="A2611" s="16" t="n">
        <v>44583</v>
      </c>
      <c r="B2611" s="17" t="n">
        <v>35108.16</v>
      </c>
    </row>
    <row r="2612" customFormat="false" ht="15" hidden="false" customHeight="false" outlineLevel="0" collapsed="false">
      <c r="A2612" s="16" t="n">
        <v>44584</v>
      </c>
      <c r="B2612" s="17" t="n">
        <v>36233.04</v>
      </c>
    </row>
    <row r="2613" customFormat="false" ht="15" hidden="false" customHeight="false" outlineLevel="0" collapsed="false">
      <c r="A2613" s="16" t="n">
        <v>44585</v>
      </c>
      <c r="B2613" s="17" t="n">
        <v>36643.49</v>
      </c>
    </row>
    <row r="2614" customFormat="false" ht="15" hidden="false" customHeight="false" outlineLevel="0" collapsed="false">
      <c r="A2614" s="16" t="n">
        <v>44586</v>
      </c>
      <c r="B2614" s="17" t="n">
        <v>36976.64</v>
      </c>
    </row>
    <row r="2615" customFormat="false" ht="15" hidden="false" customHeight="false" outlineLevel="0" collapsed="false">
      <c r="A2615" s="16" t="n">
        <v>44587</v>
      </c>
      <c r="B2615" s="17" t="n">
        <v>36838.9</v>
      </c>
    </row>
    <row r="2616" customFormat="false" ht="15" hidden="false" customHeight="false" outlineLevel="0" collapsed="false">
      <c r="A2616" s="16" t="n">
        <v>44588</v>
      </c>
      <c r="B2616" s="17" t="n">
        <v>37139.68</v>
      </c>
    </row>
    <row r="2617" customFormat="false" ht="15" hidden="false" customHeight="false" outlineLevel="0" collapsed="false">
      <c r="A2617" s="16" t="n">
        <v>44589</v>
      </c>
      <c r="B2617" s="17" t="n">
        <v>37677.8</v>
      </c>
    </row>
    <row r="2618" customFormat="false" ht="15" hidden="false" customHeight="false" outlineLevel="0" collapsed="false">
      <c r="A2618" s="16" t="n">
        <v>44590</v>
      </c>
      <c r="B2618" s="17" t="n">
        <v>38166.62</v>
      </c>
    </row>
    <row r="2619" customFormat="false" ht="15" hidden="false" customHeight="false" outlineLevel="0" collapsed="false">
      <c r="A2619" s="16" t="n">
        <v>44591</v>
      </c>
      <c r="B2619" s="17" t="n">
        <v>37918.6</v>
      </c>
    </row>
    <row r="2620" customFormat="false" ht="15" hidden="false" customHeight="false" outlineLevel="0" collapsed="false">
      <c r="A2620" s="16" t="n">
        <v>44592</v>
      </c>
      <c r="B2620" s="17" t="n">
        <v>38430.3</v>
      </c>
    </row>
    <row r="2621" customFormat="false" ht="15" hidden="false" customHeight="false" outlineLevel="0" collapsed="false">
      <c r="A2621" s="16" t="n">
        <v>44593</v>
      </c>
      <c r="B2621" s="17" t="n">
        <v>38745.11</v>
      </c>
    </row>
    <row r="2622" customFormat="false" ht="15" hidden="false" customHeight="false" outlineLevel="0" collapsed="false">
      <c r="A2622" s="16" t="n">
        <v>44594</v>
      </c>
      <c r="B2622" s="17" t="n">
        <v>36905.98</v>
      </c>
    </row>
    <row r="2623" customFormat="false" ht="15" hidden="false" customHeight="false" outlineLevel="0" collapsed="false">
      <c r="A2623" s="16" t="n">
        <v>44595</v>
      </c>
      <c r="B2623" s="17" t="n">
        <v>37238.31</v>
      </c>
    </row>
    <row r="2624" customFormat="false" ht="15" hidden="false" customHeight="false" outlineLevel="0" collapsed="false">
      <c r="A2624" s="16" t="n">
        <v>44596</v>
      </c>
      <c r="B2624" s="17" t="n">
        <v>41545.39</v>
      </c>
    </row>
    <row r="2625" customFormat="false" ht="15" hidden="false" customHeight="false" outlineLevel="0" collapsed="false">
      <c r="A2625" s="16" t="n">
        <v>44597</v>
      </c>
      <c r="B2625" s="17" t="n">
        <v>41447.5</v>
      </c>
    </row>
    <row r="2626" customFormat="false" ht="15" hidden="false" customHeight="false" outlineLevel="0" collapsed="false">
      <c r="A2626" s="16" t="n">
        <v>44598</v>
      </c>
      <c r="B2626" s="17" t="n">
        <v>42496.61</v>
      </c>
    </row>
    <row r="2627" customFormat="false" ht="15" hidden="false" customHeight="false" outlineLevel="0" collapsed="false">
      <c r="A2627" s="16" t="n">
        <v>44599</v>
      </c>
      <c r="B2627" s="17" t="n">
        <v>43897.96</v>
      </c>
    </row>
    <row r="2628" customFormat="false" ht="15" hidden="false" customHeight="false" outlineLevel="0" collapsed="false">
      <c r="A2628" s="16" t="n">
        <v>44600</v>
      </c>
      <c r="B2628" s="17" t="n">
        <v>44147.59</v>
      </c>
    </row>
    <row r="2629" customFormat="false" ht="15" hidden="false" customHeight="false" outlineLevel="0" collapsed="false">
      <c r="A2629" s="16" t="n">
        <v>44601</v>
      </c>
      <c r="B2629" s="17" t="n">
        <v>44402.94</v>
      </c>
    </row>
    <row r="2630" customFormat="false" ht="15" hidden="false" customHeight="false" outlineLevel="0" collapsed="false">
      <c r="A2630" s="16" t="n">
        <v>44602</v>
      </c>
      <c r="B2630" s="17" t="n">
        <v>43477.29</v>
      </c>
    </row>
    <row r="2631" customFormat="false" ht="15" hidden="false" customHeight="false" outlineLevel="0" collapsed="false">
      <c r="A2631" s="16" t="n">
        <v>44603</v>
      </c>
      <c r="B2631" s="17" t="n">
        <v>42391.54</v>
      </c>
    </row>
    <row r="2632" customFormat="false" ht="15" hidden="false" customHeight="false" outlineLevel="0" collapsed="false">
      <c r="A2632" s="16" t="n">
        <v>44604</v>
      </c>
      <c r="B2632" s="17" t="n">
        <v>42217.48</v>
      </c>
    </row>
    <row r="2633" customFormat="false" ht="15" hidden="false" customHeight="false" outlineLevel="0" collapsed="false">
      <c r="A2633" s="16" t="n">
        <v>44605</v>
      </c>
      <c r="B2633" s="17" t="n">
        <v>42097.33</v>
      </c>
    </row>
    <row r="2634" customFormat="false" ht="15" hidden="false" customHeight="false" outlineLevel="0" collapsed="false">
      <c r="A2634" s="16" t="n">
        <v>44606</v>
      </c>
      <c r="B2634" s="17" t="n">
        <v>42572.56</v>
      </c>
    </row>
    <row r="2635" customFormat="false" ht="15" hidden="false" customHeight="false" outlineLevel="0" collapsed="false">
      <c r="A2635" s="16" t="n">
        <v>44607</v>
      </c>
      <c r="B2635" s="17" t="n">
        <v>44469.73</v>
      </c>
    </row>
    <row r="2636" customFormat="false" ht="15" hidden="false" customHeight="false" outlineLevel="0" collapsed="false">
      <c r="A2636" s="16" t="n">
        <v>44608</v>
      </c>
      <c r="B2636" s="17" t="n">
        <v>43897.22</v>
      </c>
    </row>
    <row r="2637" customFormat="false" ht="15" hidden="false" customHeight="false" outlineLevel="0" collapsed="false">
      <c r="A2637" s="16" t="n">
        <v>44609</v>
      </c>
      <c r="B2637" s="17" t="n">
        <v>40553.82</v>
      </c>
    </row>
    <row r="2638" customFormat="false" ht="15" hidden="false" customHeight="false" outlineLevel="0" collapsed="false">
      <c r="A2638" s="16" t="n">
        <v>44610</v>
      </c>
      <c r="B2638" s="17" t="n">
        <v>39993.11</v>
      </c>
    </row>
    <row r="2639" customFormat="false" ht="15" hidden="false" customHeight="false" outlineLevel="0" collapsed="false">
      <c r="A2639" s="16" t="n">
        <v>44611</v>
      </c>
      <c r="B2639" s="17" t="n">
        <v>40089.18</v>
      </c>
    </row>
    <row r="2640" customFormat="false" ht="15" hidden="false" customHeight="false" outlineLevel="0" collapsed="false">
      <c r="A2640" s="16" t="n">
        <v>44612</v>
      </c>
      <c r="B2640" s="17" t="n">
        <v>38426.4</v>
      </c>
    </row>
    <row r="2641" customFormat="false" ht="15" hidden="false" customHeight="false" outlineLevel="0" collapsed="false">
      <c r="A2641" s="16" t="n">
        <v>44613</v>
      </c>
      <c r="B2641" s="17" t="n">
        <v>37075.4</v>
      </c>
    </row>
    <row r="2642" customFormat="false" ht="15" hidden="false" customHeight="false" outlineLevel="0" collapsed="false">
      <c r="A2642" s="16" t="n">
        <v>44614</v>
      </c>
      <c r="B2642" s="17" t="n">
        <v>38261.46</v>
      </c>
    </row>
    <row r="2643" customFormat="false" ht="15" hidden="false" customHeight="false" outlineLevel="0" collapsed="false">
      <c r="A2643" s="16" t="n">
        <v>44615</v>
      </c>
      <c r="B2643" s="17" t="n">
        <v>37225</v>
      </c>
    </row>
    <row r="2644" customFormat="false" ht="15" hidden="false" customHeight="false" outlineLevel="0" collapsed="false">
      <c r="A2644" s="16" t="n">
        <v>44616</v>
      </c>
      <c r="B2644" s="17" t="n">
        <v>38367.61</v>
      </c>
    </row>
    <row r="2645" customFormat="false" ht="15" hidden="false" customHeight="false" outlineLevel="0" collapsed="false">
      <c r="A2645" s="16" t="n">
        <v>44617</v>
      </c>
      <c r="B2645" s="17" t="n">
        <v>39212.8</v>
      </c>
    </row>
    <row r="2646" customFormat="false" ht="15" hidden="false" customHeight="false" outlineLevel="0" collapsed="false">
      <c r="A2646" s="16" t="n">
        <v>44618</v>
      </c>
      <c r="B2646" s="17" t="n">
        <v>39138.21</v>
      </c>
    </row>
    <row r="2647" customFormat="false" ht="15" hidden="false" customHeight="false" outlineLevel="0" collapsed="false">
      <c r="A2647" s="16" t="n">
        <v>44619</v>
      </c>
      <c r="B2647" s="17" t="n">
        <v>37700</v>
      </c>
    </row>
    <row r="2648" customFormat="false" ht="15" hidden="false" customHeight="false" outlineLevel="0" collapsed="false">
      <c r="A2648" s="16" t="n">
        <v>44620</v>
      </c>
      <c r="B2648" s="17" t="n">
        <v>43206.02</v>
      </c>
    </row>
    <row r="2649" customFormat="false" ht="15" hidden="false" customHeight="false" outlineLevel="0" collapsed="false">
      <c r="A2649" s="16" t="n">
        <v>44621</v>
      </c>
      <c r="B2649" s="17" t="n">
        <v>44412.2</v>
      </c>
    </row>
    <row r="2650" customFormat="false" ht="15" hidden="false" customHeight="false" outlineLevel="0" collapsed="false">
      <c r="A2650" s="16" t="n">
        <v>44622</v>
      </c>
      <c r="B2650" s="17" t="n">
        <v>43862.75</v>
      </c>
    </row>
    <row r="2651" customFormat="false" ht="15" hidden="false" customHeight="false" outlineLevel="0" collapsed="false">
      <c r="A2651" s="16" t="n">
        <v>44623</v>
      </c>
      <c r="B2651" s="17" t="n">
        <v>42432</v>
      </c>
    </row>
    <row r="2652" customFormat="false" ht="15" hidden="false" customHeight="false" outlineLevel="0" collapsed="false">
      <c r="A2652" s="16" t="n">
        <v>44624</v>
      </c>
      <c r="B2652" s="17" t="n">
        <v>39205.77</v>
      </c>
    </row>
    <row r="2653" customFormat="false" ht="15" hidden="false" customHeight="false" outlineLevel="0" collapsed="false">
      <c r="A2653" s="16" t="n">
        <v>44625</v>
      </c>
      <c r="B2653" s="17" t="n">
        <v>39390.89</v>
      </c>
    </row>
    <row r="2654" customFormat="false" ht="15" hidden="false" customHeight="false" outlineLevel="0" collapsed="false">
      <c r="A2654" s="16" t="n">
        <v>44626</v>
      </c>
      <c r="B2654" s="17" t="n">
        <v>38432.11</v>
      </c>
    </row>
    <row r="2655" customFormat="false" ht="15" hidden="false" customHeight="false" outlineLevel="0" collapsed="false">
      <c r="A2655" s="16" t="n">
        <v>44627</v>
      </c>
      <c r="B2655" s="17" t="n">
        <v>38004.69</v>
      </c>
    </row>
    <row r="2656" customFormat="false" ht="15" hidden="false" customHeight="false" outlineLevel="0" collapsed="false">
      <c r="A2656" s="16" t="n">
        <v>44628</v>
      </c>
      <c r="B2656" s="17" t="n">
        <v>38724.21</v>
      </c>
    </row>
    <row r="2657" customFormat="false" ht="15" hidden="false" customHeight="false" outlineLevel="0" collapsed="false">
      <c r="A2657" s="16" t="n">
        <v>44629</v>
      </c>
      <c r="B2657" s="17" t="n">
        <v>41985.86</v>
      </c>
    </row>
    <row r="2658" customFormat="false" ht="15" hidden="false" customHeight="false" outlineLevel="0" collapsed="false">
      <c r="A2658" s="16" t="n">
        <v>44630</v>
      </c>
      <c r="B2658" s="17" t="n">
        <v>39454.87</v>
      </c>
    </row>
    <row r="2659" customFormat="false" ht="15" hidden="false" customHeight="false" outlineLevel="0" collapsed="false">
      <c r="A2659" s="16" t="n">
        <v>44631</v>
      </c>
      <c r="B2659" s="17" t="n">
        <v>38670.76</v>
      </c>
    </row>
    <row r="2660" customFormat="false" ht="15" hidden="false" customHeight="false" outlineLevel="0" collapsed="false">
      <c r="A2660" s="16" t="n">
        <v>44632</v>
      </c>
      <c r="B2660" s="17" t="n">
        <v>38767.98</v>
      </c>
    </row>
    <row r="2661" customFormat="false" ht="15" hidden="false" customHeight="false" outlineLevel="0" collapsed="false">
      <c r="A2661" s="16" t="n">
        <v>44633</v>
      </c>
      <c r="B2661" s="17" t="n">
        <v>37780.14</v>
      </c>
    </row>
    <row r="2662" customFormat="false" ht="15" hidden="false" customHeight="false" outlineLevel="0" collapsed="false">
      <c r="A2662" s="16" t="n">
        <v>44634</v>
      </c>
      <c r="B2662" s="17" t="n">
        <v>39644.88</v>
      </c>
    </row>
    <row r="2663" customFormat="false" ht="15" hidden="false" customHeight="false" outlineLevel="0" collapsed="false">
      <c r="A2663" s="16" t="n">
        <v>44635</v>
      </c>
      <c r="B2663" s="17" t="n">
        <v>39361.36</v>
      </c>
    </row>
    <row r="2664" customFormat="false" ht="15" hidden="false" customHeight="false" outlineLevel="0" collapsed="false">
      <c r="A2664" s="16" t="n">
        <v>44636</v>
      </c>
      <c r="B2664" s="17" t="n">
        <v>41109.85</v>
      </c>
    </row>
    <row r="2665" customFormat="false" ht="15" hidden="false" customHeight="false" outlineLevel="0" collapsed="false">
      <c r="A2665" s="16" t="n">
        <v>44637</v>
      </c>
      <c r="B2665" s="17" t="n">
        <v>40964.07</v>
      </c>
    </row>
    <row r="2666" customFormat="false" ht="15" hidden="false" customHeight="false" outlineLevel="0" collapsed="false">
      <c r="A2666" s="16" t="n">
        <v>44638</v>
      </c>
      <c r="B2666" s="17" t="n">
        <v>41806.03</v>
      </c>
    </row>
    <row r="2667" customFormat="false" ht="15" hidden="false" customHeight="false" outlineLevel="0" collapsed="false">
      <c r="A2667" s="16" t="n">
        <v>44639</v>
      </c>
      <c r="B2667" s="17" t="n">
        <v>42219.55</v>
      </c>
    </row>
    <row r="2668" customFormat="false" ht="15" hidden="false" customHeight="false" outlineLevel="0" collapsed="false">
      <c r="A2668" s="16" t="n">
        <v>44640</v>
      </c>
      <c r="B2668" s="17" t="n">
        <v>41271.13</v>
      </c>
    </row>
    <row r="2669" customFormat="false" ht="15" hidden="false" customHeight="false" outlineLevel="0" collapsed="false">
      <c r="A2669" s="16" t="n">
        <v>44641</v>
      </c>
      <c r="B2669" s="17" t="n">
        <v>41009.98</v>
      </c>
    </row>
    <row r="2670" customFormat="false" ht="15" hidden="false" customHeight="false" outlineLevel="0" collapsed="false">
      <c r="A2670" s="16" t="n">
        <v>44642</v>
      </c>
      <c r="B2670" s="17" t="n">
        <v>42359.88</v>
      </c>
    </row>
    <row r="2671" customFormat="false" ht="15" hidden="false" customHeight="false" outlineLevel="0" collapsed="false">
      <c r="A2671" s="16" t="n">
        <v>44643</v>
      </c>
      <c r="B2671" s="17" t="n">
        <v>42940.28</v>
      </c>
    </row>
    <row r="2672" customFormat="false" ht="15" hidden="false" customHeight="false" outlineLevel="0" collapsed="false">
      <c r="A2672" s="16" t="n">
        <v>44644</v>
      </c>
      <c r="B2672" s="17" t="n">
        <v>43979.48</v>
      </c>
    </row>
    <row r="2673" customFormat="false" ht="15" hidden="false" customHeight="false" outlineLevel="0" collapsed="false">
      <c r="A2673" s="16" t="n">
        <v>44645</v>
      </c>
      <c r="B2673" s="17" t="n">
        <v>44355.11</v>
      </c>
    </row>
    <row r="2674" customFormat="false" ht="15" hidden="false" customHeight="false" outlineLevel="0" collapsed="false">
      <c r="A2674" s="16" t="n">
        <v>44646</v>
      </c>
      <c r="B2674" s="17" t="n">
        <v>44548.42</v>
      </c>
    </row>
    <row r="2675" customFormat="false" ht="15" hidden="false" customHeight="false" outlineLevel="0" collapsed="false">
      <c r="A2675" s="16" t="n">
        <v>44647</v>
      </c>
      <c r="B2675" s="17" t="n">
        <v>46819.78</v>
      </c>
    </row>
    <row r="2676" customFormat="false" ht="15" hidden="false" customHeight="false" outlineLevel="0" collapsed="false">
      <c r="A2676" s="16" t="n">
        <v>44648</v>
      </c>
      <c r="B2676" s="17" t="n">
        <v>47191.31</v>
      </c>
    </row>
    <row r="2677" customFormat="false" ht="15" hidden="false" customHeight="false" outlineLevel="0" collapsed="false">
      <c r="A2677" s="16" t="n">
        <v>44649</v>
      </c>
      <c r="B2677" s="17" t="n">
        <v>47430.74</v>
      </c>
    </row>
    <row r="2678" customFormat="false" ht="15" hidden="false" customHeight="false" outlineLevel="0" collapsed="false">
      <c r="A2678" s="16" t="n">
        <v>44650</v>
      </c>
      <c r="B2678" s="17" t="n">
        <v>47022.82</v>
      </c>
    </row>
    <row r="2679" customFormat="false" ht="15" hidden="false" customHeight="false" outlineLevel="0" collapsed="false">
      <c r="A2679" s="16" t="n">
        <v>44651</v>
      </c>
      <c r="B2679" s="17" t="n">
        <v>45475.83</v>
      </c>
    </row>
    <row r="2680" customFormat="false" ht="15" hidden="false" customHeight="false" outlineLevel="0" collapsed="false">
      <c r="A2680" s="16" t="n">
        <v>44652</v>
      </c>
      <c r="B2680" s="17" t="n">
        <v>46222.43</v>
      </c>
    </row>
    <row r="2681" customFormat="false" ht="15" hidden="false" customHeight="false" outlineLevel="0" collapsed="false">
      <c r="A2681" s="16" t="n">
        <v>44653</v>
      </c>
      <c r="B2681" s="17" t="n">
        <v>45871.46</v>
      </c>
    </row>
    <row r="2682" customFormat="false" ht="15" hidden="false" customHeight="false" outlineLevel="0" collapsed="false">
      <c r="A2682" s="16" t="n">
        <v>44654</v>
      </c>
      <c r="B2682" s="17" t="n">
        <v>46358.05</v>
      </c>
    </row>
    <row r="2683" customFormat="false" ht="15" hidden="false" customHeight="false" outlineLevel="0" collapsed="false">
      <c r="A2683" s="16" t="n">
        <v>44655</v>
      </c>
      <c r="B2683" s="17" t="n">
        <v>46568.89</v>
      </c>
    </row>
    <row r="2684" customFormat="false" ht="15" hidden="false" customHeight="false" outlineLevel="0" collapsed="false">
      <c r="A2684" s="16" t="n">
        <v>44656</v>
      </c>
      <c r="B2684" s="17" t="n">
        <v>45449.25</v>
      </c>
    </row>
    <row r="2685" customFormat="false" ht="15" hidden="false" customHeight="false" outlineLevel="0" collapsed="false">
      <c r="A2685" s="16" t="n">
        <v>44657</v>
      </c>
      <c r="B2685" s="17" t="n">
        <v>43206.04</v>
      </c>
    </row>
    <row r="2686" customFormat="false" ht="15" hidden="false" customHeight="false" outlineLevel="0" collapsed="false">
      <c r="A2686" s="16" t="n">
        <v>44658</v>
      </c>
      <c r="B2686" s="17" t="n">
        <v>43432.08</v>
      </c>
    </row>
    <row r="2687" customFormat="false" ht="15" hidden="false" customHeight="false" outlineLevel="0" collapsed="false">
      <c r="A2687" s="16" t="n">
        <v>44659</v>
      </c>
      <c r="B2687" s="17" t="n">
        <v>42281.5</v>
      </c>
    </row>
    <row r="2688" customFormat="false" ht="15" hidden="false" customHeight="false" outlineLevel="0" collapsed="false">
      <c r="A2688" s="16" t="n">
        <v>44660</v>
      </c>
      <c r="B2688" s="17" t="n">
        <v>42773.37</v>
      </c>
    </row>
    <row r="2689" customFormat="false" ht="15" hidden="false" customHeight="false" outlineLevel="0" collapsed="false">
      <c r="A2689" s="16" t="n">
        <v>44661</v>
      </c>
      <c r="B2689" s="17" t="n">
        <v>42177.2</v>
      </c>
    </row>
    <row r="2690" customFormat="false" ht="15" hidden="false" customHeight="false" outlineLevel="0" collapsed="false">
      <c r="A2690" s="16" t="n">
        <v>44662</v>
      </c>
      <c r="B2690" s="17" t="n">
        <v>39615.2</v>
      </c>
    </row>
    <row r="2691" customFormat="false" ht="15" hidden="false" customHeight="false" outlineLevel="0" collapsed="false">
      <c r="A2691" s="16" t="n">
        <v>44663</v>
      </c>
      <c r="B2691" s="17" t="n">
        <v>40105.2</v>
      </c>
    </row>
    <row r="2692" customFormat="false" ht="15" hidden="false" customHeight="false" outlineLevel="0" collapsed="false">
      <c r="A2692" s="16" t="n">
        <v>44664</v>
      </c>
      <c r="B2692" s="17" t="n">
        <v>41101.04</v>
      </c>
    </row>
    <row r="2693" customFormat="false" ht="15" hidden="false" customHeight="false" outlineLevel="0" collapsed="false">
      <c r="A2693" s="16" t="n">
        <v>44665</v>
      </c>
      <c r="B2693" s="17" t="n">
        <v>39910.05</v>
      </c>
    </row>
    <row r="2694" customFormat="false" ht="15" hidden="false" customHeight="false" outlineLevel="0" collapsed="false">
      <c r="A2694" s="16" t="n">
        <v>44666</v>
      </c>
      <c r="B2694" s="17" t="n">
        <v>40566.6</v>
      </c>
    </row>
    <row r="2695" customFormat="false" ht="15" hidden="false" customHeight="false" outlineLevel="0" collapsed="false">
      <c r="A2695" s="16" t="n">
        <v>44667</v>
      </c>
      <c r="B2695" s="17" t="n">
        <v>40378.25</v>
      </c>
    </row>
    <row r="2696" customFormat="false" ht="15" hidden="false" customHeight="false" outlineLevel="0" collapsed="false">
      <c r="A2696" s="16" t="n">
        <v>44668</v>
      </c>
      <c r="B2696" s="17" t="n">
        <v>39670.73</v>
      </c>
    </row>
    <row r="2697" customFormat="false" ht="15" hidden="false" customHeight="false" outlineLevel="0" collapsed="false">
      <c r="A2697" s="16" t="n">
        <v>44669</v>
      </c>
      <c r="B2697" s="17" t="n">
        <v>40817.48</v>
      </c>
    </row>
    <row r="2698" customFormat="false" ht="15" hidden="false" customHeight="false" outlineLevel="0" collapsed="false">
      <c r="A2698" s="16" t="n">
        <v>44670</v>
      </c>
      <c r="B2698" s="17" t="n">
        <v>41480.25</v>
      </c>
    </row>
    <row r="2699" customFormat="false" ht="15" hidden="false" customHeight="false" outlineLevel="0" collapsed="false">
      <c r="A2699" s="16" t="n">
        <v>44671</v>
      </c>
      <c r="B2699" s="17" t="n">
        <v>41350.25</v>
      </c>
    </row>
    <row r="2700" customFormat="false" ht="15" hidden="false" customHeight="false" outlineLevel="0" collapsed="false">
      <c r="A2700" s="16" t="n">
        <v>44672</v>
      </c>
      <c r="B2700" s="17" t="n">
        <v>40464.52</v>
      </c>
    </row>
    <row r="2701" customFormat="false" ht="15" hidden="false" customHeight="false" outlineLevel="0" collapsed="false">
      <c r="A2701" s="16" t="n">
        <v>44673</v>
      </c>
      <c r="B2701" s="17" t="n">
        <v>39708.2</v>
      </c>
    </row>
    <row r="2702" customFormat="false" ht="15" hidden="false" customHeight="false" outlineLevel="0" collapsed="false">
      <c r="A2702" s="16" t="n">
        <v>44674</v>
      </c>
      <c r="B2702" s="17" t="n">
        <v>39468.1</v>
      </c>
    </row>
    <row r="2703" customFormat="false" ht="15" hidden="false" customHeight="false" outlineLevel="0" collapsed="false">
      <c r="A2703" s="16" t="n">
        <v>44675</v>
      </c>
      <c r="B2703" s="17" t="n">
        <v>39489.71</v>
      </c>
    </row>
    <row r="2704" customFormat="false" ht="15" hidden="false" customHeight="false" outlineLevel="0" collapsed="false">
      <c r="A2704" s="16" t="n">
        <v>44676</v>
      </c>
      <c r="B2704" s="17" t="n">
        <v>40490.41</v>
      </c>
    </row>
    <row r="2705" customFormat="false" ht="15" hidden="false" customHeight="false" outlineLevel="0" collapsed="false">
      <c r="A2705" s="16" t="n">
        <v>44677</v>
      </c>
      <c r="B2705" s="17" t="n">
        <v>38102.78</v>
      </c>
    </row>
    <row r="2706" customFormat="false" ht="15" hidden="false" customHeight="false" outlineLevel="0" collapsed="false">
      <c r="A2706" s="16" t="n">
        <v>44678</v>
      </c>
      <c r="B2706" s="17" t="n">
        <v>39188.42</v>
      </c>
    </row>
    <row r="2707" customFormat="false" ht="15" hidden="false" customHeight="false" outlineLevel="0" collapsed="false">
      <c r="A2707" s="16" t="n">
        <v>44679</v>
      </c>
      <c r="B2707" s="17" t="n">
        <v>39737.71</v>
      </c>
    </row>
    <row r="2708" customFormat="false" ht="15" hidden="false" customHeight="false" outlineLevel="0" collapsed="false">
      <c r="A2708" s="16" t="n">
        <v>44680</v>
      </c>
      <c r="B2708" s="17" t="n">
        <v>38597.17</v>
      </c>
    </row>
    <row r="2709" customFormat="false" ht="15" hidden="false" customHeight="false" outlineLevel="0" collapsed="false">
      <c r="A2709" s="16" t="n">
        <v>44681</v>
      </c>
      <c r="B2709" s="17" t="n">
        <v>37658.53</v>
      </c>
    </row>
    <row r="2710" customFormat="false" ht="15" hidden="false" customHeight="false" outlineLevel="0" collapsed="false">
      <c r="A2710" s="16" t="n">
        <v>44682</v>
      </c>
      <c r="B2710" s="17" t="n">
        <v>38496.42</v>
      </c>
    </row>
    <row r="2711" customFormat="false" ht="15" hidden="false" customHeight="false" outlineLevel="0" collapsed="false">
      <c r="A2711" s="16" t="n">
        <v>44683</v>
      </c>
      <c r="B2711" s="17" t="n">
        <v>38488.36</v>
      </c>
    </row>
    <row r="2712" customFormat="false" ht="15" hidden="false" customHeight="false" outlineLevel="0" collapsed="false">
      <c r="A2712" s="16" t="n">
        <v>44684</v>
      </c>
      <c r="B2712" s="17" t="n">
        <v>37708.41</v>
      </c>
    </row>
    <row r="2713" customFormat="false" ht="15" hidden="false" customHeight="false" outlineLevel="0" collapsed="false">
      <c r="A2713" s="16" t="n">
        <v>44685</v>
      </c>
      <c r="B2713" s="17" t="n">
        <v>39671.83</v>
      </c>
    </row>
    <row r="2714" customFormat="false" ht="15" hidden="false" customHeight="false" outlineLevel="0" collapsed="false">
      <c r="A2714" s="16" t="n">
        <v>44686</v>
      </c>
      <c r="B2714" s="17" t="n">
        <v>36516.79</v>
      </c>
    </row>
    <row r="2715" customFormat="false" ht="15" hidden="false" customHeight="false" outlineLevel="0" collapsed="false">
      <c r="A2715" s="16" t="n">
        <v>44687</v>
      </c>
      <c r="B2715" s="17" t="n">
        <v>36013.22</v>
      </c>
    </row>
    <row r="2716" customFormat="false" ht="15" hidden="false" customHeight="false" outlineLevel="0" collapsed="false">
      <c r="A2716" s="16" t="n">
        <v>44688</v>
      </c>
      <c r="B2716" s="17" t="n">
        <v>35445.54</v>
      </c>
    </row>
    <row r="2717" customFormat="false" ht="15" hidden="false" customHeight="false" outlineLevel="0" collapsed="false">
      <c r="A2717" s="16" t="n">
        <v>44689</v>
      </c>
      <c r="B2717" s="17" t="n">
        <v>34089.76</v>
      </c>
    </row>
    <row r="2718" customFormat="false" ht="15" hidden="false" customHeight="false" outlineLevel="0" collapsed="false">
      <c r="A2718" s="16" t="n">
        <v>44690</v>
      </c>
      <c r="B2718" s="17" t="n">
        <v>30176.73</v>
      </c>
    </row>
    <row r="2719" customFormat="false" ht="15" hidden="false" customHeight="false" outlineLevel="0" collapsed="false">
      <c r="A2719" s="16" t="n">
        <v>44691</v>
      </c>
      <c r="B2719" s="17" t="n">
        <v>30961.83</v>
      </c>
    </row>
    <row r="2720" customFormat="false" ht="15" hidden="false" customHeight="false" outlineLevel="0" collapsed="false">
      <c r="A2720" s="16" t="n">
        <v>44692</v>
      </c>
      <c r="B2720" s="17" t="n">
        <v>29027.82</v>
      </c>
    </row>
    <row r="2721" customFormat="false" ht="15" hidden="false" customHeight="false" outlineLevel="0" collapsed="false">
      <c r="A2721" s="16" t="n">
        <v>44693</v>
      </c>
      <c r="B2721" s="17" t="n">
        <v>28959.93</v>
      </c>
    </row>
    <row r="2722" customFormat="false" ht="15" hidden="false" customHeight="false" outlineLevel="0" collapsed="false">
      <c r="A2722" s="16" t="n">
        <v>44694</v>
      </c>
      <c r="B2722" s="17" t="n">
        <v>29292.4</v>
      </c>
    </row>
    <row r="2723" customFormat="false" ht="15" hidden="false" customHeight="false" outlineLevel="0" collapsed="false">
      <c r="A2723" s="16" t="n">
        <v>44695</v>
      </c>
      <c r="B2723" s="17" t="n">
        <v>30012.62</v>
      </c>
    </row>
    <row r="2724" customFormat="false" ht="15" hidden="false" customHeight="false" outlineLevel="0" collapsed="false">
      <c r="A2724" s="16" t="n">
        <v>44696</v>
      </c>
      <c r="B2724" s="17" t="n">
        <v>31258.75</v>
      </c>
    </row>
    <row r="2725" customFormat="false" ht="15" hidden="false" customHeight="false" outlineLevel="0" collapsed="false">
      <c r="A2725" s="16" t="n">
        <v>44697</v>
      </c>
      <c r="B2725" s="17" t="n">
        <v>29854.67</v>
      </c>
    </row>
    <row r="2726" customFormat="false" ht="15" hidden="false" customHeight="false" outlineLevel="0" collapsed="false">
      <c r="A2726" s="16" t="n">
        <v>44698</v>
      </c>
      <c r="B2726" s="17" t="n">
        <v>30391.04</v>
      </c>
    </row>
    <row r="2727" customFormat="false" ht="15" hidden="false" customHeight="false" outlineLevel="0" collapsed="false">
      <c r="A2727" s="16" t="n">
        <v>44699</v>
      </c>
      <c r="B2727" s="17" t="n">
        <v>28762.93</v>
      </c>
    </row>
    <row r="2728" customFormat="false" ht="15" hidden="false" customHeight="false" outlineLevel="0" collapsed="false">
      <c r="A2728" s="16" t="n">
        <v>44700</v>
      </c>
      <c r="B2728" s="17" t="n">
        <v>30258.84</v>
      </c>
    </row>
    <row r="2729" customFormat="false" ht="15" hidden="false" customHeight="false" outlineLevel="0" collapsed="false">
      <c r="A2729" s="16" t="n">
        <v>44701</v>
      </c>
      <c r="B2729" s="17" t="n">
        <v>29138.15</v>
      </c>
    </row>
    <row r="2730" customFormat="false" ht="15" hidden="false" customHeight="false" outlineLevel="0" collapsed="false">
      <c r="A2730" s="16" t="n">
        <v>44702</v>
      </c>
      <c r="B2730" s="17" t="n">
        <v>29426.6</v>
      </c>
    </row>
    <row r="2731" customFormat="false" ht="15" hidden="false" customHeight="false" outlineLevel="0" collapsed="false">
      <c r="A2731" s="16" t="n">
        <v>44703</v>
      </c>
      <c r="B2731" s="17" t="n">
        <v>30221.12</v>
      </c>
    </row>
    <row r="2732" customFormat="false" ht="15" hidden="false" customHeight="false" outlineLevel="0" collapsed="false">
      <c r="A2732" s="16" t="n">
        <v>44704</v>
      </c>
      <c r="B2732" s="17" t="n">
        <v>29095.68</v>
      </c>
    </row>
    <row r="2733" customFormat="false" ht="15" hidden="false" customHeight="false" outlineLevel="0" collapsed="false">
      <c r="A2733" s="16" t="n">
        <v>44705</v>
      </c>
      <c r="B2733" s="17" t="n">
        <v>29605.66</v>
      </c>
    </row>
    <row r="2734" customFormat="false" ht="15" hidden="false" customHeight="false" outlineLevel="0" collapsed="false">
      <c r="A2734" s="16" t="n">
        <v>44706</v>
      </c>
      <c r="B2734" s="17" t="n">
        <v>29487.83</v>
      </c>
    </row>
    <row r="2735" customFormat="false" ht="15" hidden="false" customHeight="false" outlineLevel="0" collapsed="false">
      <c r="A2735" s="16" t="n">
        <v>44707</v>
      </c>
      <c r="B2735" s="17" t="n">
        <v>29160.96</v>
      </c>
    </row>
    <row r="2736" customFormat="false" ht="15" hidden="false" customHeight="false" outlineLevel="0" collapsed="false">
      <c r="A2736" s="16" t="n">
        <v>44708</v>
      </c>
      <c r="B2736" s="17" t="n">
        <v>28608.55</v>
      </c>
    </row>
    <row r="2737" customFormat="false" ht="15" hidden="false" customHeight="false" outlineLevel="0" collapsed="false">
      <c r="A2737" s="16" t="n">
        <v>44709</v>
      </c>
      <c r="B2737" s="17" t="n">
        <v>28974.3</v>
      </c>
    </row>
    <row r="2738" customFormat="false" ht="15" hidden="false" customHeight="false" outlineLevel="0" collapsed="false">
      <c r="A2738" s="16" t="n">
        <v>44710</v>
      </c>
      <c r="B2738" s="17" t="n">
        <v>29441.17</v>
      </c>
    </row>
    <row r="2739" customFormat="false" ht="15" hidden="false" customHeight="false" outlineLevel="0" collapsed="false">
      <c r="A2739" s="16" t="n">
        <v>44711</v>
      </c>
      <c r="B2739" s="17" t="n">
        <v>31691.54</v>
      </c>
    </row>
    <row r="2740" customFormat="false" ht="15" hidden="false" customHeight="false" outlineLevel="0" collapsed="false">
      <c r="A2740" s="16" t="n">
        <v>44712</v>
      </c>
      <c r="B2740" s="17" t="n">
        <v>31804.27</v>
      </c>
    </row>
    <row r="2741" customFormat="false" ht="15" hidden="false" customHeight="false" outlineLevel="0" collapsed="false">
      <c r="A2741" s="16" t="n">
        <v>44713</v>
      </c>
      <c r="B2741" s="17" t="n">
        <v>29779.16</v>
      </c>
    </row>
    <row r="2742" customFormat="false" ht="15" hidden="false" customHeight="false" outlineLevel="0" collapsed="false">
      <c r="A2742" s="16" t="n">
        <v>44714</v>
      </c>
      <c r="B2742" s="17" t="n">
        <v>30428.98</v>
      </c>
    </row>
    <row r="2743" customFormat="false" ht="15" hidden="false" customHeight="false" outlineLevel="0" collapsed="false">
      <c r="A2743" s="16" t="n">
        <v>44715</v>
      </c>
      <c r="B2743" s="17" t="n">
        <v>29684.67</v>
      </c>
    </row>
    <row r="2744" customFormat="false" ht="15" hidden="false" customHeight="false" outlineLevel="0" collapsed="false">
      <c r="A2744" s="16" t="n">
        <v>44716</v>
      </c>
      <c r="B2744" s="17" t="n">
        <v>29832.02</v>
      </c>
    </row>
    <row r="2745" customFormat="false" ht="15" hidden="false" customHeight="false" outlineLevel="0" collapsed="false">
      <c r="A2745" s="16" t="n">
        <v>44717</v>
      </c>
      <c r="B2745" s="17" t="n">
        <v>29893.98</v>
      </c>
    </row>
    <row r="2746" customFormat="false" ht="15" hidden="false" customHeight="false" outlineLevel="0" collapsed="false">
      <c r="A2746" s="16" t="n">
        <v>44718</v>
      </c>
      <c r="B2746" s="17" t="n">
        <v>31324.88</v>
      </c>
    </row>
    <row r="2747" customFormat="false" ht="15" hidden="false" customHeight="false" outlineLevel="0" collapsed="false">
      <c r="A2747" s="16" t="n">
        <v>44719</v>
      </c>
      <c r="B2747" s="17" t="n">
        <v>31073.76</v>
      </c>
    </row>
    <row r="2748" customFormat="false" ht="15" hidden="false" customHeight="false" outlineLevel="0" collapsed="false">
      <c r="A2748" s="16" t="n">
        <v>44720</v>
      </c>
      <c r="B2748" s="17" t="n">
        <v>30195.33</v>
      </c>
    </row>
    <row r="2749" customFormat="false" ht="15" hidden="false" customHeight="false" outlineLevel="0" collapsed="false">
      <c r="A2749" s="16" t="n">
        <v>44721</v>
      </c>
      <c r="B2749" s="17" t="n">
        <v>30070.71</v>
      </c>
    </row>
    <row r="2750" customFormat="false" ht="15" hidden="false" customHeight="false" outlineLevel="0" collapsed="false">
      <c r="A2750" s="16" t="n">
        <v>44722</v>
      </c>
      <c r="B2750" s="17" t="n">
        <v>29061.88</v>
      </c>
    </row>
    <row r="2751" customFormat="false" ht="15" hidden="false" customHeight="false" outlineLevel="0" collapsed="false">
      <c r="A2751" s="16" t="n">
        <v>44723</v>
      </c>
      <c r="B2751" s="17" t="n">
        <v>28381.45</v>
      </c>
    </row>
    <row r="2752" customFormat="false" ht="15" hidden="false" customHeight="false" outlineLevel="0" collapsed="false">
      <c r="A2752" s="16" t="n">
        <v>44724</v>
      </c>
      <c r="B2752" s="17" t="n">
        <v>26633.35</v>
      </c>
    </row>
    <row r="2753" customFormat="false" ht="15" hidden="false" customHeight="false" outlineLevel="0" collapsed="false">
      <c r="A2753" s="16" t="n">
        <v>44725</v>
      </c>
      <c r="B2753" s="17" t="n">
        <v>22333</v>
      </c>
    </row>
    <row r="2754" customFormat="false" ht="15" hidden="false" customHeight="false" outlineLevel="0" collapsed="false">
      <c r="A2754" s="16" t="n">
        <v>44726</v>
      </c>
      <c r="B2754" s="17" t="n">
        <v>22122.57</v>
      </c>
    </row>
    <row r="2755" customFormat="false" ht="15" hidden="false" customHeight="false" outlineLevel="0" collapsed="false">
      <c r="A2755" s="16" t="n">
        <v>44727</v>
      </c>
      <c r="B2755" s="17" t="n">
        <v>22544.07</v>
      </c>
    </row>
    <row r="2756" customFormat="false" ht="15" hidden="false" customHeight="false" outlineLevel="0" collapsed="false">
      <c r="A2756" s="16" t="n">
        <v>44728</v>
      </c>
      <c r="B2756" s="17" t="n">
        <v>20336.62</v>
      </c>
    </row>
    <row r="2757" customFormat="false" ht="15" hidden="false" customHeight="false" outlineLevel="0" collapsed="false">
      <c r="A2757" s="16" t="n">
        <v>44729</v>
      </c>
      <c r="B2757" s="17" t="n">
        <v>20421.22</v>
      </c>
    </row>
    <row r="2758" customFormat="false" ht="15" hidden="false" customHeight="false" outlineLevel="0" collapsed="false">
      <c r="A2758" s="16" t="n">
        <v>44730</v>
      </c>
      <c r="B2758" s="17" t="n">
        <v>18989.21</v>
      </c>
    </row>
    <row r="2759" customFormat="false" ht="15" hidden="false" customHeight="false" outlineLevel="0" collapsed="false">
      <c r="A2759" s="16" t="n">
        <v>44731</v>
      </c>
      <c r="B2759" s="17" t="n">
        <v>20520.28</v>
      </c>
    </row>
    <row r="2760" customFormat="false" ht="15" hidden="false" customHeight="false" outlineLevel="0" collapsed="false">
      <c r="A2760" s="16" t="n">
        <v>44732</v>
      </c>
      <c r="B2760" s="17" t="n">
        <v>20534.33</v>
      </c>
    </row>
    <row r="2761" customFormat="false" ht="15" hidden="false" customHeight="false" outlineLevel="0" collapsed="false">
      <c r="A2761" s="16" t="n">
        <v>44733</v>
      </c>
      <c r="B2761" s="17" t="n">
        <v>20675.12</v>
      </c>
    </row>
    <row r="2762" customFormat="false" ht="15" hidden="false" customHeight="false" outlineLevel="0" collapsed="false">
      <c r="A2762" s="16" t="n">
        <v>44734</v>
      </c>
      <c r="B2762" s="17" t="n">
        <v>19997.23</v>
      </c>
    </row>
    <row r="2763" customFormat="false" ht="15" hidden="false" customHeight="false" outlineLevel="0" collapsed="false">
      <c r="A2763" s="16" t="n">
        <v>44735</v>
      </c>
      <c r="B2763" s="17" t="n">
        <v>21121.55</v>
      </c>
    </row>
    <row r="2764" customFormat="false" ht="15" hidden="false" customHeight="false" outlineLevel="0" collapsed="false">
      <c r="A2764" s="16" t="n">
        <v>44736</v>
      </c>
      <c r="B2764" s="17" t="n">
        <v>21206.32</v>
      </c>
    </row>
    <row r="2765" customFormat="false" ht="15" hidden="false" customHeight="false" outlineLevel="0" collapsed="false">
      <c r="A2765" s="16" t="n">
        <v>44737</v>
      </c>
      <c r="B2765" s="17" t="n">
        <v>21474.76</v>
      </c>
    </row>
    <row r="2766" customFormat="false" ht="15" hidden="false" customHeight="false" outlineLevel="0" collapsed="false">
      <c r="A2766" s="16" t="n">
        <v>44738</v>
      </c>
      <c r="B2766" s="17" t="n">
        <v>21025.22</v>
      </c>
    </row>
    <row r="2767" customFormat="false" ht="15" hidden="false" customHeight="false" outlineLevel="0" collapsed="false">
      <c r="A2767" s="16" t="n">
        <v>44739</v>
      </c>
      <c r="B2767" s="17" t="n">
        <v>20718.74</v>
      </c>
    </row>
    <row r="2768" customFormat="false" ht="15" hidden="false" customHeight="false" outlineLevel="0" collapsed="false">
      <c r="A2768" s="16" t="n">
        <v>44740</v>
      </c>
      <c r="B2768" s="17" t="n">
        <v>20251.34</v>
      </c>
    </row>
    <row r="2769" customFormat="false" ht="15" hidden="false" customHeight="false" outlineLevel="0" collapsed="false">
      <c r="A2769" s="16" t="n">
        <v>44741</v>
      </c>
      <c r="B2769" s="17" t="n">
        <v>20094.43</v>
      </c>
    </row>
    <row r="2770" customFormat="false" ht="15" hidden="false" customHeight="false" outlineLevel="0" collapsed="false">
      <c r="A2770" s="16" t="n">
        <v>44742</v>
      </c>
      <c r="B2770" s="17" t="n">
        <v>19837.58</v>
      </c>
    </row>
    <row r="2771" customFormat="false" ht="15" hidden="false" customHeight="false" outlineLevel="0" collapsed="false">
      <c r="A2771" s="16" t="n">
        <v>44743</v>
      </c>
      <c r="B2771" s="17" t="n">
        <v>19270.3</v>
      </c>
    </row>
    <row r="2772" customFormat="false" ht="15" hidden="false" customHeight="false" outlineLevel="0" collapsed="false">
      <c r="A2772" s="16" t="n">
        <v>44744</v>
      </c>
      <c r="B2772" s="17" t="n">
        <v>19210.52</v>
      </c>
    </row>
    <row r="2773" customFormat="false" ht="15" hidden="false" customHeight="false" outlineLevel="0" collapsed="false">
      <c r="A2773" s="16" t="n">
        <v>44745</v>
      </c>
      <c r="B2773" s="17" t="n">
        <v>19283.07</v>
      </c>
    </row>
    <row r="2774" customFormat="false" ht="15" hidden="false" customHeight="false" outlineLevel="0" collapsed="false">
      <c r="A2774" s="16" t="n">
        <v>44746</v>
      </c>
      <c r="B2774" s="17" t="n">
        <v>20205.89</v>
      </c>
    </row>
    <row r="2775" customFormat="false" ht="15" hidden="false" customHeight="false" outlineLevel="0" collapsed="false">
      <c r="A2775" s="16" t="n">
        <v>44747</v>
      </c>
      <c r="B2775" s="17" t="n">
        <v>20171.1</v>
      </c>
    </row>
    <row r="2776" customFormat="false" ht="15" hidden="false" customHeight="false" outlineLevel="0" collapsed="false">
      <c r="A2776" s="16" t="n">
        <v>44748</v>
      </c>
      <c r="B2776" s="17" t="n">
        <v>20556.8</v>
      </c>
    </row>
    <row r="2777" customFormat="false" ht="15" hidden="false" customHeight="false" outlineLevel="0" collapsed="false">
      <c r="A2777" s="16" t="n">
        <v>44749</v>
      </c>
      <c r="B2777" s="17" t="n">
        <v>21657.39</v>
      </c>
    </row>
    <row r="2778" customFormat="false" ht="15" hidden="false" customHeight="false" outlineLevel="0" collapsed="false">
      <c r="A2778" s="16" t="n">
        <v>44750</v>
      </c>
      <c r="B2778" s="17" t="n">
        <v>21582.54</v>
      </c>
    </row>
    <row r="2779" customFormat="false" ht="15" hidden="false" customHeight="false" outlineLevel="0" collapsed="false">
      <c r="A2779" s="16" t="n">
        <v>44751</v>
      </c>
      <c r="B2779" s="17" t="n">
        <v>21573.37</v>
      </c>
    </row>
    <row r="2780" customFormat="false" ht="15" hidden="false" customHeight="false" outlineLevel="0" collapsed="false">
      <c r="A2780" s="16" t="n">
        <v>44752</v>
      </c>
      <c r="B2780" s="17" t="n">
        <v>20806.95</v>
      </c>
    </row>
    <row r="2781" customFormat="false" ht="15" hidden="false" customHeight="false" outlineLevel="0" collapsed="false">
      <c r="A2781" s="16" t="n">
        <v>44753</v>
      </c>
      <c r="B2781" s="17" t="n">
        <v>19942.91</v>
      </c>
    </row>
    <row r="2782" customFormat="false" ht="15" hidden="false" customHeight="false" outlineLevel="0" collapsed="false">
      <c r="A2782" s="16" t="n">
        <v>44754</v>
      </c>
      <c r="B2782" s="17" t="n">
        <v>19302.71</v>
      </c>
    </row>
    <row r="2783" customFormat="false" ht="15" hidden="false" customHeight="false" outlineLevel="0" collapsed="false">
      <c r="A2783" s="16" t="n">
        <v>44755</v>
      </c>
      <c r="B2783" s="17" t="n">
        <v>20206.62</v>
      </c>
    </row>
    <row r="2784" customFormat="false" ht="15" hidden="false" customHeight="false" outlineLevel="0" collapsed="false">
      <c r="A2784" s="16" t="n">
        <v>44756</v>
      </c>
      <c r="B2784" s="17" t="n">
        <v>20583.48</v>
      </c>
    </row>
    <row r="2785" customFormat="false" ht="15" hidden="false" customHeight="false" outlineLevel="0" collapsed="false">
      <c r="A2785" s="16" t="n">
        <v>44757</v>
      </c>
      <c r="B2785" s="17" t="n">
        <v>20838.39</v>
      </c>
    </row>
    <row r="2786" customFormat="false" ht="15" hidden="false" customHeight="false" outlineLevel="0" collapsed="false">
      <c r="A2786" s="16" t="n">
        <v>44758</v>
      </c>
      <c r="B2786" s="17" t="n">
        <v>21195.28</v>
      </c>
    </row>
    <row r="2787" customFormat="false" ht="15" hidden="false" customHeight="false" outlineLevel="0" collapsed="false">
      <c r="A2787" s="16" t="n">
        <v>44759</v>
      </c>
      <c r="B2787" s="17" t="n">
        <v>20762.12</v>
      </c>
    </row>
    <row r="2788" customFormat="false" ht="15" hidden="false" customHeight="false" outlineLevel="0" collapsed="false">
      <c r="A2788" s="16" t="n">
        <v>44760</v>
      </c>
      <c r="B2788" s="17" t="n">
        <v>22368.75</v>
      </c>
    </row>
    <row r="2789" customFormat="false" ht="15" hidden="false" customHeight="false" outlineLevel="0" collapsed="false">
      <c r="A2789" s="16" t="n">
        <v>44761</v>
      </c>
      <c r="B2789" s="17" t="n">
        <v>23410.92</v>
      </c>
    </row>
    <row r="2790" customFormat="false" ht="15" hidden="false" customHeight="false" outlineLevel="0" collapsed="false">
      <c r="A2790" s="16" t="n">
        <v>44762</v>
      </c>
      <c r="B2790" s="17" t="n">
        <v>23237.11</v>
      </c>
    </row>
    <row r="2791" customFormat="false" ht="15" hidden="false" customHeight="false" outlineLevel="0" collapsed="false">
      <c r="A2791" s="16" t="n">
        <v>44763</v>
      </c>
      <c r="B2791" s="17" t="n">
        <v>23140.92</v>
      </c>
    </row>
    <row r="2792" customFormat="false" ht="15" hidden="false" customHeight="false" outlineLevel="0" collapsed="false">
      <c r="A2792" s="16" t="n">
        <v>44764</v>
      </c>
      <c r="B2792" s="17" t="n">
        <v>22706.35</v>
      </c>
    </row>
    <row r="2793" customFormat="false" ht="15" hidden="false" customHeight="false" outlineLevel="0" collapsed="false">
      <c r="A2793" s="16" t="n">
        <v>44765</v>
      </c>
      <c r="B2793" s="17" t="n">
        <v>22457.13</v>
      </c>
    </row>
    <row r="2794" customFormat="false" ht="15" hidden="false" customHeight="false" outlineLevel="0" collapsed="false">
      <c r="A2794" s="16" t="n">
        <v>44766</v>
      </c>
      <c r="B2794" s="17" t="n">
        <v>22592.39</v>
      </c>
    </row>
    <row r="2795" customFormat="false" ht="15" hidden="false" customHeight="false" outlineLevel="0" collapsed="false">
      <c r="A2795" s="16" t="n">
        <v>44767</v>
      </c>
      <c r="B2795" s="17" t="n">
        <v>21248.31</v>
      </c>
    </row>
    <row r="2796" customFormat="false" ht="15" hidden="false" customHeight="false" outlineLevel="0" collapsed="false">
      <c r="A2796" s="16" t="n">
        <v>44768</v>
      </c>
      <c r="B2796" s="17" t="n">
        <v>21277.3</v>
      </c>
    </row>
    <row r="2797" customFormat="false" ht="15" hidden="false" customHeight="false" outlineLevel="0" collapsed="false">
      <c r="A2797" s="16" t="n">
        <v>44769</v>
      </c>
      <c r="B2797" s="17" t="n">
        <v>22986.74</v>
      </c>
    </row>
    <row r="2798" customFormat="false" ht="15" hidden="false" customHeight="false" outlineLevel="0" collapsed="false">
      <c r="A2798" s="16" t="n">
        <v>44770</v>
      </c>
      <c r="B2798" s="17" t="n">
        <v>23875.62</v>
      </c>
    </row>
    <row r="2799" customFormat="false" ht="15" hidden="false" customHeight="false" outlineLevel="0" collapsed="false">
      <c r="A2799" s="16" t="n">
        <v>44771</v>
      </c>
      <c r="B2799" s="17" t="n">
        <v>23817.5</v>
      </c>
    </row>
    <row r="2800" customFormat="false" ht="15" hidden="false" customHeight="false" outlineLevel="0" collapsed="false">
      <c r="A2800" s="16" t="n">
        <v>44772</v>
      </c>
      <c r="B2800" s="17" t="n">
        <v>23643.31</v>
      </c>
    </row>
    <row r="2801" customFormat="false" ht="15" hidden="false" customHeight="false" outlineLevel="0" collapsed="false">
      <c r="A2801" s="16" t="n">
        <v>44773</v>
      </c>
      <c r="B2801" s="17" t="n">
        <v>23296.14</v>
      </c>
    </row>
    <row r="2802" customFormat="false" ht="15" hidden="false" customHeight="false" outlineLevel="0" collapsed="false">
      <c r="A2802" s="16" t="n">
        <v>44774</v>
      </c>
      <c r="B2802" s="17" t="n">
        <v>23250.19</v>
      </c>
    </row>
    <row r="2803" customFormat="false" ht="15" hidden="false" customHeight="false" outlineLevel="0" collapsed="false">
      <c r="A2803" s="16" t="n">
        <v>44775</v>
      </c>
      <c r="B2803" s="17" t="n">
        <v>23005.22</v>
      </c>
    </row>
    <row r="2804" customFormat="false" ht="15" hidden="false" customHeight="false" outlineLevel="0" collapsed="false">
      <c r="A2804" s="16" t="n">
        <v>44776</v>
      </c>
      <c r="B2804" s="17" t="n">
        <v>22820.48</v>
      </c>
    </row>
    <row r="2805" customFormat="false" ht="15" hidden="false" customHeight="false" outlineLevel="0" collapsed="false">
      <c r="A2805" s="16" t="n">
        <v>44777</v>
      </c>
      <c r="B2805" s="17" t="n">
        <v>22604.63</v>
      </c>
    </row>
    <row r="2806" customFormat="false" ht="15" hidden="false" customHeight="false" outlineLevel="0" collapsed="false">
      <c r="A2806" s="16" t="n">
        <v>44778</v>
      </c>
      <c r="B2806" s="17" t="n">
        <v>23285.14</v>
      </c>
    </row>
    <row r="2807" customFormat="false" ht="15" hidden="false" customHeight="false" outlineLevel="0" collapsed="false">
      <c r="A2807" s="16" t="n">
        <v>44779</v>
      </c>
      <c r="B2807" s="17" t="n">
        <v>22960.16</v>
      </c>
    </row>
    <row r="2808" customFormat="false" ht="15" hidden="false" customHeight="false" outlineLevel="0" collapsed="false">
      <c r="A2808" s="16" t="n">
        <v>44780</v>
      </c>
      <c r="B2808" s="17" t="n">
        <v>23187.41</v>
      </c>
    </row>
    <row r="2809" customFormat="false" ht="15" hidden="false" customHeight="false" outlineLevel="0" collapsed="false">
      <c r="A2809" s="16" t="n">
        <v>44781</v>
      </c>
      <c r="B2809" s="17" t="n">
        <v>23824.9</v>
      </c>
    </row>
    <row r="2810" customFormat="false" ht="15" hidden="false" customHeight="false" outlineLevel="0" collapsed="false">
      <c r="A2810" s="16" t="n">
        <v>44782</v>
      </c>
      <c r="B2810" s="17" t="n">
        <v>23138.91</v>
      </c>
    </row>
    <row r="2811" customFormat="false" ht="15" hidden="false" customHeight="false" outlineLevel="0" collapsed="false">
      <c r="A2811" s="16" t="n">
        <v>44783</v>
      </c>
      <c r="B2811" s="17" t="n">
        <v>23982.75</v>
      </c>
    </row>
    <row r="2812" customFormat="false" ht="15" hidden="false" customHeight="false" outlineLevel="0" collapsed="false">
      <c r="A2812" s="16" t="n">
        <v>44784</v>
      </c>
      <c r="B2812" s="17" t="n">
        <v>23956.28</v>
      </c>
    </row>
    <row r="2813" customFormat="false" ht="15" hidden="false" customHeight="false" outlineLevel="0" collapsed="false">
      <c r="A2813" s="16" t="n">
        <v>44785</v>
      </c>
      <c r="B2813" s="17" t="n">
        <v>24398.29</v>
      </c>
    </row>
    <row r="2814" customFormat="false" ht="15" hidden="false" customHeight="false" outlineLevel="0" collapsed="false">
      <c r="A2814" s="16" t="n">
        <v>44786</v>
      </c>
      <c r="B2814" s="17" t="n">
        <v>24447.08</v>
      </c>
    </row>
    <row r="2815" customFormat="false" ht="15" hidden="false" customHeight="false" outlineLevel="0" collapsed="false">
      <c r="A2815" s="16" t="n">
        <v>44787</v>
      </c>
      <c r="B2815" s="17" t="n">
        <v>24301.71</v>
      </c>
    </row>
    <row r="2816" customFormat="false" ht="15" hidden="false" customHeight="false" outlineLevel="0" collapsed="false">
      <c r="A2816" s="16" t="n">
        <v>44788</v>
      </c>
      <c r="B2816" s="17" t="n">
        <v>24092.27</v>
      </c>
    </row>
    <row r="2817" customFormat="false" ht="15" hidden="false" customHeight="false" outlineLevel="0" collapsed="false">
      <c r="A2817" s="16" t="n">
        <v>44789</v>
      </c>
      <c r="B2817" s="17" t="n">
        <v>23861.8</v>
      </c>
    </row>
    <row r="2818" customFormat="false" ht="15" hidden="false" customHeight="false" outlineLevel="0" collapsed="false">
      <c r="A2818" s="16" t="n">
        <v>44790</v>
      </c>
      <c r="B2818" s="17" t="n">
        <v>23357.89</v>
      </c>
    </row>
    <row r="2819" customFormat="false" ht="15" hidden="false" customHeight="false" outlineLevel="0" collapsed="false">
      <c r="A2819" s="16" t="n">
        <v>44791</v>
      </c>
      <c r="B2819" s="17" t="n">
        <v>23175.9</v>
      </c>
    </row>
    <row r="2820" customFormat="false" ht="15" hidden="false" customHeight="false" outlineLevel="0" collapsed="false">
      <c r="A2820" s="16" t="n">
        <v>44792</v>
      </c>
      <c r="B2820" s="17" t="n">
        <v>20850.04</v>
      </c>
    </row>
    <row r="2821" customFormat="false" ht="15" hidden="false" customHeight="false" outlineLevel="0" collapsed="false">
      <c r="A2821" s="16" t="n">
        <v>44793</v>
      </c>
      <c r="B2821" s="17" t="n">
        <v>21151.45</v>
      </c>
    </row>
    <row r="2822" customFormat="false" ht="15" hidden="false" customHeight="false" outlineLevel="0" collapsed="false">
      <c r="A2822" s="16" t="n">
        <v>44794</v>
      </c>
      <c r="B2822" s="17" t="n">
        <v>21513.86</v>
      </c>
    </row>
    <row r="2823" customFormat="false" ht="15" hidden="false" customHeight="false" outlineLevel="0" collapsed="false">
      <c r="A2823" s="16" t="n">
        <v>44795</v>
      </c>
      <c r="B2823" s="17" t="n">
        <v>21403.82</v>
      </c>
    </row>
    <row r="2824" customFormat="false" ht="15" hidden="false" customHeight="false" outlineLevel="0" collapsed="false">
      <c r="A2824" s="16" t="n">
        <v>44796</v>
      </c>
      <c r="B2824" s="17" t="n">
        <v>21529.34</v>
      </c>
    </row>
    <row r="2825" customFormat="false" ht="15" hidden="false" customHeight="false" outlineLevel="0" collapsed="false">
      <c r="A2825" s="16" t="n">
        <v>44797</v>
      </c>
      <c r="B2825" s="17" t="n">
        <v>21358.67</v>
      </c>
    </row>
    <row r="2826" customFormat="false" ht="15" hidden="false" customHeight="false" outlineLevel="0" collapsed="false">
      <c r="A2826" s="16" t="n">
        <v>44798</v>
      </c>
      <c r="B2826" s="17" t="n">
        <v>21518.35</v>
      </c>
    </row>
    <row r="2827" customFormat="false" ht="15" hidden="false" customHeight="false" outlineLevel="0" collapsed="false">
      <c r="A2827" s="16" t="n">
        <v>44799</v>
      </c>
      <c r="B2827" s="17" t="n">
        <v>20230.18</v>
      </c>
    </row>
    <row r="2828" customFormat="false" ht="15" hidden="false" customHeight="false" outlineLevel="0" collapsed="false">
      <c r="A2828" s="16" t="n">
        <v>44800</v>
      </c>
      <c r="B2828" s="17" t="n">
        <v>20018.43</v>
      </c>
    </row>
    <row r="2829" customFormat="false" ht="15" hidden="false" customHeight="false" outlineLevel="0" collapsed="false">
      <c r="A2829" s="16" t="n">
        <v>44801</v>
      </c>
      <c r="B2829" s="17" t="n">
        <v>19582.83</v>
      </c>
    </row>
    <row r="2830" customFormat="false" ht="15" hidden="false" customHeight="false" outlineLevel="0" collapsed="false">
      <c r="A2830" s="16" t="n">
        <v>44802</v>
      </c>
      <c r="B2830" s="17" t="n">
        <v>20291.07</v>
      </c>
    </row>
    <row r="2831" customFormat="false" ht="15" hidden="false" customHeight="false" outlineLevel="0" collapsed="false">
      <c r="A2831" s="16" t="n">
        <v>44803</v>
      </c>
      <c r="B2831" s="17" t="n">
        <v>19835.7</v>
      </c>
    </row>
    <row r="2832" customFormat="false" ht="15" hidden="false" customHeight="false" outlineLevel="0" collapsed="false">
      <c r="A2832" s="16" t="n">
        <v>44804</v>
      </c>
      <c r="B2832" s="17" t="n">
        <v>20025.48</v>
      </c>
    </row>
    <row r="2833" customFormat="false" ht="15" hidden="false" customHeight="false" outlineLevel="0" collapsed="false">
      <c r="A2833" s="16" t="n">
        <v>44805</v>
      </c>
      <c r="B2833" s="17" t="n">
        <v>20112.51</v>
      </c>
    </row>
    <row r="2834" customFormat="false" ht="15" hidden="false" customHeight="false" outlineLevel="0" collapsed="false">
      <c r="A2834" s="16" t="n">
        <v>44806</v>
      </c>
      <c r="B2834" s="17" t="n">
        <v>19946.87</v>
      </c>
    </row>
    <row r="2835" customFormat="false" ht="15" hidden="false" customHeight="false" outlineLevel="0" collapsed="false">
      <c r="A2835" s="16" t="n">
        <v>44807</v>
      </c>
      <c r="B2835" s="17" t="n">
        <v>19840.11</v>
      </c>
    </row>
    <row r="2836" customFormat="false" ht="15" hidden="false" customHeight="false" outlineLevel="0" collapsed="false">
      <c r="A2836" s="16" t="n">
        <v>44808</v>
      </c>
      <c r="B2836" s="17" t="n">
        <v>20006.54</v>
      </c>
    </row>
    <row r="2837" customFormat="false" ht="15" hidden="false" customHeight="false" outlineLevel="0" collapsed="false">
      <c r="A2837" s="16" t="n">
        <v>44809</v>
      </c>
      <c r="B2837" s="17" t="n">
        <v>19807.74</v>
      </c>
    </row>
    <row r="2838" customFormat="false" ht="15" hidden="false" customHeight="false" outlineLevel="0" collapsed="false">
      <c r="A2838" s="16" t="n">
        <v>44810</v>
      </c>
      <c r="B2838" s="17" t="n">
        <v>18777</v>
      </c>
    </row>
    <row r="2839" customFormat="false" ht="15" hidden="false" customHeight="false" outlineLevel="0" collapsed="false">
      <c r="A2839" s="16" t="n">
        <v>44811</v>
      </c>
      <c r="B2839" s="17" t="n">
        <v>19286.23</v>
      </c>
    </row>
    <row r="2840" customFormat="false" ht="15" hidden="false" customHeight="false" outlineLevel="0" collapsed="false">
      <c r="A2840" s="16" t="n">
        <v>44812</v>
      </c>
      <c r="B2840" s="17" t="n">
        <v>19320.01</v>
      </c>
    </row>
    <row r="2841" customFormat="false" ht="15" hidden="false" customHeight="false" outlineLevel="0" collapsed="false">
      <c r="A2841" s="16" t="n">
        <v>44813</v>
      </c>
      <c r="B2841" s="17" t="n">
        <v>21355.55</v>
      </c>
    </row>
    <row r="2842" customFormat="false" ht="15" hidden="false" customHeight="false" outlineLevel="0" collapsed="false">
      <c r="A2842" s="16" t="n">
        <v>44814</v>
      </c>
      <c r="B2842" s="17" t="n">
        <v>21660.39</v>
      </c>
    </row>
    <row r="2843" customFormat="false" ht="15" hidden="false" customHeight="false" outlineLevel="0" collapsed="false">
      <c r="A2843" s="16" t="n">
        <v>44815</v>
      </c>
      <c r="B2843" s="17" t="n">
        <v>21818.08</v>
      </c>
    </row>
    <row r="2844" customFormat="false" ht="15" hidden="false" customHeight="false" outlineLevel="0" collapsed="false">
      <c r="A2844" s="16" t="n">
        <v>44816</v>
      </c>
      <c r="B2844" s="17" t="n">
        <v>22412.6</v>
      </c>
    </row>
    <row r="2845" customFormat="false" ht="15" hidden="false" customHeight="false" outlineLevel="0" collapsed="false">
      <c r="A2845" s="16" t="n">
        <v>44817</v>
      </c>
      <c r="B2845" s="17" t="n">
        <v>20164.09</v>
      </c>
    </row>
    <row r="2846" customFormat="false" ht="15" hidden="false" customHeight="false" outlineLevel="0" collapsed="false">
      <c r="A2846" s="16" t="n">
        <v>44818</v>
      </c>
      <c r="B2846" s="17" t="n">
        <v>20216.63</v>
      </c>
    </row>
    <row r="2847" customFormat="false" ht="15" hidden="false" customHeight="false" outlineLevel="0" collapsed="false">
      <c r="A2847" s="16" t="n">
        <v>44819</v>
      </c>
      <c r="B2847" s="17" t="n">
        <v>19690.75</v>
      </c>
    </row>
    <row r="2848" customFormat="false" ht="15" hidden="false" customHeight="false" outlineLevel="0" collapsed="false">
      <c r="A2848" s="16" t="n">
        <v>44820</v>
      </c>
      <c r="B2848" s="17" t="n">
        <v>19784.17</v>
      </c>
    </row>
    <row r="2849" customFormat="false" ht="15" hidden="false" customHeight="false" outlineLevel="0" collapsed="false">
      <c r="A2849" s="16" t="n">
        <v>44821</v>
      </c>
      <c r="B2849" s="17" t="n">
        <v>20117.18</v>
      </c>
    </row>
    <row r="2850" customFormat="false" ht="15" hidden="false" customHeight="false" outlineLevel="0" collapsed="false">
      <c r="A2850" s="16" t="n">
        <v>44822</v>
      </c>
      <c r="B2850" s="17" t="n">
        <v>19425.05</v>
      </c>
    </row>
    <row r="2851" customFormat="false" ht="15" hidden="false" customHeight="false" outlineLevel="0" collapsed="false">
      <c r="A2851" s="16" t="n">
        <v>44823</v>
      </c>
      <c r="B2851" s="17" t="n">
        <v>19553.1</v>
      </c>
    </row>
    <row r="2852" customFormat="false" ht="15" hidden="false" customHeight="false" outlineLevel="0" collapsed="false">
      <c r="A2852" s="16" t="n">
        <v>44824</v>
      </c>
      <c r="B2852" s="17" t="n">
        <v>18869.22</v>
      </c>
    </row>
    <row r="2853" customFormat="false" ht="15" hidden="false" customHeight="false" outlineLevel="0" collapsed="false">
      <c r="A2853" s="16" t="n">
        <v>44825</v>
      </c>
      <c r="B2853" s="17" t="n">
        <v>18488.54</v>
      </c>
    </row>
    <row r="2854" customFormat="false" ht="15" hidden="false" customHeight="false" outlineLevel="0" collapsed="false">
      <c r="A2854" s="16" t="n">
        <v>44826</v>
      </c>
      <c r="B2854" s="17" t="n">
        <v>19402.35</v>
      </c>
    </row>
    <row r="2855" customFormat="false" ht="15" hidden="false" customHeight="false" outlineLevel="0" collapsed="false">
      <c r="A2855" s="16" t="n">
        <v>44827</v>
      </c>
      <c r="B2855" s="17" t="n">
        <v>19304.43</v>
      </c>
    </row>
    <row r="2856" customFormat="false" ht="15" hidden="false" customHeight="false" outlineLevel="0" collapsed="false">
      <c r="A2856" s="16" t="n">
        <v>44828</v>
      </c>
      <c r="B2856" s="17" t="n">
        <v>18944.06</v>
      </c>
    </row>
    <row r="2857" customFormat="false" ht="15" hidden="false" customHeight="false" outlineLevel="0" collapsed="false">
      <c r="A2857" s="16" t="n">
        <v>44829</v>
      </c>
      <c r="B2857" s="17" t="n">
        <v>18788.61</v>
      </c>
    </row>
    <row r="2858" customFormat="false" ht="15" hidden="false" customHeight="false" outlineLevel="0" collapsed="false">
      <c r="A2858" s="16" t="n">
        <v>44830</v>
      </c>
      <c r="B2858" s="17" t="n">
        <v>19224.81</v>
      </c>
    </row>
    <row r="2859" customFormat="false" ht="15" hidden="false" customHeight="false" outlineLevel="0" collapsed="false">
      <c r="A2859" s="16" t="n">
        <v>44831</v>
      </c>
      <c r="B2859" s="17" t="n">
        <v>19072.97</v>
      </c>
    </row>
    <row r="2860" customFormat="false" ht="15" hidden="false" customHeight="false" outlineLevel="0" collapsed="false">
      <c r="A2860" s="16" t="n">
        <v>44832</v>
      </c>
      <c r="B2860" s="17" t="n">
        <v>19407.62</v>
      </c>
    </row>
    <row r="2861" customFormat="false" ht="15" hidden="false" customHeight="false" outlineLevel="0" collapsed="false">
      <c r="A2861" s="16" t="n">
        <v>44833</v>
      </c>
      <c r="B2861" s="17" t="n">
        <v>19610.61</v>
      </c>
    </row>
    <row r="2862" customFormat="false" ht="15" hidden="false" customHeight="false" outlineLevel="0" collapsed="false">
      <c r="A2862" s="16" t="n">
        <v>44834</v>
      </c>
      <c r="B2862" s="17" t="n">
        <v>19415.8</v>
      </c>
    </row>
    <row r="2863" customFormat="false" ht="15" hidden="false" customHeight="false" outlineLevel="0" collapsed="false">
      <c r="A2863" s="16" t="n">
        <v>44835</v>
      </c>
      <c r="B2863" s="17" t="n">
        <v>19308.76</v>
      </c>
    </row>
    <row r="2864" customFormat="false" ht="15" hidden="false" customHeight="false" outlineLevel="0" collapsed="false">
      <c r="A2864" s="16" t="n">
        <v>44836</v>
      </c>
      <c r="B2864" s="17" t="n">
        <v>19072.29</v>
      </c>
    </row>
    <row r="2865" customFormat="false" ht="15" hidden="false" customHeight="false" outlineLevel="0" collapsed="false">
      <c r="A2865" s="16" t="n">
        <v>44837</v>
      </c>
      <c r="B2865" s="17" t="n">
        <v>19640.84</v>
      </c>
    </row>
    <row r="2866" customFormat="false" ht="15" hidden="false" customHeight="false" outlineLevel="0" collapsed="false">
      <c r="A2866" s="16" t="n">
        <v>44838</v>
      </c>
      <c r="B2866" s="17" t="n">
        <v>20344.37</v>
      </c>
    </row>
    <row r="2867" customFormat="false" ht="15" hidden="false" customHeight="false" outlineLevel="0" collapsed="false">
      <c r="A2867" s="16" t="n">
        <v>44839</v>
      </c>
      <c r="B2867" s="17" t="n">
        <v>20152.33</v>
      </c>
    </row>
    <row r="2868" customFormat="false" ht="15" hidden="false" customHeight="false" outlineLevel="0" collapsed="false">
      <c r="A2868" s="16" t="n">
        <v>44840</v>
      </c>
      <c r="B2868" s="17" t="n">
        <v>19962.19</v>
      </c>
    </row>
    <row r="2869" customFormat="false" ht="15" hidden="false" customHeight="false" outlineLevel="0" collapsed="false">
      <c r="A2869" s="16" t="n">
        <v>44841</v>
      </c>
      <c r="B2869" s="17" t="n">
        <v>19524.22</v>
      </c>
    </row>
    <row r="2870" customFormat="false" ht="15" hidden="false" customHeight="false" outlineLevel="0" collapsed="false">
      <c r="A2870" s="16" t="n">
        <v>44842</v>
      </c>
      <c r="B2870" s="17" t="n">
        <v>19409.72</v>
      </c>
    </row>
    <row r="2871" customFormat="false" ht="15" hidden="false" customHeight="false" outlineLevel="0" collapsed="false">
      <c r="A2871" s="16" t="n">
        <v>44843</v>
      </c>
      <c r="B2871" s="17" t="n">
        <v>19437.02</v>
      </c>
    </row>
    <row r="2872" customFormat="false" ht="15" hidden="false" customHeight="false" outlineLevel="0" collapsed="false">
      <c r="A2872" s="16" t="n">
        <v>44844</v>
      </c>
      <c r="B2872" s="17" t="n">
        <v>19104.67</v>
      </c>
    </row>
    <row r="2873" customFormat="false" ht="15" hidden="false" customHeight="false" outlineLevel="0" collapsed="false">
      <c r="A2873" s="16" t="n">
        <v>44845</v>
      </c>
      <c r="B2873" s="17" t="n">
        <v>19069.69</v>
      </c>
    </row>
    <row r="2874" customFormat="false" ht="15" hidden="false" customHeight="false" outlineLevel="0" collapsed="false">
      <c r="A2874" s="16" t="n">
        <v>44846</v>
      </c>
      <c r="B2874" s="17" t="n">
        <v>19157.32</v>
      </c>
    </row>
    <row r="2875" customFormat="false" ht="15" hidden="false" customHeight="false" outlineLevel="0" collapsed="false">
      <c r="A2875" s="16" t="n">
        <v>44847</v>
      </c>
      <c r="B2875" s="17" t="n">
        <v>19382.53</v>
      </c>
    </row>
    <row r="2876" customFormat="false" ht="15" hidden="false" customHeight="false" outlineLevel="0" collapsed="false">
      <c r="A2876" s="16" t="n">
        <v>44848</v>
      </c>
      <c r="B2876" s="17" t="n">
        <v>19187.64</v>
      </c>
    </row>
    <row r="2877" customFormat="false" ht="15" hidden="false" customHeight="false" outlineLevel="0" collapsed="false">
      <c r="A2877" s="16" t="n">
        <v>44849</v>
      </c>
      <c r="B2877" s="17" t="n">
        <v>19074.41</v>
      </c>
    </row>
    <row r="2878" customFormat="false" ht="15" hidden="false" customHeight="false" outlineLevel="0" collapsed="false">
      <c r="A2878" s="16" t="n">
        <v>44850</v>
      </c>
      <c r="B2878" s="17" t="n">
        <v>19270.79</v>
      </c>
    </row>
    <row r="2879" customFormat="false" ht="15" hidden="false" customHeight="false" outlineLevel="0" collapsed="false">
      <c r="A2879" s="16" t="n">
        <v>44851</v>
      </c>
      <c r="B2879" s="17" t="n">
        <v>19565.96</v>
      </c>
    </row>
    <row r="2880" customFormat="false" ht="15" hidden="false" customHeight="false" outlineLevel="0" collapsed="false">
      <c r="A2880" s="16" t="n">
        <v>44852</v>
      </c>
      <c r="B2880" s="17" t="n">
        <v>19334.77</v>
      </c>
    </row>
    <row r="2881" customFormat="false" ht="15" hidden="false" customHeight="false" outlineLevel="0" collapsed="false">
      <c r="A2881" s="16" t="n">
        <v>44853</v>
      </c>
      <c r="B2881" s="17" t="n">
        <v>19122.17</v>
      </c>
    </row>
    <row r="2882" customFormat="false" ht="15" hidden="false" customHeight="false" outlineLevel="0" collapsed="false">
      <c r="A2882" s="16" t="n">
        <v>44854</v>
      </c>
      <c r="B2882" s="17" t="n">
        <v>19046.77</v>
      </c>
    </row>
    <row r="2883" customFormat="false" ht="15" hidden="false" customHeight="false" outlineLevel="0" collapsed="false">
      <c r="A2883" s="16" t="n">
        <v>44855</v>
      </c>
      <c r="B2883" s="17" t="n">
        <v>19172.57</v>
      </c>
    </row>
    <row r="2884" customFormat="false" ht="15" hidden="false" customHeight="false" outlineLevel="0" collapsed="false">
      <c r="A2884" s="16" t="n">
        <v>44856</v>
      </c>
      <c r="B2884" s="17" t="n">
        <v>19210.62</v>
      </c>
    </row>
    <row r="2885" customFormat="false" ht="15" hidden="false" customHeight="false" outlineLevel="0" collapsed="false">
      <c r="A2885" s="16" t="n">
        <v>44857</v>
      </c>
      <c r="B2885" s="17" t="n">
        <v>19563.5</v>
      </c>
    </row>
    <row r="2886" customFormat="false" ht="15" hidden="false" customHeight="false" outlineLevel="0" collapsed="false">
      <c r="A2886" s="16" t="n">
        <v>44858</v>
      </c>
      <c r="B2886" s="17" t="n">
        <v>19332.45</v>
      </c>
    </row>
    <row r="2887" customFormat="false" ht="15" hidden="false" customHeight="false" outlineLevel="0" collapsed="false">
      <c r="A2887" s="16" t="n">
        <v>44859</v>
      </c>
      <c r="B2887" s="17" t="n">
        <v>20113.74</v>
      </c>
    </row>
    <row r="2888" customFormat="false" ht="15" hidden="false" customHeight="false" outlineLevel="0" collapsed="false">
      <c r="A2888" s="16" t="n">
        <v>44860</v>
      </c>
      <c r="B2888" s="17" t="n">
        <v>20760.56</v>
      </c>
    </row>
    <row r="2889" customFormat="false" ht="15" hidden="false" customHeight="false" outlineLevel="0" collapsed="false">
      <c r="A2889" s="16" t="n">
        <v>44861</v>
      </c>
      <c r="B2889" s="17" t="n">
        <v>20287.17</v>
      </c>
    </row>
    <row r="2890" customFormat="false" ht="15" hidden="false" customHeight="false" outlineLevel="0" collapsed="false">
      <c r="A2890" s="16" t="n">
        <v>44862</v>
      </c>
      <c r="B2890" s="17" t="n">
        <v>20594.01</v>
      </c>
    </row>
    <row r="2891" customFormat="false" ht="15" hidden="false" customHeight="false" outlineLevel="0" collapsed="false">
      <c r="A2891" s="16" t="n">
        <v>44863</v>
      </c>
      <c r="B2891" s="17" t="n">
        <v>20831.19</v>
      </c>
    </row>
    <row r="2892" customFormat="false" ht="15" hidden="false" customHeight="false" outlineLevel="0" collapsed="false">
      <c r="A2892" s="16" t="n">
        <v>44864</v>
      </c>
      <c r="B2892" s="17" t="n">
        <v>20634.95</v>
      </c>
    </row>
    <row r="2893" customFormat="false" ht="15" hidden="false" customHeight="false" outlineLevel="0" collapsed="false">
      <c r="A2893" s="16" t="n">
        <v>44865</v>
      </c>
      <c r="B2893" s="17" t="n">
        <v>20472.79</v>
      </c>
    </row>
    <row r="2894" customFormat="false" ht="15" hidden="false" customHeight="false" outlineLevel="0" collapsed="false">
      <c r="A2894" s="16" t="n">
        <v>44866</v>
      </c>
      <c r="B2894" s="17" t="n">
        <v>20479.49</v>
      </c>
    </row>
    <row r="2895" customFormat="false" ht="15" hidden="false" customHeight="false" outlineLevel="0" collapsed="false">
      <c r="A2895" s="16" t="n">
        <v>44867</v>
      </c>
      <c r="B2895" s="17" t="n">
        <v>20148.56</v>
      </c>
    </row>
    <row r="2896" customFormat="false" ht="15" hidden="false" customHeight="false" outlineLevel="0" collapsed="false">
      <c r="A2896" s="16" t="n">
        <v>44868</v>
      </c>
      <c r="B2896" s="17" t="n">
        <v>20205.32</v>
      </c>
    </row>
    <row r="2897" customFormat="false" ht="15" hidden="false" customHeight="false" outlineLevel="0" collapsed="false">
      <c r="A2897" s="16" t="n">
        <v>44869</v>
      </c>
      <c r="B2897" s="17" t="n">
        <v>21157.96</v>
      </c>
    </row>
    <row r="2898" customFormat="false" ht="15" hidden="false" customHeight="false" outlineLevel="0" collapsed="false">
      <c r="A2898" s="16" t="n">
        <v>44870</v>
      </c>
      <c r="B2898" s="17" t="n">
        <v>21304.72</v>
      </c>
    </row>
    <row r="2899" customFormat="false" ht="15" hidden="false" customHeight="false" outlineLevel="0" collapsed="false">
      <c r="A2899" s="16" t="n">
        <v>44871</v>
      </c>
      <c r="B2899" s="17" t="n">
        <v>20912.34</v>
      </c>
    </row>
    <row r="2900" customFormat="false" ht="15" hidden="false" customHeight="false" outlineLevel="0" collapsed="false">
      <c r="A2900" s="16" t="n">
        <v>44872</v>
      </c>
      <c r="B2900" s="17" t="n">
        <v>20578.77</v>
      </c>
    </row>
    <row r="2901" customFormat="false" ht="15" hidden="false" customHeight="false" outlineLevel="0" collapsed="false">
      <c r="A2901" s="16" t="n">
        <v>44873</v>
      </c>
      <c r="B2901" s="17" t="n">
        <v>18561.6</v>
      </c>
    </row>
    <row r="2902" customFormat="false" ht="15" hidden="false" customHeight="false" outlineLevel="0" collapsed="false">
      <c r="A2902" s="16" t="n">
        <v>44874</v>
      </c>
      <c r="B2902" s="17" t="n">
        <v>15850.62</v>
      </c>
    </row>
    <row r="2903" customFormat="false" ht="15" hidden="false" customHeight="false" outlineLevel="0" collapsed="false">
      <c r="A2903" s="16" t="n">
        <v>44875</v>
      </c>
      <c r="B2903" s="17" t="n">
        <v>17573.15</v>
      </c>
    </row>
    <row r="2904" customFormat="false" ht="15" hidden="false" customHeight="false" outlineLevel="0" collapsed="false">
      <c r="A2904" s="16" t="n">
        <v>44876</v>
      </c>
      <c r="B2904" s="17" t="n">
        <v>16997.14</v>
      </c>
    </row>
    <row r="2905" customFormat="false" ht="15" hidden="false" customHeight="false" outlineLevel="0" collapsed="false">
      <c r="A2905" s="16" t="n">
        <v>44877</v>
      </c>
      <c r="B2905" s="17" t="n">
        <v>16777.73</v>
      </c>
    </row>
    <row r="2906" customFormat="false" ht="15" hidden="false" customHeight="false" outlineLevel="0" collapsed="false">
      <c r="A2906" s="16" t="n">
        <v>44878</v>
      </c>
      <c r="B2906" s="17" t="n">
        <v>16290.62</v>
      </c>
    </row>
    <row r="2907" customFormat="false" ht="15" hidden="false" customHeight="false" outlineLevel="0" collapsed="false">
      <c r="A2907" s="16" t="n">
        <v>44879</v>
      </c>
      <c r="B2907" s="17" t="n">
        <v>16576.49</v>
      </c>
    </row>
    <row r="2908" customFormat="false" ht="15" hidden="false" customHeight="false" outlineLevel="0" collapsed="false">
      <c r="A2908" s="16" t="n">
        <v>44880</v>
      </c>
      <c r="B2908" s="17" t="n">
        <v>16869.14</v>
      </c>
    </row>
    <row r="2909" customFormat="false" ht="15" hidden="false" customHeight="false" outlineLevel="0" collapsed="false">
      <c r="A2909" s="16" t="n">
        <v>44881</v>
      </c>
      <c r="B2909" s="17" t="n">
        <v>16660.48</v>
      </c>
    </row>
    <row r="2910" customFormat="false" ht="15" hidden="false" customHeight="false" outlineLevel="0" collapsed="false">
      <c r="A2910" s="16" t="n">
        <v>44882</v>
      </c>
      <c r="B2910" s="17" t="n">
        <v>16677.36</v>
      </c>
    </row>
    <row r="2911" customFormat="false" ht="15" hidden="false" customHeight="false" outlineLevel="0" collapsed="false">
      <c r="A2911" s="16" t="n">
        <v>44883</v>
      </c>
      <c r="B2911" s="17" t="n">
        <v>16673.07</v>
      </c>
    </row>
    <row r="2912" customFormat="false" ht="15" hidden="false" customHeight="false" outlineLevel="0" collapsed="false">
      <c r="A2912" s="16" t="n">
        <v>44884</v>
      </c>
      <c r="B2912" s="17" t="n">
        <v>16667.74</v>
      </c>
    </row>
    <row r="2913" customFormat="false" ht="15" hidden="false" customHeight="false" outlineLevel="0" collapsed="false">
      <c r="A2913" s="16" t="n">
        <v>44885</v>
      </c>
      <c r="B2913" s="17" t="n">
        <v>16261.22</v>
      </c>
    </row>
    <row r="2914" customFormat="false" ht="15" hidden="false" customHeight="false" outlineLevel="0" collapsed="false">
      <c r="A2914" s="16" t="n">
        <v>44886</v>
      </c>
      <c r="B2914" s="17" t="n">
        <v>15755.75</v>
      </c>
    </row>
    <row r="2915" customFormat="false" ht="15" hidden="false" customHeight="false" outlineLevel="0" collapsed="false">
      <c r="A2915" s="16" t="n">
        <v>44887</v>
      </c>
      <c r="B2915" s="17" t="n">
        <v>16206.32</v>
      </c>
    </row>
    <row r="2916" customFormat="false" ht="15" hidden="false" customHeight="false" outlineLevel="0" collapsed="false">
      <c r="A2916" s="16" t="n">
        <v>44888</v>
      </c>
      <c r="B2916" s="17" t="n">
        <v>16597.46</v>
      </c>
    </row>
    <row r="2917" customFormat="false" ht="15" hidden="false" customHeight="false" outlineLevel="0" collapsed="false">
      <c r="A2917" s="16" t="n">
        <v>44889</v>
      </c>
      <c r="B2917" s="17" t="n">
        <v>16579.3</v>
      </c>
    </row>
    <row r="2918" customFormat="false" ht="15" hidden="false" customHeight="false" outlineLevel="0" collapsed="false">
      <c r="A2918" s="16" t="n">
        <v>44890</v>
      </c>
      <c r="B2918" s="17" t="n">
        <v>16508.49</v>
      </c>
    </row>
    <row r="2919" customFormat="false" ht="15" hidden="false" customHeight="false" outlineLevel="0" collapsed="false">
      <c r="A2919" s="16" t="n">
        <v>44891</v>
      </c>
      <c r="B2919" s="17" t="n">
        <v>16452.39</v>
      </c>
    </row>
    <row r="2920" customFormat="false" ht="15" hidden="false" customHeight="false" outlineLevel="0" collapsed="false">
      <c r="A2920" s="16" t="n">
        <v>44892</v>
      </c>
      <c r="B2920" s="17" t="n">
        <v>16428.77</v>
      </c>
    </row>
    <row r="2921" customFormat="false" ht="15" hidden="false" customHeight="false" outlineLevel="0" collapsed="false">
      <c r="A2921" s="16" t="n">
        <v>44893</v>
      </c>
      <c r="B2921" s="17" t="n">
        <v>16193.89</v>
      </c>
    </row>
    <row r="2922" customFormat="false" ht="15" hidden="false" customHeight="false" outlineLevel="0" collapsed="false">
      <c r="A2922" s="16" t="n">
        <v>44894</v>
      </c>
      <c r="B2922" s="17" t="n">
        <v>16441.63</v>
      </c>
    </row>
    <row r="2923" customFormat="false" ht="15" hidden="false" customHeight="false" outlineLevel="0" collapsed="false">
      <c r="A2923" s="16" t="n">
        <v>44895</v>
      </c>
      <c r="B2923" s="17" t="n">
        <v>17179.78</v>
      </c>
    </row>
    <row r="2924" customFormat="false" ht="15" hidden="false" customHeight="false" outlineLevel="0" collapsed="false">
      <c r="A2924" s="16" t="n">
        <v>44896</v>
      </c>
      <c r="B2924" s="17" t="n">
        <v>16980.55</v>
      </c>
    </row>
    <row r="2925" customFormat="false" ht="15" hidden="false" customHeight="false" outlineLevel="0" collapsed="false">
      <c r="A2925" s="16" t="n">
        <v>44897</v>
      </c>
      <c r="B2925" s="17" t="n">
        <v>17099.27</v>
      </c>
    </row>
    <row r="2926" customFormat="false" ht="15" hidden="false" customHeight="false" outlineLevel="0" collapsed="false">
      <c r="A2926" s="16" t="n">
        <v>44898</v>
      </c>
      <c r="B2926" s="17" t="n">
        <v>16883.68</v>
      </c>
    </row>
    <row r="2927" customFormat="false" ht="15" hidden="false" customHeight="false" outlineLevel="0" collapsed="false">
      <c r="A2927" s="16" t="n">
        <v>44899</v>
      </c>
      <c r="B2927" s="17" t="n">
        <v>17102.35</v>
      </c>
    </row>
    <row r="2928" customFormat="false" ht="15" hidden="false" customHeight="false" outlineLevel="0" collapsed="false">
      <c r="A2928" s="16" t="n">
        <v>44900</v>
      </c>
      <c r="B2928" s="17" t="n">
        <v>16970.79</v>
      </c>
    </row>
    <row r="2929" customFormat="false" ht="15" hidden="false" customHeight="false" outlineLevel="0" collapsed="false">
      <c r="A2929" s="16" t="n">
        <v>44901</v>
      </c>
      <c r="B2929" s="17" t="n">
        <v>17089.95</v>
      </c>
    </row>
    <row r="2930" customFormat="false" ht="15" hidden="false" customHeight="false" outlineLevel="0" collapsed="false">
      <c r="A2930" s="16" t="n">
        <v>44902</v>
      </c>
      <c r="B2930" s="17" t="n">
        <v>16844.05</v>
      </c>
    </row>
    <row r="2931" customFormat="false" ht="15" hidden="false" customHeight="false" outlineLevel="0" collapsed="false">
      <c r="A2931" s="16" t="n">
        <v>44903</v>
      </c>
      <c r="B2931" s="17" t="n">
        <v>17228.23</v>
      </c>
    </row>
    <row r="2932" customFormat="false" ht="15" hidden="false" customHeight="false" outlineLevel="0" collapsed="false">
      <c r="A2932" s="16" t="n">
        <v>44904</v>
      </c>
      <c r="B2932" s="17" t="n">
        <v>17129.01</v>
      </c>
    </row>
    <row r="2933" customFormat="false" ht="15" hidden="false" customHeight="false" outlineLevel="0" collapsed="false">
      <c r="A2933" s="16" t="n">
        <v>44905</v>
      </c>
      <c r="B2933" s="17" t="n">
        <v>17131.03</v>
      </c>
    </row>
    <row r="2934" customFormat="false" ht="15" hidden="false" customHeight="false" outlineLevel="0" collapsed="false">
      <c r="A2934" s="16" t="n">
        <v>44906</v>
      </c>
      <c r="B2934" s="17" t="n">
        <v>17087.42</v>
      </c>
    </row>
    <row r="2935" customFormat="false" ht="15" hidden="false" customHeight="false" outlineLevel="0" collapsed="false">
      <c r="A2935" s="16" t="n">
        <v>44907</v>
      </c>
      <c r="B2935" s="17" t="n">
        <v>17209.62</v>
      </c>
    </row>
    <row r="2936" customFormat="false" ht="15" hidden="false" customHeight="false" outlineLevel="0" collapsed="false">
      <c r="A2936" s="16" t="n">
        <v>44908</v>
      </c>
      <c r="B2936" s="17" t="n">
        <v>17763.65</v>
      </c>
    </row>
    <row r="2937" customFormat="false" ht="15" hidden="false" customHeight="false" outlineLevel="0" collapsed="false">
      <c r="A2937" s="16" t="n">
        <v>44909</v>
      </c>
      <c r="B2937" s="17" t="n">
        <v>17815.79</v>
      </c>
    </row>
    <row r="2938" customFormat="false" ht="15" hidden="false" customHeight="false" outlineLevel="0" collapsed="false">
      <c r="A2938" s="16" t="n">
        <v>44910</v>
      </c>
      <c r="B2938" s="17" t="n">
        <v>17358</v>
      </c>
    </row>
    <row r="2939" customFormat="false" ht="15" hidden="false" customHeight="false" outlineLevel="0" collapsed="false">
      <c r="A2939" s="16" t="n">
        <v>44911</v>
      </c>
      <c r="B2939" s="17" t="n">
        <v>16627.33</v>
      </c>
    </row>
    <row r="2940" customFormat="false" ht="15" hidden="false" customHeight="false" outlineLevel="0" collapsed="false">
      <c r="A2940" s="16" t="n">
        <v>44912</v>
      </c>
      <c r="B2940" s="17" t="n">
        <v>16785.87</v>
      </c>
    </row>
    <row r="2941" customFormat="false" ht="15" hidden="false" customHeight="false" outlineLevel="0" collapsed="false">
      <c r="A2941" s="16" t="n">
        <v>44913</v>
      </c>
      <c r="B2941" s="17" t="n">
        <v>16754.6</v>
      </c>
    </row>
    <row r="2942" customFormat="false" ht="15" hidden="false" customHeight="false" outlineLevel="0" collapsed="false">
      <c r="A2942" s="16" t="n">
        <v>44914</v>
      </c>
      <c r="B2942" s="17" t="n">
        <v>16453.07</v>
      </c>
    </row>
    <row r="2943" customFormat="false" ht="15" hidden="false" customHeight="false" outlineLevel="0" collapsed="false">
      <c r="A2943" s="16" t="n">
        <v>44915</v>
      </c>
      <c r="B2943" s="17" t="n">
        <v>16893.02</v>
      </c>
    </row>
    <row r="2944" customFormat="false" ht="15" hidden="false" customHeight="false" outlineLevel="0" collapsed="false">
      <c r="A2944" s="16" t="n">
        <v>44916</v>
      </c>
      <c r="B2944" s="17" t="n">
        <v>16821.03</v>
      </c>
    </row>
    <row r="2945" customFormat="false" ht="15" hidden="false" customHeight="false" outlineLevel="0" collapsed="false">
      <c r="A2945" s="16" t="n">
        <v>44917</v>
      </c>
      <c r="B2945" s="17" t="n">
        <v>16819.21</v>
      </c>
    </row>
    <row r="2946" customFormat="false" ht="15" hidden="false" customHeight="false" outlineLevel="0" collapsed="false">
      <c r="A2946" s="16" t="n">
        <v>44918</v>
      </c>
      <c r="B2946" s="17" t="n">
        <v>16776.77</v>
      </c>
    </row>
    <row r="2947" customFormat="false" ht="15" hidden="false" customHeight="false" outlineLevel="0" collapsed="false">
      <c r="A2947" s="16" t="n">
        <v>44919</v>
      </c>
      <c r="B2947" s="17" t="n">
        <v>16833.61</v>
      </c>
    </row>
    <row r="2948" customFormat="false" ht="15" hidden="false" customHeight="false" outlineLevel="0" collapsed="false">
      <c r="A2948" s="16" t="n">
        <v>44920</v>
      </c>
      <c r="B2948" s="17" t="n">
        <v>16831.17</v>
      </c>
    </row>
    <row r="2949" customFormat="false" ht="15" hidden="false" customHeight="false" outlineLevel="0" collapsed="false">
      <c r="A2949" s="16" t="n">
        <v>44921</v>
      </c>
      <c r="B2949" s="17" t="n">
        <v>16940.82</v>
      </c>
    </row>
    <row r="2950" customFormat="false" ht="15" hidden="false" customHeight="false" outlineLevel="0" collapsed="false">
      <c r="A2950" s="16" t="n">
        <v>44922</v>
      </c>
      <c r="B2950" s="17" t="n">
        <v>16693.38</v>
      </c>
    </row>
    <row r="2951" customFormat="false" ht="15" hidden="false" customHeight="false" outlineLevel="0" collapsed="false">
      <c r="A2951" s="16" t="n">
        <v>44923</v>
      </c>
      <c r="B2951" s="17" t="n">
        <v>16539.02</v>
      </c>
    </row>
    <row r="2952" customFormat="false" ht="15" hidden="false" customHeight="false" outlineLevel="0" collapsed="false">
      <c r="A2952" s="16" t="n">
        <v>44924</v>
      </c>
      <c r="B2952" s="17" t="n">
        <v>16626.11</v>
      </c>
    </row>
    <row r="2953" customFormat="false" ht="15" hidden="false" customHeight="false" outlineLevel="0" collapsed="false">
      <c r="A2953" s="16" t="n">
        <v>44925</v>
      </c>
      <c r="B2953" s="17" t="n">
        <v>16606.43</v>
      </c>
    </row>
    <row r="2954" customFormat="false" ht="15" hidden="false" customHeight="false" outlineLevel="0" collapsed="false">
      <c r="A2954" s="16" t="n">
        <v>44926</v>
      </c>
      <c r="B2954" s="17" t="n">
        <v>16531</v>
      </c>
    </row>
    <row r="2955" customFormat="false" ht="15" hidden="false" customHeight="false" outlineLevel="0" collapsed="false">
      <c r="A2955" s="16" t="n">
        <v>44927</v>
      </c>
      <c r="B2955" s="17" t="n">
        <v>16615.18</v>
      </c>
    </row>
    <row r="2956" customFormat="false" ht="15" hidden="false" customHeight="false" outlineLevel="0" collapsed="false">
      <c r="A2956" s="16" t="n">
        <v>44928</v>
      </c>
      <c r="B2956" s="17" t="n">
        <v>16660.83</v>
      </c>
    </row>
    <row r="2957" customFormat="false" ht="15" hidden="false" customHeight="false" outlineLevel="0" collapsed="false">
      <c r="A2957" s="16" t="n">
        <v>44929</v>
      </c>
      <c r="B2957" s="17" t="n">
        <v>16670.38</v>
      </c>
    </row>
    <row r="2958" customFormat="false" ht="15" hidden="false" customHeight="false" outlineLevel="0" collapsed="false">
      <c r="A2958" s="16" t="n">
        <v>44930</v>
      </c>
      <c r="B2958" s="17" t="n">
        <v>16850.4</v>
      </c>
    </row>
    <row r="2959" customFormat="false" ht="15" hidden="false" customHeight="false" outlineLevel="0" collapsed="false">
      <c r="A2959" s="16" t="n">
        <v>44931</v>
      </c>
      <c r="B2959" s="17" t="n">
        <v>16824.98</v>
      </c>
    </row>
    <row r="2960" customFormat="false" ht="15" hidden="false" customHeight="false" outlineLevel="0" collapsed="false">
      <c r="A2960" s="16" t="n">
        <v>44932</v>
      </c>
      <c r="B2960" s="17" t="n">
        <v>16950.6</v>
      </c>
    </row>
    <row r="2961" customFormat="false" ht="15" hidden="false" customHeight="false" outlineLevel="0" collapsed="false">
      <c r="A2961" s="16" t="n">
        <v>44933</v>
      </c>
      <c r="B2961" s="17" t="n">
        <v>16945.34</v>
      </c>
    </row>
    <row r="2962" customFormat="false" ht="15" hidden="false" customHeight="false" outlineLevel="0" collapsed="false">
      <c r="A2962" s="16" t="n">
        <v>44934</v>
      </c>
      <c r="B2962" s="17" t="n">
        <v>17134.34</v>
      </c>
    </row>
    <row r="2963" customFormat="false" ht="15" hidden="false" customHeight="false" outlineLevel="0" collapsed="false">
      <c r="A2963" s="16" t="n">
        <v>44935</v>
      </c>
      <c r="B2963" s="17" t="n">
        <v>17181.15</v>
      </c>
    </row>
    <row r="2964" customFormat="false" ht="15" hidden="false" customHeight="false" outlineLevel="0" collapsed="false">
      <c r="A2964" s="16" t="n">
        <v>44936</v>
      </c>
      <c r="B2964" s="17" t="n">
        <v>17444.75</v>
      </c>
    </row>
    <row r="2965" customFormat="false" ht="15" hidden="false" customHeight="false" outlineLevel="0" collapsed="false">
      <c r="A2965" s="16" t="n">
        <v>44937</v>
      </c>
      <c r="B2965" s="17" t="n">
        <v>17942.22</v>
      </c>
    </row>
    <row r="2966" customFormat="false" ht="15" hidden="false" customHeight="false" outlineLevel="0" collapsed="false">
      <c r="A2966" s="16" t="n">
        <v>44938</v>
      </c>
      <c r="B2966" s="17" t="n">
        <v>18863.74</v>
      </c>
    </row>
    <row r="2967" customFormat="false" ht="15" hidden="false" customHeight="false" outlineLevel="0" collapsed="false">
      <c r="A2967" s="16" t="n">
        <v>44939</v>
      </c>
      <c r="B2967" s="17" t="n">
        <v>19909.21</v>
      </c>
    </row>
    <row r="2968" customFormat="false" ht="15" hidden="false" customHeight="false" outlineLevel="0" collapsed="false">
      <c r="A2968" s="16" t="n">
        <v>44940</v>
      </c>
      <c r="B2968" s="17" t="n">
        <v>20970.85</v>
      </c>
    </row>
    <row r="2969" customFormat="false" ht="15" hidden="false" customHeight="false" outlineLevel="0" collapsed="false">
      <c r="A2969" s="16" t="n">
        <v>44941</v>
      </c>
      <c r="B2969" s="17" t="n">
        <v>20871.25</v>
      </c>
    </row>
    <row r="2970" customFormat="false" ht="15" hidden="false" customHeight="false" outlineLevel="0" collapsed="false">
      <c r="A2970" s="16" t="n">
        <v>44942</v>
      </c>
      <c r="B2970" s="17" t="n">
        <v>21186.93</v>
      </c>
    </row>
    <row r="2971" customFormat="false" ht="15" hidden="false" customHeight="false" outlineLevel="0" collapsed="false">
      <c r="A2971" s="16" t="n">
        <v>44943</v>
      </c>
      <c r="B2971" s="17" t="n">
        <v>21153.37</v>
      </c>
    </row>
    <row r="2972" customFormat="false" ht="15" hidden="false" customHeight="false" outlineLevel="0" collapsed="false">
      <c r="A2972" s="16" t="n">
        <v>44944</v>
      </c>
      <c r="B2972" s="17" t="n">
        <v>20710.89</v>
      </c>
    </row>
    <row r="2973" customFormat="false" ht="15" hidden="false" customHeight="false" outlineLevel="0" collapsed="false">
      <c r="A2973" s="16" t="n">
        <v>44945</v>
      </c>
      <c r="B2973" s="17" t="n">
        <v>21088.14</v>
      </c>
    </row>
    <row r="2974" customFormat="false" ht="15" hidden="false" customHeight="false" outlineLevel="0" collapsed="false">
      <c r="A2974" s="16" t="n">
        <v>44946</v>
      </c>
      <c r="B2974" s="17" t="n">
        <v>22686.85</v>
      </c>
    </row>
    <row r="2975" customFormat="false" ht="15" hidden="false" customHeight="false" outlineLevel="0" collapsed="false">
      <c r="A2975" s="16" t="n">
        <v>44947</v>
      </c>
      <c r="B2975" s="17" t="n">
        <v>22785.59</v>
      </c>
    </row>
    <row r="2976" customFormat="false" ht="15" hidden="false" customHeight="false" outlineLevel="0" collapsed="false">
      <c r="A2976" s="16" t="n">
        <v>44948</v>
      </c>
      <c r="B2976" s="17" t="n">
        <v>22706.71</v>
      </c>
    </row>
    <row r="2977" customFormat="false" ht="15" hidden="false" customHeight="false" outlineLevel="0" collapsed="false">
      <c r="A2977" s="16" t="n">
        <v>44949</v>
      </c>
      <c r="B2977" s="17" t="n">
        <v>22915.32</v>
      </c>
    </row>
    <row r="2978" customFormat="false" ht="15" hidden="false" customHeight="false" outlineLevel="0" collapsed="false">
      <c r="A2978" s="16" t="n">
        <v>44950</v>
      </c>
      <c r="B2978" s="17" t="n">
        <v>22612.34</v>
      </c>
    </row>
    <row r="2979" customFormat="false" ht="15" hidden="false" customHeight="false" outlineLevel="0" collapsed="false">
      <c r="A2979" s="16" t="n">
        <v>44951</v>
      </c>
      <c r="B2979" s="17" t="n">
        <v>23072.42</v>
      </c>
    </row>
    <row r="2980" customFormat="false" ht="15" hidden="false" customHeight="false" outlineLevel="0" collapsed="false">
      <c r="A2980" s="16" t="n">
        <v>44952</v>
      </c>
      <c r="B2980" s="17" t="n">
        <v>23028.35</v>
      </c>
    </row>
    <row r="2981" customFormat="false" ht="15" hidden="false" customHeight="false" outlineLevel="0" collapsed="false">
      <c r="A2981" s="16" t="n">
        <v>44953</v>
      </c>
      <c r="B2981" s="17" t="n">
        <v>23072.62</v>
      </c>
    </row>
    <row r="2982" customFormat="false" ht="15" hidden="false" customHeight="false" outlineLevel="0" collapsed="false">
      <c r="A2982" s="16" t="n">
        <v>44954</v>
      </c>
      <c r="B2982" s="17" t="n">
        <v>23034.71</v>
      </c>
    </row>
    <row r="2983" customFormat="false" ht="15" hidden="false" customHeight="false" outlineLevel="0" collapsed="false">
      <c r="A2983" s="16" t="n">
        <v>44955</v>
      </c>
      <c r="B2983" s="17" t="n">
        <v>23736.52</v>
      </c>
    </row>
    <row r="2984" customFormat="false" ht="15" hidden="false" customHeight="false" outlineLevel="0" collapsed="false">
      <c r="A2984" s="16" t="n">
        <v>44956</v>
      </c>
      <c r="B2984" s="17" t="n">
        <v>22832.32</v>
      </c>
    </row>
    <row r="2985" customFormat="false" ht="15" hidden="false" customHeight="false" outlineLevel="0" collapsed="false">
      <c r="A2985" s="16" t="n">
        <v>44957</v>
      </c>
      <c r="B2985" s="17" t="n">
        <v>23134.74</v>
      </c>
    </row>
    <row r="2986" customFormat="false" ht="15" hidden="false" customHeight="false" outlineLevel="0" collapsed="false">
      <c r="A2986" s="16" t="n">
        <v>44958</v>
      </c>
      <c r="B2986" s="17" t="n">
        <v>23740.02</v>
      </c>
    </row>
    <row r="2987" customFormat="false" ht="15" hidden="false" customHeight="false" outlineLevel="0" collapsed="false">
      <c r="A2987" s="16" t="n">
        <v>44959</v>
      </c>
      <c r="B2987" s="17" t="n">
        <v>23548.98</v>
      </c>
    </row>
    <row r="2988" customFormat="false" ht="15" hidden="false" customHeight="false" outlineLevel="0" collapsed="false">
      <c r="A2988" s="16" t="n">
        <v>44960</v>
      </c>
      <c r="B2988" s="17" t="n">
        <v>23426.4</v>
      </c>
    </row>
    <row r="2989" customFormat="false" ht="15" hidden="false" customHeight="false" outlineLevel="0" collapsed="false">
      <c r="A2989" s="16" t="n">
        <v>44961</v>
      </c>
      <c r="B2989" s="17" t="n">
        <v>23318.95</v>
      </c>
    </row>
    <row r="2990" customFormat="false" ht="15" hidden="false" customHeight="false" outlineLevel="0" collapsed="false">
      <c r="A2990" s="16" t="n">
        <v>44962</v>
      </c>
      <c r="B2990" s="17" t="n">
        <v>22938.03</v>
      </c>
    </row>
    <row r="2991" customFormat="false" ht="15" hidden="false" customHeight="false" outlineLevel="0" collapsed="false">
      <c r="A2991" s="16" t="n">
        <v>44963</v>
      </c>
      <c r="B2991" s="17" t="n">
        <v>22751.79</v>
      </c>
    </row>
    <row r="2992" customFormat="false" ht="15" hidden="false" customHeight="false" outlineLevel="0" collapsed="false">
      <c r="A2992" s="16" t="n">
        <v>44964</v>
      </c>
      <c r="B2992" s="17" t="n">
        <v>23260.42</v>
      </c>
    </row>
    <row r="2993" customFormat="false" ht="15" hidden="false" customHeight="false" outlineLevel="0" collapsed="false">
      <c r="A2993" s="16" t="n">
        <v>44965</v>
      </c>
      <c r="B2993" s="17" t="n">
        <v>22973.38</v>
      </c>
    </row>
    <row r="2994" customFormat="false" ht="15" hidden="false" customHeight="false" outlineLevel="0" collapsed="false">
      <c r="A2994" s="16" t="n">
        <v>44966</v>
      </c>
      <c r="B2994" s="17" t="n">
        <v>21804.16</v>
      </c>
    </row>
    <row r="2995" customFormat="false" ht="15" hidden="false" customHeight="false" outlineLevel="0" collapsed="false">
      <c r="A2995" s="16" t="n">
        <v>44967</v>
      </c>
      <c r="B2995" s="17" t="n">
        <v>21629.58</v>
      </c>
    </row>
    <row r="2996" customFormat="false" ht="15" hidden="false" customHeight="false" outlineLevel="0" collapsed="false">
      <c r="A2996" s="16" t="n">
        <v>44968</v>
      </c>
      <c r="B2996" s="17" t="n">
        <v>21857.51</v>
      </c>
    </row>
    <row r="2997" customFormat="false" ht="15" hidden="false" customHeight="false" outlineLevel="0" collapsed="false">
      <c r="A2997" s="16" t="n">
        <v>44969</v>
      </c>
      <c r="B2997" s="17" t="n">
        <v>21784.08</v>
      </c>
    </row>
    <row r="2998" customFormat="false" ht="15" hidden="false" customHeight="false" outlineLevel="0" collapsed="false">
      <c r="A2998" s="16" t="n">
        <v>44970</v>
      </c>
      <c r="B2998" s="17" t="n">
        <v>21786.33</v>
      </c>
    </row>
    <row r="2999" customFormat="false" ht="15" hidden="false" customHeight="false" outlineLevel="0" collapsed="false">
      <c r="A2999" s="16" t="n">
        <v>44971</v>
      </c>
      <c r="B2999" s="17" t="n">
        <v>22193.69</v>
      </c>
    </row>
    <row r="3000" customFormat="false" ht="15" hidden="false" customHeight="false" outlineLevel="0" collapsed="false">
      <c r="A3000" s="16" t="n">
        <v>44972</v>
      </c>
      <c r="B3000" s="17" t="n">
        <v>24340.76</v>
      </c>
    </row>
    <row r="3001" customFormat="false" ht="15" hidden="false" customHeight="false" outlineLevel="0" collapsed="false">
      <c r="A3001" s="16" t="n">
        <v>44973</v>
      </c>
      <c r="B3001" s="17" t="n">
        <v>23468.21</v>
      </c>
    </row>
    <row r="3002" customFormat="false" ht="15" hidden="false" customHeight="false" outlineLevel="0" collapsed="false">
      <c r="A3002" s="16" t="n">
        <v>44974</v>
      </c>
      <c r="B3002" s="17" t="n">
        <v>24562.04</v>
      </c>
    </row>
    <row r="3003" customFormat="false" ht="15" hidden="false" customHeight="false" outlineLevel="0" collapsed="false">
      <c r="A3003" s="16" t="n">
        <v>44975</v>
      </c>
      <c r="B3003" s="17" t="n">
        <v>24626.23</v>
      </c>
    </row>
    <row r="3004" customFormat="false" ht="15" hidden="false" customHeight="false" outlineLevel="0" collapsed="false">
      <c r="A3004" s="16" t="n">
        <v>44976</v>
      </c>
      <c r="B3004" s="17" t="n">
        <v>24316.05</v>
      </c>
    </row>
    <row r="3005" customFormat="false" ht="15" hidden="false" customHeight="false" outlineLevel="0" collapsed="false">
      <c r="A3005" s="16" t="n">
        <v>44977</v>
      </c>
      <c r="B3005" s="17" t="n">
        <v>24835.63</v>
      </c>
    </row>
    <row r="3006" customFormat="false" ht="15" hidden="false" customHeight="false" outlineLevel="0" collapsed="false">
      <c r="A3006" s="16" t="n">
        <v>44978</v>
      </c>
      <c r="B3006" s="17" t="n">
        <v>24447.91</v>
      </c>
    </row>
    <row r="3007" customFormat="false" ht="15" hidden="false" customHeight="false" outlineLevel="0" collapsed="false">
      <c r="A3007" s="16" t="n">
        <v>44979</v>
      </c>
      <c r="B3007" s="17" t="n">
        <v>24187.63</v>
      </c>
    </row>
    <row r="3008" customFormat="false" ht="15" hidden="false" customHeight="false" outlineLevel="0" collapsed="false">
      <c r="A3008" s="16" t="n">
        <v>44980</v>
      </c>
      <c r="B3008" s="17" t="n">
        <v>23938.48</v>
      </c>
    </row>
    <row r="3009" customFormat="false" ht="15" hidden="false" customHeight="false" outlineLevel="0" collapsed="false">
      <c r="A3009" s="16" t="n">
        <v>44981</v>
      </c>
      <c r="B3009" s="17" t="n">
        <v>23181.45</v>
      </c>
    </row>
    <row r="3010" customFormat="false" ht="15" hidden="false" customHeight="false" outlineLevel="0" collapsed="false">
      <c r="A3010" s="16" t="n">
        <v>44982</v>
      </c>
      <c r="B3010" s="17" t="n">
        <v>23157.01</v>
      </c>
    </row>
    <row r="3011" customFormat="false" ht="15" hidden="false" customHeight="false" outlineLevel="0" collapsed="false">
      <c r="A3011" s="16" t="n">
        <v>44983</v>
      </c>
      <c r="B3011" s="17" t="n">
        <v>23551.19</v>
      </c>
    </row>
    <row r="3012" customFormat="false" ht="15" hidden="false" customHeight="false" outlineLevel="0" collapsed="false">
      <c r="A3012" s="16" t="n">
        <v>44984</v>
      </c>
      <c r="B3012" s="17" t="n">
        <v>23479.61</v>
      </c>
    </row>
    <row r="3013" customFormat="false" ht="15" hidden="false" customHeight="false" outlineLevel="0" collapsed="false">
      <c r="A3013" s="16" t="n">
        <v>44985</v>
      </c>
      <c r="B3013" s="17" t="n">
        <v>23146.93</v>
      </c>
    </row>
    <row r="3014" customFormat="false" ht="15" hidden="false" customHeight="false" outlineLevel="0" collapsed="false">
      <c r="A3014" s="16" t="n">
        <v>44986</v>
      </c>
      <c r="B3014" s="17" t="n">
        <v>23634.46</v>
      </c>
    </row>
    <row r="3015" customFormat="false" ht="15" hidden="false" customHeight="false" outlineLevel="0" collapsed="false">
      <c r="A3015" s="16" t="n">
        <v>44987</v>
      </c>
      <c r="B3015" s="17" t="n">
        <v>23469.09</v>
      </c>
    </row>
    <row r="3016" customFormat="false" ht="15" hidden="false" customHeight="false" outlineLevel="0" collapsed="false">
      <c r="A3016" s="16" t="n">
        <v>44988</v>
      </c>
      <c r="B3016" s="17" t="n">
        <v>22343.55</v>
      </c>
    </row>
    <row r="3017" customFormat="false" ht="15" hidden="false" customHeight="false" outlineLevel="0" collapsed="false">
      <c r="A3017" s="16" t="n">
        <v>44989</v>
      </c>
      <c r="B3017" s="17" t="n">
        <v>22345.17</v>
      </c>
    </row>
    <row r="3018" customFormat="false" ht="15" hidden="false" customHeight="false" outlineLevel="0" collapsed="false">
      <c r="A3018" s="16" t="n">
        <v>44990</v>
      </c>
      <c r="B3018" s="17" t="n">
        <v>22429.5</v>
      </c>
    </row>
    <row r="3019" customFormat="false" ht="15" hidden="false" customHeight="false" outlineLevel="0" collapsed="false">
      <c r="A3019" s="16" t="n">
        <v>44991</v>
      </c>
      <c r="B3019" s="17" t="n">
        <v>22419.33</v>
      </c>
    </row>
    <row r="3020" customFormat="false" ht="15" hidden="false" customHeight="false" outlineLevel="0" collapsed="false">
      <c r="A3020" s="16" t="n">
        <v>44992</v>
      </c>
      <c r="B3020" s="17" t="n">
        <v>22198.95</v>
      </c>
    </row>
    <row r="3021" customFormat="false" ht="15" hidden="false" customHeight="false" outlineLevel="0" collapsed="false">
      <c r="A3021" s="16" t="n">
        <v>44993</v>
      </c>
      <c r="B3021" s="17" t="n">
        <v>21712.64</v>
      </c>
    </row>
    <row r="3022" customFormat="false" ht="15" hidden="false" customHeight="false" outlineLevel="0" collapsed="false">
      <c r="A3022" s="16" t="n">
        <v>44994</v>
      </c>
      <c r="B3022" s="17" t="n">
        <v>20364.09</v>
      </c>
    </row>
    <row r="3023" customFormat="false" ht="15" hidden="false" customHeight="false" outlineLevel="0" collapsed="false">
      <c r="A3023" s="16" t="n">
        <v>44995</v>
      </c>
      <c r="B3023" s="17" t="n">
        <v>20227.02</v>
      </c>
    </row>
    <row r="3024" customFormat="false" ht="15" hidden="false" customHeight="false" outlineLevel="0" collapsed="false">
      <c r="A3024" s="16" t="n">
        <v>44996</v>
      </c>
      <c r="B3024" s="17" t="n">
        <v>20607.79</v>
      </c>
    </row>
    <row r="3025" customFormat="false" ht="15" hidden="false" customHeight="false" outlineLevel="0" collapsed="false">
      <c r="A3025" s="16" t="n">
        <v>44997</v>
      </c>
      <c r="B3025" s="17" t="n">
        <v>22284.36</v>
      </c>
    </row>
    <row r="3026" customFormat="false" ht="15" hidden="false" customHeight="false" outlineLevel="0" collapsed="false">
      <c r="A3026" s="16" t="n">
        <v>44998</v>
      </c>
      <c r="B3026" s="17" t="n">
        <v>24239.87</v>
      </c>
    </row>
    <row r="3027" customFormat="false" ht="15" hidden="false" customHeight="false" outlineLevel="0" collapsed="false">
      <c r="A3027" s="16" t="n">
        <v>44999</v>
      </c>
      <c r="B3027" s="17" t="n">
        <v>24786.83</v>
      </c>
    </row>
    <row r="3028" customFormat="false" ht="15" hidden="false" customHeight="false" outlineLevel="0" collapsed="false">
      <c r="A3028" s="16" t="n">
        <v>45000</v>
      </c>
      <c r="B3028" s="17" t="n">
        <v>24350.57</v>
      </c>
    </row>
    <row r="3029" customFormat="false" ht="15" hidden="false" customHeight="false" outlineLevel="0" collapsed="false">
      <c r="A3029" s="16" t="n">
        <v>45001</v>
      </c>
      <c r="B3029" s="17" t="n">
        <v>25040.11</v>
      </c>
    </row>
    <row r="3030" customFormat="false" ht="15" hidden="false" customHeight="false" outlineLevel="0" collapsed="false">
      <c r="A3030" s="16" t="n">
        <v>45002</v>
      </c>
      <c r="B3030" s="17" t="n">
        <v>27442.51</v>
      </c>
    </row>
    <row r="3031" customFormat="false" ht="15" hidden="false" customHeight="false" outlineLevel="0" collapsed="false">
      <c r="A3031" s="16" t="n">
        <v>45003</v>
      </c>
      <c r="B3031" s="17" t="n">
        <v>26991.27</v>
      </c>
    </row>
    <row r="3032" customFormat="false" ht="15" hidden="false" customHeight="false" outlineLevel="0" collapsed="false">
      <c r="A3032" s="16" t="n">
        <v>45004</v>
      </c>
      <c r="B3032" s="17" t="n">
        <v>28050.01</v>
      </c>
    </row>
    <row r="3033" customFormat="false" ht="15" hidden="false" customHeight="false" outlineLevel="0" collapsed="false">
      <c r="A3033" s="16" t="n">
        <v>45005</v>
      </c>
      <c r="B3033" s="17" t="n">
        <v>27818.07</v>
      </c>
    </row>
    <row r="3034" customFormat="false" ht="15" hidden="false" customHeight="false" outlineLevel="0" collapsed="false">
      <c r="A3034" s="16" t="n">
        <v>45006</v>
      </c>
      <c r="B3034" s="17" t="n">
        <v>28195.56</v>
      </c>
    </row>
    <row r="3035" customFormat="false" ht="15" hidden="false" customHeight="false" outlineLevel="0" collapsed="false">
      <c r="A3035" s="16" t="n">
        <v>45007</v>
      </c>
      <c r="B3035" s="17" t="n">
        <v>27324.09</v>
      </c>
    </row>
    <row r="3036" customFormat="false" ht="15" hidden="false" customHeight="false" outlineLevel="0" collapsed="false">
      <c r="A3036" s="16" t="n">
        <v>45008</v>
      </c>
      <c r="B3036" s="17" t="n">
        <v>28361.31</v>
      </c>
    </row>
    <row r="3037" customFormat="false" ht="15" hidden="false" customHeight="false" outlineLevel="0" collapsed="false">
      <c r="A3037" s="16" t="n">
        <v>45009</v>
      </c>
      <c r="B3037" s="17" t="n">
        <v>27488.93</v>
      </c>
    </row>
    <row r="3038" customFormat="false" ht="15" hidden="false" customHeight="false" outlineLevel="0" collapsed="false">
      <c r="A3038" s="16" t="n">
        <v>45010</v>
      </c>
      <c r="B3038" s="17" t="n">
        <v>27485.45</v>
      </c>
    </row>
    <row r="3039" customFormat="false" ht="15" hidden="false" customHeight="false" outlineLevel="0" collapsed="false">
      <c r="A3039" s="16" t="n">
        <v>45011</v>
      </c>
      <c r="B3039" s="17" t="n">
        <v>27987.14</v>
      </c>
    </row>
    <row r="3040" customFormat="false" ht="15" hidden="false" customHeight="false" outlineLevel="0" collapsed="false">
      <c r="A3040" s="16" t="n">
        <v>45012</v>
      </c>
      <c r="B3040" s="17" t="n">
        <v>27139.64</v>
      </c>
    </row>
    <row r="3041" customFormat="false" ht="15" hidden="false" customHeight="false" outlineLevel="0" collapsed="false">
      <c r="A3041" s="16" t="n">
        <v>45013</v>
      </c>
      <c r="B3041" s="17" t="n">
        <v>27273.12</v>
      </c>
    </row>
    <row r="3042" customFormat="false" ht="15" hidden="false" customHeight="false" outlineLevel="0" collapsed="false">
      <c r="A3042" s="16" t="n">
        <v>45014</v>
      </c>
      <c r="B3042" s="17" t="n">
        <v>28366.67</v>
      </c>
    </row>
    <row r="3043" customFormat="false" ht="15" hidden="false" customHeight="false" outlineLevel="0" collapsed="false">
      <c r="A3043" s="16" t="n">
        <v>45015</v>
      </c>
      <c r="B3043" s="17" t="n">
        <v>28036.88</v>
      </c>
    </row>
    <row r="3044" customFormat="false" ht="15" hidden="false" customHeight="false" outlineLevel="0" collapsed="false">
      <c r="A3044" s="16" t="n">
        <v>45016</v>
      </c>
      <c r="B3044" s="17" t="n">
        <v>28492.72</v>
      </c>
    </row>
    <row r="3045" customFormat="false" ht="15" hidden="false" customHeight="false" outlineLevel="0" collapsed="false">
      <c r="A3045" s="16" t="n">
        <v>45017</v>
      </c>
      <c r="B3045" s="17" t="n">
        <v>28471.82</v>
      </c>
    </row>
    <row r="3046" customFormat="false" ht="15" hidden="false" customHeight="false" outlineLevel="0" collapsed="false">
      <c r="A3046" s="16" t="n">
        <v>45018</v>
      </c>
      <c r="B3046" s="17" t="n">
        <v>28179.21</v>
      </c>
    </row>
    <row r="3047" customFormat="false" ht="15" hidden="false" customHeight="false" outlineLevel="0" collapsed="false">
      <c r="A3047" s="16" t="n">
        <v>45019</v>
      </c>
      <c r="B3047" s="17" t="n">
        <v>27807.81</v>
      </c>
    </row>
    <row r="3048" customFormat="false" ht="15" hidden="false" customHeight="false" outlineLevel="0" collapsed="false">
      <c r="A3048" s="16" t="n">
        <v>45020</v>
      </c>
      <c r="B3048" s="17" t="n">
        <v>28172.02</v>
      </c>
    </row>
    <row r="3049" customFormat="false" ht="15" hidden="false" customHeight="false" outlineLevel="0" collapsed="false">
      <c r="A3049" s="16" t="n">
        <v>45021</v>
      </c>
      <c r="B3049" s="17" t="n">
        <v>28187.68</v>
      </c>
    </row>
    <row r="3050" customFormat="false" ht="15" hidden="false" customHeight="false" outlineLevel="0" collapsed="false">
      <c r="A3050" s="16" t="n">
        <v>45022</v>
      </c>
      <c r="B3050" s="17" t="n">
        <v>28053.47</v>
      </c>
    </row>
    <row r="3051" customFormat="false" ht="15" hidden="false" customHeight="false" outlineLevel="0" collapsed="false">
      <c r="A3051" s="16" t="n">
        <v>45023</v>
      </c>
      <c r="B3051" s="17" t="n">
        <v>27927.15</v>
      </c>
    </row>
    <row r="3052" customFormat="false" ht="15" hidden="false" customHeight="false" outlineLevel="0" collapsed="false">
      <c r="A3052" s="16" t="n">
        <v>45024</v>
      </c>
      <c r="B3052" s="17" t="n">
        <v>27959.5</v>
      </c>
    </row>
    <row r="3053" customFormat="false" ht="15" hidden="false" customHeight="false" outlineLevel="0" collapsed="false">
      <c r="A3053" s="16" t="n">
        <v>45025</v>
      </c>
      <c r="B3053" s="17" t="n">
        <v>28337.04</v>
      </c>
    </row>
    <row r="3054" customFormat="false" ht="15" hidden="false" customHeight="false" outlineLevel="0" collapsed="false">
      <c r="A3054" s="16" t="n">
        <v>45026</v>
      </c>
      <c r="B3054" s="17" t="n">
        <v>29678.68</v>
      </c>
    </row>
    <row r="3055" customFormat="false" ht="15" hidden="false" customHeight="false" outlineLevel="0" collapsed="false">
      <c r="A3055" s="16" t="n">
        <v>45027</v>
      </c>
      <c r="B3055" s="17" t="n">
        <v>30243.93</v>
      </c>
    </row>
    <row r="3056" customFormat="false" ht="15" hidden="false" customHeight="false" outlineLevel="0" collapsed="false">
      <c r="A3056" s="16" t="n">
        <v>45028</v>
      </c>
      <c r="B3056" s="17" t="n">
        <v>29913.06</v>
      </c>
    </row>
    <row r="3057" customFormat="false" ht="15" hidden="false" customHeight="false" outlineLevel="0" collapsed="false">
      <c r="A3057" s="16" t="n">
        <v>45029</v>
      </c>
      <c r="B3057" s="17" t="n">
        <v>30412.73</v>
      </c>
    </row>
    <row r="3058" customFormat="false" ht="15" hidden="false" customHeight="false" outlineLevel="0" collapsed="false">
      <c r="A3058" s="16" t="n">
        <v>45030</v>
      </c>
      <c r="B3058" s="17" t="n">
        <v>30493.72</v>
      </c>
    </row>
    <row r="3059" customFormat="false" ht="15" hidden="false" customHeight="false" outlineLevel="0" collapsed="false">
      <c r="A3059" s="16" t="n">
        <v>45031</v>
      </c>
      <c r="B3059" s="17" t="n">
        <v>30319.72</v>
      </c>
    </row>
    <row r="3060" customFormat="false" ht="15" hidden="false" customHeight="false" outlineLevel="0" collapsed="false">
      <c r="A3060" s="16" t="n">
        <v>45032</v>
      </c>
      <c r="B3060" s="17" t="n">
        <v>30328.02</v>
      </c>
    </row>
    <row r="3061" customFormat="false" ht="15" hidden="false" customHeight="false" outlineLevel="0" collapsed="false">
      <c r="A3061" s="16" t="n">
        <v>45033</v>
      </c>
      <c r="B3061" s="17" t="n">
        <v>29449.98</v>
      </c>
    </row>
    <row r="3062" customFormat="false" ht="15" hidden="false" customHeight="false" outlineLevel="0" collapsed="false">
      <c r="A3062" s="16" t="n">
        <v>45034</v>
      </c>
      <c r="B3062" s="17" t="n">
        <v>30382.37</v>
      </c>
    </row>
    <row r="3063" customFormat="false" ht="15" hidden="false" customHeight="false" outlineLevel="0" collapsed="false">
      <c r="A3063" s="16" t="n">
        <v>45035</v>
      </c>
      <c r="B3063" s="17" t="n">
        <v>28814.51</v>
      </c>
    </row>
    <row r="3064" customFormat="false" ht="15" hidden="false" customHeight="false" outlineLevel="0" collapsed="false">
      <c r="A3064" s="16" t="n">
        <v>45036</v>
      </c>
      <c r="B3064" s="17" t="n">
        <v>28235.24</v>
      </c>
    </row>
    <row r="3065" customFormat="false" ht="15" hidden="false" customHeight="false" outlineLevel="0" collapsed="false">
      <c r="A3065" s="16" t="n">
        <v>45037</v>
      </c>
      <c r="B3065" s="17" t="n">
        <v>27259</v>
      </c>
    </row>
    <row r="3066" customFormat="false" ht="15" hidden="false" customHeight="false" outlineLevel="0" collapsed="false">
      <c r="A3066" s="16" t="n">
        <v>45038</v>
      </c>
      <c r="B3066" s="17" t="n">
        <v>27812.19</v>
      </c>
    </row>
    <row r="3067" customFormat="false" ht="15" hidden="false" customHeight="false" outlineLevel="0" collapsed="false">
      <c r="A3067" s="16" t="n">
        <v>45039</v>
      </c>
      <c r="B3067" s="17" t="n">
        <v>27582.31</v>
      </c>
    </row>
    <row r="3068" customFormat="false" ht="15" hidden="false" customHeight="false" outlineLevel="0" collapsed="false">
      <c r="A3068" s="16" t="n">
        <v>45040</v>
      </c>
      <c r="B3068" s="17" t="n">
        <v>27518.81</v>
      </c>
    </row>
    <row r="3069" customFormat="false" ht="15" hidden="false" customHeight="false" outlineLevel="0" collapsed="false">
      <c r="A3069" s="16" t="n">
        <v>45041</v>
      </c>
      <c r="B3069" s="17" t="n">
        <v>28321.6</v>
      </c>
    </row>
    <row r="3070" customFormat="false" ht="15" hidden="false" customHeight="false" outlineLevel="0" collapsed="false">
      <c r="A3070" s="16" t="n">
        <v>45042</v>
      </c>
      <c r="B3070" s="17" t="n">
        <v>28406.04</v>
      </c>
    </row>
    <row r="3071" customFormat="false" ht="15" hidden="false" customHeight="false" outlineLevel="0" collapsed="false">
      <c r="A3071" s="16" t="n">
        <v>45043</v>
      </c>
      <c r="B3071" s="17" t="n">
        <v>29502.8</v>
      </c>
    </row>
    <row r="3072" customFormat="false" ht="15" hidden="false" customHeight="false" outlineLevel="0" collapsed="false">
      <c r="A3072" s="16" t="n">
        <v>45044</v>
      </c>
      <c r="B3072" s="17" t="n">
        <v>29344.36</v>
      </c>
    </row>
    <row r="3073" customFormat="false" ht="15" hidden="false" customHeight="false" outlineLevel="0" collapsed="false">
      <c r="A3073" s="16" t="n">
        <v>45045</v>
      </c>
      <c r="B3073" s="17" t="n">
        <v>29249.66</v>
      </c>
    </row>
    <row r="3074" customFormat="false" ht="15" hidden="false" customHeight="false" outlineLevel="0" collapsed="false">
      <c r="A3074" s="16" t="n">
        <v>45046</v>
      </c>
      <c r="B3074" s="17" t="n">
        <v>29271.16</v>
      </c>
    </row>
    <row r="3075" customFormat="false" ht="15" hidden="false" customHeight="false" outlineLevel="0" collapsed="false">
      <c r="A3075" s="16" t="n">
        <v>45047</v>
      </c>
      <c r="B3075" s="17" t="n">
        <v>28056.44</v>
      </c>
    </row>
    <row r="3076" customFormat="false" ht="15" hidden="false" customHeight="false" outlineLevel="0" collapsed="false">
      <c r="A3076" s="16" t="n">
        <v>45048</v>
      </c>
      <c r="B3076" s="17" t="n">
        <v>28682.78</v>
      </c>
    </row>
    <row r="3077" customFormat="false" ht="15" hidden="false" customHeight="false" outlineLevel="0" collapsed="false">
      <c r="A3077" s="16" t="n">
        <v>45049</v>
      </c>
      <c r="B3077" s="17" t="n">
        <v>29047.44</v>
      </c>
    </row>
    <row r="3078" customFormat="false" ht="15" hidden="false" customHeight="false" outlineLevel="0" collapsed="false">
      <c r="A3078" s="16" t="n">
        <v>45050</v>
      </c>
      <c r="B3078" s="17" t="n">
        <v>28861.56</v>
      </c>
    </row>
    <row r="3079" customFormat="false" ht="15" hidden="false" customHeight="false" outlineLevel="0" collapsed="false">
      <c r="A3079" s="16" t="n">
        <v>45051</v>
      </c>
      <c r="B3079" s="17" t="n">
        <v>29514.95</v>
      </c>
    </row>
    <row r="3080" customFormat="false" ht="15" hidden="false" customHeight="false" outlineLevel="0" collapsed="false">
      <c r="A3080" s="16" t="n">
        <v>45052</v>
      </c>
      <c r="B3080" s="17" t="n">
        <v>28907.66</v>
      </c>
    </row>
    <row r="3081" customFormat="false" ht="15" hidden="false" customHeight="false" outlineLevel="0" collapsed="false">
      <c r="A3081" s="16" t="n">
        <v>45053</v>
      </c>
      <c r="B3081" s="17" t="n">
        <v>28425</v>
      </c>
    </row>
    <row r="3082" customFormat="false" ht="15" hidden="false" customHeight="false" outlineLevel="0" collapsed="false">
      <c r="A3082" s="16" t="n">
        <v>45054</v>
      </c>
      <c r="B3082" s="17" t="n">
        <v>27682.7</v>
      </c>
    </row>
    <row r="3083" customFormat="false" ht="15" hidden="false" customHeight="false" outlineLevel="0" collapsed="false">
      <c r="A3083" s="16" t="n">
        <v>45055</v>
      </c>
      <c r="B3083" s="17" t="n">
        <v>27647.15</v>
      </c>
    </row>
    <row r="3084" customFormat="false" ht="15" hidden="false" customHeight="false" outlineLevel="0" collapsed="false">
      <c r="A3084" s="16" t="n">
        <v>45056</v>
      </c>
      <c r="B3084" s="17" t="n">
        <v>27620.2</v>
      </c>
    </row>
    <row r="3085" customFormat="false" ht="15" hidden="false" customHeight="false" outlineLevel="0" collapsed="false">
      <c r="A3085" s="16" t="n">
        <v>45057</v>
      </c>
      <c r="B3085" s="17" t="n">
        <v>27007.95</v>
      </c>
    </row>
    <row r="3086" customFormat="false" ht="15" hidden="false" customHeight="false" outlineLevel="0" collapsed="false">
      <c r="A3086" s="16" t="n">
        <v>45058</v>
      </c>
      <c r="B3086" s="17" t="n">
        <v>26811.54</v>
      </c>
    </row>
    <row r="3087" customFormat="false" ht="15" hidden="false" customHeight="false" outlineLevel="0" collapsed="false">
      <c r="A3087" s="16" t="n">
        <v>45059</v>
      </c>
      <c r="B3087" s="17" t="n">
        <v>26790.49</v>
      </c>
    </row>
    <row r="3088" customFormat="false" ht="15" hidden="false" customHeight="false" outlineLevel="0" collapsed="false">
      <c r="A3088" s="16" t="n">
        <v>45060</v>
      </c>
      <c r="B3088" s="17" t="n">
        <v>26931.38</v>
      </c>
    </row>
    <row r="3089" customFormat="false" ht="15" hidden="false" customHeight="false" outlineLevel="0" collapsed="false">
      <c r="A3089" s="16" t="n">
        <v>45061</v>
      </c>
      <c r="B3089" s="17" t="n">
        <v>27178.3</v>
      </c>
    </row>
    <row r="3090" customFormat="false" ht="15" hidden="false" customHeight="false" outlineLevel="0" collapsed="false">
      <c r="A3090" s="16" t="n">
        <v>45062</v>
      </c>
      <c r="B3090" s="17" t="n">
        <v>27041.08</v>
      </c>
    </row>
    <row r="3091" customFormat="false" ht="15" hidden="false" customHeight="false" outlineLevel="0" collapsed="false">
      <c r="A3091" s="16" t="n">
        <v>45063</v>
      </c>
      <c r="B3091" s="17" t="n">
        <v>27417.13</v>
      </c>
    </row>
    <row r="3092" customFormat="false" ht="15" hidden="false" customHeight="false" outlineLevel="0" collapsed="false">
      <c r="A3092" s="16" t="n">
        <v>45064</v>
      </c>
      <c r="B3092" s="17" t="n">
        <v>26829.49</v>
      </c>
    </row>
    <row r="3093" customFormat="false" ht="15" hidden="false" customHeight="false" outlineLevel="0" collapsed="false">
      <c r="A3093" s="16" t="n">
        <v>45065</v>
      </c>
      <c r="B3093" s="17" t="n">
        <v>26877.99</v>
      </c>
    </row>
    <row r="3094" customFormat="false" ht="15" hidden="false" customHeight="false" outlineLevel="0" collapsed="false">
      <c r="A3094" s="16" t="n">
        <v>45066</v>
      </c>
      <c r="B3094" s="17" t="n">
        <v>27116.58</v>
      </c>
    </row>
    <row r="3095" customFormat="false" ht="15" hidden="false" customHeight="false" outlineLevel="0" collapsed="false">
      <c r="A3095" s="16" t="n">
        <v>45067</v>
      </c>
      <c r="B3095" s="17" t="n">
        <v>26749.85</v>
      </c>
    </row>
    <row r="3096" customFormat="false" ht="15" hidden="false" customHeight="false" outlineLevel="0" collapsed="false">
      <c r="A3096" s="16" t="n">
        <v>45068</v>
      </c>
      <c r="B3096" s="17" t="n">
        <v>26854.54</v>
      </c>
    </row>
    <row r="3097" customFormat="false" ht="15" hidden="false" customHeight="false" outlineLevel="0" collapsed="false">
      <c r="A3097" s="16" t="n">
        <v>45069</v>
      </c>
      <c r="B3097" s="17" t="n">
        <v>27223.75</v>
      </c>
    </row>
    <row r="3098" customFormat="false" ht="15" hidden="false" customHeight="false" outlineLevel="0" collapsed="false">
      <c r="A3098" s="16" t="n">
        <v>45070</v>
      </c>
      <c r="B3098" s="17" t="n">
        <v>26321.63</v>
      </c>
    </row>
    <row r="3099" customFormat="false" ht="15" hidden="false" customHeight="false" outlineLevel="0" collapsed="false">
      <c r="A3099" s="16" t="n">
        <v>45071</v>
      </c>
      <c r="B3099" s="17" t="n">
        <v>26488.5</v>
      </c>
    </row>
    <row r="3100" customFormat="false" ht="15" hidden="false" customHeight="false" outlineLevel="0" collapsed="false">
      <c r="A3100" s="16" t="n">
        <v>45072</v>
      </c>
      <c r="B3100" s="17" t="n">
        <v>26728.06</v>
      </c>
    </row>
    <row r="3101" customFormat="false" ht="15" hidden="false" customHeight="false" outlineLevel="0" collapsed="false">
      <c r="A3101" s="16" t="n">
        <v>45073</v>
      </c>
      <c r="B3101" s="17" t="n">
        <v>26883.76</v>
      </c>
    </row>
    <row r="3102" customFormat="false" ht="15" hidden="false" customHeight="false" outlineLevel="0" collapsed="false">
      <c r="A3102" s="16" t="n">
        <v>45074</v>
      </c>
      <c r="B3102" s="17" t="n">
        <v>28099.42</v>
      </c>
    </row>
    <row r="3103" customFormat="false" ht="15" hidden="false" customHeight="false" outlineLevel="0" collapsed="false">
      <c r="A3103" s="16" t="n">
        <v>45075</v>
      </c>
      <c r="B3103" s="17" t="n">
        <v>27755.32</v>
      </c>
    </row>
    <row r="3104" customFormat="false" ht="15" hidden="false" customHeight="false" outlineLevel="0" collapsed="false">
      <c r="A3104" s="16" t="n">
        <v>45076</v>
      </c>
      <c r="B3104" s="17" t="n">
        <v>27696.65</v>
      </c>
    </row>
    <row r="3105" customFormat="false" ht="15" hidden="false" customHeight="false" outlineLevel="0" collapsed="false">
      <c r="A3105" s="16" t="n">
        <v>45077</v>
      </c>
      <c r="B3105" s="17" t="n">
        <v>27222.9</v>
      </c>
    </row>
    <row r="3106" customFormat="false" ht="15" hidden="false" customHeight="false" outlineLevel="0" collapsed="false">
      <c r="A3106" s="16" t="n">
        <v>45078</v>
      </c>
      <c r="B3106" s="17" t="n">
        <v>26837.1</v>
      </c>
    </row>
    <row r="3107" customFormat="false" ht="15" hidden="false" customHeight="false" outlineLevel="0" collapsed="false">
      <c r="A3107" s="16" t="n">
        <v>45079</v>
      </c>
      <c r="B3107" s="17" t="n">
        <v>27250.49</v>
      </c>
    </row>
    <row r="3108" customFormat="false" ht="15" hidden="false" customHeight="false" outlineLevel="0" collapsed="false">
      <c r="A3108" s="16" t="n">
        <v>45080</v>
      </c>
      <c r="B3108" s="17" t="n">
        <v>27073.69</v>
      </c>
    </row>
    <row r="3109" customFormat="false" ht="15" hidden="false" customHeight="false" outlineLevel="0" collapsed="false">
      <c r="A3109" s="16" t="n">
        <v>45081</v>
      </c>
      <c r="B3109" s="17" t="n">
        <v>27107.67</v>
      </c>
    </row>
    <row r="3110" customFormat="false" ht="15" hidden="false" customHeight="false" outlineLevel="0" collapsed="false">
      <c r="A3110" s="16" t="n">
        <v>45082</v>
      </c>
      <c r="B3110" s="17" t="n">
        <v>25751.24</v>
      </c>
    </row>
    <row r="3111" customFormat="false" ht="15" hidden="false" customHeight="false" outlineLevel="0" collapsed="false">
      <c r="A3111" s="16" t="n">
        <v>45083</v>
      </c>
      <c r="B3111" s="17" t="n">
        <v>27245.8</v>
      </c>
    </row>
    <row r="3112" customFormat="false" ht="15" hidden="false" customHeight="false" outlineLevel="0" collapsed="false">
      <c r="A3112" s="16" t="n">
        <v>45084</v>
      </c>
      <c r="B3112" s="17" t="n">
        <v>26347.69</v>
      </c>
    </row>
    <row r="3113" customFormat="false" ht="15" hidden="false" customHeight="false" outlineLevel="0" collapsed="false">
      <c r="A3113" s="16" t="n">
        <v>45085</v>
      </c>
      <c r="B3113" s="17" t="n">
        <v>26504.81</v>
      </c>
    </row>
    <row r="3114" customFormat="false" ht="15" hidden="false" customHeight="false" outlineLevel="0" collapsed="false">
      <c r="A3114" s="16" t="n">
        <v>45086</v>
      </c>
      <c r="B3114" s="17" t="n">
        <v>26483.2</v>
      </c>
    </row>
    <row r="3115" customFormat="false" ht="15" hidden="false" customHeight="false" outlineLevel="0" collapsed="false">
      <c r="A3115" s="16" t="n">
        <v>45087</v>
      </c>
      <c r="B3115" s="17" t="n">
        <v>25831.06</v>
      </c>
    </row>
    <row r="3116" customFormat="false" ht="15" hidden="false" customHeight="false" outlineLevel="0" collapsed="false">
      <c r="A3116" s="16" t="n">
        <v>45088</v>
      </c>
      <c r="B3116" s="17" t="n">
        <v>25946.74</v>
      </c>
    </row>
    <row r="3117" customFormat="false" ht="15" hidden="false" customHeight="false" outlineLevel="0" collapsed="false">
      <c r="A3117" s="16" t="n">
        <v>45089</v>
      </c>
      <c r="B3117" s="17" t="n">
        <v>25906.91</v>
      </c>
    </row>
    <row r="3118" customFormat="false" ht="15" hidden="false" customHeight="false" outlineLevel="0" collapsed="false">
      <c r="A3118" s="16" t="n">
        <v>45090</v>
      </c>
      <c r="B3118" s="17" t="n">
        <v>25933.04</v>
      </c>
    </row>
    <row r="3119" customFormat="false" ht="15" hidden="false" customHeight="false" outlineLevel="0" collapsed="false">
      <c r="A3119" s="16" t="n">
        <v>45091</v>
      </c>
      <c r="B3119" s="17" t="n">
        <v>25103.81</v>
      </c>
    </row>
    <row r="3120" customFormat="false" ht="15" hidden="false" customHeight="false" outlineLevel="0" collapsed="false">
      <c r="A3120" s="16" t="n">
        <v>45092</v>
      </c>
      <c r="B3120" s="17" t="n">
        <v>25542.36</v>
      </c>
    </row>
    <row r="3121" customFormat="false" ht="15" hidden="false" customHeight="false" outlineLevel="0" collapsed="false">
      <c r="A3121" s="16" t="n">
        <v>45093</v>
      </c>
      <c r="B3121" s="17" t="n">
        <v>26341.33</v>
      </c>
    </row>
    <row r="3122" customFormat="false" ht="15" hidden="false" customHeight="false" outlineLevel="0" collapsed="false">
      <c r="A3122" s="16" t="n">
        <v>45094</v>
      </c>
      <c r="B3122" s="17" t="n">
        <v>26511.06</v>
      </c>
    </row>
    <row r="3123" customFormat="false" ht="15" hidden="false" customHeight="false" outlineLevel="0" collapsed="false">
      <c r="A3123" s="16" t="n">
        <v>45095</v>
      </c>
      <c r="B3123" s="17" t="n">
        <v>26326.27</v>
      </c>
    </row>
    <row r="3124" customFormat="false" ht="15" hidden="false" customHeight="false" outlineLevel="0" collapsed="false">
      <c r="A3124" s="16" t="n">
        <v>45096</v>
      </c>
      <c r="B3124" s="17" t="n">
        <v>26822.19</v>
      </c>
    </row>
    <row r="3125" customFormat="false" ht="15" hidden="false" customHeight="false" outlineLevel="0" collapsed="false">
      <c r="A3125" s="16" t="n">
        <v>45097</v>
      </c>
      <c r="B3125" s="17" t="n">
        <v>28315.01</v>
      </c>
    </row>
    <row r="3126" customFormat="false" ht="15" hidden="false" customHeight="false" outlineLevel="0" collapsed="false">
      <c r="A3126" s="16" t="n">
        <v>45098</v>
      </c>
      <c r="B3126" s="17" t="n">
        <v>29998.22</v>
      </c>
    </row>
    <row r="3127" customFormat="false" ht="15" hidden="false" customHeight="false" outlineLevel="0" collapsed="false">
      <c r="A3127" s="16" t="n">
        <v>45099</v>
      </c>
      <c r="B3127" s="17" t="n">
        <v>29885.29</v>
      </c>
    </row>
    <row r="3128" customFormat="false" ht="15" hidden="false" customHeight="false" outlineLevel="0" collapsed="false">
      <c r="A3128" s="16" t="n">
        <v>45100</v>
      </c>
      <c r="B3128" s="17" t="n">
        <v>30692.18</v>
      </c>
    </row>
    <row r="3129" customFormat="false" ht="15" hidden="false" customHeight="false" outlineLevel="0" collapsed="false">
      <c r="A3129" s="16" t="n">
        <v>45101</v>
      </c>
      <c r="B3129" s="17" t="n">
        <v>30556.69</v>
      </c>
    </row>
    <row r="3130" customFormat="false" ht="15" hidden="false" customHeight="false" outlineLevel="0" collapsed="false">
      <c r="A3130" s="16" t="n">
        <v>45102</v>
      </c>
      <c r="B3130" s="17" t="n">
        <v>30488.37</v>
      </c>
    </row>
    <row r="3131" customFormat="false" ht="15" hidden="false" customHeight="false" outlineLevel="0" collapsed="false">
      <c r="A3131" s="16" t="n">
        <v>45103</v>
      </c>
      <c r="B3131" s="17" t="n">
        <v>30279.98</v>
      </c>
    </row>
    <row r="3132" customFormat="false" ht="15" hidden="false" customHeight="false" outlineLevel="0" collapsed="false">
      <c r="A3132" s="16" t="n">
        <v>45104</v>
      </c>
      <c r="B3132" s="17" t="n">
        <v>30702.1</v>
      </c>
    </row>
    <row r="3133" customFormat="false" ht="15" hidden="false" customHeight="false" outlineLevel="0" collapsed="false">
      <c r="A3133" s="16" t="n">
        <v>45105</v>
      </c>
      <c r="B3133" s="17" t="n">
        <v>30102.6</v>
      </c>
    </row>
    <row r="3134" customFormat="false" ht="15" hidden="false" customHeight="false" outlineLevel="0" collapsed="false">
      <c r="A3134" s="16" t="n">
        <v>45106</v>
      </c>
      <c r="B3134" s="17" t="n">
        <v>30441.4</v>
      </c>
    </row>
    <row r="3135" customFormat="false" ht="15" hidden="false" customHeight="false" outlineLevel="0" collapsed="false">
      <c r="A3135" s="16" t="n">
        <v>45107</v>
      </c>
      <c r="B3135" s="17" t="n">
        <v>30475.82</v>
      </c>
    </row>
    <row r="3136" customFormat="false" ht="15" hidden="false" customHeight="false" outlineLevel="0" collapsed="false">
      <c r="A3136" s="16" t="n">
        <v>45108</v>
      </c>
      <c r="B3136" s="17" t="n">
        <v>30585</v>
      </c>
    </row>
    <row r="3137" customFormat="false" ht="15" hidden="false" customHeight="false" outlineLevel="0" collapsed="false">
      <c r="A3137" s="16" t="n">
        <v>45109</v>
      </c>
      <c r="B3137" s="17" t="n">
        <v>30616.01</v>
      </c>
    </row>
    <row r="3138" customFormat="false" ht="15" hidden="false" customHeight="false" outlineLevel="0" collapsed="false">
      <c r="A3138" s="16" t="n">
        <v>45110</v>
      </c>
      <c r="B3138" s="17" t="n">
        <v>31163.19</v>
      </c>
    </row>
    <row r="3139" customFormat="false" ht="15" hidden="false" customHeight="false" outlineLevel="0" collapsed="false">
      <c r="A3139" s="16" t="n">
        <v>45111</v>
      </c>
      <c r="B3139" s="17" t="n">
        <v>30766.91</v>
      </c>
    </row>
    <row r="3140" customFormat="false" ht="15" hidden="false" customHeight="false" outlineLevel="0" collapsed="false">
      <c r="A3140" s="16" t="n">
        <v>45112</v>
      </c>
      <c r="B3140" s="17" t="n">
        <v>30492.71</v>
      </c>
    </row>
    <row r="3141" customFormat="false" ht="15" hidden="false" customHeight="false" outlineLevel="0" collapsed="false">
      <c r="A3141" s="16" t="n">
        <v>45113</v>
      </c>
      <c r="B3141" s="17" t="n">
        <v>29910.89</v>
      </c>
    </row>
    <row r="3142" customFormat="false" ht="15" hidden="false" customHeight="false" outlineLevel="0" collapsed="false">
      <c r="A3142" s="16" t="n">
        <v>45114</v>
      </c>
      <c r="B3142" s="17" t="n">
        <v>30337.33</v>
      </c>
    </row>
    <row r="3143" customFormat="false" ht="15" hidden="false" customHeight="false" outlineLevel="0" collapsed="false">
      <c r="A3143" s="16" t="n">
        <v>45115</v>
      </c>
      <c r="B3143" s="17" t="n">
        <v>30301.5</v>
      </c>
    </row>
    <row r="3144" customFormat="false" ht="15" hidden="false" customHeight="false" outlineLevel="0" collapsed="false">
      <c r="A3144" s="16" t="n">
        <v>45116</v>
      </c>
      <c r="B3144" s="17" t="n">
        <v>30171.1</v>
      </c>
    </row>
    <row r="3145" customFormat="false" ht="15" hidden="false" customHeight="false" outlineLevel="0" collapsed="false">
      <c r="A3145" s="16" t="n">
        <v>45117</v>
      </c>
      <c r="B3145" s="17" t="n">
        <v>30427.52</v>
      </c>
    </row>
    <row r="3146" customFormat="false" ht="15" hidden="false" customHeight="false" outlineLevel="0" collapsed="false">
      <c r="A3146" s="16" t="n">
        <v>45118</v>
      </c>
      <c r="B3146" s="17" t="n">
        <v>30636.22</v>
      </c>
    </row>
    <row r="3147" customFormat="false" ht="15" hidden="false" customHeight="false" outlineLevel="0" collapsed="false">
      <c r="A3147" s="16" t="n">
        <v>45119</v>
      </c>
      <c r="B3147" s="17" t="n">
        <v>30379.01</v>
      </c>
    </row>
    <row r="3148" customFormat="false" ht="15" hidden="false" customHeight="false" outlineLevel="0" collapsed="false">
      <c r="A3148" s="16" t="n">
        <v>45120</v>
      </c>
      <c r="B3148" s="17" t="n">
        <v>31471.53</v>
      </c>
    </row>
    <row r="3149" customFormat="false" ht="15" hidden="false" customHeight="false" outlineLevel="0" collapsed="false">
      <c r="A3149" s="16" t="n">
        <v>45121</v>
      </c>
      <c r="B3149" s="17" t="n">
        <v>30312.82</v>
      </c>
    </row>
    <row r="3150" customFormat="false" ht="15" hidden="false" customHeight="false" outlineLevel="0" collapsed="false">
      <c r="A3150" s="16" t="n">
        <v>45122</v>
      </c>
      <c r="B3150" s="17" t="n">
        <v>30300.67</v>
      </c>
    </row>
    <row r="3151" customFormat="false" ht="15" hidden="false" customHeight="false" outlineLevel="0" collapsed="false">
      <c r="A3151" s="16" t="n">
        <v>45123</v>
      </c>
      <c r="B3151" s="17" t="n">
        <v>30236.12</v>
      </c>
    </row>
    <row r="3152" customFormat="false" ht="15" hidden="false" customHeight="false" outlineLevel="0" collapsed="false">
      <c r="A3152" s="16" t="n">
        <v>45124</v>
      </c>
      <c r="B3152" s="17" t="n">
        <v>30150.4</v>
      </c>
    </row>
    <row r="3153" customFormat="false" ht="15" hidden="false" customHeight="false" outlineLevel="0" collapsed="false">
      <c r="A3153" s="16" t="n">
        <v>45125</v>
      </c>
      <c r="B3153" s="17" t="n">
        <v>29860.85</v>
      </c>
    </row>
    <row r="3154" customFormat="false" ht="15" hidden="false" customHeight="false" outlineLevel="0" collapsed="false">
      <c r="A3154" s="16" t="n">
        <v>45126</v>
      </c>
      <c r="B3154" s="17" t="n">
        <v>29918.57</v>
      </c>
    </row>
    <row r="3155" customFormat="false" ht="15" hidden="false" customHeight="false" outlineLevel="0" collapsed="false">
      <c r="A3155" s="16" t="n">
        <v>45127</v>
      </c>
      <c r="B3155" s="17" t="n">
        <v>29807.9</v>
      </c>
    </row>
    <row r="3156" customFormat="false" ht="15" hidden="false" customHeight="false" outlineLevel="0" collapsed="false">
      <c r="A3156" s="16" t="n">
        <v>45128</v>
      </c>
      <c r="B3156" s="17" t="n">
        <v>29907.14</v>
      </c>
    </row>
    <row r="3157" customFormat="false" ht="15" hidden="false" customHeight="false" outlineLevel="0" collapsed="false">
      <c r="A3157" s="16" t="n">
        <v>45129</v>
      </c>
      <c r="B3157" s="17" t="n">
        <v>29806.09</v>
      </c>
    </row>
    <row r="3158" customFormat="false" ht="15" hidden="false" customHeight="false" outlineLevel="0" collapsed="false">
      <c r="A3158" s="16" t="n">
        <v>45130</v>
      </c>
      <c r="B3158" s="17" t="n">
        <v>30082.77</v>
      </c>
    </row>
    <row r="3159" customFormat="false" ht="15" hidden="false" customHeight="false" outlineLevel="0" collapsed="false">
      <c r="A3159" s="16" t="n">
        <v>45131</v>
      </c>
      <c r="B3159" s="17" t="n">
        <v>29171.26</v>
      </c>
    </row>
    <row r="3160" customFormat="false" ht="15" hidden="false" customHeight="false" outlineLevel="0" collapsed="false">
      <c r="A3160" s="16" t="n">
        <v>45132</v>
      </c>
      <c r="B3160" s="17" t="n">
        <v>29221.74</v>
      </c>
    </row>
    <row r="3161" customFormat="false" ht="15" hidden="false" customHeight="false" outlineLevel="0" collapsed="false">
      <c r="A3161" s="16" t="n">
        <v>45133</v>
      </c>
      <c r="B3161" s="17" t="n">
        <v>29351.49</v>
      </c>
    </row>
    <row r="3162" customFormat="false" ht="15" hidden="false" customHeight="false" outlineLevel="0" collapsed="false">
      <c r="A3162" s="16" t="n">
        <v>45134</v>
      </c>
      <c r="B3162" s="17" t="n">
        <v>29213.16</v>
      </c>
    </row>
    <row r="3163" customFormat="false" ht="15" hidden="false" customHeight="false" outlineLevel="0" collapsed="false">
      <c r="A3163" s="16" t="n">
        <v>45135</v>
      </c>
      <c r="B3163" s="17" t="n">
        <v>29311.22</v>
      </c>
    </row>
    <row r="3164" customFormat="false" ht="15" hidden="false" customHeight="false" outlineLevel="0" collapsed="false">
      <c r="A3164" s="16" t="n">
        <v>45136</v>
      </c>
      <c r="B3164" s="17" t="n">
        <v>29357.88</v>
      </c>
    </row>
    <row r="3165" customFormat="false" ht="15" hidden="false" customHeight="false" outlineLevel="0" collapsed="false">
      <c r="A3165" s="16" t="n">
        <v>45137</v>
      </c>
      <c r="B3165" s="17" t="n">
        <v>29277.85</v>
      </c>
    </row>
    <row r="3166" customFormat="false" ht="15" hidden="false" customHeight="false" outlineLevel="0" collapsed="false">
      <c r="A3166" s="16" t="n">
        <v>45138</v>
      </c>
      <c r="B3166" s="17" t="n">
        <v>29223.31</v>
      </c>
    </row>
    <row r="3167" customFormat="false" ht="15" hidden="false" customHeight="false" outlineLevel="0" collapsed="false">
      <c r="A3167" s="16" t="n">
        <v>45139</v>
      </c>
      <c r="B3167" s="17" t="n">
        <v>29728.88</v>
      </c>
    </row>
    <row r="3168" customFormat="false" ht="15" hidden="false" customHeight="false" outlineLevel="0" collapsed="false">
      <c r="A3168" s="16" t="n">
        <v>45140</v>
      </c>
      <c r="B3168" s="17" t="n">
        <v>29155.83</v>
      </c>
    </row>
    <row r="3169" customFormat="false" ht="15" hidden="false" customHeight="false" outlineLevel="0" collapsed="false">
      <c r="A3169" s="16" t="n">
        <v>45141</v>
      </c>
      <c r="B3169" s="17" t="n">
        <v>29168.14</v>
      </c>
    </row>
    <row r="3170" customFormat="false" ht="15" hidden="false" customHeight="false" outlineLevel="0" collapsed="false">
      <c r="A3170" s="16" t="n">
        <v>45142</v>
      </c>
      <c r="B3170" s="17" t="n">
        <v>29073.7</v>
      </c>
    </row>
    <row r="3171" customFormat="false" ht="15" hidden="false" customHeight="false" outlineLevel="0" collapsed="false">
      <c r="A3171" s="16" t="n">
        <v>45143</v>
      </c>
      <c r="B3171" s="17" t="n">
        <v>29045.71</v>
      </c>
    </row>
    <row r="3172" customFormat="false" ht="15" hidden="false" customHeight="false" outlineLevel="0" collapsed="false">
      <c r="A3172" s="16" t="n">
        <v>45144</v>
      </c>
      <c r="B3172" s="17" t="n">
        <v>29040.44</v>
      </c>
    </row>
    <row r="3173" customFormat="false" ht="15" hidden="false" customHeight="false" outlineLevel="0" collapsed="false">
      <c r="A3173" s="16" t="n">
        <v>45145</v>
      </c>
      <c r="B3173" s="17" t="n">
        <v>29179.01</v>
      </c>
    </row>
    <row r="3174" customFormat="false" ht="15" hidden="false" customHeight="false" outlineLevel="0" collapsed="false">
      <c r="A3174" s="16" t="n">
        <v>45146</v>
      </c>
      <c r="B3174" s="17" t="n">
        <v>29774.42</v>
      </c>
    </row>
    <row r="3175" customFormat="false" ht="15" hidden="false" customHeight="false" outlineLevel="0" collapsed="false">
      <c r="A3175" s="16" t="n">
        <v>45147</v>
      </c>
      <c r="B3175" s="17" t="n">
        <v>29561.54</v>
      </c>
    </row>
    <row r="3176" customFormat="false" ht="15" hidden="false" customHeight="false" outlineLevel="0" collapsed="false">
      <c r="A3176" s="16" t="n">
        <v>45148</v>
      </c>
      <c r="B3176" s="17" t="n">
        <v>29418.09</v>
      </c>
    </row>
    <row r="3177" customFormat="false" ht="15" hidden="false" customHeight="false" outlineLevel="0" collapsed="false">
      <c r="A3177" s="16" t="n">
        <v>45149</v>
      </c>
      <c r="B3177" s="17" t="n">
        <v>29400.05</v>
      </c>
    </row>
    <row r="3178" customFormat="false" ht="15" hidden="false" customHeight="false" outlineLevel="0" collapsed="false">
      <c r="A3178" s="16" t="n">
        <v>45150</v>
      </c>
      <c r="B3178" s="17" t="n">
        <v>29416.98</v>
      </c>
    </row>
    <row r="3179" customFormat="false" ht="15" hidden="false" customHeight="false" outlineLevel="0" collapsed="false">
      <c r="A3179" s="16" t="n">
        <v>45151</v>
      </c>
      <c r="B3179" s="17" t="n">
        <v>29267.56</v>
      </c>
    </row>
    <row r="3180" customFormat="false" ht="15" hidden="false" customHeight="false" outlineLevel="0" collapsed="false">
      <c r="A3180" s="16" t="n">
        <v>45152</v>
      </c>
      <c r="B3180" s="17" t="n">
        <v>29397.35</v>
      </c>
    </row>
    <row r="3181" customFormat="false" ht="15" hidden="false" customHeight="false" outlineLevel="0" collapsed="false">
      <c r="A3181" s="16" t="n">
        <v>45153</v>
      </c>
      <c r="B3181" s="17" t="n">
        <v>29165.96</v>
      </c>
    </row>
    <row r="3182" customFormat="false" ht="15" hidden="false" customHeight="false" outlineLevel="0" collapsed="false">
      <c r="A3182" s="16" t="n">
        <v>45154</v>
      </c>
      <c r="B3182" s="17" t="n">
        <v>28694.33</v>
      </c>
    </row>
    <row r="3183" customFormat="false" ht="15" hidden="false" customHeight="false" outlineLevel="0" collapsed="false">
      <c r="A3183" s="16" t="n">
        <v>45155</v>
      </c>
      <c r="B3183" s="17" t="n">
        <v>26600.98</v>
      </c>
    </row>
    <row r="3184" customFormat="false" ht="15" hidden="false" customHeight="false" outlineLevel="0" collapsed="false">
      <c r="A3184" s="16" t="n">
        <v>45156</v>
      </c>
      <c r="B3184" s="17" t="n">
        <v>26043.99</v>
      </c>
    </row>
    <row r="3185" customFormat="false" ht="15" hidden="false" customHeight="false" outlineLevel="0" collapsed="false">
      <c r="A3185" s="16" t="n">
        <v>45157</v>
      </c>
      <c r="B3185" s="17" t="n">
        <v>26081.24</v>
      </c>
    </row>
    <row r="3186" customFormat="false" ht="15" hidden="false" customHeight="false" outlineLevel="0" collapsed="false">
      <c r="A3186" s="16" t="n">
        <v>45158</v>
      </c>
      <c r="B3186" s="17" t="n">
        <v>26187.2</v>
      </c>
    </row>
    <row r="3187" customFormat="false" ht="15" hidden="false" customHeight="false" outlineLevel="0" collapsed="false">
      <c r="A3187" s="16" t="n">
        <v>45159</v>
      </c>
      <c r="B3187" s="17" t="n">
        <v>26128.18</v>
      </c>
    </row>
    <row r="3188" customFormat="false" ht="15" hidden="false" customHeight="false" outlineLevel="0" collapsed="false">
      <c r="A3188" s="16" t="n">
        <v>45160</v>
      </c>
      <c r="B3188" s="17" t="n">
        <v>26038.42</v>
      </c>
    </row>
    <row r="3189" customFormat="false" ht="15" hidden="false" customHeight="false" outlineLevel="0" collapsed="false">
      <c r="A3189" s="16" t="n">
        <v>45161</v>
      </c>
      <c r="B3189" s="17" t="n">
        <v>26429.54</v>
      </c>
    </row>
    <row r="3190" customFormat="false" ht="15" hidden="false" customHeight="false" outlineLevel="0" collapsed="false">
      <c r="A3190" s="16" t="n">
        <v>45162</v>
      </c>
      <c r="B3190" s="17" t="n">
        <v>26168.12</v>
      </c>
    </row>
    <row r="3191" customFormat="false" ht="15" hidden="false" customHeight="false" outlineLevel="0" collapsed="false">
      <c r="A3191" s="16" t="n">
        <v>45163</v>
      </c>
      <c r="B3191" s="17" t="n">
        <v>26054.38</v>
      </c>
    </row>
    <row r="3192" customFormat="false" ht="15" hidden="false" customHeight="false" outlineLevel="0" collapsed="false">
      <c r="A3192" s="16" t="n">
        <v>45164</v>
      </c>
      <c r="B3192" s="17" t="n">
        <v>26004.15</v>
      </c>
    </row>
    <row r="3193" customFormat="false" ht="15" hidden="false" customHeight="false" outlineLevel="0" collapsed="false">
      <c r="A3193" s="16" t="n">
        <v>45165</v>
      </c>
      <c r="B3193" s="17" t="n">
        <v>26089.28</v>
      </c>
    </row>
    <row r="3194" customFormat="false" ht="15" hidden="false" customHeight="false" outlineLevel="0" collapsed="false">
      <c r="A3194" s="16" t="n">
        <v>45166</v>
      </c>
      <c r="B3194" s="17" t="n">
        <v>26102.51</v>
      </c>
    </row>
    <row r="3195" customFormat="false" ht="15" hidden="false" customHeight="false" outlineLevel="0" collapsed="false">
      <c r="A3195" s="16" t="n">
        <v>45167</v>
      </c>
      <c r="B3195" s="17" t="n">
        <v>27713.68</v>
      </c>
    </row>
    <row r="3196" customFormat="false" ht="15" hidden="false" customHeight="false" outlineLevel="0" collapsed="false">
      <c r="A3196" s="16" t="n">
        <v>45168</v>
      </c>
      <c r="B3196" s="17" t="n">
        <v>27297.11</v>
      </c>
    </row>
    <row r="3197" customFormat="false" ht="15" hidden="false" customHeight="false" outlineLevel="0" collapsed="false">
      <c r="A3197" s="16" t="n">
        <v>45169</v>
      </c>
      <c r="B3197" s="17" t="n">
        <v>25922.51</v>
      </c>
    </row>
    <row r="3198" customFormat="false" ht="15" hidden="false" customHeight="false" outlineLevel="0" collapsed="false">
      <c r="A3198" s="16" t="n">
        <v>45170</v>
      </c>
      <c r="B3198" s="17" t="n">
        <v>25802.02</v>
      </c>
    </row>
    <row r="3199" customFormat="false" ht="15" hidden="false" customHeight="false" outlineLevel="0" collapsed="false">
      <c r="A3199" s="16" t="n">
        <v>45171</v>
      </c>
      <c r="B3199" s="17" t="n">
        <v>25871.43</v>
      </c>
    </row>
    <row r="3200" customFormat="false" ht="15" hidden="false" customHeight="false" outlineLevel="0" collapsed="false">
      <c r="A3200" s="16" t="n">
        <v>45172</v>
      </c>
      <c r="B3200" s="17" t="n">
        <v>25972.64</v>
      </c>
    </row>
    <row r="3201" customFormat="false" ht="15" hidden="false" customHeight="false" outlineLevel="0" collapsed="false">
      <c r="A3201" s="16" t="n">
        <v>45173</v>
      </c>
      <c r="B3201" s="17" t="n">
        <v>25814.79</v>
      </c>
    </row>
    <row r="3202" customFormat="false" ht="15" hidden="false" customHeight="false" outlineLevel="0" collapsed="false">
      <c r="A3202" s="16" t="n">
        <v>45174</v>
      </c>
      <c r="B3202" s="17" t="n">
        <v>25778.03</v>
      </c>
    </row>
    <row r="3203" customFormat="false" ht="15" hidden="false" customHeight="false" outlineLevel="0" collapsed="false">
      <c r="A3203" s="16" t="n">
        <v>45175</v>
      </c>
      <c r="B3203" s="17" t="n">
        <v>25748.1</v>
      </c>
    </row>
    <row r="3204" customFormat="false" ht="15" hidden="false" customHeight="false" outlineLevel="0" collapsed="false">
      <c r="A3204" s="16" t="n">
        <v>45176</v>
      </c>
      <c r="B3204" s="17" t="n">
        <v>26267.36</v>
      </c>
    </row>
    <row r="3205" customFormat="false" ht="15" hidden="false" customHeight="false" outlineLevel="0" collapsed="false">
      <c r="A3205" s="16" t="n">
        <v>45177</v>
      </c>
      <c r="B3205" s="17" t="n">
        <v>25906.35</v>
      </c>
    </row>
    <row r="3206" customFormat="false" ht="15" hidden="false" customHeight="false" outlineLevel="0" collapsed="false">
      <c r="A3206" s="16" t="n">
        <v>45178</v>
      </c>
      <c r="B3206" s="17" t="n">
        <v>25898.48</v>
      </c>
    </row>
    <row r="3207" customFormat="false" ht="15" hidden="false" customHeight="false" outlineLevel="0" collapsed="false">
      <c r="A3207" s="16" t="n">
        <v>45179</v>
      </c>
      <c r="B3207" s="17" t="n">
        <v>25835.33</v>
      </c>
    </row>
    <row r="3208" customFormat="false" ht="15" hidden="false" customHeight="false" outlineLevel="0" collapsed="false">
      <c r="A3208" s="16" t="n">
        <v>45180</v>
      </c>
      <c r="B3208" s="17" t="n">
        <v>25161.68</v>
      </c>
    </row>
    <row r="3209" customFormat="false" ht="15" hidden="false" customHeight="false" outlineLevel="0" collapsed="false">
      <c r="A3209" s="16" t="n">
        <v>45181</v>
      </c>
      <c r="B3209" s="17" t="n">
        <v>25852.36</v>
      </c>
    </row>
    <row r="3210" customFormat="false" ht="15" hidden="false" customHeight="false" outlineLevel="0" collapsed="false">
      <c r="A3210" s="16" t="n">
        <v>45182</v>
      </c>
      <c r="B3210" s="17" t="n">
        <v>26216.13</v>
      </c>
    </row>
    <row r="3211" customFormat="false" ht="15" hidden="false" customHeight="false" outlineLevel="0" collapsed="false">
      <c r="A3211" s="16" t="n">
        <v>45183</v>
      </c>
      <c r="B3211" s="17" t="n">
        <v>26531.31</v>
      </c>
    </row>
    <row r="3212" customFormat="false" ht="15" hidden="false" customHeight="false" outlineLevel="0" collapsed="false">
      <c r="A3212" s="16" t="n">
        <v>45184</v>
      </c>
      <c r="B3212" s="17" t="n">
        <v>26620.02</v>
      </c>
    </row>
    <row r="3213" customFormat="false" ht="15" hidden="false" customHeight="false" outlineLevel="0" collapsed="false">
      <c r="A3213" s="16" t="n">
        <v>45185</v>
      </c>
      <c r="B3213" s="17" t="n">
        <v>26569.87</v>
      </c>
    </row>
    <row r="3214" customFormat="false" ht="15" hidden="false" customHeight="false" outlineLevel="0" collapsed="false">
      <c r="A3214" s="16" t="n">
        <v>45186</v>
      </c>
      <c r="B3214" s="17" t="n">
        <v>26533.6</v>
      </c>
    </row>
    <row r="3215" customFormat="false" ht="15" hidden="false" customHeight="false" outlineLevel="0" collapsed="false">
      <c r="A3215" s="16" t="n">
        <v>45187</v>
      </c>
      <c r="B3215" s="17" t="n">
        <v>26767.54</v>
      </c>
    </row>
    <row r="3216" customFormat="false" ht="15" hidden="false" customHeight="false" outlineLevel="0" collapsed="false">
      <c r="A3216" s="16" t="n">
        <v>45188</v>
      </c>
      <c r="B3216" s="17" t="n">
        <v>27199.35</v>
      </c>
    </row>
    <row r="3217" customFormat="false" ht="15" hidden="false" customHeight="false" outlineLevel="0" collapsed="false">
      <c r="A3217" s="16" t="n">
        <v>45189</v>
      </c>
      <c r="B3217" s="17" t="n">
        <v>27119.41</v>
      </c>
    </row>
    <row r="3218" customFormat="false" ht="15" hidden="false" customHeight="false" outlineLevel="0" collapsed="false">
      <c r="A3218" s="16" t="n">
        <v>45190</v>
      </c>
      <c r="B3218" s="17" t="n">
        <v>26567.29</v>
      </c>
    </row>
    <row r="3219" customFormat="false" ht="15" hidden="false" customHeight="false" outlineLevel="0" collapsed="false">
      <c r="A3219" s="16" t="n">
        <v>45191</v>
      </c>
      <c r="B3219" s="17" t="n">
        <v>26582.63</v>
      </c>
    </row>
    <row r="3220" customFormat="false" ht="15" hidden="false" customHeight="false" outlineLevel="0" collapsed="false">
      <c r="A3220" s="16" t="n">
        <v>45192</v>
      </c>
      <c r="B3220" s="17" t="n">
        <v>26580.31</v>
      </c>
    </row>
    <row r="3221" customFormat="false" ht="15" hidden="false" customHeight="false" outlineLevel="0" collapsed="false">
      <c r="A3221" s="16" t="n">
        <v>45193</v>
      </c>
      <c r="B3221" s="17" t="n">
        <v>26229.29</v>
      </c>
    </row>
    <row r="3222" customFormat="false" ht="15" hidden="false" customHeight="false" outlineLevel="0" collapsed="false">
      <c r="A3222" s="16" t="n">
        <v>45194</v>
      </c>
      <c r="B3222" s="17" t="n">
        <v>26296.86</v>
      </c>
    </row>
    <row r="3223" customFormat="false" ht="15" hidden="false" customHeight="false" outlineLevel="0" collapsed="false">
      <c r="A3223" s="16" t="n">
        <v>45195</v>
      </c>
      <c r="B3223" s="17" t="n">
        <v>26200.13</v>
      </c>
    </row>
    <row r="3224" customFormat="false" ht="15" hidden="false" customHeight="false" outlineLevel="0" collapsed="false">
      <c r="A3224" s="16" t="n">
        <v>45196</v>
      </c>
      <c r="B3224" s="17" t="n">
        <v>26351.82</v>
      </c>
    </row>
    <row r="3225" customFormat="false" ht="15" hidden="false" customHeight="false" outlineLevel="0" collapsed="false">
      <c r="A3225" s="16" t="n">
        <v>45197</v>
      </c>
      <c r="B3225" s="17" t="n">
        <v>27035.82</v>
      </c>
    </row>
    <row r="3226" customFormat="false" ht="15" hidden="false" customHeight="false" outlineLevel="0" collapsed="false">
      <c r="A3226" s="16" t="n">
        <v>45198</v>
      </c>
      <c r="B3226" s="17" t="n">
        <v>26900.3</v>
      </c>
    </row>
    <row r="3227" customFormat="false" ht="15" hidden="false" customHeight="false" outlineLevel="0" collapsed="false">
      <c r="A3227" s="16" t="n">
        <v>45199</v>
      </c>
      <c r="B3227" s="17" t="n">
        <v>26959.4</v>
      </c>
    </row>
    <row r="3228" customFormat="false" ht="15" hidden="false" customHeight="false" outlineLevel="0" collapsed="false">
      <c r="A3228" s="16" t="n">
        <v>45200</v>
      </c>
      <c r="B3228" s="17" t="n">
        <v>27994.89</v>
      </c>
    </row>
    <row r="3229" customFormat="false" ht="15" hidden="false" customHeight="false" outlineLevel="0" collapsed="false">
      <c r="A3229" s="16" t="n">
        <v>45201</v>
      </c>
      <c r="B3229" s="17" t="n">
        <v>27517.12</v>
      </c>
    </row>
    <row r="3230" customFormat="false" ht="15" hidden="false" customHeight="false" outlineLevel="0" collapsed="false">
      <c r="A3230" s="16" t="n">
        <v>45202</v>
      </c>
      <c r="B3230" s="17" t="n">
        <v>27421.92</v>
      </c>
    </row>
    <row r="3231" customFormat="false" ht="15" hidden="false" customHeight="false" outlineLevel="0" collapsed="false">
      <c r="A3231" s="16" t="n">
        <v>45203</v>
      </c>
      <c r="B3231" s="17" t="n">
        <v>27782.29</v>
      </c>
    </row>
    <row r="3232" customFormat="false" ht="15" hidden="false" customHeight="false" outlineLevel="0" collapsed="false">
      <c r="A3232" s="16" t="n">
        <v>45204</v>
      </c>
      <c r="B3232" s="17" t="n">
        <v>27419.39</v>
      </c>
    </row>
    <row r="3233" customFormat="false" ht="15" hidden="false" customHeight="false" outlineLevel="0" collapsed="false">
      <c r="A3233" s="16" t="n">
        <v>45205</v>
      </c>
      <c r="B3233" s="17" t="n">
        <v>27949.12</v>
      </c>
    </row>
    <row r="3234" customFormat="false" ht="15" hidden="false" customHeight="false" outlineLevel="0" collapsed="false">
      <c r="A3234" s="16" t="n">
        <v>45206</v>
      </c>
      <c r="B3234" s="17" t="n">
        <v>27974.08</v>
      </c>
    </row>
    <row r="3235" customFormat="false" ht="15" hidden="false" customHeight="false" outlineLevel="0" collapsed="false">
      <c r="A3235" s="16" t="n">
        <v>45207</v>
      </c>
      <c r="B3235" s="17" t="n">
        <v>27937.62</v>
      </c>
    </row>
    <row r="3236" customFormat="false" ht="15" hidden="false" customHeight="false" outlineLevel="0" collapsed="false">
      <c r="A3236" s="16" t="n">
        <v>45208</v>
      </c>
      <c r="B3236" s="17" t="n">
        <v>27587.43</v>
      </c>
    </row>
    <row r="3237" customFormat="false" ht="15" hidden="false" customHeight="false" outlineLevel="0" collapsed="false">
      <c r="A3237" s="16" t="n">
        <v>45209</v>
      </c>
      <c r="B3237" s="17" t="n">
        <v>27391.73</v>
      </c>
    </row>
    <row r="3238" customFormat="false" ht="15" hidden="false" customHeight="false" outlineLevel="0" collapsed="false">
      <c r="A3238" s="16" t="n">
        <v>45210</v>
      </c>
      <c r="B3238" s="17" t="n">
        <v>26851.85</v>
      </c>
    </row>
    <row r="3239" customFormat="false" ht="15" hidden="false" customHeight="false" outlineLevel="0" collapsed="false">
      <c r="A3239" s="16" t="n">
        <v>45211</v>
      </c>
      <c r="B3239" s="17" t="n">
        <v>26745.5</v>
      </c>
    </row>
    <row r="3240" customFormat="false" ht="15" hidden="false" customHeight="false" outlineLevel="0" collapsed="false">
      <c r="A3240" s="16" t="n">
        <v>45212</v>
      </c>
      <c r="B3240" s="17" t="n">
        <v>26859.1</v>
      </c>
    </row>
    <row r="3241" customFormat="false" ht="15" hidden="false" customHeight="false" outlineLevel="0" collapsed="false">
      <c r="A3241" s="16" t="n">
        <v>45213</v>
      </c>
      <c r="B3241" s="17" t="n">
        <v>26857.29</v>
      </c>
    </row>
    <row r="3242" customFormat="false" ht="15" hidden="false" customHeight="false" outlineLevel="0" collapsed="false">
      <c r="A3242" s="16" t="n">
        <v>45214</v>
      </c>
      <c r="B3242" s="17" t="n">
        <v>27155.34</v>
      </c>
    </row>
    <row r="3243" customFormat="false" ht="15" hidden="false" customHeight="false" outlineLevel="0" collapsed="false">
      <c r="A3243" s="16" t="n">
        <v>45215</v>
      </c>
      <c r="B3243" s="17" t="n">
        <v>28534.29</v>
      </c>
    </row>
    <row r="3244" customFormat="false" ht="15" hidden="false" customHeight="false" outlineLevel="0" collapsed="false">
      <c r="A3244" s="16" t="n">
        <v>45216</v>
      </c>
      <c r="B3244" s="17" t="n">
        <v>28408.19</v>
      </c>
    </row>
    <row r="3245" customFormat="false" ht="15" hidden="false" customHeight="false" outlineLevel="0" collapsed="false">
      <c r="A3245" s="16" t="n">
        <v>45217</v>
      </c>
      <c r="B3245" s="17" t="n">
        <v>28309.35</v>
      </c>
    </row>
    <row r="3246" customFormat="false" ht="15" hidden="false" customHeight="false" outlineLevel="0" collapsed="false">
      <c r="A3246" s="16" t="n">
        <v>45218</v>
      </c>
      <c r="B3246" s="17" t="n">
        <v>28734.51</v>
      </c>
    </row>
    <row r="3247" customFormat="false" ht="15" hidden="false" customHeight="false" outlineLevel="0" collapsed="false">
      <c r="A3247" s="16" t="n">
        <v>45219</v>
      </c>
      <c r="B3247" s="17" t="n">
        <v>29686.66</v>
      </c>
    </row>
    <row r="3248" customFormat="false" ht="15" hidden="false" customHeight="false" outlineLevel="0" collapsed="false">
      <c r="A3248" s="16" t="n">
        <v>45220</v>
      </c>
      <c r="B3248" s="17" t="n">
        <v>29929.08</v>
      </c>
    </row>
    <row r="3249" customFormat="false" ht="15" hidden="false" customHeight="false" outlineLevel="0" collapsed="false">
      <c r="A3249" s="16" t="n">
        <v>45221</v>
      </c>
      <c r="B3249" s="17" t="n">
        <v>29988.13</v>
      </c>
    </row>
    <row r="3250" customFormat="false" ht="15" hidden="false" customHeight="false" outlineLevel="0" collapsed="false">
      <c r="A3250" s="16" t="n">
        <v>45222</v>
      </c>
      <c r="B3250" s="17" t="n">
        <v>33106.86</v>
      </c>
    </row>
    <row r="3251" customFormat="false" ht="15" hidden="false" customHeight="false" outlineLevel="0" collapsed="false">
      <c r="A3251" s="16" t="n">
        <v>45223</v>
      </c>
      <c r="B3251" s="17" t="n">
        <v>33919.92</v>
      </c>
    </row>
    <row r="3252" customFormat="false" ht="15" hidden="false" customHeight="false" outlineLevel="0" collapsed="false">
      <c r="A3252" s="16" t="n">
        <v>45224</v>
      </c>
      <c r="B3252" s="17" t="n">
        <v>34489.91</v>
      </c>
    </row>
    <row r="3253" customFormat="false" ht="15" hidden="false" customHeight="false" outlineLevel="0" collapsed="false">
      <c r="A3253" s="16" t="n">
        <v>45225</v>
      </c>
      <c r="B3253" s="17" t="n">
        <v>34140</v>
      </c>
    </row>
    <row r="3254" customFormat="false" ht="15" hidden="false" customHeight="false" outlineLevel="0" collapsed="false">
      <c r="A3254" s="16" t="n">
        <v>45226</v>
      </c>
      <c r="B3254" s="17" t="n">
        <v>33905.16</v>
      </c>
    </row>
    <row r="3255" customFormat="false" ht="15" hidden="false" customHeight="false" outlineLevel="0" collapsed="false">
      <c r="A3255" s="16" t="n">
        <v>45227</v>
      </c>
      <c r="B3255" s="17" t="n">
        <v>34071.32</v>
      </c>
    </row>
    <row r="3256" customFormat="false" ht="15" hidden="false" customHeight="false" outlineLevel="0" collapsed="false">
      <c r="A3256" s="16" t="n">
        <v>45228</v>
      </c>
      <c r="B3256" s="17" t="n">
        <v>34557.72</v>
      </c>
    </row>
    <row r="3257" customFormat="false" ht="15" hidden="false" customHeight="false" outlineLevel="0" collapsed="false">
      <c r="A3257" s="16" t="n">
        <v>45229</v>
      </c>
      <c r="B3257" s="17" t="n">
        <v>34485.49</v>
      </c>
    </row>
    <row r="3258" customFormat="false" ht="15" hidden="false" customHeight="false" outlineLevel="0" collapsed="false">
      <c r="A3258" s="16" t="n">
        <v>45230</v>
      </c>
      <c r="B3258" s="17" t="n">
        <v>34667.88</v>
      </c>
    </row>
    <row r="3259" customFormat="false" ht="15" hidden="false" customHeight="false" outlineLevel="0" collapsed="false">
      <c r="A3259" s="16" t="n">
        <v>45231</v>
      </c>
      <c r="B3259" s="17" t="n">
        <v>35469.43</v>
      </c>
    </row>
    <row r="3260" customFormat="false" ht="15" hidden="false" customHeight="false" outlineLevel="0" collapsed="false">
      <c r="A3260" s="16" t="n">
        <v>45232</v>
      </c>
      <c r="B3260" s="17" t="n">
        <v>34935.25</v>
      </c>
    </row>
    <row r="3261" customFormat="false" ht="15" hidden="false" customHeight="false" outlineLevel="0" collapsed="false">
      <c r="A3261" s="16" t="n">
        <v>45233</v>
      </c>
      <c r="B3261" s="17" t="n">
        <v>34735.91</v>
      </c>
    </row>
    <row r="3262" customFormat="false" ht="15" hidden="false" customHeight="false" outlineLevel="0" collapsed="false">
      <c r="A3262" s="16" t="n">
        <v>45234</v>
      </c>
      <c r="B3262" s="17" t="n">
        <v>35095</v>
      </c>
    </row>
    <row r="3263" customFormat="false" ht="15" hidden="false" customHeight="false" outlineLevel="0" collapsed="false">
      <c r="A3263" s="16" t="n">
        <v>45235</v>
      </c>
      <c r="B3263" s="17" t="n">
        <v>35015.86</v>
      </c>
    </row>
    <row r="3264" customFormat="false" ht="15" hidden="false" customHeight="false" outlineLevel="0" collapsed="false">
      <c r="A3264" s="16" t="n">
        <v>45236</v>
      </c>
      <c r="B3264" s="17" t="n">
        <v>35063.96</v>
      </c>
    </row>
    <row r="3265" customFormat="false" ht="15" hidden="false" customHeight="false" outlineLevel="0" collapsed="false">
      <c r="A3265" s="16" t="n">
        <v>45237</v>
      </c>
      <c r="B3265" s="17" t="n">
        <v>35420.95</v>
      </c>
    </row>
    <row r="3266" customFormat="false" ht="15" hidden="false" customHeight="false" outlineLevel="0" collapsed="false">
      <c r="A3266" s="16" t="n">
        <v>45238</v>
      </c>
      <c r="B3266" s="17" t="n">
        <v>35581.68</v>
      </c>
    </row>
    <row r="3267" customFormat="false" ht="15" hidden="false" customHeight="false" outlineLevel="0" collapsed="false">
      <c r="A3267" s="16" t="n">
        <v>45239</v>
      </c>
      <c r="B3267" s="17" t="n">
        <v>36669.3</v>
      </c>
    </row>
    <row r="3268" customFormat="false" ht="15" hidden="false" customHeight="false" outlineLevel="0" collapsed="false">
      <c r="A3268" s="16" t="n">
        <v>45240</v>
      </c>
      <c r="B3268" s="17" t="n">
        <v>37305.81</v>
      </c>
    </row>
    <row r="3269" customFormat="false" ht="15" hidden="false" customHeight="false" outlineLevel="0" collapsed="false">
      <c r="A3269" s="16" t="n">
        <v>45241</v>
      </c>
      <c r="B3269" s="17" t="n">
        <v>37156.47</v>
      </c>
    </row>
    <row r="3270" customFormat="false" ht="15" hidden="false" customHeight="false" outlineLevel="0" collapsed="false">
      <c r="A3270" s="16" t="n">
        <v>45242</v>
      </c>
      <c r="B3270" s="17" t="n">
        <v>37093.34</v>
      </c>
    </row>
    <row r="3271" customFormat="false" ht="15" hidden="false" customHeight="false" outlineLevel="0" collapsed="false">
      <c r="A3271" s="16" t="n">
        <v>45243</v>
      </c>
      <c r="B3271" s="17" t="n">
        <v>36470.45</v>
      </c>
    </row>
    <row r="3272" customFormat="false" ht="15" hidden="false" customHeight="false" outlineLevel="0" collapsed="false">
      <c r="A3272" s="16" t="n">
        <v>45244</v>
      </c>
      <c r="B3272" s="17" t="n">
        <v>35552.8</v>
      </c>
    </row>
    <row r="3273" customFormat="false" ht="15" hidden="false" customHeight="false" outlineLevel="0" collapsed="false">
      <c r="A3273" s="16" t="n">
        <v>45245</v>
      </c>
      <c r="B3273" s="17" t="n">
        <v>37876.32</v>
      </c>
    </row>
    <row r="3274" customFormat="false" ht="15" hidden="false" customHeight="false" outlineLevel="0" collapsed="false">
      <c r="A3274" s="16" t="n">
        <v>45246</v>
      </c>
      <c r="B3274" s="17" t="n">
        <v>36150.03</v>
      </c>
    </row>
    <row r="3275" customFormat="false" ht="15" hidden="false" customHeight="false" outlineLevel="0" collapsed="false">
      <c r="A3275" s="16" t="n">
        <v>45247</v>
      </c>
      <c r="B3275" s="17" t="n">
        <v>36626.6</v>
      </c>
    </row>
    <row r="3276" customFormat="false" ht="15" hidden="false" customHeight="false" outlineLevel="0" collapsed="false">
      <c r="A3276" s="16" t="n">
        <v>45248</v>
      </c>
      <c r="B3276" s="17" t="n">
        <v>36595.55</v>
      </c>
    </row>
    <row r="3277" customFormat="false" ht="15" hidden="false" customHeight="false" outlineLevel="0" collapsed="false">
      <c r="A3277" s="16" t="n">
        <v>45249</v>
      </c>
      <c r="B3277" s="17" t="n">
        <v>37392.52</v>
      </c>
    </row>
    <row r="3278" customFormat="false" ht="15" hidden="false" customHeight="false" outlineLevel="0" collapsed="false">
      <c r="A3278" s="16" t="n">
        <v>45250</v>
      </c>
      <c r="B3278" s="17" t="n">
        <v>37476.08</v>
      </c>
    </row>
    <row r="3279" customFormat="false" ht="15" hidden="false" customHeight="false" outlineLevel="0" collapsed="false">
      <c r="A3279" s="16" t="n">
        <v>45251</v>
      </c>
      <c r="B3279" s="17" t="n">
        <v>35734.18</v>
      </c>
    </row>
    <row r="3280" customFormat="false" ht="15" hidden="false" customHeight="false" outlineLevel="0" collapsed="false">
      <c r="A3280" s="16" t="n">
        <v>45252</v>
      </c>
      <c r="B3280" s="17" t="n">
        <v>37443.86</v>
      </c>
    </row>
    <row r="3281" customFormat="false" ht="15" hidden="false" customHeight="false" outlineLevel="0" collapsed="false">
      <c r="A3281" s="16" t="n">
        <v>45253</v>
      </c>
      <c r="B3281" s="17" t="n">
        <v>37298</v>
      </c>
    </row>
    <row r="3282" customFormat="false" ht="15" hidden="false" customHeight="false" outlineLevel="0" collapsed="false">
      <c r="A3282" s="16" t="n">
        <v>45254</v>
      </c>
      <c r="B3282" s="17" t="n">
        <v>37745.94</v>
      </c>
    </row>
    <row r="3283" customFormat="false" ht="15" hidden="false" customHeight="false" outlineLevel="0" collapsed="false">
      <c r="A3283" s="16" t="n">
        <v>45255</v>
      </c>
      <c r="B3283" s="17" t="n">
        <v>37801.75</v>
      </c>
    </row>
    <row r="3284" customFormat="false" ht="15" hidden="false" customHeight="false" outlineLevel="0" collapsed="false">
      <c r="A3284" s="16" t="n">
        <v>45256</v>
      </c>
      <c r="B3284" s="17" t="n">
        <v>37470.52</v>
      </c>
    </row>
    <row r="3285" customFormat="false" ht="15" hidden="false" customHeight="false" outlineLevel="0" collapsed="false">
      <c r="A3285" s="16" t="n">
        <v>45257</v>
      </c>
      <c r="B3285" s="17" t="n">
        <v>37244.39</v>
      </c>
    </row>
    <row r="3286" customFormat="false" ht="15" hidden="false" customHeight="false" outlineLevel="0" collapsed="false">
      <c r="A3286" s="16" t="n">
        <v>45258</v>
      </c>
      <c r="B3286" s="17" t="n">
        <v>37840.46</v>
      </c>
    </row>
    <row r="3287" customFormat="false" ht="15" hidden="false" customHeight="false" outlineLevel="0" collapsed="false">
      <c r="A3287" s="16" t="n">
        <v>45259</v>
      </c>
      <c r="B3287" s="17" t="n">
        <v>37864.76</v>
      </c>
    </row>
    <row r="3288" customFormat="false" ht="15" hidden="false" customHeight="false" outlineLevel="0" collapsed="false">
      <c r="A3288" s="16" t="n">
        <v>45260</v>
      </c>
      <c r="B3288" s="17" t="n">
        <v>37743</v>
      </c>
    </row>
    <row r="3289" customFormat="false" ht="15" hidden="false" customHeight="false" outlineLevel="0" collapsed="false">
      <c r="A3289" s="16" t="n">
        <v>45261</v>
      </c>
      <c r="B3289" s="17" t="n">
        <v>38714</v>
      </c>
    </row>
    <row r="3290" customFormat="false" ht="15" hidden="false" customHeight="false" outlineLevel="0" collapsed="false">
      <c r="A3290" s="16" t="n">
        <v>45262</v>
      </c>
      <c r="B3290" s="17" t="n">
        <v>39467.65</v>
      </c>
    </row>
    <row r="3291" customFormat="false" ht="15" hidden="false" customHeight="false" outlineLevel="0" collapsed="false">
      <c r="A3291" s="16" t="n">
        <v>45263</v>
      </c>
      <c r="B3291" s="17" t="n">
        <v>40028.84</v>
      </c>
    </row>
    <row r="3292" customFormat="false" ht="15" hidden="false" customHeight="false" outlineLevel="0" collapsed="false">
      <c r="A3292" s="16" t="n">
        <v>45264</v>
      </c>
      <c r="B3292" s="17" t="n">
        <v>41856.31</v>
      </c>
    </row>
    <row r="3293" customFormat="false" ht="15" hidden="false" customHeight="false" outlineLevel="0" collapsed="false">
      <c r="A3293" s="16" t="n">
        <v>45265</v>
      </c>
      <c r="B3293" s="17" t="n">
        <v>44060.06</v>
      </c>
    </row>
    <row r="3294" customFormat="false" ht="15" hidden="false" customHeight="false" outlineLevel="0" collapsed="false">
      <c r="A3294" s="16" t="n">
        <v>45266</v>
      </c>
      <c r="B3294" s="17" t="n">
        <v>43778.51</v>
      </c>
    </row>
    <row r="3295" customFormat="false" ht="15" hidden="false" customHeight="false" outlineLevel="0" collapsed="false">
      <c r="A3295" s="16" t="n">
        <v>45267</v>
      </c>
      <c r="B3295" s="17" t="n">
        <v>43305.91</v>
      </c>
    </row>
    <row r="3296" customFormat="false" ht="15" hidden="false" customHeight="false" outlineLevel="0" collapsed="false">
      <c r="A3296" s="16" t="n">
        <v>45268</v>
      </c>
      <c r="B3296" s="17" t="n">
        <v>44223.94</v>
      </c>
    </row>
    <row r="3297" customFormat="false" ht="15" hidden="false" customHeight="false" outlineLevel="0" collapsed="false">
      <c r="A3297" s="16" t="n">
        <v>45269</v>
      </c>
      <c r="B3297" s="17" t="n">
        <v>43734.7</v>
      </c>
    </row>
    <row r="3298" customFormat="false" ht="15" hidden="false" customHeight="false" outlineLevel="0" collapsed="false">
      <c r="A3298" s="16" t="n">
        <v>45270</v>
      </c>
      <c r="B3298" s="17" t="n">
        <v>43773.63</v>
      </c>
    </row>
    <row r="3299" customFormat="false" ht="15" hidden="false" customHeight="false" outlineLevel="0" collapsed="false">
      <c r="A3299" s="16" t="n">
        <v>45271</v>
      </c>
      <c r="B3299" s="17" t="n">
        <v>41205.53</v>
      </c>
    </row>
    <row r="3300" customFormat="false" ht="15" hidden="false" customHeight="false" outlineLevel="0" collapsed="false">
      <c r="A3300" s="16" t="n">
        <v>45272</v>
      </c>
      <c r="B3300" s="17" t="n">
        <v>41452.65</v>
      </c>
    </row>
    <row r="3301" customFormat="false" ht="15" hidden="false" customHeight="false" outlineLevel="0" collapsed="false">
      <c r="A3301" s="16" t="n">
        <v>45273</v>
      </c>
      <c r="B3301" s="17" t="n">
        <v>42927.11</v>
      </c>
    </row>
    <row r="3302" customFormat="false" ht="15" hidden="false" customHeight="false" outlineLevel="0" collapsed="false">
      <c r="A3302" s="16" t="n">
        <v>45274</v>
      </c>
      <c r="B3302" s="17" t="n">
        <v>43031.34</v>
      </c>
    </row>
    <row r="3303" customFormat="false" ht="15" hidden="false" customHeight="false" outlineLevel="0" collapsed="false">
      <c r="A3303" s="16" t="n">
        <v>45275</v>
      </c>
      <c r="B3303" s="17" t="n">
        <v>41939.81</v>
      </c>
    </row>
    <row r="3304" customFormat="false" ht="15" hidden="false" customHeight="false" outlineLevel="0" collapsed="false">
      <c r="A3304" s="16" t="n">
        <v>45276</v>
      </c>
      <c r="B3304" s="17" t="n">
        <v>42230</v>
      </c>
    </row>
    <row r="3305" customFormat="false" ht="15" hidden="false" customHeight="false" outlineLevel="0" collapsed="false">
      <c r="A3305" s="16" t="n">
        <v>45277</v>
      </c>
      <c r="B3305" s="17" t="n">
        <v>41387.55</v>
      </c>
    </row>
    <row r="3306" customFormat="false" ht="15" hidden="false" customHeight="false" outlineLevel="0" collapsed="false">
      <c r="A3306" s="16" t="n">
        <v>45278</v>
      </c>
      <c r="B3306" s="17" t="n">
        <v>42638.28</v>
      </c>
    </row>
    <row r="3307" customFormat="false" ht="15" hidden="false" customHeight="false" outlineLevel="0" collapsed="false">
      <c r="A3307" s="16" t="n">
        <v>45279</v>
      </c>
      <c r="B3307" s="17" t="n">
        <v>42252.2</v>
      </c>
    </row>
    <row r="3308" customFormat="false" ht="15" hidden="false" customHeight="false" outlineLevel="0" collapsed="false">
      <c r="A3308" s="16" t="n">
        <v>45280</v>
      </c>
      <c r="B3308" s="17" t="n">
        <v>43647.01</v>
      </c>
    </row>
    <row r="3309" customFormat="false" ht="15" hidden="false" customHeight="false" outlineLevel="0" collapsed="false">
      <c r="A3309" s="16" t="n">
        <v>45281</v>
      </c>
      <c r="B3309" s="17" t="n">
        <v>43876.98</v>
      </c>
    </row>
    <row r="3310" customFormat="false" ht="15" hidden="false" customHeight="false" outlineLevel="0" collapsed="false">
      <c r="A3310" s="16" t="n">
        <v>45282</v>
      </c>
      <c r="B3310" s="17" t="n">
        <v>44015.6</v>
      </c>
    </row>
    <row r="3311" customFormat="false" ht="15" hidden="false" customHeight="false" outlineLevel="0" collapsed="false">
      <c r="A3311" s="16" t="n">
        <v>45283</v>
      </c>
      <c r="B3311" s="17" t="n">
        <v>43715.59</v>
      </c>
    </row>
    <row r="3312" customFormat="false" ht="15" hidden="false" customHeight="false" outlineLevel="0" collapsed="false">
      <c r="A3312" s="16" t="n">
        <v>45284</v>
      </c>
      <c r="B3312" s="17" t="n">
        <v>43006.55</v>
      </c>
    </row>
    <row r="3313" customFormat="false" ht="15" hidden="false" customHeight="false" outlineLevel="0" collapsed="false">
      <c r="A3313" s="16" t="n">
        <v>45285</v>
      </c>
      <c r="B3313" s="17" t="n">
        <v>43603.68</v>
      </c>
    </row>
    <row r="3314" customFormat="false" ht="15" hidden="false" customHeight="false" outlineLevel="0" collapsed="false">
      <c r="A3314" s="16" t="n">
        <v>45286</v>
      </c>
      <c r="B3314" s="17" t="n">
        <v>42520.26</v>
      </c>
    </row>
    <row r="3315" customFormat="false" ht="15" hidden="false" customHeight="false" outlineLevel="0" collapsed="false">
      <c r="A3315" s="16" t="n">
        <v>45287</v>
      </c>
      <c r="B3315" s="17" t="n">
        <v>43444.45</v>
      </c>
    </row>
    <row r="3316" customFormat="false" ht="15" hidden="false" customHeight="false" outlineLevel="0" collapsed="false">
      <c r="A3316" s="16" t="n">
        <v>45288</v>
      </c>
      <c r="B3316" s="17" t="n">
        <v>42613.04</v>
      </c>
    </row>
    <row r="3317" customFormat="false" ht="15" hidden="false" customHeight="false" outlineLevel="0" collapsed="false">
      <c r="A3317" s="16" t="n">
        <v>45289</v>
      </c>
      <c r="B3317" s="17" t="n">
        <v>42056.3</v>
      </c>
    </row>
    <row r="3318" customFormat="false" ht="15" hidden="false" customHeight="false" outlineLevel="0" collapsed="false">
      <c r="A3318" s="16" t="n">
        <v>45290</v>
      </c>
      <c r="B3318" s="17" t="n">
        <v>42164.76</v>
      </c>
    </row>
    <row r="3319" customFormat="false" ht="15" hidden="false" customHeight="false" outlineLevel="0" collapsed="false">
      <c r="A3319" s="16" t="n">
        <v>45291</v>
      </c>
      <c r="B3319" s="17" t="n">
        <v>42300.78</v>
      </c>
    </row>
    <row r="3320" customFormat="false" ht="15" hidden="false" customHeight="false" outlineLevel="0" collapsed="false">
      <c r="A3320" s="16" t="n">
        <v>45292</v>
      </c>
      <c r="B3320" s="17" t="n">
        <v>44229.57</v>
      </c>
    </row>
    <row r="3321" customFormat="false" ht="15" hidden="false" customHeight="false" outlineLevel="0" collapsed="false">
      <c r="A3321" s="16" t="n">
        <v>45293</v>
      </c>
      <c r="B3321" s="17" t="n">
        <v>45030.04</v>
      </c>
    </row>
    <row r="3322" customFormat="false" ht="15" hidden="false" customHeight="false" outlineLevel="0" collapsed="false">
      <c r="A3322" s="16" t="n">
        <v>45294</v>
      </c>
      <c r="B3322" s="17" t="n">
        <v>42836.3</v>
      </c>
    </row>
    <row r="3323" customFormat="false" ht="15" hidden="false" customHeight="false" outlineLevel="0" collapsed="false">
      <c r="A3323" s="16" t="n">
        <v>45295</v>
      </c>
      <c r="B3323" s="17" t="n">
        <v>44230.11</v>
      </c>
    </row>
    <row r="3324" customFormat="false" ht="15" hidden="false" customHeight="false" outlineLevel="0" collapsed="false">
      <c r="A3324" s="16" t="n">
        <v>45296</v>
      </c>
      <c r="B3324" s="17" t="n">
        <v>44174.5</v>
      </c>
    </row>
    <row r="3325" customFormat="false" ht="15" hidden="false" customHeight="false" outlineLevel="0" collapsed="false">
      <c r="A3325" s="16" t="n">
        <v>45297</v>
      </c>
      <c r="B3325" s="17" t="n">
        <v>44000</v>
      </c>
    </row>
    <row r="3326" customFormat="false" ht="15" hidden="false" customHeight="false" outlineLevel="0" collapsed="false">
      <c r="A3326" s="16" t="n">
        <v>45298</v>
      </c>
      <c r="B3326" s="17" t="n">
        <v>43923.68</v>
      </c>
    </row>
    <row r="3327" customFormat="false" ht="15" hidden="false" customHeight="false" outlineLevel="0" collapsed="false">
      <c r="A3327" s="16" t="n">
        <v>45299</v>
      </c>
      <c r="B3327" s="17" t="n">
        <v>47000.31</v>
      </c>
    </row>
    <row r="3328" customFormat="false" ht="15" hidden="false" customHeight="false" outlineLevel="0" collapsed="false">
      <c r="A3328" s="16" t="n">
        <v>45300</v>
      </c>
      <c r="B3328" s="17" t="n">
        <v>46103</v>
      </c>
    </row>
    <row r="3329" customFormat="false" ht="15" hidden="false" customHeight="false" outlineLevel="0" collapsed="false">
      <c r="A3329" s="16" t="n">
        <v>45301</v>
      </c>
      <c r="B3329" s="17" t="n">
        <v>46590.34</v>
      </c>
    </row>
    <row r="3330" customFormat="false" ht="15" hidden="false" customHeight="false" outlineLevel="0" collapsed="false">
      <c r="A3330" s="16" t="n">
        <v>45302</v>
      </c>
      <c r="B3330" s="17" t="n">
        <v>46324.98</v>
      </c>
    </row>
    <row r="3331" customFormat="false" ht="15" hidden="false" customHeight="false" outlineLevel="0" collapsed="false">
      <c r="A3331" s="16" t="n">
        <v>45303</v>
      </c>
      <c r="B3331" s="17" t="n">
        <v>42797.41</v>
      </c>
    </row>
    <row r="3332" customFormat="false" ht="15" hidden="false" customHeight="false" outlineLevel="0" collapsed="false">
      <c r="A3332" s="16" t="n">
        <v>45304</v>
      </c>
      <c r="B3332" s="17" t="n">
        <v>42829.8</v>
      </c>
    </row>
    <row r="3333" customFormat="false" ht="15" hidden="false" customHeight="false" outlineLevel="0" collapsed="false">
      <c r="A3333" s="16" t="n">
        <v>45305</v>
      </c>
      <c r="B3333" s="17" t="n">
        <v>41715.82</v>
      </c>
    </row>
    <row r="3334" customFormat="false" ht="15" hidden="false" customHeight="false" outlineLevel="0" collapsed="false">
      <c r="A3334" s="16" t="n">
        <v>45306</v>
      </c>
      <c r="B3334" s="17" t="n">
        <v>42500</v>
      </c>
    </row>
    <row r="3335" customFormat="false" ht="15" hidden="false" customHeight="false" outlineLevel="0" collapsed="false">
      <c r="A3335" s="16" t="n">
        <v>45307</v>
      </c>
      <c r="B3335" s="17" t="n">
        <v>43152.59</v>
      </c>
    </row>
    <row r="3336" customFormat="false" ht="15" hidden="false" customHeight="false" outlineLevel="0" collapsed="false">
      <c r="A3336" s="16" t="n">
        <v>45308</v>
      </c>
      <c r="B3336" s="17" t="n">
        <v>42705.07</v>
      </c>
    </row>
    <row r="3337" customFormat="false" ht="15" hidden="false" customHeight="false" outlineLevel="0" collapsed="false">
      <c r="A3337" s="16" t="n">
        <v>45309</v>
      </c>
      <c r="B3337" s="17" t="n">
        <v>41234.95</v>
      </c>
    </row>
    <row r="3338" customFormat="false" ht="15" hidden="false" customHeight="false" outlineLevel="0" collapsed="false">
      <c r="A3338" s="16" t="n">
        <v>45310</v>
      </c>
      <c r="B3338" s="17" t="n">
        <v>41633.68</v>
      </c>
    </row>
    <row r="3339" customFormat="false" ht="15" hidden="false" customHeight="false" outlineLevel="0" collapsed="false">
      <c r="A3339" s="16" t="n">
        <v>45311</v>
      </c>
      <c r="B3339" s="17" t="n">
        <v>41664.79</v>
      </c>
    </row>
    <row r="3340" customFormat="false" ht="15" hidden="false" customHeight="false" outlineLevel="0" collapsed="false">
      <c r="A3340" s="16" t="n">
        <v>45312</v>
      </c>
      <c r="B3340" s="17" t="n">
        <v>41565.85</v>
      </c>
    </row>
    <row r="3341" customFormat="false" ht="15" hidden="false" customHeight="false" outlineLevel="0" collapsed="false">
      <c r="A3341" s="16" t="n">
        <v>45313</v>
      </c>
      <c r="B3341" s="17" t="n">
        <v>39547.64</v>
      </c>
    </row>
    <row r="3342" customFormat="false" ht="15" hidden="false" customHeight="false" outlineLevel="0" collapsed="false">
      <c r="A3342" s="16" t="n">
        <v>45314</v>
      </c>
      <c r="B3342" s="17" t="n">
        <v>39866.78</v>
      </c>
    </row>
    <row r="3343" customFormat="false" ht="15" hidden="false" customHeight="false" outlineLevel="0" collapsed="false">
      <c r="A3343" s="16" t="n">
        <v>45315</v>
      </c>
      <c r="B3343" s="17" t="n">
        <v>40051.8</v>
      </c>
    </row>
    <row r="3344" customFormat="false" ht="15" hidden="false" customHeight="false" outlineLevel="0" collapsed="false">
      <c r="A3344" s="16" t="n">
        <v>45316</v>
      </c>
      <c r="B3344" s="17" t="n">
        <v>39944.5</v>
      </c>
    </row>
    <row r="3345" customFormat="false" ht="15" hidden="false" customHeight="false" outlineLevel="0" collapsed="false">
      <c r="A3345" s="16" t="n">
        <v>45317</v>
      </c>
      <c r="B3345" s="17" t="n">
        <v>41792.29</v>
      </c>
    </row>
    <row r="3346" customFormat="false" ht="15" hidden="false" customHeight="false" outlineLevel="0" collapsed="false">
      <c r="A3346" s="16" t="n">
        <v>45318</v>
      </c>
      <c r="B3346" s="17" t="n">
        <v>42144.13</v>
      </c>
    </row>
    <row r="3347" customFormat="false" ht="15" hidden="false" customHeight="false" outlineLevel="0" collapsed="false">
      <c r="A3347" s="16" t="n">
        <v>45319</v>
      </c>
      <c r="B3347" s="17" t="n">
        <v>41991.74</v>
      </c>
    </row>
    <row r="3348" customFormat="false" ht="15" hidden="false" customHeight="false" outlineLevel="0" collapsed="false">
      <c r="A3348" s="16" t="n">
        <v>45320</v>
      </c>
      <c r="B3348" s="17" t="n">
        <v>43272.35</v>
      </c>
    </row>
    <row r="3349" customFormat="false" ht="15" hidden="false" customHeight="false" outlineLevel="0" collapsed="false">
      <c r="A3349" s="16" t="n">
        <v>45321</v>
      </c>
      <c r="B3349" s="17" t="n">
        <v>42985.96</v>
      </c>
    </row>
    <row r="3350" customFormat="false" ht="15" hidden="false" customHeight="false" outlineLevel="0" collapsed="false">
      <c r="A3350" s="16" t="n">
        <v>45322</v>
      </c>
      <c r="B3350" s="17" t="n">
        <v>42599.49</v>
      </c>
    </row>
    <row r="3351" customFormat="false" ht="15" hidden="false" customHeight="false" outlineLevel="0" collapsed="false">
      <c r="A3351" s="16" t="n">
        <v>45323</v>
      </c>
      <c r="B3351" s="17" t="n">
        <v>43090.14</v>
      </c>
    </row>
    <row r="3352" customFormat="false" ht="15" hidden="false" customHeight="false" outlineLevel="0" collapsed="false">
      <c r="A3352" s="16" t="n">
        <v>45324</v>
      </c>
      <c r="B3352" s="17" t="n">
        <v>43187.41</v>
      </c>
    </row>
    <row r="3353" customFormat="false" ht="15" hidden="false" customHeight="false" outlineLevel="0" collapsed="false">
      <c r="A3353" s="16" t="n">
        <v>45325</v>
      </c>
      <c r="B3353" s="17" t="n">
        <v>42987.78</v>
      </c>
    </row>
    <row r="3354" customFormat="false" ht="15" hidden="false" customHeight="false" outlineLevel="0" collapsed="false">
      <c r="A3354" s="16" t="n">
        <v>45326</v>
      </c>
      <c r="B3354" s="17" t="n">
        <v>42566.63</v>
      </c>
    </row>
    <row r="3355" customFormat="false" ht="15" hidden="false" customHeight="false" outlineLevel="0" collapsed="false">
      <c r="A3355" s="16" t="n">
        <v>45327</v>
      </c>
      <c r="B3355" s="17" t="n">
        <v>42654.6</v>
      </c>
    </row>
    <row r="3356" customFormat="false" ht="15" hidden="false" customHeight="false" outlineLevel="0" collapsed="false">
      <c r="A3356" s="16" t="n">
        <v>45328</v>
      </c>
      <c r="B3356" s="17" t="n">
        <v>43093.37</v>
      </c>
    </row>
    <row r="3357" customFormat="false" ht="15" hidden="false" customHeight="false" outlineLevel="0" collapsed="false">
      <c r="A3357" s="16" t="n">
        <v>45329</v>
      </c>
      <c r="B3357" s="17" t="n">
        <v>44393.14</v>
      </c>
    </row>
    <row r="3358" customFormat="false" ht="15" hidden="false" customHeight="false" outlineLevel="0" collapsed="false">
      <c r="A3358" s="16" t="n">
        <v>45330</v>
      </c>
      <c r="B3358" s="17" t="n">
        <v>45345.8</v>
      </c>
    </row>
    <row r="3359" customFormat="false" ht="15" hidden="false" customHeight="false" outlineLevel="0" collapsed="false">
      <c r="A3359" s="16" t="n">
        <v>45331</v>
      </c>
      <c r="B3359" s="17" t="n">
        <v>47154.45</v>
      </c>
    </row>
    <row r="3360" customFormat="false" ht="15" hidden="false" customHeight="false" outlineLevel="0" collapsed="false">
      <c r="A3360" s="16" t="n">
        <v>45332</v>
      </c>
      <c r="B3360" s="17" t="n">
        <v>47798.39</v>
      </c>
    </row>
    <row r="3361" customFormat="false" ht="15" hidden="false" customHeight="false" outlineLevel="0" collapsed="false">
      <c r="A3361" s="16" t="n">
        <v>45333</v>
      </c>
      <c r="B3361" s="17" t="n">
        <v>48312.28</v>
      </c>
    </row>
    <row r="3362" customFormat="false" ht="15" hidden="false" customHeight="false" outlineLevel="0" collapsed="false">
      <c r="A3362" s="16" t="n">
        <v>45334</v>
      </c>
      <c r="B3362" s="17" t="n">
        <v>49961</v>
      </c>
    </row>
    <row r="3363" customFormat="false" ht="15" hidden="false" customHeight="false" outlineLevel="0" collapsed="false">
      <c r="A3363" s="16" t="n">
        <v>45335</v>
      </c>
      <c r="B3363" s="17" t="n">
        <v>49691.47</v>
      </c>
    </row>
    <row r="3364" customFormat="false" ht="15" hidden="false" customHeight="false" outlineLevel="0" collapsed="false">
      <c r="A3364" s="16" t="n">
        <v>45336</v>
      </c>
      <c r="B3364" s="17" t="n">
        <v>51833.46</v>
      </c>
    </row>
    <row r="3365" customFormat="false" ht="15" hidden="false" customHeight="false" outlineLevel="0" collapsed="false">
      <c r="A3365" s="16" t="n">
        <v>45337</v>
      </c>
      <c r="B3365" s="17" t="n">
        <v>51935.86</v>
      </c>
    </row>
    <row r="3366" customFormat="false" ht="15" hidden="false" customHeight="false" outlineLevel="0" collapsed="false">
      <c r="A3366" s="16" t="n">
        <v>45338</v>
      </c>
      <c r="B3366" s="17" t="n">
        <v>52181.12</v>
      </c>
    </row>
    <row r="3367" customFormat="false" ht="15" hidden="false" customHeight="false" outlineLevel="0" collapsed="false">
      <c r="A3367" s="16" t="n">
        <v>45339</v>
      </c>
      <c r="B3367" s="17" t="n">
        <v>51677.7</v>
      </c>
    </row>
    <row r="3368" customFormat="false" ht="15" hidden="false" customHeight="false" outlineLevel="0" collapsed="false">
      <c r="A3368" s="16" t="n">
        <v>45340</v>
      </c>
      <c r="B3368" s="17" t="n">
        <v>52160.7</v>
      </c>
    </row>
    <row r="3369" customFormat="false" ht="15" hidden="false" customHeight="false" outlineLevel="0" collapsed="false">
      <c r="A3369" s="16" t="n">
        <v>45341</v>
      </c>
      <c r="B3369" s="17" t="n">
        <v>51766.22</v>
      </c>
    </row>
    <row r="3370" customFormat="false" ht="15" hidden="false" customHeight="false" outlineLevel="0" collapsed="false">
      <c r="A3370" s="16" t="n">
        <v>45342</v>
      </c>
      <c r="B3370" s="17" t="n">
        <v>52284.38</v>
      </c>
    </row>
    <row r="3371" customFormat="false" ht="15" hidden="false" customHeight="false" outlineLevel="0" collapsed="false">
      <c r="A3371" s="16" t="n">
        <v>45343</v>
      </c>
      <c r="B3371" s="17" t="n">
        <v>51833.99</v>
      </c>
    </row>
    <row r="3372" customFormat="false" ht="15" hidden="false" customHeight="false" outlineLevel="0" collapsed="false">
      <c r="A3372" s="16" t="n">
        <v>45344</v>
      </c>
      <c r="B3372" s="17" t="n">
        <v>51262.51</v>
      </c>
    </row>
    <row r="3373" customFormat="false" ht="15" hidden="false" customHeight="false" outlineLevel="0" collapsed="false">
      <c r="A3373" s="16" t="n">
        <v>45345</v>
      </c>
      <c r="B3373" s="17" t="n">
        <v>50751.19</v>
      </c>
    </row>
    <row r="3374" customFormat="false" ht="15" hidden="false" customHeight="false" outlineLevel="0" collapsed="false">
      <c r="A3374" s="16" t="n">
        <v>45346</v>
      </c>
      <c r="B3374" s="17" t="n">
        <v>51553.18</v>
      </c>
    </row>
    <row r="3375" customFormat="false" ht="15" hidden="false" customHeight="false" outlineLevel="0" collapsed="false">
      <c r="A3375" s="16" t="n">
        <v>45347</v>
      </c>
      <c r="B3375" s="17" t="n">
        <v>51729.95</v>
      </c>
    </row>
    <row r="3376" customFormat="false" ht="15" hidden="false" customHeight="false" outlineLevel="0" collapsed="false">
      <c r="A3376" s="16" t="n">
        <v>45348</v>
      </c>
      <c r="B3376" s="17" t="n">
        <v>54559</v>
      </c>
    </row>
    <row r="3377" customFormat="false" ht="15" hidden="false" customHeight="false" outlineLevel="0" collapsed="false">
      <c r="A3377" s="16" t="n">
        <v>45349</v>
      </c>
      <c r="B3377" s="17" t="n">
        <v>57064.29</v>
      </c>
    </row>
    <row r="3378" customFormat="false" ht="15" hidden="false" customHeight="false" outlineLevel="0" collapsed="false">
      <c r="A3378" s="16" t="n">
        <v>45350</v>
      </c>
      <c r="B3378" s="17" t="n">
        <v>62479.39</v>
      </c>
    </row>
    <row r="3379" customFormat="false" ht="15" hidden="false" customHeight="false" outlineLevel="0" collapsed="false">
      <c r="A3379" s="16" t="n">
        <v>45351</v>
      </c>
      <c r="B3379" s="17" t="n">
        <v>61240.13</v>
      </c>
    </row>
    <row r="3380" customFormat="false" ht="15" hidden="false" customHeight="false" outlineLevel="0" collapsed="false">
      <c r="A3380" s="16" t="n">
        <v>45352</v>
      </c>
      <c r="B3380" s="17" t="n">
        <v>62468.47</v>
      </c>
    </row>
    <row r="3381" customFormat="false" ht="15" hidden="false" customHeight="false" outlineLevel="0" collapsed="false">
      <c r="A3381" s="16" t="n">
        <v>45353</v>
      </c>
      <c r="B3381" s="17" t="n">
        <v>62026.06</v>
      </c>
    </row>
    <row r="3382" customFormat="false" ht="15" hidden="false" customHeight="false" outlineLevel="0" collapsed="false">
      <c r="A3382" s="16" t="n">
        <v>45354</v>
      </c>
      <c r="B3382" s="17" t="n">
        <v>63209.21</v>
      </c>
    </row>
    <row r="3383" customFormat="false" ht="15" hidden="false" customHeight="false" outlineLevel="0" collapsed="false">
      <c r="A3383" s="16" t="n">
        <v>45355</v>
      </c>
      <c r="B3383" s="17" t="n">
        <v>68277.61</v>
      </c>
    </row>
    <row r="3384" customFormat="false" ht="15" hidden="false" customHeight="false" outlineLevel="0" collapsed="false">
      <c r="A3384" s="16" t="n">
        <v>45356</v>
      </c>
      <c r="B3384" s="17" t="n">
        <v>63893.71</v>
      </c>
    </row>
    <row r="3385" customFormat="false" ht="15" hidden="false" customHeight="false" outlineLevel="0" collapsed="false">
      <c r="A3385" s="16" t="n">
        <v>45357</v>
      </c>
      <c r="B3385" s="17" t="n">
        <v>66092.71</v>
      </c>
    </row>
    <row r="3386" customFormat="false" ht="15" hidden="false" customHeight="false" outlineLevel="0" collapsed="false">
      <c r="A3386" s="16" t="n">
        <v>45358</v>
      </c>
      <c r="B3386" s="17" t="n">
        <v>66914.79</v>
      </c>
    </row>
    <row r="3387" customFormat="false" ht="15" hidden="false" customHeight="false" outlineLevel="0" collapsed="false">
      <c r="A3387" s="16" t="n">
        <v>45359</v>
      </c>
      <c r="B3387" s="17" t="n">
        <v>68313.7</v>
      </c>
    </row>
    <row r="3388" customFormat="false" ht="15" hidden="false" customHeight="false" outlineLevel="0" collapsed="false">
      <c r="A3388" s="16" t="n">
        <v>45360</v>
      </c>
      <c r="B3388" s="17" t="n">
        <v>68503.25</v>
      </c>
    </row>
    <row r="3389" customFormat="false" ht="15" hidden="false" customHeight="false" outlineLevel="0" collapsed="false">
      <c r="A3389" s="16" t="n">
        <v>45361</v>
      </c>
      <c r="B3389" s="17" t="n">
        <v>68997.88</v>
      </c>
    </row>
    <row r="3390" customFormat="false" ht="15" hidden="false" customHeight="false" outlineLevel="0" collapsed="false">
      <c r="A3390" s="16" t="n">
        <v>45362</v>
      </c>
      <c r="B3390" s="17" t="n">
        <v>72202.19</v>
      </c>
    </row>
    <row r="3391" customFormat="false" ht="15" hidden="false" customHeight="false" outlineLevel="0" collapsed="false">
      <c r="A3391" s="16" t="n">
        <v>45363</v>
      </c>
      <c r="B3391" s="17" t="n">
        <v>71471.62</v>
      </c>
    </row>
    <row r="3392" customFormat="false" ht="15" hidden="false" customHeight="false" outlineLevel="0" collapsed="false">
      <c r="A3392" s="16" t="n">
        <v>45364</v>
      </c>
      <c r="B3392" s="17" t="n">
        <v>73098.48</v>
      </c>
    </row>
    <row r="3393" customFormat="false" ht="15" hidden="false" customHeight="false" outlineLevel="0" collapsed="false">
      <c r="A3393" s="16" t="n">
        <v>45365</v>
      </c>
      <c r="B3393" s="17" t="n">
        <v>71456.55</v>
      </c>
    </row>
    <row r="3394" customFormat="false" ht="15" hidden="false" customHeight="false" outlineLevel="0" collapsed="false">
      <c r="A3394" s="16" t="n">
        <v>45366</v>
      </c>
      <c r="B3394" s="17" t="n">
        <v>69492.42</v>
      </c>
    </row>
    <row r="3395" customFormat="false" ht="15" hidden="false" customHeight="false" outlineLevel="0" collapsed="false">
      <c r="A3395" s="16" t="n">
        <v>45367</v>
      </c>
      <c r="B3395" s="17" t="n">
        <v>65521.12</v>
      </c>
    </row>
    <row r="3396" customFormat="false" ht="15" hidden="false" customHeight="false" outlineLevel="0" collapsed="false">
      <c r="A3396" s="16" t="n">
        <v>45368</v>
      </c>
      <c r="B3396" s="17" t="n">
        <v>68360.1</v>
      </c>
    </row>
    <row r="3397" customFormat="false" ht="15" hidden="false" customHeight="false" outlineLevel="0" collapsed="false">
      <c r="A3397" s="16" t="n">
        <v>45369</v>
      </c>
      <c r="B3397" s="17" t="n">
        <v>67566.95</v>
      </c>
    </row>
    <row r="3398" customFormat="false" ht="15" hidden="false" customHeight="false" outlineLevel="0" collapsed="false">
      <c r="A3398" s="16" t="n">
        <v>45370</v>
      </c>
      <c r="B3398" s="17" t="n">
        <v>61977.96</v>
      </c>
    </row>
    <row r="3399" customFormat="false" ht="15" hidden="false" customHeight="false" outlineLevel="0" collapsed="false">
      <c r="A3399" s="16" t="n">
        <v>45371</v>
      </c>
      <c r="B3399" s="17" t="n">
        <v>67862.33</v>
      </c>
    </row>
    <row r="3400" customFormat="false" ht="15" hidden="false" customHeight="false" outlineLevel="0" collapsed="false">
      <c r="A3400" s="16" t="n">
        <v>45372</v>
      </c>
      <c r="B3400" s="17" t="n">
        <v>65505.11</v>
      </c>
    </row>
    <row r="3401" customFormat="false" ht="15" hidden="false" customHeight="false" outlineLevel="0" collapsed="false">
      <c r="A3401" s="16" t="n">
        <v>45373</v>
      </c>
      <c r="B3401" s="17" t="n">
        <v>63712.44</v>
      </c>
    </row>
    <row r="3402" customFormat="false" ht="15" hidden="false" customHeight="false" outlineLevel="0" collapsed="false">
      <c r="A3402" s="16" t="n">
        <v>45374</v>
      </c>
      <c r="B3402" s="17" t="n">
        <v>64032.45</v>
      </c>
    </row>
    <row r="3403" customFormat="false" ht="15" hidden="false" customHeight="false" outlineLevel="0" collapsed="false">
      <c r="A3403" s="16" t="n">
        <v>45375</v>
      </c>
      <c r="B3403" s="17" t="n">
        <v>67297.56</v>
      </c>
    </row>
    <row r="3404" customFormat="false" ht="15" hidden="false" customHeight="false" outlineLevel="0" collapsed="false">
      <c r="A3404" s="16" t="n">
        <v>45376</v>
      </c>
      <c r="B3404" s="17" t="n">
        <v>69914.45</v>
      </c>
    </row>
    <row r="3405" customFormat="false" ht="15" hidden="false" customHeight="false" outlineLevel="0" collapsed="false">
      <c r="A3405" s="16" t="n">
        <v>45377</v>
      </c>
      <c r="B3405" s="17" t="n">
        <v>69976.26</v>
      </c>
    </row>
    <row r="3406" customFormat="false" ht="15" hidden="false" customHeight="false" outlineLevel="0" collapsed="false">
      <c r="A3406" s="16" t="n">
        <v>45378</v>
      </c>
      <c r="B3406" s="17" t="n">
        <v>69372.26</v>
      </c>
    </row>
    <row r="3407" customFormat="false" ht="15" hidden="false" customHeight="false" outlineLevel="0" collapsed="false">
      <c r="A3407" s="16" t="n">
        <v>45379</v>
      </c>
      <c r="B3407" s="17" t="n">
        <v>70770.78</v>
      </c>
    </row>
    <row r="3408" customFormat="false" ht="15" hidden="false" customHeight="false" outlineLevel="0" collapsed="false">
      <c r="A3408" s="16" t="n">
        <v>45380</v>
      </c>
      <c r="B3408" s="17" t="n">
        <v>69933.54</v>
      </c>
    </row>
    <row r="3409" customFormat="false" ht="15" hidden="false" customHeight="false" outlineLevel="0" collapsed="false">
      <c r="A3409" s="16" t="n">
        <v>45381</v>
      </c>
      <c r="B3409" s="17" t="n">
        <v>69654.17</v>
      </c>
    </row>
    <row r="3410" customFormat="false" ht="15" hidden="false" customHeight="false" outlineLevel="0" collapsed="false">
      <c r="A3410" s="16" t="n">
        <v>45382</v>
      </c>
      <c r="B3410" s="17" t="n">
        <v>71213.11</v>
      </c>
    </row>
    <row r="3411" customFormat="false" ht="15" hidden="false" customHeight="false" outlineLevel="0" collapsed="false">
      <c r="A3411" s="16" t="n">
        <v>45383</v>
      </c>
      <c r="B3411" s="17" t="n">
        <v>69702.13</v>
      </c>
    </row>
    <row r="3412" customFormat="false" ht="15" hidden="false" customHeight="false" outlineLevel="0" collapsed="false">
      <c r="A3412" s="16" t="n">
        <v>45384</v>
      </c>
      <c r="B3412" s="17" t="n">
        <v>65478.7</v>
      </c>
    </row>
    <row r="3413" customFormat="false" ht="15" hidden="false" customHeight="false" outlineLevel="0" collapsed="false">
      <c r="A3413" s="16" t="n">
        <v>45385</v>
      </c>
      <c r="B3413" s="17" t="n">
        <v>65982.23</v>
      </c>
    </row>
    <row r="3414" customFormat="false" ht="15" hidden="false" customHeight="false" outlineLevel="0" collapsed="false">
      <c r="A3414" s="16" t="n">
        <v>45386</v>
      </c>
      <c r="B3414" s="17" t="n">
        <v>68415.92</v>
      </c>
    </row>
    <row r="3415" customFormat="false" ht="15" hidden="false" customHeight="false" outlineLevel="0" collapsed="false">
      <c r="A3415" s="16" t="n">
        <v>45387</v>
      </c>
      <c r="B3415" s="17" t="n">
        <v>67878.68</v>
      </c>
    </row>
    <row r="3416" customFormat="false" ht="15" hidden="false" customHeight="false" outlineLevel="0" collapsed="false">
      <c r="A3416" s="16" t="n">
        <v>45388</v>
      </c>
      <c r="B3416" s="17" t="n">
        <v>68946.12</v>
      </c>
    </row>
    <row r="3417" customFormat="false" ht="15" hidden="false" customHeight="false" outlineLevel="0" collapsed="false">
      <c r="A3417" s="16" t="n">
        <v>45389</v>
      </c>
      <c r="B3417" s="17" t="n">
        <v>69344.77</v>
      </c>
    </row>
    <row r="3418" customFormat="false" ht="15" hidden="false" customHeight="false" outlineLevel="0" collapsed="false">
      <c r="A3418" s="16" t="n">
        <v>45390</v>
      </c>
      <c r="B3418" s="17" t="n">
        <v>71607.88</v>
      </c>
    </row>
    <row r="3419" customFormat="false" ht="15" hidden="false" customHeight="false" outlineLevel="0" collapsed="false">
      <c r="A3419" s="16" t="n">
        <v>45391</v>
      </c>
      <c r="B3419" s="17" t="n">
        <v>69100.81</v>
      </c>
    </row>
    <row r="3420" customFormat="false" ht="15" hidden="false" customHeight="false" outlineLevel="0" collapsed="false">
      <c r="A3420" s="16" t="n">
        <v>45392</v>
      </c>
      <c r="B3420" s="17" t="n">
        <v>70554.77</v>
      </c>
    </row>
    <row r="3421" customFormat="false" ht="15" hidden="false" customHeight="false" outlineLevel="0" collapsed="false">
      <c r="A3421" s="16" t="n">
        <v>45393</v>
      </c>
      <c r="B3421" s="17" t="n">
        <v>70001.36</v>
      </c>
    </row>
    <row r="3422" customFormat="false" ht="15" hidden="false" customHeight="false" outlineLevel="0" collapsed="false">
      <c r="A3422" s="16" t="n">
        <v>45394</v>
      </c>
      <c r="B3422" s="17" t="n">
        <v>67107.27</v>
      </c>
    </row>
    <row r="3423" customFormat="false" ht="15" hidden="false" customHeight="false" outlineLevel="0" collapsed="false">
      <c r="A3423" s="16" t="n">
        <v>45395</v>
      </c>
      <c r="B3423" s="17" t="n">
        <v>64034</v>
      </c>
    </row>
    <row r="3424" customFormat="false" ht="15" hidden="false" customHeight="false" outlineLevel="0" collapsed="false">
      <c r="A3424" s="16" t="n">
        <v>45396</v>
      </c>
      <c r="B3424" s="17" t="n">
        <v>65643.19</v>
      </c>
    </row>
    <row r="3425" customFormat="false" ht="15" hidden="false" customHeight="false" outlineLevel="0" collapsed="false">
      <c r="A3425" s="16" t="n">
        <v>45397</v>
      </c>
      <c r="B3425" s="17" t="n">
        <v>63359.28</v>
      </c>
    </row>
    <row r="3426" customFormat="false" ht="15" hidden="false" customHeight="false" outlineLevel="0" collapsed="false">
      <c r="A3426" s="16" t="n">
        <v>45398</v>
      </c>
      <c r="B3426" s="17" t="n">
        <v>63840</v>
      </c>
    </row>
    <row r="3427" customFormat="false" ht="15" hidden="false" customHeight="false" outlineLevel="0" collapsed="false">
      <c r="A3427" s="16" t="n">
        <v>45399</v>
      </c>
      <c r="B3427" s="17" t="n">
        <v>61267.8</v>
      </c>
    </row>
    <row r="3428" customFormat="false" ht="15" hidden="false" customHeight="false" outlineLevel="0" collapsed="false">
      <c r="A3428" s="16" t="n">
        <v>45400</v>
      </c>
      <c r="B3428" s="17" t="n">
        <v>63447.36</v>
      </c>
    </row>
    <row r="3429" customFormat="false" ht="15" hidden="false" customHeight="false" outlineLevel="0" collapsed="false">
      <c r="A3429" s="16" t="n">
        <v>45401</v>
      </c>
      <c r="B3429" s="17" t="n">
        <v>63836.5</v>
      </c>
    </row>
    <row r="3430" customFormat="false" ht="15" hidden="false" customHeight="false" outlineLevel="0" collapsed="false">
      <c r="A3430" s="16" t="n">
        <v>45402</v>
      </c>
      <c r="B3430" s="17" t="n">
        <v>64905.95</v>
      </c>
    </row>
    <row r="3431" customFormat="false" ht="15" hidden="false" customHeight="false" outlineLevel="0" collapsed="false">
      <c r="A3431" s="16" t="n">
        <v>45403</v>
      </c>
      <c r="B3431" s="17" t="n">
        <v>64950.7</v>
      </c>
    </row>
    <row r="3432" customFormat="false" ht="15" hidden="false" customHeight="false" outlineLevel="0" collapsed="false">
      <c r="A3432" s="16" t="n">
        <v>45404</v>
      </c>
      <c r="B3432" s="17" t="n">
        <v>66828.83</v>
      </c>
    </row>
    <row r="3433" customFormat="false" ht="15" hidden="false" customHeight="false" outlineLevel="0" collapsed="false">
      <c r="A3433" s="16" t="n">
        <v>45405</v>
      </c>
      <c r="B3433" s="17" t="n">
        <v>66472.3</v>
      </c>
    </row>
    <row r="3434" customFormat="false" ht="15" hidden="false" customHeight="false" outlineLevel="0" collapsed="false">
      <c r="A3434" s="16" t="n">
        <v>45406</v>
      </c>
      <c r="B3434" s="17" t="n">
        <v>64198.5</v>
      </c>
    </row>
    <row r="3435" customFormat="false" ht="15" hidden="false" customHeight="false" outlineLevel="0" collapsed="false">
      <c r="A3435" s="16" t="n">
        <v>45407</v>
      </c>
      <c r="B3435" s="17" t="n">
        <v>64510.14</v>
      </c>
    </row>
    <row r="3436" customFormat="false" ht="15" hidden="false" customHeight="false" outlineLevel="0" collapsed="false">
      <c r="A3436" s="16" t="n">
        <v>45408</v>
      </c>
      <c r="B3436" s="17" t="n">
        <v>63747.32</v>
      </c>
    </row>
    <row r="3437" customFormat="false" ht="15" hidden="false" customHeight="false" outlineLevel="0" collapsed="false">
      <c r="A3437" s="16" t="n">
        <v>45409</v>
      </c>
      <c r="B3437" s="17" t="n">
        <v>63445.48</v>
      </c>
    </row>
    <row r="3438" customFormat="false" ht="15" hidden="false" customHeight="false" outlineLevel="0" collapsed="false">
      <c r="A3438" s="16" t="n">
        <v>45410</v>
      </c>
      <c r="B3438" s="17" t="n">
        <v>62991.27</v>
      </c>
    </row>
    <row r="3439" customFormat="false" ht="15" hidden="false" customHeight="false" outlineLevel="0" collapsed="false">
      <c r="A3439" s="16" t="n">
        <v>45411</v>
      </c>
      <c r="B3439" s="17" t="n">
        <v>63804.4</v>
      </c>
    </row>
    <row r="3440" customFormat="false" ht="15" hidden="false" customHeight="false" outlineLevel="0" collapsed="false">
      <c r="A3440" s="16" t="n">
        <v>45412</v>
      </c>
      <c r="B3440" s="17" t="n">
        <v>60690.8</v>
      </c>
    </row>
    <row r="3441" customFormat="false" ht="15" hidden="false" customHeight="false" outlineLevel="0" collapsed="false">
      <c r="A3441" s="16" t="n">
        <v>45413</v>
      </c>
      <c r="B3441" s="17" t="n">
        <v>58278.09</v>
      </c>
    </row>
    <row r="3442" customFormat="false" ht="15" hidden="false" customHeight="false" outlineLevel="0" collapsed="false">
      <c r="A3442" s="16" t="n">
        <v>45414</v>
      </c>
      <c r="B3442" s="17" t="n">
        <v>59071.21</v>
      </c>
    </row>
    <row r="3443" customFormat="false" ht="15" hidden="false" customHeight="false" outlineLevel="0" collapsed="false">
      <c r="A3443" s="16" t="n">
        <v>45415</v>
      </c>
      <c r="B3443" s="17" t="n">
        <v>62855.86</v>
      </c>
    </row>
    <row r="3444" customFormat="false" ht="15" hidden="false" customHeight="false" outlineLevel="0" collapsed="false">
      <c r="A3444" s="16" t="n">
        <v>45416</v>
      </c>
      <c r="B3444" s="17" t="n">
        <v>63994.27</v>
      </c>
    </row>
    <row r="3445" customFormat="false" ht="15" hidden="false" customHeight="false" outlineLevel="0" collapsed="false">
      <c r="A3445" s="16" t="n">
        <v>45417</v>
      </c>
      <c r="B3445" s="17" t="n">
        <v>64058.54</v>
      </c>
    </row>
    <row r="3446" customFormat="false" ht="15" hidden="false" customHeight="false" outlineLevel="0" collapsed="false">
      <c r="A3446" s="16" t="n">
        <v>45418</v>
      </c>
      <c r="B3446" s="17" t="n">
        <v>63145.67</v>
      </c>
    </row>
    <row r="3447" customFormat="false" ht="15" hidden="false" customHeight="false" outlineLevel="0" collapsed="false">
      <c r="A3447" s="16" t="n">
        <v>45419</v>
      </c>
      <c r="B3447" s="17" t="n">
        <v>62344.02</v>
      </c>
    </row>
    <row r="3448" customFormat="false" ht="15" hidden="false" customHeight="false" outlineLevel="0" collapsed="false">
      <c r="A3448" s="16" t="n">
        <v>45420</v>
      </c>
      <c r="B3448" s="17" t="n">
        <v>61156.89</v>
      </c>
    </row>
    <row r="3449" customFormat="false" ht="15" hidden="false" customHeight="false" outlineLevel="0" collapsed="false">
      <c r="A3449" s="16" t="n">
        <v>45421</v>
      </c>
      <c r="B3449" s="17" t="n">
        <v>63088.62</v>
      </c>
    </row>
    <row r="3450" customFormat="false" ht="15" hidden="false" customHeight="false" outlineLevel="0" collapsed="false">
      <c r="A3450" s="16" t="n">
        <v>45422</v>
      </c>
      <c r="B3450" s="17" t="n">
        <v>60801.1</v>
      </c>
    </row>
    <row r="3451" customFormat="false" ht="15" hidden="false" customHeight="false" outlineLevel="0" collapsed="false">
      <c r="A3451" s="16" t="n">
        <v>45423</v>
      </c>
      <c r="B3451" s="17" t="n">
        <v>60790.01</v>
      </c>
    </row>
    <row r="3452" customFormat="false" ht="15" hidden="false" customHeight="false" outlineLevel="0" collapsed="false">
      <c r="A3452" s="16" t="n">
        <v>45424</v>
      </c>
      <c r="B3452" s="17" t="n">
        <v>61493.64</v>
      </c>
    </row>
    <row r="3453" customFormat="false" ht="15" hidden="false" customHeight="false" outlineLevel="0" collapsed="false">
      <c r="A3453" s="16" t="n">
        <v>45425</v>
      </c>
      <c r="B3453" s="17" t="n">
        <v>62909.03</v>
      </c>
    </row>
    <row r="3454" customFormat="false" ht="15" hidden="false" customHeight="false" outlineLevel="0" collapsed="false">
      <c r="A3454" s="16" t="n">
        <v>45426</v>
      </c>
      <c r="B3454" s="17" t="n">
        <v>61558.14</v>
      </c>
    </row>
    <row r="3455" customFormat="false" ht="15" hidden="false" customHeight="false" outlineLevel="0" collapsed="false">
      <c r="A3455" s="16" t="n">
        <v>45427</v>
      </c>
      <c r="B3455" s="17" t="n">
        <v>66293.39</v>
      </c>
    </row>
    <row r="3456" customFormat="false" ht="15" hidden="false" customHeight="false" outlineLevel="0" collapsed="false">
      <c r="A3456" s="16" t="n">
        <v>45428</v>
      </c>
      <c r="B3456" s="17" t="n">
        <v>65282.62</v>
      </c>
    </row>
    <row r="3457" customFormat="false" ht="15" hidden="false" customHeight="false" outlineLevel="0" collapsed="false">
      <c r="A3457" s="16" t="n">
        <v>45429</v>
      </c>
      <c r="B3457" s="17" t="n">
        <v>66941.22</v>
      </c>
    </row>
    <row r="3458" customFormat="false" ht="15" hidden="false" customHeight="false" outlineLevel="0" collapsed="false">
      <c r="A3458" s="16" t="n">
        <v>45430</v>
      </c>
      <c r="B3458" s="17" t="n">
        <v>66982.74</v>
      </c>
    </row>
    <row r="3459" customFormat="false" ht="15" hidden="false" customHeight="false" outlineLevel="0" collapsed="false">
      <c r="A3459" s="16" t="n">
        <v>45431</v>
      </c>
      <c r="B3459" s="17" t="n">
        <v>66267.1</v>
      </c>
    </row>
    <row r="3460" customFormat="false" ht="15" hidden="false" customHeight="false" outlineLevel="0" collapsed="false">
      <c r="A3460" s="16" t="n">
        <v>45432</v>
      </c>
      <c r="B3460" s="17" t="n">
        <v>71466.21</v>
      </c>
    </row>
    <row r="3461" customFormat="false" ht="15" hidden="false" customHeight="false" outlineLevel="0" collapsed="false">
      <c r="A3461" s="16" t="n">
        <v>45433</v>
      </c>
      <c r="B3461" s="17" t="n">
        <v>70191.19</v>
      </c>
    </row>
    <row r="3462" customFormat="false" ht="15" hidden="false" customHeight="false" outlineLevel="0" collapsed="false">
      <c r="A3462" s="16" t="n">
        <v>45434</v>
      </c>
      <c r="B3462" s="17" t="n">
        <v>69145.91</v>
      </c>
    </row>
    <row r="3463" customFormat="false" ht="15" hidden="false" customHeight="false" outlineLevel="0" collapsed="false">
      <c r="A3463" s="16" t="n">
        <v>45435</v>
      </c>
      <c r="B3463" s="17" t="n">
        <v>67903.82</v>
      </c>
    </row>
    <row r="3464" customFormat="false" ht="15" hidden="false" customHeight="false" outlineLevel="0" collapsed="false">
      <c r="A3464" s="16" t="n">
        <v>45436</v>
      </c>
      <c r="B3464" s="17" t="n">
        <v>68567.61</v>
      </c>
    </row>
    <row r="3465" customFormat="false" ht="15" hidden="false" customHeight="false" outlineLevel="0" collapsed="false">
      <c r="A3465" s="16" t="n">
        <v>45437</v>
      </c>
      <c r="B3465" s="17" t="n">
        <v>69304.6</v>
      </c>
    </row>
    <row r="3466" customFormat="false" ht="15" hidden="false" customHeight="false" outlineLevel="0" collapsed="false">
      <c r="A3466" s="16" t="n">
        <v>45438</v>
      </c>
      <c r="B3466" s="17" t="n">
        <v>68474.6</v>
      </c>
    </row>
    <row r="3467" customFormat="false" ht="15" hidden="false" customHeight="false" outlineLevel="0" collapsed="false">
      <c r="A3467" s="16" t="n">
        <v>45439</v>
      </c>
      <c r="B3467" s="17" t="n">
        <v>69363.83</v>
      </c>
    </row>
    <row r="3468" customFormat="false" ht="15" hidden="false" customHeight="false" outlineLevel="0" collapsed="false">
      <c r="A3468" s="16" t="n">
        <v>45440</v>
      </c>
      <c r="B3468" s="17" t="n">
        <v>68350.32</v>
      </c>
    </row>
    <row r="3469" customFormat="false" ht="15" hidden="false" customHeight="false" outlineLevel="0" collapsed="false">
      <c r="A3469" s="16" t="n">
        <v>45441</v>
      </c>
      <c r="B3469" s="17" t="n">
        <v>67573.57</v>
      </c>
    </row>
    <row r="3470" customFormat="false" ht="15" hidden="false" customHeight="false" outlineLevel="0" collapsed="false">
      <c r="A3470" s="16" t="n">
        <v>45442</v>
      </c>
      <c r="B3470" s="17" t="n">
        <v>68356.11</v>
      </c>
    </row>
    <row r="3471" customFormat="false" ht="15" hidden="false" customHeight="false" outlineLevel="0" collapsed="false">
      <c r="A3471" s="16" t="n">
        <v>45443</v>
      </c>
      <c r="B3471" s="17" t="n">
        <v>67506.03</v>
      </c>
    </row>
    <row r="3472" customFormat="false" ht="15" hidden="false" customHeight="false" outlineLevel="0" collapsed="false">
      <c r="A3472" s="16" t="n">
        <v>45444</v>
      </c>
      <c r="B3472" s="17" t="n">
        <v>67719.96</v>
      </c>
    </row>
    <row r="3473" customFormat="false" ht="15" hidden="false" customHeight="false" outlineLevel="0" collapsed="false">
      <c r="A3473" s="16" t="n">
        <v>45445</v>
      </c>
      <c r="B3473" s="17" t="n">
        <v>67721.84</v>
      </c>
    </row>
    <row r="3474" customFormat="false" ht="15" hidden="false" customHeight="false" outlineLevel="0" collapsed="false">
      <c r="A3474" s="16" t="n">
        <v>45446</v>
      </c>
      <c r="B3474" s="17" t="n">
        <v>68794.57</v>
      </c>
    </row>
    <row r="3475" customFormat="false" ht="15" hidden="false" customHeight="false" outlineLevel="0" collapsed="false">
      <c r="A3475" s="16" t="n">
        <v>45447</v>
      </c>
      <c r="B3475" s="17" t="n">
        <v>70596.56</v>
      </c>
    </row>
    <row r="3476" customFormat="false" ht="15" hidden="false" customHeight="false" outlineLevel="0" collapsed="false">
      <c r="A3476" s="16" t="n">
        <v>45448</v>
      </c>
      <c r="B3476" s="17" t="n">
        <v>71164.39</v>
      </c>
    </row>
    <row r="3477" customFormat="false" ht="15" hidden="false" customHeight="false" outlineLevel="0" collapsed="false">
      <c r="A3477" s="16" t="n">
        <v>45449</v>
      </c>
      <c r="B3477" s="17" t="n">
        <v>70770.7</v>
      </c>
    </row>
    <row r="3478" customFormat="false" ht="15" hidden="false" customHeight="false" outlineLevel="0" collapsed="false">
      <c r="A3478" s="16" t="n">
        <v>45450</v>
      </c>
      <c r="B3478" s="17" t="n">
        <v>69283.58</v>
      </c>
    </row>
    <row r="3479" customFormat="false" ht="15" hidden="false" customHeight="false" outlineLevel="0" collapsed="false">
      <c r="A3479" s="16" t="n">
        <v>45451</v>
      </c>
      <c r="B3479" s="17" t="n">
        <v>69305.9</v>
      </c>
    </row>
    <row r="3480" customFormat="false" ht="15" hidden="false" customHeight="false" outlineLevel="0" collapsed="false">
      <c r="A3480" s="16" t="n">
        <v>45452</v>
      </c>
      <c r="B3480" s="17" t="n">
        <v>69654.99</v>
      </c>
    </row>
    <row r="3481" customFormat="false" ht="15" hidden="false" customHeight="false" outlineLevel="0" collapsed="false">
      <c r="A3481" s="16" t="n">
        <v>45453</v>
      </c>
      <c r="B3481" s="17" t="n">
        <v>69490.62</v>
      </c>
    </row>
    <row r="3482" customFormat="false" ht="15" hidden="false" customHeight="false" outlineLevel="0" collapsed="false">
      <c r="A3482" s="16" t="n">
        <v>45454</v>
      </c>
      <c r="B3482" s="17" t="n">
        <v>67316.44</v>
      </c>
    </row>
    <row r="3483" customFormat="false" ht="15" hidden="false" customHeight="false" outlineLevel="0" collapsed="false">
      <c r="A3483" s="16" t="n">
        <v>45455</v>
      </c>
      <c r="B3483" s="17" t="n">
        <v>68270.98</v>
      </c>
    </row>
    <row r="3484" customFormat="false" ht="15" hidden="false" customHeight="false" outlineLevel="0" collapsed="false">
      <c r="A3484" s="16" t="n">
        <v>45456</v>
      </c>
      <c r="B3484" s="17" t="n">
        <v>66764.3</v>
      </c>
    </row>
    <row r="3485" customFormat="false" ht="15" hidden="false" customHeight="false" outlineLevel="0" collapsed="false">
      <c r="A3485" s="16" t="n">
        <v>45457</v>
      </c>
      <c r="B3485" s="17" t="n">
        <v>66022.42</v>
      </c>
    </row>
    <row r="3486" customFormat="false" ht="15" hidden="false" customHeight="false" outlineLevel="0" collapsed="false">
      <c r="A3486" s="16" t="n">
        <v>45458</v>
      </c>
      <c r="B3486" s="17" t="n">
        <v>66154.97</v>
      </c>
    </row>
    <row r="3487" customFormat="false" ht="15" hidden="false" customHeight="false" outlineLevel="0" collapsed="false">
      <c r="A3487" s="16" t="n">
        <v>45459</v>
      </c>
      <c r="B3487" s="17" t="n">
        <v>66613.62</v>
      </c>
    </row>
    <row r="3488" customFormat="false" ht="15" hidden="false" customHeight="false" outlineLevel="0" collapsed="false">
      <c r="A3488" s="16" t="n">
        <v>45460</v>
      </c>
      <c r="B3488" s="17" t="n">
        <v>66517.55</v>
      </c>
    </row>
    <row r="3489" customFormat="false" ht="15" hidden="false" customHeight="false" outlineLevel="0" collapsed="false">
      <c r="A3489" s="16" t="n">
        <v>45461</v>
      </c>
      <c r="B3489" s="17" t="n">
        <v>65126.6</v>
      </c>
    </row>
    <row r="3490" customFormat="false" ht="15" hidden="false" customHeight="false" outlineLevel="0" collapsed="false">
      <c r="A3490" s="16" t="n">
        <v>45462</v>
      </c>
      <c r="B3490" s="17" t="n">
        <v>64903.53</v>
      </c>
    </row>
    <row r="3491" customFormat="false" ht="15" hidden="false" customHeight="false" outlineLevel="0" collapsed="false">
      <c r="A3491" s="16" t="n">
        <v>45463</v>
      </c>
      <c r="B3491" s="17" t="n">
        <v>64842.53</v>
      </c>
    </row>
    <row r="3492" customFormat="false" ht="15" hidden="false" customHeight="false" outlineLevel="0" collapsed="false">
      <c r="A3492" s="16" t="n">
        <v>45464</v>
      </c>
      <c r="B3492" s="17" t="n">
        <v>64136.38</v>
      </c>
    </row>
    <row r="3493" customFormat="false" ht="15" hidden="false" customHeight="false" outlineLevel="0" collapsed="false">
      <c r="A3493" s="16" t="n">
        <v>45465</v>
      </c>
      <c r="B3493" s="17" t="n">
        <v>64258.23</v>
      </c>
    </row>
    <row r="3494" customFormat="false" ht="15" hidden="false" customHeight="false" outlineLevel="0" collapsed="false">
      <c r="A3494" s="16" t="n">
        <v>45466</v>
      </c>
      <c r="B3494" s="17" t="n">
        <v>63214.36</v>
      </c>
    </row>
    <row r="3495" customFormat="false" ht="15" hidden="false" customHeight="false" outlineLevel="0" collapsed="false">
      <c r="A3495" s="16" t="n">
        <v>45467</v>
      </c>
      <c r="B3495" s="17" t="n">
        <v>60236.01</v>
      </c>
    </row>
    <row r="3496" customFormat="false" ht="15" hidden="false" customHeight="false" outlineLevel="0" collapsed="false">
      <c r="A3496" s="16" t="n">
        <v>45468</v>
      </c>
      <c r="B3496" s="17" t="n">
        <v>61820.98</v>
      </c>
    </row>
    <row r="3497" customFormat="false" ht="15" hidden="false" customHeight="false" outlineLevel="0" collapsed="false">
      <c r="A3497" s="16" t="n">
        <v>45469</v>
      </c>
      <c r="B3497" s="17" t="n">
        <v>60794.33</v>
      </c>
    </row>
    <row r="3498" customFormat="false" ht="15" hidden="false" customHeight="false" outlineLevel="0" collapsed="false">
      <c r="A3498" s="16" t="n">
        <v>45470</v>
      </c>
      <c r="B3498" s="17" t="n">
        <v>61622.64</v>
      </c>
    </row>
    <row r="3499" customFormat="false" ht="15" hidden="false" customHeight="false" outlineLevel="0" collapsed="false">
      <c r="A3499" s="16" t="n">
        <v>45471</v>
      </c>
      <c r="B3499" s="17" t="n">
        <v>60322.28</v>
      </c>
    </row>
    <row r="3500" customFormat="false" ht="15" hidden="false" customHeight="false" outlineLevel="0" collapsed="false">
      <c r="A3500" s="16" t="n">
        <v>45472</v>
      </c>
      <c r="B3500" s="17" t="n">
        <v>60890.24</v>
      </c>
    </row>
    <row r="3501" customFormat="false" ht="15" hidden="false" customHeight="false" outlineLevel="0" collapsed="false">
      <c r="A3501" s="16" t="n">
        <v>45473</v>
      </c>
      <c r="B3501" s="17" t="n">
        <v>62678.1</v>
      </c>
    </row>
    <row r="3502" customFormat="false" ht="15" hidden="false" customHeight="false" outlineLevel="0" collapsed="false">
      <c r="A3502" s="16" t="n">
        <v>45474</v>
      </c>
      <c r="B3502" s="17" t="n">
        <v>62870.34</v>
      </c>
    </row>
    <row r="3503" customFormat="false" ht="15" hidden="false" customHeight="false" outlineLevel="0" collapsed="false">
      <c r="A3503" s="16" t="n">
        <v>45475</v>
      </c>
      <c r="B3503" s="17" t="n">
        <v>62056.54</v>
      </c>
    </row>
    <row r="3504" customFormat="false" ht="15" hidden="false" customHeight="false" outlineLevel="0" collapsed="false">
      <c r="A3504" s="16" t="n">
        <v>45476</v>
      </c>
      <c r="B3504" s="17" t="n">
        <v>60187.34</v>
      </c>
    </row>
    <row r="3505" customFormat="false" ht="15" hidden="false" customHeight="false" outlineLevel="0" collapsed="false">
      <c r="A3505" s="16" t="n">
        <v>45477</v>
      </c>
      <c r="B3505" s="17" t="n">
        <v>57171.19</v>
      </c>
    </row>
    <row r="3506" customFormat="false" ht="15" hidden="false" customHeight="false" outlineLevel="0" collapsed="false">
      <c r="A3506" s="16" t="n">
        <v>45478</v>
      </c>
      <c r="B3506" s="17" t="n">
        <v>56624.69</v>
      </c>
    </row>
    <row r="3507" customFormat="false" ht="15" hidden="false" customHeight="false" outlineLevel="0" collapsed="false">
      <c r="A3507" s="16" t="n">
        <v>45479</v>
      </c>
      <c r="B3507" s="17" t="n">
        <v>58219.33</v>
      </c>
    </row>
    <row r="3508" customFormat="false" ht="15" hidden="false" customHeight="false" outlineLevel="0" collapsed="false">
      <c r="A3508" s="16" t="n">
        <v>45480</v>
      </c>
      <c r="B3508" s="17" t="n">
        <v>55913.47</v>
      </c>
    </row>
    <row r="3509" customFormat="false" ht="15" hidden="false" customHeight="false" outlineLevel="0" collapsed="false">
      <c r="A3509" s="16" t="n">
        <v>45481</v>
      </c>
      <c r="B3509" s="17" t="n">
        <v>56684.73</v>
      </c>
    </row>
    <row r="3510" customFormat="false" ht="15" hidden="false" customHeight="false" outlineLevel="0" collapsed="false">
      <c r="A3510" s="16" t="n">
        <v>45482</v>
      </c>
      <c r="B3510" s="17" t="n">
        <v>57995.57</v>
      </c>
    </row>
    <row r="3511" customFormat="false" ht="15" hidden="false" customHeight="false" outlineLevel="0" collapsed="false">
      <c r="A3511" s="16" t="n">
        <v>45483</v>
      </c>
      <c r="B3511" s="17" t="n">
        <v>57653.32</v>
      </c>
    </row>
    <row r="3512" customFormat="false" ht="15" hidden="false" customHeight="false" outlineLevel="0" collapsed="false">
      <c r="A3512" s="16" t="n">
        <v>45484</v>
      </c>
      <c r="B3512" s="17" t="n">
        <v>57384.82</v>
      </c>
    </row>
    <row r="3513" customFormat="false" ht="15" hidden="false" customHeight="false" outlineLevel="0" collapsed="false">
      <c r="A3513" s="16" t="n">
        <v>45485</v>
      </c>
      <c r="B3513" s="17" t="n">
        <v>57910.59</v>
      </c>
    </row>
    <row r="3514" customFormat="false" ht="15" hidden="false" customHeight="false" outlineLevel="0" collapsed="false">
      <c r="A3514" s="16" t="n">
        <v>45486</v>
      </c>
      <c r="B3514" s="17" t="n">
        <v>59251.21</v>
      </c>
    </row>
    <row r="3515" customFormat="false" ht="15" hidden="false" customHeight="false" outlineLevel="0" collapsed="false">
      <c r="A3515" s="16" t="n">
        <v>45487</v>
      </c>
      <c r="B3515" s="17" t="n">
        <v>60798.13</v>
      </c>
    </row>
    <row r="3516" customFormat="false" ht="15" hidden="false" customHeight="false" outlineLevel="0" collapsed="false">
      <c r="A3516" s="16" t="n">
        <v>45488</v>
      </c>
      <c r="B3516" s="17" t="n">
        <v>64772.57</v>
      </c>
    </row>
    <row r="3517" customFormat="false" ht="15" hidden="false" customHeight="false" outlineLevel="0" collapsed="false">
      <c r="A3517" s="16" t="n">
        <v>45489</v>
      </c>
      <c r="B3517" s="17" t="n">
        <v>65045.81</v>
      </c>
    </row>
    <row r="3518" customFormat="false" ht="15" hidden="false" customHeight="false" outlineLevel="0" collapsed="false">
      <c r="A3518" s="16" t="n">
        <v>45490</v>
      </c>
      <c r="B3518" s="17" t="n">
        <v>64157.33</v>
      </c>
    </row>
    <row r="3519" customFormat="false" ht="15" hidden="false" customHeight="false" outlineLevel="0" collapsed="false">
      <c r="A3519" s="16" t="n">
        <v>45491</v>
      </c>
      <c r="B3519" s="17" t="n">
        <v>63999.59</v>
      </c>
    </row>
    <row r="3520" customFormat="false" ht="15" hidden="false" customHeight="false" outlineLevel="0" collapsed="false">
      <c r="A3520" s="16" t="n">
        <v>45492</v>
      </c>
      <c r="B3520" s="17" t="n">
        <v>66771.26</v>
      </c>
    </row>
    <row r="3521" customFormat="false" ht="15" hidden="false" customHeight="false" outlineLevel="0" collapsed="false">
      <c r="A3521" s="16" t="n">
        <v>45493</v>
      </c>
      <c r="B3521" s="17" t="n">
        <v>67216.19</v>
      </c>
    </row>
    <row r="3522" customFormat="false" ht="15" hidden="false" customHeight="false" outlineLevel="0" collapsed="false">
      <c r="A3522" s="16" t="n">
        <v>45494</v>
      </c>
      <c r="B3522" s="17" t="n">
        <v>68239.64</v>
      </c>
    </row>
    <row r="3523" customFormat="false" ht="15" hidden="false" customHeight="false" outlineLevel="0" collapsed="false">
      <c r="A3523" s="16" t="n">
        <v>45495</v>
      </c>
      <c r="B3523" s="17" t="n">
        <v>67585.54</v>
      </c>
    </row>
    <row r="3524" customFormat="false" ht="15" hidden="false" customHeight="false" outlineLevel="0" collapsed="false">
      <c r="A3524" s="16" t="n">
        <v>45496</v>
      </c>
      <c r="B3524" s="17" t="n">
        <v>65923.74</v>
      </c>
    </row>
    <row r="3525" customFormat="false" ht="15" hidden="false" customHeight="false" outlineLevel="0" collapsed="false">
      <c r="A3525" s="16" t="n">
        <v>45497</v>
      </c>
      <c r="B3525" s="17" t="n">
        <v>65430.69</v>
      </c>
    </row>
    <row r="3526" customFormat="false" ht="15" hidden="false" customHeight="false" outlineLevel="0" collapsed="false">
      <c r="A3526" s="16" t="n">
        <v>45498</v>
      </c>
      <c r="B3526" s="17" t="n">
        <v>65816.21</v>
      </c>
    </row>
    <row r="3527" customFormat="false" ht="15" hidden="false" customHeight="false" outlineLevel="0" collapsed="false">
      <c r="A3527" s="16" t="n">
        <v>45499</v>
      </c>
      <c r="B3527" s="17" t="n">
        <v>67929.7</v>
      </c>
    </row>
    <row r="3528" customFormat="false" ht="15" hidden="false" customHeight="false" outlineLevel="0" collapsed="false">
      <c r="A3528" s="16" t="n">
        <v>45500</v>
      </c>
      <c r="B3528" s="17" t="n">
        <v>67805.48</v>
      </c>
    </row>
    <row r="3529" customFormat="false" ht="15" hidden="false" customHeight="false" outlineLevel="0" collapsed="false">
      <c r="A3529" s="16" t="n">
        <v>45501</v>
      </c>
      <c r="B3529" s="17" t="n">
        <v>68274.59</v>
      </c>
    </row>
    <row r="3530" customFormat="false" ht="15" hidden="false" customHeight="false" outlineLevel="0" collapsed="false">
      <c r="A3530" s="16" t="n">
        <v>45502</v>
      </c>
      <c r="B3530" s="17" t="n">
        <v>66827.89</v>
      </c>
    </row>
    <row r="3531" customFormat="false" ht="15" hidden="false" customHeight="false" outlineLevel="0" collapsed="false">
      <c r="A3531" s="16" t="n">
        <v>45503</v>
      </c>
      <c r="B3531" s="17" t="n">
        <v>66200.81</v>
      </c>
    </row>
    <row r="3532" customFormat="false" ht="15" hidden="false" customHeight="false" outlineLevel="0" collapsed="false">
      <c r="A3532" s="16" t="n">
        <v>45504</v>
      </c>
      <c r="B3532" s="17" t="n">
        <v>64607.71</v>
      </c>
    </row>
    <row r="3533" customFormat="false" ht="15" hidden="false" customHeight="false" outlineLevel="0" collapsed="false">
      <c r="A3533" s="16" t="n">
        <v>45505</v>
      </c>
      <c r="B3533" s="17" t="n">
        <v>65342.4</v>
      </c>
    </row>
    <row r="3534" customFormat="false" ht="15" hidden="false" customHeight="false" outlineLevel="0" collapsed="false">
      <c r="A3534" s="16" t="n">
        <v>45506</v>
      </c>
      <c r="B3534" s="17" t="n">
        <v>61466.66</v>
      </c>
    </row>
    <row r="3535" customFormat="false" ht="15" hidden="false" customHeight="false" outlineLevel="0" collapsed="false">
      <c r="A3535" s="16" t="n">
        <v>45507</v>
      </c>
      <c r="B3535" s="17" t="n">
        <v>60631.11</v>
      </c>
    </row>
    <row r="3536" customFormat="false" ht="15" hidden="false" customHeight="false" outlineLevel="0" collapsed="false">
      <c r="A3536" s="16" t="n">
        <v>45508</v>
      </c>
      <c r="B3536" s="17" t="n">
        <v>58181.05</v>
      </c>
    </row>
    <row r="3537" customFormat="false" ht="15" hidden="false" customHeight="false" outlineLevel="0" collapsed="false">
      <c r="A3537" s="16" t="n">
        <v>45509</v>
      </c>
      <c r="B3537" s="17" t="n">
        <v>54025.9</v>
      </c>
    </row>
    <row r="3538" customFormat="false" ht="15" hidden="false" customHeight="false" outlineLevel="0" collapsed="false">
      <c r="A3538" s="16" t="n">
        <v>45510</v>
      </c>
      <c r="B3538" s="17" t="n">
        <v>56096.88</v>
      </c>
    </row>
    <row r="3539" customFormat="false" ht="15" hidden="false" customHeight="false" outlineLevel="0" collapsed="false">
      <c r="A3539" s="16" t="n">
        <v>45511</v>
      </c>
      <c r="B3539" s="17" t="n">
        <v>55100.98</v>
      </c>
    </row>
    <row r="3540" customFormat="false" ht="15" hidden="false" customHeight="false" outlineLevel="0" collapsed="false">
      <c r="A3540" s="16" t="n">
        <v>45512</v>
      </c>
      <c r="B3540" s="17" t="n">
        <v>61644.69</v>
      </c>
    </row>
    <row r="3541" customFormat="false" ht="15" hidden="false" customHeight="false" outlineLevel="0" collapsed="false">
      <c r="A3541" s="16" t="n">
        <v>45513</v>
      </c>
      <c r="B3541" s="17" t="n">
        <v>60818.65</v>
      </c>
    </row>
    <row r="3542" customFormat="false" ht="15" hidden="false" customHeight="false" outlineLevel="0" collapsed="false">
      <c r="A3542" s="16" t="n">
        <v>45514</v>
      </c>
      <c r="B3542" s="17" t="n">
        <v>60941.77</v>
      </c>
    </row>
    <row r="3543" customFormat="false" ht="15" hidden="false" customHeight="false" outlineLevel="0" collapsed="false">
      <c r="A3543" s="16" t="n">
        <v>45515</v>
      </c>
      <c r="B3543" s="17" t="n">
        <v>58732.95</v>
      </c>
    </row>
    <row r="3544" customFormat="false" ht="15" hidden="false" customHeight="false" outlineLevel="0" collapsed="false">
      <c r="A3544" s="16" t="n">
        <v>45516</v>
      </c>
      <c r="B3544" s="17" t="n">
        <v>59337.91</v>
      </c>
    </row>
    <row r="3545" customFormat="false" ht="15" hidden="false" customHeight="false" outlineLevel="0" collapsed="false">
      <c r="A3545" s="16" t="n">
        <v>45517</v>
      </c>
      <c r="B3545" s="17" t="n">
        <v>60596.01</v>
      </c>
    </row>
    <row r="3546" customFormat="false" ht="15" hidden="false" customHeight="false" outlineLevel="0" collapsed="false">
      <c r="A3546" s="16" t="n">
        <v>45518</v>
      </c>
      <c r="B3546" s="17" t="n">
        <v>58779.3</v>
      </c>
    </row>
    <row r="3547" customFormat="false" ht="15" hidden="false" customHeight="false" outlineLevel="0" collapsed="false">
      <c r="A3547" s="16" t="n">
        <v>45519</v>
      </c>
      <c r="B3547" s="17" t="n">
        <v>57502.3</v>
      </c>
    </row>
    <row r="3548" customFormat="false" ht="15" hidden="false" customHeight="false" outlineLevel="0" collapsed="false">
      <c r="A3548" s="16" t="n">
        <v>45520</v>
      </c>
      <c r="B3548" s="17" t="n">
        <v>58879.72</v>
      </c>
    </row>
    <row r="3549" customFormat="false" ht="15" hidden="false" customHeight="false" outlineLevel="0" collapsed="false">
      <c r="A3549" s="16" t="n">
        <v>45521</v>
      </c>
      <c r="B3549" s="17" t="n">
        <v>59477.15</v>
      </c>
    </row>
    <row r="3550" customFormat="false" ht="15" hidden="false" customHeight="false" outlineLevel="0" collapsed="false">
      <c r="A3550" s="16" t="n">
        <v>45522</v>
      </c>
      <c r="B3550" s="17" t="n">
        <v>58448.05</v>
      </c>
    </row>
    <row r="3551" customFormat="false" ht="15" hidden="false" customHeight="false" outlineLevel="0" collapsed="false">
      <c r="A3551" s="16" t="n">
        <v>45523</v>
      </c>
      <c r="B3551" s="17" t="n">
        <v>59469.51</v>
      </c>
    </row>
    <row r="3552" customFormat="false" ht="15" hidden="false" customHeight="false" outlineLevel="0" collapsed="false">
      <c r="A3552" s="16" t="n">
        <v>45524</v>
      </c>
      <c r="B3552" s="17" t="n">
        <v>59062.49</v>
      </c>
    </row>
    <row r="3553" customFormat="false" ht="15" hidden="false" customHeight="false" outlineLevel="0" collapsed="false">
      <c r="A3553" s="16" t="n">
        <v>45525</v>
      </c>
      <c r="B3553" s="17" t="n">
        <v>61193.87</v>
      </c>
    </row>
    <row r="3554" customFormat="false" ht="15" hidden="false" customHeight="false" outlineLevel="0" collapsed="false">
      <c r="A3554" s="16" t="n">
        <v>45526</v>
      </c>
      <c r="B3554" s="17" t="n">
        <v>60378.7</v>
      </c>
    </row>
    <row r="3555" customFormat="false" ht="15" hidden="false" customHeight="false" outlineLevel="0" collapsed="false">
      <c r="A3555" s="16" t="n">
        <v>45527</v>
      </c>
      <c r="B3555" s="17" t="n">
        <v>64130.87</v>
      </c>
    </row>
    <row r="3556" customFormat="false" ht="15" hidden="false" customHeight="false" outlineLevel="0" collapsed="false">
      <c r="A3556" s="16" t="n">
        <v>45528</v>
      </c>
      <c r="B3556" s="17" t="n">
        <v>64157.87</v>
      </c>
    </row>
    <row r="3557" customFormat="false" ht="15" hidden="false" customHeight="false" outlineLevel="0" collapsed="false">
      <c r="A3557" s="16" t="n">
        <v>45529</v>
      </c>
      <c r="B3557" s="17" t="n">
        <v>64286.9</v>
      </c>
    </row>
    <row r="3558" customFormat="false" ht="15" hidden="false" customHeight="false" outlineLevel="0" collapsed="false">
      <c r="A3558" s="16" t="n">
        <v>45530</v>
      </c>
      <c r="B3558" s="17" t="n">
        <v>62838.55</v>
      </c>
    </row>
    <row r="3559" customFormat="false" ht="15" hidden="false" customHeight="false" outlineLevel="0" collapsed="false">
      <c r="A3559" s="16" t="n">
        <v>45531</v>
      </c>
      <c r="B3559" s="17" t="n">
        <v>59398.77</v>
      </c>
    </row>
    <row r="3560" customFormat="false" ht="15" hidden="false" customHeight="false" outlineLevel="0" collapsed="false">
      <c r="A3560" s="16" t="n">
        <v>45532</v>
      </c>
      <c r="B3560" s="17" t="n">
        <v>59024</v>
      </c>
    </row>
    <row r="3561" customFormat="false" ht="15" hidden="false" customHeight="false" outlineLevel="0" collapsed="false">
      <c r="A3561" s="16" t="n">
        <v>45533</v>
      </c>
      <c r="B3561" s="17" t="n">
        <v>59371.27</v>
      </c>
    </row>
    <row r="3562" customFormat="false" ht="15" hidden="false" customHeight="false" outlineLevel="0" collapsed="false">
      <c r="A3562" s="16" t="n">
        <v>45534</v>
      </c>
      <c r="B3562" s="17" t="n">
        <v>59113.86</v>
      </c>
    </row>
    <row r="3563" customFormat="false" ht="15" hidden="false" customHeight="false" outlineLevel="0" collapsed="false">
      <c r="A3563" s="16" t="n">
        <v>45535</v>
      </c>
      <c r="B3563" s="17" t="n">
        <v>58956.52</v>
      </c>
    </row>
    <row r="3564" customFormat="false" ht="15" hidden="false" customHeight="false" outlineLevel="0" collapsed="false">
      <c r="A3564" s="16" t="n">
        <v>45536</v>
      </c>
      <c r="B3564" s="17" t="n">
        <v>57347.49</v>
      </c>
    </row>
    <row r="3565" customFormat="false" ht="15" hidden="false" customHeight="false" outlineLevel="0" collapsed="false">
      <c r="A3565" s="16" t="n">
        <v>45537</v>
      </c>
      <c r="B3565" s="17" t="n">
        <v>59140.6</v>
      </c>
    </row>
    <row r="3566" customFormat="false" ht="15" hidden="false" customHeight="false" outlineLevel="0" collapsed="false">
      <c r="A3566" s="16" t="n">
        <v>45538</v>
      </c>
      <c r="B3566" s="17" t="n">
        <v>57474.64</v>
      </c>
    </row>
    <row r="3567" customFormat="false" ht="15" hidden="false" customHeight="false" outlineLevel="0" collapsed="false">
      <c r="A3567" s="16" t="n">
        <v>45539</v>
      </c>
      <c r="B3567" s="17" t="n">
        <v>57994.01</v>
      </c>
    </row>
    <row r="3568" customFormat="false" ht="15" hidden="false" customHeight="false" outlineLevel="0" collapsed="false">
      <c r="A3568" s="16" t="n">
        <v>45540</v>
      </c>
      <c r="B3568" s="17" t="n">
        <v>56152.01</v>
      </c>
    </row>
    <row r="3569" customFormat="false" ht="15" hidden="false" customHeight="false" outlineLevel="0" collapsed="false">
      <c r="A3569" s="16" t="n">
        <v>45541</v>
      </c>
      <c r="B3569" s="17" t="n">
        <v>53930.39</v>
      </c>
    </row>
    <row r="3570" customFormat="false" ht="15" hidden="false" customHeight="false" outlineLevel="0" collapsed="false">
      <c r="A3570" s="16" t="n">
        <v>45542</v>
      </c>
      <c r="B3570" s="17" t="n">
        <v>54178.64</v>
      </c>
    </row>
    <row r="3571" customFormat="false" ht="15" hidden="false" customHeight="false" outlineLevel="0" collapsed="false">
      <c r="A3571" s="16" t="n">
        <v>45543</v>
      </c>
      <c r="B3571" s="17" t="n">
        <v>57053.9</v>
      </c>
    </row>
    <row r="3572" customFormat="false" ht="15" hidden="false" customHeight="false" outlineLevel="0" collapsed="false">
      <c r="A3572" s="16" t="n">
        <v>45544</v>
      </c>
      <c r="B3572" s="17" t="n">
        <v>57645.59</v>
      </c>
    </row>
    <row r="3573" customFormat="false" ht="15" hidden="false" customHeight="false" outlineLevel="0" collapsed="false">
      <c r="A3573" s="16" t="n">
        <v>45545</v>
      </c>
      <c r="B3573" s="17" t="n">
        <v>57352.79</v>
      </c>
    </row>
    <row r="3574" customFormat="false" ht="15" hidden="false" customHeight="false" outlineLevel="0" collapsed="false">
      <c r="A3574" s="16" t="n">
        <v>45546</v>
      </c>
      <c r="B3574" s="17" t="n">
        <v>58137.54</v>
      </c>
    </row>
    <row r="3575" customFormat="false" ht="15" hidden="false" customHeight="false" outlineLevel="0" collapsed="false">
      <c r="A3575" s="16" t="n">
        <v>45547</v>
      </c>
      <c r="B3575" s="17" t="n">
        <v>60543.35</v>
      </c>
    </row>
    <row r="3576" customFormat="false" ht="15" hidden="false" customHeight="false" outlineLevel="0" collapsed="false">
      <c r="A3576" s="16" t="n">
        <v>45548</v>
      </c>
      <c r="B3576" s="17" t="n">
        <v>60012.35</v>
      </c>
    </row>
    <row r="3577" customFormat="false" ht="15" hidden="false" customHeight="false" outlineLevel="0" collapsed="false">
      <c r="A3577" s="16" t="n">
        <v>45549</v>
      </c>
      <c r="B3577" s="17" t="n">
        <v>59122.33</v>
      </c>
    </row>
    <row r="3578" customFormat="false" ht="15" hidden="false" customHeight="false" outlineLevel="0" collapsed="false">
      <c r="A3578" s="16" t="n">
        <v>45550</v>
      </c>
      <c r="B3578" s="17" t="n">
        <v>58208.75</v>
      </c>
    </row>
    <row r="3579" customFormat="false" ht="15" hidden="false" customHeight="false" outlineLevel="0" collapsed="false">
      <c r="A3579" s="16" t="n">
        <v>45551</v>
      </c>
      <c r="B3579" s="17" t="n">
        <v>60312.6</v>
      </c>
    </row>
    <row r="3580" customFormat="false" ht="15" hidden="false" customHeight="false" outlineLevel="0" collapsed="false">
      <c r="A3580" s="16" t="n">
        <v>45552</v>
      </c>
      <c r="B3580" s="17" t="n">
        <v>61769.18</v>
      </c>
    </row>
    <row r="3581" customFormat="false" ht="15" hidden="false" customHeight="false" outlineLevel="0" collapsed="false">
      <c r="A3581" s="16" t="n">
        <v>45553</v>
      </c>
      <c r="B3581" s="17" t="n">
        <v>62960.14</v>
      </c>
    </row>
    <row r="3582" customFormat="false" ht="15" hidden="false" customHeight="false" outlineLevel="0" collapsed="false">
      <c r="A3582" s="16" t="n">
        <v>45554</v>
      </c>
      <c r="B3582" s="17" t="n">
        <v>63210.69</v>
      </c>
    </row>
    <row r="3583" customFormat="false" ht="15" hidden="false" customHeight="false" outlineLevel="0" collapsed="false">
      <c r="A3583" s="16" t="n">
        <v>45555</v>
      </c>
      <c r="B3583" s="17" t="n">
        <v>63362.74</v>
      </c>
    </row>
    <row r="3584" customFormat="false" ht="15" hidden="false" customHeight="false" outlineLevel="0" collapsed="false">
      <c r="A3584" s="16" t="n">
        <v>45556</v>
      </c>
      <c r="B3584" s="17" t="n">
        <v>63577.66</v>
      </c>
    </row>
    <row r="3585" customFormat="false" ht="15" hidden="false" customHeight="false" outlineLevel="0" collapsed="false">
      <c r="A3585" s="16" t="n">
        <v>45557</v>
      </c>
      <c r="B3585" s="17" t="n">
        <v>63338.87</v>
      </c>
    </row>
    <row r="3586" customFormat="false" ht="15" hidden="false" customHeight="false" outlineLevel="0" collapsed="false">
      <c r="A3586" s="16" t="n">
        <v>45558</v>
      </c>
      <c r="B3586" s="17" t="n">
        <v>64272.93</v>
      </c>
    </row>
    <row r="3587" customFormat="false" ht="15" hidden="false" customHeight="false" outlineLevel="0" collapsed="false">
      <c r="A3587" s="16" t="n">
        <v>45559</v>
      </c>
      <c r="B3587" s="17" t="n">
        <v>63130.89</v>
      </c>
    </row>
    <row r="3588" customFormat="false" ht="15" hidden="false" customHeight="false" outlineLevel="0" collapsed="false">
      <c r="A3588" s="16" t="n">
        <v>45560</v>
      </c>
      <c r="B3588" s="17" t="n">
        <v>65177.21</v>
      </c>
    </row>
    <row r="3589" customFormat="false" ht="15" hidden="false" customHeight="false" outlineLevel="0" collapsed="false">
      <c r="A3589" s="16" t="n">
        <v>45561</v>
      </c>
      <c r="B3589" s="17" t="n">
        <v>65789</v>
      </c>
    </row>
    <row r="3590" customFormat="false" ht="15" hidden="false" customHeight="false" outlineLevel="0" collapsed="false">
      <c r="A3590" s="16" t="n">
        <v>45562</v>
      </c>
      <c r="B3590" s="17" t="n">
        <v>65858.99</v>
      </c>
    </row>
    <row r="3591" customFormat="false" ht="15" hidden="false" customHeight="false" outlineLevel="0" collapsed="false">
      <c r="A3591" s="16" t="n">
        <v>45563</v>
      </c>
      <c r="B3591" s="17" t="n">
        <v>65600.01</v>
      </c>
    </row>
    <row r="3592" customFormat="false" ht="15" hidden="false" customHeight="false" outlineLevel="0" collapsed="false">
      <c r="A3592" s="16" t="n">
        <v>45564</v>
      </c>
      <c r="B3592" s="17" t="n">
        <v>63301.25</v>
      </c>
    </row>
    <row r="3593" customFormat="false" ht="15" hidden="false" customHeight="false" outlineLevel="0" collapsed="false">
      <c r="A3593" s="16" t="n">
        <v>45565</v>
      </c>
      <c r="B3593" s="17" t="n">
        <v>60790</v>
      </c>
    </row>
    <row r="3594" customFormat="false" ht="15" hidden="false" customHeight="false" outlineLevel="0" collapsed="false">
      <c r="A3594" s="16" t="n">
        <v>45566</v>
      </c>
      <c r="B3594" s="17" t="n">
        <v>60631.37</v>
      </c>
    </row>
    <row r="3595" customFormat="false" ht="15" hidden="false" customHeight="false" outlineLevel="0" collapsed="false">
      <c r="A3595" s="16" t="n">
        <v>45567</v>
      </c>
      <c r="B3595" s="17" t="n">
        <v>60744.99</v>
      </c>
    </row>
    <row r="3596" customFormat="false" ht="15" hidden="false" customHeight="false" outlineLevel="0" collapsed="false">
      <c r="A3596" s="16" t="n">
        <v>45568</v>
      </c>
      <c r="B3596" s="17" t="n">
        <v>62090.71</v>
      </c>
    </row>
    <row r="3597" customFormat="false" ht="15" hidden="false" customHeight="false" outlineLevel="0" collapsed="false">
      <c r="A3597" s="16" t="n">
        <v>45569</v>
      </c>
      <c r="B3597" s="17" t="n">
        <v>62051.29</v>
      </c>
    </row>
    <row r="3598" customFormat="false" ht="15" hidden="false" customHeight="false" outlineLevel="0" collapsed="false">
      <c r="A3598" s="16" t="n">
        <v>45570</v>
      </c>
      <c r="B3598" s="17" t="n">
        <v>62810.86</v>
      </c>
    </row>
    <row r="3599" customFormat="false" ht="15" hidden="false" customHeight="false" outlineLevel="0" collapsed="false">
      <c r="A3599" s="16" t="n">
        <v>45571</v>
      </c>
      <c r="B3599" s="17" t="n">
        <v>62200.28</v>
      </c>
    </row>
    <row r="3600" customFormat="false" ht="15" hidden="false" customHeight="false" outlineLevel="0" collapsed="false">
      <c r="A3600" s="16" t="n">
        <v>45572</v>
      </c>
      <c r="B3600" s="17" t="n">
        <v>62122.02</v>
      </c>
    </row>
    <row r="3601" customFormat="false" ht="15" hidden="false" customHeight="false" outlineLevel="0" collapsed="false">
      <c r="A3601" s="16" t="n">
        <v>45573</v>
      </c>
      <c r="B3601" s="17" t="n">
        <v>60578.28</v>
      </c>
    </row>
    <row r="3602" customFormat="false" ht="15" hidden="false" customHeight="false" outlineLevel="0" collapsed="false">
      <c r="A3602" s="16" t="n">
        <v>45574</v>
      </c>
      <c r="B3602" s="17" t="n">
        <v>60279.53</v>
      </c>
    </row>
    <row r="3603" customFormat="false" ht="15" hidden="false" customHeight="false" outlineLevel="0" collapsed="false">
      <c r="A3603" s="16" t="n">
        <v>45575</v>
      </c>
      <c r="B3603" s="17" t="n">
        <v>62518.75</v>
      </c>
    </row>
    <row r="3604" customFormat="false" ht="15" hidden="false" customHeight="false" outlineLevel="0" collapsed="false">
      <c r="A3604" s="16" t="n">
        <v>45576</v>
      </c>
      <c r="B3604" s="17" t="n">
        <v>63187.47</v>
      </c>
    </row>
    <row r="3605" customFormat="false" ht="15" hidden="false" customHeight="false" outlineLevel="0" collapsed="false">
      <c r="A3605" s="16" t="n">
        <v>45577</v>
      </c>
      <c r="B3605" s="17" t="n">
        <v>62845.3</v>
      </c>
    </row>
    <row r="3606" customFormat="false" ht="15" hidden="false" customHeight="false" outlineLevel="0" collapsed="false">
      <c r="A3606" s="16" t="n">
        <v>45578</v>
      </c>
      <c r="B3606" s="17" t="n">
        <v>66065.65</v>
      </c>
    </row>
    <row r="3607" customFormat="false" ht="15" hidden="false" customHeight="false" outlineLevel="0" collapsed="false">
      <c r="A3607" s="16" t="n">
        <v>45579</v>
      </c>
      <c r="B3607" s="17" t="n">
        <v>67056.6</v>
      </c>
    </row>
    <row r="3608" customFormat="false" ht="15" hidden="false" customHeight="false" outlineLevel="0" collapsed="false">
      <c r="A3608" s="16" t="n">
        <v>45580</v>
      </c>
      <c r="B3608" s="17" t="n">
        <v>67608.44</v>
      </c>
    </row>
    <row r="3609" customFormat="false" ht="15" hidden="false" customHeight="false" outlineLevel="0" collapsed="false">
      <c r="A3609" s="16" t="n">
        <v>45581</v>
      </c>
      <c r="B3609" s="17" t="n">
        <v>67402.33</v>
      </c>
    </row>
    <row r="3610" customFormat="false" ht="15" hidden="false" customHeight="false" outlineLevel="0" collapsed="false">
      <c r="A3610" s="16" t="n">
        <v>45582</v>
      </c>
      <c r="B3610" s="17" t="n">
        <v>68426.11</v>
      </c>
    </row>
    <row r="3611" customFormat="false" ht="15" hidden="false" customHeight="false" outlineLevel="0" collapsed="false">
      <c r="A3611" s="16" t="n">
        <v>45583</v>
      </c>
      <c r="B3611" s="17" t="n">
        <v>68363.73</v>
      </c>
    </row>
    <row r="3612" customFormat="false" ht="15" hidden="false" customHeight="false" outlineLevel="0" collapsed="false">
      <c r="A3612" s="16" t="n">
        <v>45584</v>
      </c>
      <c r="B3612" s="17" t="n">
        <v>69014.86</v>
      </c>
    </row>
    <row r="3613" customFormat="false" ht="15" hidden="false" customHeight="false" outlineLevel="0" collapsed="false">
      <c r="A3613" s="16" t="n">
        <v>45585</v>
      </c>
      <c r="B3613" s="17" t="n">
        <v>67346.15</v>
      </c>
    </row>
    <row r="3614" customFormat="false" ht="15" hidden="false" customHeight="false" outlineLevel="0" collapsed="false">
      <c r="A3614" s="16" t="n">
        <v>45586</v>
      </c>
      <c r="B3614" s="17" t="n">
        <v>67380.08</v>
      </c>
    </row>
    <row r="3615" customFormat="false" ht="15" hidden="false" customHeight="false" outlineLevel="0" collapsed="false">
      <c r="A3615" s="16" t="n">
        <v>45587</v>
      </c>
      <c r="B3615" s="17" t="n">
        <v>66601.11</v>
      </c>
    </row>
    <row r="3616" customFormat="false" ht="15" hidden="false" customHeight="false" outlineLevel="0" collapsed="false">
      <c r="A3616" s="16" t="n">
        <v>45588</v>
      </c>
      <c r="B3616" s="17" t="n">
        <v>68156.84</v>
      </c>
    </row>
    <row r="3617" customFormat="false" ht="15" hidden="false" customHeight="false" outlineLevel="0" collapsed="false">
      <c r="A3617" s="16" t="n">
        <v>45589</v>
      </c>
      <c r="B3617" s="17" t="n">
        <v>66564.51</v>
      </c>
    </row>
    <row r="3618" customFormat="false" ht="15" hidden="false" customHeight="false" outlineLevel="0" collapsed="false">
      <c r="A3618" s="16" t="n">
        <v>45590</v>
      </c>
      <c r="B3618" s="17" t="n">
        <v>67012.56</v>
      </c>
    </row>
    <row r="3619" customFormat="false" ht="15" hidden="false" customHeight="false" outlineLevel="0" collapsed="false">
      <c r="A3619" s="16" t="n">
        <v>45591</v>
      </c>
      <c r="B3619" s="17" t="n">
        <v>67943.19</v>
      </c>
    </row>
    <row r="3620" customFormat="false" ht="15" hidden="false" customHeight="false" outlineLevel="0" collapsed="false">
      <c r="A3620" s="16" t="n">
        <v>45592</v>
      </c>
      <c r="B3620" s="17" t="n">
        <v>69924.5</v>
      </c>
    </row>
    <row r="3621" customFormat="false" ht="15" hidden="false" customHeight="false" outlineLevel="0" collapsed="false">
      <c r="A3621" s="16" t="n">
        <v>45593</v>
      </c>
      <c r="B3621" s="17" t="n">
        <v>72724.35</v>
      </c>
    </row>
    <row r="3622" customFormat="false" ht="15" hidden="false" customHeight="false" outlineLevel="0" collapsed="false">
      <c r="A3622" s="16" t="n">
        <v>45594</v>
      </c>
      <c r="B3622" s="17" t="n">
        <v>72322.91</v>
      </c>
    </row>
    <row r="3623" customFormat="false" ht="15" hidden="false" customHeight="false" outlineLevel="0" collapsed="false">
      <c r="A3623" s="16" t="n">
        <v>45595</v>
      </c>
      <c r="B3623" s="17" t="n">
        <v>70197.83</v>
      </c>
    </row>
    <row r="3624" customFormat="false" ht="15" hidden="false" customHeight="false" outlineLevel="0" collapsed="false">
      <c r="A3624" s="16" t="n">
        <v>45596</v>
      </c>
      <c r="B3624" s="17" t="n">
        <v>69467.29</v>
      </c>
    </row>
    <row r="3625" customFormat="false" ht="15" hidden="false" customHeight="false" outlineLevel="0" collapsed="false">
      <c r="A3625" s="16" t="n">
        <v>45597</v>
      </c>
      <c r="B3625" s="17" t="n">
        <v>69358.94</v>
      </c>
    </row>
    <row r="3626" customFormat="false" ht="15" hidden="false" customHeight="false" outlineLevel="0" collapsed="false">
      <c r="A3626" s="16" t="n">
        <v>45598</v>
      </c>
      <c r="B3626" s="17" t="n">
        <v>68738.18</v>
      </c>
    </row>
    <row r="3627" customFormat="false" ht="15" hidden="false" customHeight="false" outlineLevel="0" collapsed="false">
      <c r="A3627" s="16" t="n">
        <v>45599</v>
      </c>
      <c r="B3627" s="17" t="n">
        <v>67807.48</v>
      </c>
    </row>
    <row r="3628" customFormat="false" ht="15" hidden="false" customHeight="false" outlineLevel="0" collapsed="false">
      <c r="A3628" s="16" t="n">
        <v>45600</v>
      </c>
      <c r="B3628" s="17" t="n">
        <v>69380.73</v>
      </c>
    </row>
    <row r="3629" customFormat="false" ht="15" hidden="false" customHeight="false" outlineLevel="0" collapsed="false">
      <c r="A3629" s="16" t="n">
        <v>45601</v>
      </c>
      <c r="B3629" s="17" t="n">
        <v>75646.55</v>
      </c>
    </row>
    <row r="3630" customFormat="false" ht="15" hidden="false" customHeight="false" outlineLevel="0" collapsed="false">
      <c r="A3630" s="16" t="n">
        <v>45602</v>
      </c>
      <c r="B3630" s="17" t="n">
        <v>75920</v>
      </c>
    </row>
    <row r="3631" customFormat="false" ht="15" hidden="false" customHeight="false" outlineLevel="0" collapsed="false">
      <c r="A3631" s="16" t="n">
        <v>45603</v>
      </c>
      <c r="B3631" s="17" t="n">
        <v>76566.73</v>
      </c>
    </row>
    <row r="3632" customFormat="false" ht="15" hidden="false" customHeight="false" outlineLevel="0" collapsed="false">
      <c r="A3632" s="16" t="n">
        <v>45604</v>
      </c>
      <c r="B3632" s="17" t="n">
        <v>76716.06</v>
      </c>
    </row>
    <row r="3633" customFormat="false" ht="15" hidden="false" customHeight="false" outlineLevel="0" collapsed="false">
      <c r="A3633" s="16" t="n">
        <v>45605</v>
      </c>
      <c r="B3633" s="17" t="n">
        <v>80428.92</v>
      </c>
    </row>
    <row r="3634" customFormat="false" ht="15" hidden="false" customHeight="false" outlineLevel="0" collapsed="false">
      <c r="A3634" s="16" t="n">
        <v>45606</v>
      </c>
      <c r="B3634" s="17" t="n">
        <v>88770.73</v>
      </c>
    </row>
    <row r="3635" customFormat="false" ht="15" hidden="false" customHeight="false" outlineLevel="0" collapsed="false">
      <c r="A3635" s="16" t="n">
        <v>45607</v>
      </c>
      <c r="B3635" s="17" t="n">
        <v>88035.43</v>
      </c>
    </row>
    <row r="3636" customFormat="false" ht="15" hidden="false" customHeight="false" outlineLevel="0" collapsed="false">
      <c r="A3636" s="16" t="n">
        <v>45608</v>
      </c>
      <c r="B3636" s="17" t="n">
        <v>90493.82</v>
      </c>
    </row>
    <row r="3637" customFormat="false" ht="15" hidden="false" customHeight="false" outlineLevel="0" collapsed="false">
      <c r="A3637" s="16" t="n">
        <v>45609</v>
      </c>
      <c r="B3637" s="17" t="n">
        <v>87340.4</v>
      </c>
    </row>
    <row r="3638" customFormat="false" ht="15" hidden="false" customHeight="false" outlineLevel="0" collapsed="false">
      <c r="A3638" s="16" t="n">
        <v>45610</v>
      </c>
      <c r="B3638" s="17" t="n">
        <v>91058.36</v>
      </c>
    </row>
    <row r="3639" customFormat="false" ht="15" hidden="false" customHeight="false" outlineLevel="0" collapsed="false">
      <c r="A3639" s="16" t="n">
        <v>45611</v>
      </c>
      <c r="B3639" s="17" t="n">
        <v>90636.24</v>
      </c>
    </row>
    <row r="3640" customFormat="false" ht="15" hidden="false" customHeight="false" outlineLevel="0" collapsed="false">
      <c r="A3640" s="16" t="n">
        <v>45612</v>
      </c>
      <c r="B3640" s="17" t="n">
        <v>89886.69</v>
      </c>
    </row>
    <row r="3641" customFormat="false" ht="15" hidden="false" customHeight="false" outlineLevel="0" collapsed="false">
      <c r="A3641" s="16" t="n">
        <v>45613</v>
      </c>
      <c r="B3641" s="17" t="n">
        <v>90520.3</v>
      </c>
    </row>
    <row r="3642" customFormat="false" ht="15" hidden="false" customHeight="false" outlineLevel="0" collapsed="false">
      <c r="A3642" s="16" t="n">
        <v>45614</v>
      </c>
      <c r="B3642" s="17" t="n">
        <v>92435.89</v>
      </c>
    </row>
    <row r="3643" customFormat="false" ht="15" hidden="false" customHeight="false" outlineLevel="0" collapsed="false">
      <c r="A3643" s="16" t="n">
        <v>45615</v>
      </c>
      <c r="B3643" s="17" t="n">
        <v>94393.15</v>
      </c>
    </row>
    <row r="3644" customFormat="false" ht="15" hidden="false" customHeight="false" outlineLevel="0" collapsed="false">
      <c r="A3644" s="16" t="n">
        <v>45616</v>
      </c>
      <c r="B3644" s="17" t="n">
        <v>98439.09</v>
      </c>
    </row>
    <row r="3645" customFormat="false" ht="15" hidden="false" customHeight="false" outlineLevel="0" collapsed="false">
      <c r="A3645" s="16" t="n">
        <v>45617</v>
      </c>
      <c r="B3645" s="17" t="n">
        <v>99024.03</v>
      </c>
    </row>
    <row r="3646" customFormat="false" ht="15" hidden="false" customHeight="false" outlineLevel="0" collapsed="false">
      <c r="A3646" s="16" t="n">
        <v>45618</v>
      </c>
      <c r="B3646" s="17" t="n">
        <v>97778.77</v>
      </c>
    </row>
    <row r="3647" customFormat="false" ht="15" hidden="false" customHeight="false" outlineLevel="0" collapsed="false">
      <c r="A3647" s="16" t="n">
        <v>45619</v>
      </c>
      <c r="B3647" s="17" t="n">
        <v>98028.18</v>
      </c>
    </row>
    <row r="3648" customFormat="false" ht="15" hidden="false" customHeight="false" outlineLevel="0" collapsed="false">
      <c r="A3648" s="16" t="n">
        <v>45620</v>
      </c>
      <c r="B3648" s="17" t="n">
        <v>93000.01</v>
      </c>
    </row>
    <row r="3649" customFormat="false" ht="15" hidden="false" customHeight="false" outlineLevel="0" collapsed="false">
      <c r="A3649" s="16" t="n">
        <v>45621</v>
      </c>
      <c r="B3649" s="17" t="n">
        <v>91929.54</v>
      </c>
    </row>
    <row r="3650" customFormat="false" ht="15" hidden="false" customHeight="false" outlineLevel="0" collapsed="false">
      <c r="A3650" s="16" t="n">
        <v>45622</v>
      </c>
      <c r="B3650" s="17" t="n">
        <v>95951.19</v>
      </c>
    </row>
    <row r="3651" customFormat="false" ht="15" hidden="false" customHeight="false" outlineLevel="0" collapsed="false">
      <c r="A3651" s="16" t="n">
        <v>45623</v>
      </c>
      <c r="B3651" s="17" t="n">
        <v>95665.53</v>
      </c>
    </row>
    <row r="3652" customFormat="false" ht="15" hidden="false" customHeight="false" outlineLevel="0" collapsed="false">
      <c r="A3652" s="16" t="n">
        <v>45624</v>
      </c>
      <c r="B3652" s="17" t="n">
        <v>97490.56</v>
      </c>
    </row>
    <row r="3653" customFormat="false" ht="15" hidden="false" customHeight="false" outlineLevel="0" collapsed="false">
      <c r="A3653" s="16" t="n">
        <v>45625</v>
      </c>
      <c r="B3653" s="17" t="n">
        <v>96465.42</v>
      </c>
    </row>
    <row r="3654" customFormat="false" ht="15" hidden="false" customHeight="false" outlineLevel="0" collapsed="false">
      <c r="A3654" s="16" t="n">
        <v>45626</v>
      </c>
      <c r="B3654" s="17" t="n">
        <v>97263.18</v>
      </c>
    </row>
    <row r="3655" customFormat="false" ht="15" hidden="false" customHeight="false" outlineLevel="0" collapsed="false">
      <c r="A3655" s="16" t="n">
        <v>45627</v>
      </c>
      <c r="B3655" s="17" t="n">
        <v>95862.89</v>
      </c>
    </row>
    <row r="3656" customFormat="false" ht="15" hidden="false" customHeight="false" outlineLevel="0" collapsed="false">
      <c r="A3656" s="16" t="n">
        <v>45628</v>
      </c>
      <c r="B3656" s="17" t="n">
        <v>95924.52</v>
      </c>
    </row>
    <row r="3657" customFormat="false" ht="15" hidden="false" customHeight="false" outlineLevel="0" collapsed="false">
      <c r="A3657" s="16" t="n">
        <v>45629</v>
      </c>
      <c r="B3657" s="17" t="n">
        <v>98746.24</v>
      </c>
    </row>
    <row r="3658" customFormat="false" ht="15" hidden="false" customHeight="false" outlineLevel="0" collapsed="false">
      <c r="A3658" s="16" t="n">
        <v>45630</v>
      </c>
      <c r="B3658" s="17" t="n">
        <v>97044.23</v>
      </c>
    </row>
    <row r="3659" customFormat="false" ht="15" hidden="false" customHeight="false" outlineLevel="0" collapsed="false">
      <c r="A3659" s="16" t="n">
        <v>45631</v>
      </c>
      <c r="B3659" s="17" t="n">
        <v>99891.35</v>
      </c>
    </row>
    <row r="3660" customFormat="false" ht="15" hidden="false" customHeight="false" outlineLevel="0" collapsed="false">
      <c r="A3660" s="16" t="n">
        <v>45632</v>
      </c>
      <c r="B3660" s="17" t="n">
        <v>99929.32</v>
      </c>
    </row>
    <row r="3661" customFormat="false" ht="15" hidden="false" customHeight="false" outlineLevel="0" collapsed="false">
      <c r="A3661" s="16" t="n">
        <v>45633</v>
      </c>
      <c r="B3661" s="17" t="n">
        <v>101174.99</v>
      </c>
    </row>
    <row r="3662" customFormat="false" ht="15" hidden="false" customHeight="false" outlineLevel="0" collapsed="false">
      <c r="A3662" s="16" t="n">
        <v>45634</v>
      </c>
      <c r="B3662" s="17" t="n">
        <v>97324.81</v>
      </c>
    </row>
    <row r="3663" customFormat="false" ht="15" hidden="false" customHeight="false" outlineLevel="0" collapsed="false">
      <c r="A3663" s="16" t="n">
        <v>45635</v>
      </c>
      <c r="B3663" s="17" t="n">
        <v>96660.76</v>
      </c>
    </row>
    <row r="3664" customFormat="false" ht="15" hidden="false" customHeight="false" outlineLevel="0" collapsed="false">
      <c r="A3664" s="16" t="n">
        <v>45636</v>
      </c>
      <c r="B3664" s="17" t="n">
        <v>101202.11</v>
      </c>
    </row>
    <row r="3665" customFormat="false" ht="15" hidden="false" customHeight="false" outlineLevel="0" collapsed="false">
      <c r="A3665" s="16" t="n">
        <v>45637</v>
      </c>
      <c r="B3665" s="17" t="n">
        <v>100030.47</v>
      </c>
    </row>
    <row r="3666" customFormat="false" ht="15" hidden="false" customHeight="false" outlineLevel="0" collapsed="false">
      <c r="A3666" s="16" t="n">
        <v>45638</v>
      </c>
      <c r="B3666" s="17" t="n">
        <v>101428.75</v>
      </c>
    </row>
    <row r="3667" customFormat="false" ht="15" hidden="false" customHeight="false" outlineLevel="0" collapsed="false">
      <c r="A3667" s="16" t="n">
        <v>45639</v>
      </c>
      <c r="B3667" s="17" t="n">
        <v>101399.99</v>
      </c>
    </row>
    <row r="3668" customFormat="false" ht="15" hidden="false" customHeight="false" outlineLevel="0" collapsed="false">
      <c r="A3668" s="16" t="n">
        <v>45640</v>
      </c>
      <c r="B3668" s="17" t="n">
        <v>104447.76</v>
      </c>
    </row>
    <row r="3669" customFormat="false" ht="15" hidden="false" customHeight="false" outlineLevel="0" collapsed="false">
      <c r="A3669" s="16" t="n">
        <v>45641</v>
      </c>
      <c r="B3669" s="17" t="n">
        <v>106099.81</v>
      </c>
    </row>
    <row r="3670" customFormat="false" ht="15" hidden="false" customHeight="false" outlineLevel="0" collapsed="false">
      <c r="A3670" s="16" t="n">
        <v>45642</v>
      </c>
      <c r="B3670" s="17" t="n">
        <v>106136.99</v>
      </c>
    </row>
    <row r="3671" customFormat="false" ht="15" hidden="false" customHeight="false" outlineLevel="0" collapsed="false">
      <c r="A3671" s="16" t="n">
        <v>45643</v>
      </c>
      <c r="B3671" s="17" t="n">
        <v>100150.73</v>
      </c>
    </row>
    <row r="3672" customFormat="false" ht="15" hidden="false" customHeight="false" outlineLevel="0" collapsed="false">
      <c r="A3672" s="16" t="n">
        <v>45644</v>
      </c>
      <c r="B3672" s="17" t="n">
        <v>97372.21</v>
      </c>
    </row>
    <row r="3673" customFormat="false" ht="15" hidden="false" customHeight="false" outlineLevel="0" collapsed="false">
      <c r="A3673" s="16" t="n">
        <v>45645</v>
      </c>
      <c r="B3673" s="17" t="n">
        <v>97765</v>
      </c>
    </row>
    <row r="3674" customFormat="false" ht="15" hidden="false" customHeight="false" outlineLevel="0" collapsed="false">
      <c r="A3674" s="16" t="n">
        <v>45646</v>
      </c>
      <c r="B3674" s="17" t="n">
        <v>97230.08</v>
      </c>
    </row>
    <row r="3675" customFormat="false" ht="15" hidden="false" customHeight="false" outlineLevel="0" collapsed="false">
      <c r="A3675" s="16" t="n">
        <v>45647</v>
      </c>
      <c r="B3675" s="17" t="n">
        <v>95087.75</v>
      </c>
    </row>
    <row r="3676" customFormat="false" ht="15" hidden="false" customHeight="false" outlineLevel="0" collapsed="false">
      <c r="A3676" s="16" t="n">
        <v>45648</v>
      </c>
      <c r="B3676" s="17" t="n">
        <v>94764.56</v>
      </c>
    </row>
    <row r="3677" customFormat="false" ht="15" hidden="false" customHeight="false" outlineLevel="0" collapsed="false">
      <c r="A3677" s="16" t="n">
        <v>45649</v>
      </c>
      <c r="B3677" s="17" t="n">
        <v>98594.47</v>
      </c>
    </row>
    <row r="3678" customFormat="false" ht="15" hidden="false" customHeight="false" outlineLevel="0" collapsed="false">
      <c r="A3678" s="16" t="n">
        <v>45650</v>
      </c>
      <c r="B3678" s="17" t="n">
        <v>99346.28</v>
      </c>
    </row>
    <row r="3679" customFormat="false" ht="15" hidden="false" customHeight="false" outlineLevel="0" collapsed="false">
      <c r="A3679" s="16" t="n">
        <v>45651</v>
      </c>
      <c r="B3679" s="17" t="n">
        <v>95669.49</v>
      </c>
    </row>
    <row r="3680" customFormat="false" ht="15" hidden="false" customHeight="false" outlineLevel="0" collapsed="false">
      <c r="A3680" s="16" t="n">
        <v>45652</v>
      </c>
      <c r="B3680" s="17" t="n">
        <v>94171.89</v>
      </c>
    </row>
    <row r="3681" customFormat="false" ht="15" hidden="false" customHeight="false" outlineLevel="0" collapsed="false">
      <c r="A3681" s="16" t="n">
        <v>45653</v>
      </c>
      <c r="B3681" s="17" t="n">
        <v>95130.82</v>
      </c>
    </row>
    <row r="3682" customFormat="false" ht="15" hidden="false" customHeight="false" outlineLevel="0" collapsed="false">
      <c r="A3682" s="16" t="n">
        <v>45654</v>
      </c>
      <c r="B3682" s="17" t="n">
        <v>93563.35</v>
      </c>
    </row>
    <row r="3683" customFormat="false" ht="15" hidden="false" customHeight="false" outlineLevel="0" collapsed="false">
      <c r="A3683" s="16" t="n">
        <v>45655</v>
      </c>
      <c r="B3683" s="17" t="n">
        <v>92620.71</v>
      </c>
    </row>
    <row r="3684" customFormat="false" ht="15" hidden="false" customHeight="false" outlineLevel="0" collapsed="false">
      <c r="A3684" s="16" t="n">
        <v>45656</v>
      </c>
      <c r="B3684" s="17" t="n">
        <v>93354.22</v>
      </c>
    </row>
    <row r="3685" customFormat="false" ht="15" hidden="false" customHeight="false" outlineLevel="0" collapsed="false">
      <c r="A3685" s="16" t="n">
        <v>45657</v>
      </c>
      <c r="B3685" s="17" t="n">
        <v>94383.59</v>
      </c>
    </row>
    <row r="3686" customFormat="false" ht="15" hidden="false" customHeight="false" outlineLevel="0" collapsed="false">
      <c r="A3686" s="16" t="n">
        <v>45658</v>
      </c>
      <c r="B3686" s="17" t="n">
        <v>96903.19</v>
      </c>
    </row>
    <row r="3687" customFormat="false" ht="15" hidden="false" customHeight="false" outlineLevel="0" collapsed="false">
      <c r="A3687" s="16" t="n">
        <v>45659</v>
      </c>
      <c r="B3687" s="17" t="n">
        <v>98136.51</v>
      </c>
    </row>
    <row r="3688" customFormat="false" ht="15" hidden="false" customHeight="false" outlineLevel="0" collapsed="false">
      <c r="A3688" s="16" t="n">
        <v>45660</v>
      </c>
      <c r="B3688" s="17" t="n">
        <v>98209.85</v>
      </c>
    </row>
    <row r="3689" customFormat="false" ht="15" hidden="false" customHeight="false" outlineLevel="0" collapsed="false">
      <c r="A3689" s="16" t="n">
        <v>45661</v>
      </c>
      <c r="B3689" s="17" t="n">
        <v>98345.33</v>
      </c>
    </row>
    <row r="3690" customFormat="false" ht="15" hidden="false" customHeight="false" outlineLevel="0" collapsed="false">
      <c r="A3690" s="16" t="n">
        <v>45662</v>
      </c>
      <c r="B3690" s="17" t="n">
        <v>102279.41</v>
      </c>
    </row>
    <row r="3691" customFormat="false" ht="15" hidden="false" customHeight="false" outlineLevel="0" collapsed="false">
      <c r="A3691" s="16" t="n">
        <v>45663</v>
      </c>
      <c r="B3691" s="17" t="n">
        <v>96941.98</v>
      </c>
    </row>
    <row r="3692" customFormat="false" ht="15" hidden="false" customHeight="false" outlineLevel="0" collapsed="false">
      <c r="A3692" s="16" t="n">
        <v>45664</v>
      </c>
      <c r="B3692" s="17" t="n">
        <v>95036.63</v>
      </c>
    </row>
    <row r="3693" customFormat="false" ht="15" hidden="false" customHeight="false" outlineLevel="0" collapsed="false">
      <c r="A3693" s="16" t="n">
        <v>45665</v>
      </c>
      <c r="B3693" s="17" t="n">
        <v>92547.44</v>
      </c>
    </row>
    <row r="3694" customFormat="false" ht="15" hidden="false" customHeight="false" outlineLevel="0" collapsed="false">
      <c r="A3694" s="16" t="n">
        <v>45666</v>
      </c>
      <c r="B3694" s="17" t="n">
        <v>94701.18</v>
      </c>
    </row>
    <row r="3695" customFormat="false" ht="15" hidden="false" customHeight="false" outlineLevel="0" collapsed="false">
      <c r="A3695" s="16" t="n">
        <v>45667</v>
      </c>
      <c r="B3695" s="17" t="n">
        <v>94565.02</v>
      </c>
    </row>
    <row r="3696" customFormat="false" ht="15" hidden="false" customHeight="false" outlineLevel="0" collapsed="false">
      <c r="A3696" s="16" t="n">
        <v>45668</v>
      </c>
      <c r="B3696" s="17" t="n">
        <v>94509.62</v>
      </c>
    </row>
    <row r="3697" customFormat="false" ht="15" hidden="false" customHeight="false" outlineLevel="0" collapsed="false">
      <c r="A3697" s="16" t="n">
        <v>45669</v>
      </c>
      <c r="B3697" s="17" t="n">
        <v>94506.45</v>
      </c>
    </row>
    <row r="3698" customFormat="false" ht="15" hidden="false" customHeight="false" outlineLevel="0" collapsed="false">
      <c r="A3698" s="16" t="n">
        <v>45670</v>
      </c>
      <c r="B3698" s="17" t="n">
        <v>96534.96</v>
      </c>
    </row>
    <row r="3699" customFormat="false" ht="15" hidden="false" customHeight="false" outlineLevel="0" collapsed="false">
      <c r="A3699" s="16" t="n">
        <v>45671</v>
      </c>
      <c r="B3699" s="17" t="n">
        <v>100510.23</v>
      </c>
    </row>
    <row r="3700" customFormat="false" ht="15" hidden="false" customHeight="false" outlineLevel="0" collapsed="false">
      <c r="A3700" s="16" t="n">
        <v>45672</v>
      </c>
      <c r="B3700" s="17" t="n">
        <v>99981.78</v>
      </c>
    </row>
    <row r="3701" customFormat="false" ht="15" hidden="false" customHeight="false" outlineLevel="0" collapsed="false">
      <c r="A3701" s="16" t="n">
        <v>45673</v>
      </c>
      <c r="B3701" s="17" t="n">
        <v>104107</v>
      </c>
    </row>
    <row r="3702" customFormat="false" ht="15" hidden="false" customHeight="false" outlineLevel="0" collapsed="false">
      <c r="A3702" s="16" t="n">
        <v>45674</v>
      </c>
      <c r="B3702" s="17" t="n">
        <v>104435</v>
      </c>
    </row>
    <row r="3703" customFormat="false" ht="15" hidden="false" customHeight="false" outlineLevel="0" collapsed="false">
      <c r="A3703" s="16" t="n">
        <v>45675</v>
      </c>
      <c r="B3703" s="17" t="n">
        <v>101211.13</v>
      </c>
    </row>
    <row r="3704" customFormat="false" ht="15" hidden="false" customHeight="false" outlineLevel="0" collapsed="false">
      <c r="A3704" s="16" t="n">
        <v>45676</v>
      </c>
      <c r="B3704" s="17" t="n">
        <v>102145.43</v>
      </c>
    </row>
    <row r="3705" customFormat="false" ht="15" hidden="false" customHeight="false" outlineLevel="0" collapsed="false">
      <c r="A3705" s="16" t="n">
        <v>45677</v>
      </c>
      <c r="B3705" s="17" t="n">
        <v>106159.26</v>
      </c>
    </row>
    <row r="3706" customFormat="false" ht="15" hidden="false" customHeight="false" outlineLevel="0" collapsed="false">
      <c r="A3706" s="16" t="n">
        <v>45678</v>
      </c>
      <c r="B3706" s="17" t="n">
        <v>103667.11</v>
      </c>
    </row>
    <row r="3707" customFormat="false" ht="15" hidden="false" customHeight="false" outlineLevel="0" collapsed="false">
      <c r="A3707" s="16" t="n">
        <v>45679</v>
      </c>
      <c r="B3707" s="17" t="n">
        <v>103926.36</v>
      </c>
    </row>
    <row r="3708" customFormat="false" ht="15" hidden="false" customHeight="false" outlineLevel="0" collapsed="false">
      <c r="A3708" s="16" t="n">
        <v>45680</v>
      </c>
      <c r="B3708" s="17" t="n">
        <v>104850.27</v>
      </c>
    </row>
    <row r="3709" customFormat="false" ht="15" hidden="false" customHeight="false" outlineLevel="0" collapsed="false">
      <c r="A3709" s="16" t="n">
        <v>45681</v>
      </c>
      <c r="B3709" s="17" t="n">
        <v>104733.56</v>
      </c>
    </row>
    <row r="3710" customFormat="false" ht="15" hidden="false" customHeight="false" outlineLevel="0" collapsed="false">
      <c r="A3710" s="16" t="n">
        <v>45682</v>
      </c>
      <c r="B3710" s="17" t="n">
        <v>102563</v>
      </c>
    </row>
    <row r="3711" customFormat="false" ht="15" hidden="false" customHeight="false" outlineLevel="0" collapsed="false">
      <c r="A3711" s="16" t="n">
        <v>45683</v>
      </c>
      <c r="B3711" s="17" t="n">
        <v>102062.42</v>
      </c>
    </row>
    <row r="3712" customFormat="false" ht="15" hidden="false" customHeight="false" outlineLevel="0" collapsed="false">
      <c r="A3712" s="16" t="n">
        <v>45684</v>
      </c>
      <c r="B3712" s="17" t="n">
        <v>101290</v>
      </c>
    </row>
    <row r="3713" customFormat="false" ht="15" hidden="false" customHeight="false" outlineLevel="0" collapsed="false">
      <c r="A3713" s="16" t="n">
        <v>45685</v>
      </c>
      <c r="B3713" s="17" t="n">
        <v>103747.25</v>
      </c>
    </row>
    <row r="3714" customFormat="false" ht="15" hidden="false" customHeight="false" outlineLevel="0" collapsed="false">
      <c r="A3714" s="16" t="n">
        <v>45686</v>
      </c>
      <c r="B3714" s="17" t="n">
        <v>104742.64</v>
      </c>
    </row>
    <row r="3715" customFormat="false" ht="15" hidden="false" customHeight="false" outlineLevel="0" collapsed="false">
      <c r="A3715" s="16" t="n">
        <v>45687</v>
      </c>
      <c r="B3715" s="17" t="n">
        <v>102411.26</v>
      </c>
    </row>
    <row r="3716" customFormat="false" ht="15" hidden="false" customHeight="false" outlineLevel="0" collapsed="false">
      <c r="A3716" s="16" t="n">
        <v>45688</v>
      </c>
      <c r="B3716" s="17" t="n">
        <v>100623.85</v>
      </c>
    </row>
    <row r="3717" customFormat="false" ht="15" hidden="false" customHeight="false" outlineLevel="0" collapsed="false">
      <c r="A3717" s="16" t="n">
        <v>45689</v>
      </c>
      <c r="B3717" s="17" t="n">
        <v>97676.52</v>
      </c>
    </row>
    <row r="3718" customFormat="false" ht="15" hidden="false" customHeight="false" outlineLevel="0" collapsed="false">
      <c r="A3718" s="16" t="n">
        <v>45690</v>
      </c>
      <c r="B3718" s="17" t="n">
        <v>101460.2</v>
      </c>
    </row>
    <row r="3719" customFormat="false" ht="15" hidden="false" customHeight="false" outlineLevel="0" collapsed="false">
      <c r="A3719" s="16" t="n">
        <v>45691</v>
      </c>
      <c r="B3719" s="17" t="n">
        <v>97795.05</v>
      </c>
    </row>
    <row r="3720" customFormat="false" ht="15" hidden="false" customHeight="false" outlineLevel="0" collapsed="false">
      <c r="A3720" s="16" t="n">
        <v>45692</v>
      </c>
      <c r="B3720" s="17" t="n">
        <v>96638.33</v>
      </c>
    </row>
    <row r="3721" customFormat="false" ht="15" hidden="false" customHeight="false" outlineLevel="0" collapsed="false">
      <c r="A3721" s="16" t="n">
        <v>45693</v>
      </c>
      <c r="B3721" s="17" t="n">
        <v>96564.62</v>
      </c>
    </row>
    <row r="3722" customFormat="false" ht="15" hidden="false" customHeight="false" outlineLevel="0" collapsed="false">
      <c r="A3722" s="16" t="n">
        <v>45694</v>
      </c>
      <c r="B3722" s="17" t="n">
        <v>96537.08</v>
      </c>
    </row>
    <row r="3723" customFormat="false" ht="15" hidden="false" customHeight="false" outlineLevel="0" collapsed="false">
      <c r="A3723" s="16" t="n">
        <v>45695</v>
      </c>
      <c r="B3723" s="17" t="n">
        <v>96476.25</v>
      </c>
    </row>
    <row r="3724" customFormat="false" ht="15" hidden="false" customHeight="false" outlineLevel="0" collapsed="false">
      <c r="A3724" s="16" t="n">
        <v>45696</v>
      </c>
      <c r="B3724" s="17" t="n">
        <v>96475.82</v>
      </c>
    </row>
    <row r="3725" customFormat="false" ht="15" hidden="false" customHeight="false" outlineLevel="0" collapsed="false">
      <c r="A3725" s="16" t="n">
        <v>45697</v>
      </c>
      <c r="B3725" s="17" t="n">
        <v>97444.41</v>
      </c>
    </row>
    <row r="3726" customFormat="false" ht="15" hidden="false" customHeight="false" outlineLevel="0" collapsed="false">
      <c r="A3726" s="16" t="n">
        <v>45698</v>
      </c>
      <c r="B3726" s="17" t="n">
        <v>95774.08</v>
      </c>
    </row>
    <row r="3727" customFormat="false" ht="15" hidden="false" customHeight="false" outlineLevel="0" collapsed="false">
      <c r="A3727" s="16" t="n">
        <v>45699</v>
      </c>
      <c r="B3727" s="17" t="n">
        <v>97862.53</v>
      </c>
    </row>
    <row r="3728" customFormat="false" ht="15" hidden="false" customHeight="false" outlineLevel="0" collapsed="false">
      <c r="A3728" s="16" t="n">
        <v>45700</v>
      </c>
      <c r="B3728" s="17" t="n">
        <v>96625.29</v>
      </c>
    </row>
    <row r="3729" customFormat="false" ht="15" hidden="false" customHeight="false" outlineLevel="0" collapsed="false">
      <c r="A3729" s="16" t="n">
        <v>45701</v>
      </c>
      <c r="B3729" s="17" t="n">
        <v>97509.03</v>
      </c>
    </row>
    <row r="3730" customFormat="false" ht="15" hidden="false" customHeight="false" outlineLevel="0" collapsed="false">
      <c r="A3730" s="16" t="n">
        <v>45702</v>
      </c>
      <c r="B3730" s="17" t="n">
        <v>97596.94</v>
      </c>
    </row>
    <row r="3731" customFormat="false" ht="15" hidden="false" customHeight="false" outlineLevel="0" collapsed="false">
      <c r="A3731" s="16" t="n">
        <v>45703</v>
      </c>
      <c r="B3731" s="17" t="n">
        <v>96119.88</v>
      </c>
    </row>
    <row r="3732" customFormat="false" ht="15" hidden="false" customHeight="false" outlineLevel="0" collapsed="false">
      <c r="A3732" s="16" t="n">
        <v>45704</v>
      </c>
      <c r="B3732" s="17" t="n">
        <v>95781.8</v>
      </c>
    </row>
    <row r="3733" customFormat="false" ht="15" hidden="false" customHeight="false" outlineLevel="0" collapsed="false">
      <c r="A3733" s="16" t="n">
        <v>45705</v>
      </c>
      <c r="B3733" s="17" t="n">
        <v>95607.4</v>
      </c>
    </row>
    <row r="3734" customFormat="false" ht="15" hidden="false" customHeight="false" outlineLevel="0" collapsed="false">
      <c r="A3734" s="16" t="n">
        <v>45706</v>
      </c>
      <c r="B3734" s="17" t="n">
        <v>96632.03</v>
      </c>
    </row>
    <row r="3735" customFormat="false" ht="15" hidden="false" customHeight="false" outlineLevel="0" collapsed="false">
      <c r="A3735" s="16" t="n">
        <v>45707</v>
      </c>
      <c r="B3735" s="17" t="n">
        <v>98347.2</v>
      </c>
    </row>
    <row r="3736" customFormat="false" ht="15" hidden="false" customHeight="false" outlineLevel="0" collapsed="false">
      <c r="A3736" s="16" t="n">
        <v>45708</v>
      </c>
      <c r="B3736" s="17" t="n">
        <v>96157.03</v>
      </c>
    </row>
    <row r="3737" customFormat="false" ht="15" hidden="false" customHeight="false" outlineLevel="0" collapsed="false">
      <c r="A3737" s="16" t="n">
        <v>45709</v>
      </c>
      <c r="B3737" s="17" t="n">
        <v>96582.12</v>
      </c>
    </row>
    <row r="3738" customFormat="false" ht="15" hidden="false" customHeight="false" outlineLevel="0" collapsed="false">
      <c r="A3738" s="16" t="n">
        <v>45710</v>
      </c>
      <c r="B3738" s="17" t="n">
        <v>96265.98</v>
      </c>
    </row>
    <row r="3739" customFormat="false" ht="15" hidden="false" customHeight="false" outlineLevel="0" collapsed="false">
      <c r="A3739" s="16" t="n">
        <v>45711</v>
      </c>
      <c r="B3739" s="17" t="n">
        <v>91510.82</v>
      </c>
    </row>
    <row r="3740" customFormat="false" ht="15" hidden="false" customHeight="false" outlineLevel="0" collapsed="false">
      <c r="A3740" s="16" t="n">
        <v>45712</v>
      </c>
      <c r="B3740" s="17" t="n">
        <v>88583.74</v>
      </c>
    </row>
    <row r="3741" customFormat="false" ht="15" hidden="false" customHeight="false" outlineLevel="0" collapsed="false">
      <c r="A3741" s="16" t="n">
        <v>45713</v>
      </c>
      <c r="B3741" s="17" t="n">
        <v>84111.78</v>
      </c>
    </row>
    <row r="3742" customFormat="false" ht="15" hidden="false" customHeight="false" outlineLevel="0" collapsed="false">
      <c r="A3742" s="16" t="n">
        <v>45714</v>
      </c>
      <c r="B3742" s="17" t="n">
        <v>84625.19</v>
      </c>
    </row>
    <row r="3743" customFormat="false" ht="15" hidden="false" customHeight="false" outlineLevel="0" collapsed="false">
      <c r="A3743" s="16" t="n">
        <v>45715</v>
      </c>
      <c r="B3743" s="17" t="n">
        <v>84297.73</v>
      </c>
    </row>
    <row r="3744" customFormat="false" ht="15" hidden="false" customHeight="false" outlineLevel="0" collapsed="false">
      <c r="A3744" s="16" t="n">
        <v>45716</v>
      </c>
      <c r="B3744" s="17" t="n">
        <v>86018.76</v>
      </c>
    </row>
    <row r="3745" customFormat="false" ht="15" hidden="false" customHeight="false" outlineLevel="0" collapsed="false">
      <c r="A3745" s="16" t="n">
        <v>45717</v>
      </c>
      <c r="B3745" s="17" t="n">
        <v>94265.48</v>
      </c>
    </row>
    <row r="3746" customFormat="false" ht="15" hidden="false" customHeight="false" outlineLevel="0" collapsed="false">
      <c r="A3746" s="16" t="n">
        <v>45718</v>
      </c>
      <c r="B3746" s="17" t="n">
        <v>86161.1</v>
      </c>
    </row>
    <row r="3747" customFormat="false" ht="15" hidden="false" customHeight="false" outlineLevel="0" collapsed="false">
      <c r="A3747" s="16" t="n">
        <v>45719</v>
      </c>
      <c r="B3747" s="17" t="n">
        <v>87249.96</v>
      </c>
    </row>
    <row r="3748" customFormat="false" ht="15" hidden="false" customHeight="false" outlineLevel="0" collapsed="false">
      <c r="A3748" s="16" t="n">
        <v>45720</v>
      </c>
      <c r="B3748" s="17" t="n">
        <v>90603.73</v>
      </c>
    </row>
    <row r="3749" customFormat="false" ht="15" hidden="false" customHeight="false" outlineLevel="0" collapsed="false">
      <c r="A3749" s="16" t="n">
        <v>45721</v>
      </c>
      <c r="B3749" s="17" t="n">
        <v>89921.85</v>
      </c>
    </row>
    <row r="3750" customFormat="false" ht="15" hidden="false" customHeight="false" outlineLevel="0" collapsed="false">
      <c r="A3750" s="16" t="n">
        <v>45722</v>
      </c>
      <c r="B3750" s="17" t="n">
        <v>86756.98</v>
      </c>
    </row>
    <row r="3751" customFormat="false" ht="15" hidden="false" customHeight="false" outlineLevel="0" collapsed="false">
      <c r="A3751" s="16" t="n">
        <v>45723</v>
      </c>
      <c r="B3751" s="17" t="n">
        <v>86206.69</v>
      </c>
    </row>
    <row r="3752" customFormat="false" ht="15" hidden="false" customHeight="false" outlineLevel="0" collapsed="false">
      <c r="A3752" s="16" t="n">
        <v>45724</v>
      </c>
      <c r="B3752" s="17" t="n">
        <v>80699.17</v>
      </c>
    </row>
    <row r="3753" customFormat="false" ht="15" hidden="false" customHeight="false" outlineLevel="0" collapsed="false">
      <c r="A3753" s="16" t="n">
        <v>45725</v>
      </c>
      <c r="B3753" s="17" t="n">
        <v>78544.71</v>
      </c>
    </row>
    <row r="3754" customFormat="false" ht="15" hidden="false" customHeight="false" outlineLevel="0" collapsed="false">
      <c r="A3754" s="16" t="n">
        <v>45726</v>
      </c>
      <c r="B3754" s="17" t="n">
        <v>82914.51</v>
      </c>
    </row>
    <row r="3755" customFormat="false" ht="15" hidden="false" customHeight="false" outlineLevel="0" collapsed="false">
      <c r="A3755" s="16" t="n">
        <v>45727</v>
      </c>
      <c r="B3755" s="17" t="n">
        <v>83659.43</v>
      </c>
    </row>
    <row r="3756" customFormat="false" ht="15" hidden="false" customHeight="false" outlineLevel="0" collapsed="false">
      <c r="A3756" s="16" t="n">
        <v>45728</v>
      </c>
      <c r="B3756" s="17" t="n">
        <v>81073.43</v>
      </c>
    </row>
    <row r="3757" customFormat="false" ht="15" hidden="false" customHeight="false" outlineLevel="0" collapsed="false">
      <c r="A3757" s="16" t="n">
        <v>45729</v>
      </c>
      <c r="B3757" s="17" t="n">
        <v>83980.49</v>
      </c>
    </row>
    <row r="3758" customFormat="false" ht="15" hidden="false" customHeight="false" outlineLevel="0" collapsed="false">
      <c r="A3758" s="16" t="n">
        <v>45730</v>
      </c>
      <c r="B3758" s="17" t="n">
        <v>84351.46</v>
      </c>
    </row>
    <row r="3759" customFormat="false" ht="15" hidden="false" customHeight="false" outlineLevel="0" collapsed="false">
      <c r="A3759" s="16" t="n">
        <v>45731</v>
      </c>
      <c r="B3759" s="17" t="n">
        <v>82562.57</v>
      </c>
    </row>
    <row r="3760" customFormat="false" ht="15" hidden="false" customHeight="false" outlineLevel="0" collapsed="false">
      <c r="A3760" s="16" t="n">
        <v>45732</v>
      </c>
      <c r="B3760" s="17" t="n">
        <v>84011.4</v>
      </c>
    </row>
    <row r="3761" customFormat="false" ht="15" hidden="false" customHeight="false" outlineLevel="0" collapsed="false">
      <c r="A3761" s="16" t="n">
        <v>45733</v>
      </c>
      <c r="B3761" s="17" t="n">
        <v>82698.76</v>
      </c>
    </row>
    <row r="3762" customFormat="false" ht="15" hidden="false" customHeight="false" outlineLevel="0" collapsed="false">
      <c r="A3762" s="16" t="n">
        <v>45734</v>
      </c>
      <c r="B3762" s="17" t="n">
        <v>86877.96</v>
      </c>
    </row>
    <row r="3763" customFormat="false" ht="15" hidden="false" customHeight="false" outlineLevel="0" collapsed="false">
      <c r="A3763" s="16" t="n">
        <v>45735</v>
      </c>
      <c r="B3763" s="17" t="n">
        <v>84183.42</v>
      </c>
    </row>
    <row r="3764" customFormat="false" ht="15" hidden="false" customHeight="false" outlineLevel="0" collapsed="false">
      <c r="A3764" s="16" t="n">
        <v>45736</v>
      </c>
      <c r="B3764" s="17" t="n">
        <v>84061.96</v>
      </c>
    </row>
    <row r="3765" customFormat="false" ht="15" hidden="false" customHeight="false" outlineLevel="0" collapsed="false">
      <c r="A3765" s="16" t="n">
        <v>45737</v>
      </c>
      <c r="B3765" s="17" t="n">
        <v>83852.03</v>
      </c>
    </row>
    <row r="3766" customFormat="false" ht="15" hidden="false" customHeight="false" outlineLevel="0" collapsed="false">
      <c r="A3766" s="16" t="n">
        <v>45738</v>
      </c>
      <c r="B3766" s="17" t="n">
        <v>86092.94</v>
      </c>
    </row>
    <row r="3767" customFormat="false" ht="15" hidden="false" customHeight="false" outlineLevel="0" collapsed="false">
      <c r="A3767" s="16" t="n">
        <v>45739</v>
      </c>
      <c r="B3767" s="17" t="n">
        <v>87523.62</v>
      </c>
    </row>
    <row r="3768" customFormat="false" ht="15" hidden="false" customHeight="false" outlineLevel="0" collapsed="false">
      <c r="A3768" s="16" t="n">
        <v>45740</v>
      </c>
      <c r="B3768" s="17" t="n">
        <v>87427.88</v>
      </c>
    </row>
    <row r="3769" customFormat="false" ht="15" hidden="false" customHeight="false" outlineLevel="0" collapsed="false">
      <c r="A3769" s="16" t="n">
        <v>45741</v>
      </c>
      <c r="B3769" s="17" t="n">
        <v>86926.01</v>
      </c>
    </row>
    <row r="3770" customFormat="false" ht="15" hidden="false" customHeight="false" outlineLevel="0" collapsed="false">
      <c r="A3770" s="16" t="n">
        <v>45742</v>
      </c>
      <c r="B3770" s="17" t="n">
        <v>87217.48</v>
      </c>
    </row>
    <row r="3771" customFormat="false" ht="15" hidden="false" customHeight="false" outlineLevel="0" collapsed="false">
      <c r="A3771" s="16" t="n">
        <v>45743</v>
      </c>
      <c r="B3771" s="17" t="n">
        <v>84381.8</v>
      </c>
    </row>
    <row r="3772" customFormat="false" ht="15" hidden="false" customHeight="false" outlineLevel="0" collapsed="false">
      <c r="A3772" s="16" t="n">
        <v>45744</v>
      </c>
      <c r="B3772" s="17" t="n">
        <v>82616.83</v>
      </c>
    </row>
    <row r="3773" customFormat="false" ht="15" hidden="false" customHeight="false" outlineLevel="0" collapsed="false">
      <c r="A3773" s="16" t="n">
        <v>45745</v>
      </c>
      <c r="B3773" s="17" t="n">
        <v>82379.98</v>
      </c>
    </row>
    <row r="3774" customFormat="false" ht="15" hidden="false" customHeight="false" outlineLevel="0" collapsed="false">
      <c r="A3774" s="16" t="n">
        <v>45746</v>
      </c>
      <c r="B3774" s="17" t="n">
        <v>82534.32</v>
      </c>
    </row>
    <row r="3775" customFormat="false" ht="15" hidden="false" customHeight="false" outlineLevel="0" collapsed="false">
      <c r="A3775" s="16" t="n">
        <v>45747</v>
      </c>
      <c r="B3775" s="17" t="n">
        <v>85170.37</v>
      </c>
    </row>
    <row r="3776" customFormat="false" ht="15" hidden="false" customHeight="false" outlineLevel="0" collapsed="false">
      <c r="A3776" s="16" t="n">
        <v>45748</v>
      </c>
      <c r="B3776" s="17" t="n">
        <v>82490.08</v>
      </c>
    </row>
    <row r="3777" customFormat="false" ht="15" hidden="false" customHeight="false" outlineLevel="0" collapsed="false">
      <c r="A3777" s="16" t="n">
        <v>45749</v>
      </c>
      <c r="B3777" s="17" t="n">
        <v>83174.33</v>
      </c>
    </row>
    <row r="3778" customFormat="false" ht="15" hidden="false" customHeight="false" outlineLevel="0" collapsed="false">
      <c r="A3778" s="16" t="n">
        <v>45750</v>
      </c>
      <c r="B3778" s="17" t="n">
        <v>83860.16</v>
      </c>
    </row>
    <row r="3779" customFormat="false" ht="15" hidden="false" customHeight="false" outlineLevel="0" collapsed="false">
      <c r="A3779" s="16" t="n">
        <v>45751</v>
      </c>
      <c r="B3779" s="17" t="n">
        <v>83498.25</v>
      </c>
    </row>
    <row r="3780" customFormat="false" ht="15" hidden="false" customHeight="false" outlineLevel="0" collapsed="false">
      <c r="A3780" s="16" t="n">
        <v>45752</v>
      </c>
      <c r="B3780" s="17" t="n">
        <v>78370.75</v>
      </c>
    </row>
    <row r="3781" customFormat="false" ht="15" hidden="false" customHeight="false" outlineLevel="0" collapsed="false">
      <c r="A3781" s="16" t="n">
        <v>45753</v>
      </c>
      <c r="B3781" s="17" t="n">
        <v>79140.01</v>
      </c>
    </row>
    <row r="3782" customFormat="false" ht="15" hidden="false" customHeight="false" outlineLevel="0" collapsed="false">
      <c r="A3782" s="16" t="n">
        <v>45754</v>
      </c>
      <c r="B3782" s="17" t="n">
        <v>76251.64</v>
      </c>
    </row>
    <row r="3783" customFormat="false" ht="15" hidden="false" customHeight="false" outlineLevel="0" collapsed="false">
      <c r="A3783" s="16" t="n">
        <v>45755</v>
      </c>
      <c r="B3783" s="17" t="n">
        <v>82594.75</v>
      </c>
    </row>
    <row r="3784" customFormat="false" ht="15" hidden="false" customHeight="false" outlineLevel="0" collapsed="false">
      <c r="A3784" s="16" t="n">
        <v>45756</v>
      </c>
      <c r="B3784" s="17" t="n">
        <v>79552.34</v>
      </c>
    </row>
    <row r="3785" customFormat="false" ht="15" hidden="false" customHeight="false" outlineLevel="0" collapsed="false">
      <c r="A3785" s="16" t="n">
        <v>45757</v>
      </c>
      <c r="B3785" s="17" t="n">
        <v>83380.47</v>
      </c>
    </row>
    <row r="3786" customFormat="false" ht="15" hidden="false" customHeight="false" outlineLevel="0" collapsed="false">
      <c r="A3786" s="16" t="n">
        <v>45758</v>
      </c>
      <c r="B3786" s="17" t="n">
        <v>85271.01</v>
      </c>
    </row>
    <row r="3787" customFormat="false" ht="15" hidden="false" customHeight="false" outlineLevel="0" collapsed="false">
      <c r="A3787" s="16" t="n">
        <v>45759</v>
      </c>
      <c r="B3787" s="17" t="n">
        <v>83733.07</v>
      </c>
    </row>
    <row r="3788" customFormat="false" ht="15" hidden="false" customHeight="false" outlineLevel="0" collapsed="false">
      <c r="A3788" s="16" t="n">
        <v>45760</v>
      </c>
      <c r="B3788" s="17" t="n">
        <v>84590.36</v>
      </c>
    </row>
    <row r="3789" customFormat="false" ht="15" hidden="false" customHeight="false" outlineLevel="0" collapsed="false">
      <c r="A3789" s="16" t="n">
        <v>45761</v>
      </c>
      <c r="B3789" s="17" t="n">
        <v>83629.78</v>
      </c>
    </row>
    <row r="3790" customFormat="false" ht="15" hidden="false" customHeight="false" outlineLevel="0" collapsed="false">
      <c r="A3790" s="16" t="n">
        <v>45762</v>
      </c>
      <c r="B3790" s="17" t="n">
        <v>84028.72</v>
      </c>
    </row>
    <row r="3791" customFormat="false" ht="15" hidden="false" customHeight="false" outlineLevel="0" collapsed="false">
      <c r="A3791" s="16" t="n">
        <v>45763</v>
      </c>
      <c r="B3791" s="17" t="n">
        <v>84961.97</v>
      </c>
    </row>
    <row r="3792" customFormat="false" ht="15" hidden="false" customHeight="false" outlineLevel="0" collapsed="false">
      <c r="A3792" s="16" t="n">
        <v>45764</v>
      </c>
      <c r="B3792" s="17" t="n">
        <v>84466.47</v>
      </c>
    </row>
    <row r="3793" customFormat="false" ht="15" hidden="false" customHeight="false" outlineLevel="0" collapsed="false">
      <c r="A3793" s="16" t="n">
        <v>45765</v>
      </c>
      <c r="B3793" s="17" t="n">
        <v>85074.99</v>
      </c>
    </row>
    <row r="3794" customFormat="false" ht="15" hidden="false" customHeight="false" outlineLevel="0" collapsed="false">
      <c r="A3794" s="16" t="n">
        <v>45766</v>
      </c>
      <c r="B3794" s="17" t="n">
        <v>85177.34</v>
      </c>
    </row>
    <row r="3795" customFormat="false" ht="15" hidden="false" customHeight="false" outlineLevel="0" collapsed="false">
      <c r="A3795" s="16" t="n">
        <v>45767</v>
      </c>
      <c r="B3795" s="17" t="n">
        <v>87522.07</v>
      </c>
    </row>
    <row r="3796" customFormat="false" ht="15" hidden="false" customHeight="false" outlineLevel="0" collapsed="false">
      <c r="A3796" s="16" t="n">
        <v>45768</v>
      </c>
      <c r="B3796" s="17" t="n">
        <v>93489.1</v>
      </c>
    </row>
    <row r="3797" customFormat="false" ht="15" hidden="false" customHeight="false" outlineLevel="0" collapsed="false">
      <c r="A3797" s="16" t="n">
        <v>45769</v>
      </c>
      <c r="B3797" s="17" t="n">
        <v>93740.92</v>
      </c>
    </row>
    <row r="3798" customFormat="false" ht="15" hidden="false" customHeight="false" outlineLevel="0" collapsed="false">
      <c r="A3798" s="16" t="n">
        <v>45770</v>
      </c>
      <c r="B3798" s="17" t="n">
        <v>94021.96</v>
      </c>
    </row>
    <row r="3799" customFormat="false" ht="15" hidden="false" customHeight="false" outlineLevel="0" collapsed="false">
      <c r="A3799" s="16" t="n">
        <v>45771</v>
      </c>
      <c r="B3799" s="17" t="n">
        <v>94708.79</v>
      </c>
    </row>
    <row r="3800" customFormat="false" ht="15" hidden="false" customHeight="false" outlineLevel="0" collapsed="false">
      <c r="A3800" s="16" t="n">
        <v>45772</v>
      </c>
      <c r="B3800" s="17" t="n">
        <v>94666.64</v>
      </c>
    </row>
    <row r="3801" customFormat="false" ht="15" hidden="false" customHeight="false" outlineLevel="0" collapsed="false">
      <c r="A3801" s="16" t="n">
        <v>45773</v>
      </c>
      <c r="B3801" s="17" t="n">
        <v>93780.57</v>
      </c>
    </row>
    <row r="3802" customFormat="false" ht="15" hidden="false" customHeight="false" outlineLevel="0" collapsed="false">
      <c r="A3802" s="16" t="n">
        <v>45774</v>
      </c>
      <c r="B3802" s="17" t="n">
        <v>95042.57</v>
      </c>
    </row>
    <row r="3803" customFormat="false" ht="15" hidden="false" customHeight="false" outlineLevel="0" collapsed="false">
      <c r="A3803" s="16" t="n">
        <v>45775</v>
      </c>
      <c r="B3803" s="17" t="n">
        <v>94271.09</v>
      </c>
    </row>
    <row r="3804" customFormat="false" ht="15" hidden="false" customHeight="false" outlineLevel="0" collapsed="false">
      <c r="A3804" s="16" t="n">
        <v>45776</v>
      </c>
      <c r="B3804" s="17" t="n">
        <v>94182.54</v>
      </c>
    </row>
    <row r="3805" customFormat="false" ht="15" hidden="false" customHeight="false" outlineLevel="0" collapsed="false">
      <c r="A3805" s="16" t="n">
        <v>45777</v>
      </c>
      <c r="B3805" s="17" t="n">
        <v>96524.98</v>
      </c>
    </row>
    <row r="3806" customFormat="false" ht="15" hidden="false" customHeight="false" outlineLevel="0" collapsed="false">
      <c r="A3806" s="16" t="n">
        <v>45778</v>
      </c>
      <c r="B3806" s="17" t="n">
        <v>96929.81</v>
      </c>
    </row>
    <row r="3807" customFormat="false" ht="15" hidden="false" customHeight="false" outlineLevel="0" collapsed="false">
      <c r="A3807" s="16" t="n">
        <v>45779</v>
      </c>
      <c r="B3807" s="17" t="n">
        <v>95861.33</v>
      </c>
    </row>
    <row r="3808" customFormat="false" ht="15" hidden="false" customHeight="false" outlineLevel="0" collapsed="false">
      <c r="A3808" s="16" t="n">
        <v>45780</v>
      </c>
      <c r="B3808" s="17" t="n">
        <v>94272.55</v>
      </c>
    </row>
    <row r="3809" customFormat="false" ht="15" hidden="false" customHeight="false" outlineLevel="0" collapsed="false">
      <c r="A3809" s="16" t="n">
        <v>45781</v>
      </c>
      <c r="B3809" s="17" t="n">
        <v>94733.99</v>
      </c>
    </row>
    <row r="3810" customFormat="false" ht="15" hidden="false" customHeight="false" outlineLevel="0" collapsed="false">
      <c r="A3810" s="16" t="n">
        <v>45782</v>
      </c>
      <c r="B3810" s="17" t="n">
        <v>96839.17</v>
      </c>
    </row>
    <row r="3811" customFormat="false" ht="15" hidden="false" customHeight="false" outlineLevel="0" collapsed="false">
      <c r="A3811" s="16" t="n">
        <v>45783</v>
      </c>
      <c r="B3811" s="17" t="n">
        <v>97058.32</v>
      </c>
    </row>
    <row r="3812" customFormat="false" ht="15" hidden="false" customHeight="false" outlineLevel="0" collapsed="false">
      <c r="A3812" s="16" t="n">
        <v>45784</v>
      </c>
      <c r="B3812" s="17" t="n">
        <v>103253.49</v>
      </c>
    </row>
    <row r="3813" customFormat="false" ht="15" hidden="false" customHeight="false" outlineLevel="0" collapsed="false">
      <c r="A3813" s="16" t="n">
        <v>45785</v>
      </c>
      <c r="B3813" s="17" t="n">
        <v>102986.96</v>
      </c>
    </row>
    <row r="3814" customFormat="false" ht="15" hidden="false" customHeight="false" outlineLevel="0" collapsed="false">
      <c r="A3814" s="16" t="n">
        <v>45786</v>
      </c>
      <c r="B3814" s="17" t="n">
        <v>104821.19</v>
      </c>
    </row>
    <row r="3815" customFormat="false" ht="15" hidden="false" customHeight="false" outlineLevel="0" collapsed="false">
      <c r="A3815" s="16" t="n">
        <v>45787</v>
      </c>
      <c r="B3815" s="17" t="n">
        <v>104137.62</v>
      </c>
    </row>
    <row r="3816" customFormat="false" ht="15" hidden="false" customHeight="false" outlineLevel="0" collapsed="false">
      <c r="A3816" s="16" t="n">
        <v>45788</v>
      </c>
      <c r="B3816" s="17" t="n">
        <v>102800.21</v>
      </c>
    </row>
    <row r="3817" customFormat="false" ht="15" hidden="false" customHeight="false" outlineLevel="0" collapsed="false">
      <c r="A3817" s="16" t="n">
        <v>45789</v>
      </c>
      <c r="B3817" s="17" t="n">
        <v>104131.06</v>
      </c>
    </row>
    <row r="3818" customFormat="false" ht="15" hidden="false" customHeight="false" outlineLevel="0" collapsed="false">
      <c r="A3818" s="16" t="n">
        <v>45790</v>
      </c>
      <c r="B3818" s="17" t="n">
        <v>103545.38</v>
      </c>
    </row>
    <row r="3819" customFormat="false" ht="15" hidden="false" customHeight="false" outlineLevel="0" collapsed="false">
      <c r="A3819" s="16" t="n">
        <v>45791</v>
      </c>
      <c r="B3819" s="17" t="n">
        <v>103786.43</v>
      </c>
    </row>
    <row r="3820" customFormat="false" ht="15" hidden="false" customHeight="false" outlineLevel="0" collapsed="false">
      <c r="A3820" s="16" t="n">
        <v>45792</v>
      </c>
      <c r="B3820" s="17" t="n">
        <v>103500.03</v>
      </c>
    </row>
    <row r="3821" customFormat="false" ht="15" hidden="false" customHeight="false" outlineLevel="0" collapsed="false">
      <c r="A3821" s="16" t="n">
        <v>45793</v>
      </c>
      <c r="B3821" s="17" t="n">
        <v>103161.07</v>
      </c>
    </row>
    <row r="3822" customFormat="false" ht="15" hidden="false" customHeight="false" outlineLevel="0" collapsed="false">
      <c r="A3822" s="16" t="n">
        <v>45794</v>
      </c>
      <c r="B3822" s="17" t="n">
        <v>106473.46</v>
      </c>
    </row>
    <row r="3823" customFormat="false" ht="15" hidden="false" customHeight="false" outlineLevel="0" collapsed="false">
      <c r="A3823" s="16" t="n">
        <v>45795</v>
      </c>
      <c r="B3823" s="17" t="n">
        <v>105616.18</v>
      </c>
    </row>
    <row r="3824" customFormat="false" ht="15" hidden="false" customHeight="false" outlineLevel="0" collapsed="false">
      <c r="A3824" s="16" t="n">
        <v>45796</v>
      </c>
      <c r="B3824" s="17" t="n">
        <v>106883.24</v>
      </c>
    </row>
    <row r="3825" customFormat="false" ht="15" hidden="false" customHeight="false" outlineLevel="0" collapsed="false">
      <c r="A3825" s="16" t="n">
        <v>45797</v>
      </c>
      <c r="B3825" s="17" t="n">
        <v>109699.54</v>
      </c>
    </row>
    <row r="3826" customFormat="false" ht="15" hidden="false" customHeight="false" outlineLevel="0" collapsed="false">
      <c r="A3826" s="16" t="n">
        <v>45798</v>
      </c>
      <c r="B3826" s="17" t="n">
        <v>111722.53</v>
      </c>
    </row>
    <row r="3827" customFormat="false" ht="15" hidden="false" customHeight="false" outlineLevel="0" collapsed="false">
      <c r="A3827" s="16" t="n">
        <v>45799</v>
      </c>
      <c r="B3827" s="17" t="n">
        <v>107329.61</v>
      </c>
    </row>
    <row r="3828" customFormat="false" ht="15" hidden="false" customHeight="false" outlineLevel="0" collapsed="false">
      <c r="A3828" s="16" t="n">
        <v>45800</v>
      </c>
      <c r="B3828" s="17" t="n">
        <v>107794.01</v>
      </c>
    </row>
    <row r="3829" customFormat="false" ht="15" hidden="false" customHeight="false" outlineLevel="0" collapsed="false">
      <c r="A3829" s="16" t="n">
        <v>45801</v>
      </c>
      <c r="B3829" s="17" t="n">
        <v>109048.68</v>
      </c>
    </row>
    <row r="3830" customFormat="false" ht="15" hidden="false" customHeight="false" outlineLevel="0" collapsed="false">
      <c r="A3830" s="16" t="n">
        <v>45802</v>
      </c>
      <c r="B3830" s="17" t="n">
        <v>109464.32</v>
      </c>
    </row>
    <row r="3831" customFormat="false" ht="15" hidden="false" customHeight="false" outlineLevel="0" collapsed="false">
      <c r="A3831" s="16" t="n">
        <v>45803</v>
      </c>
      <c r="B3831" s="17" t="n">
        <v>108978.46</v>
      </c>
    </row>
    <row r="3832" customFormat="false" ht="15" hidden="false" customHeight="false" outlineLevel="0" collapsed="false">
      <c r="A3832" s="16" t="n">
        <v>45804</v>
      </c>
      <c r="B3832" s="17" t="n">
        <v>107819.29</v>
      </c>
    </row>
    <row r="3833" customFormat="false" ht="15" hidden="false" customHeight="false" outlineLevel="0" collapsed="false">
      <c r="A3833" s="16" t="n">
        <v>45805</v>
      </c>
      <c r="B3833" s="17" t="n">
        <v>105572.58</v>
      </c>
    </row>
    <row r="3834" customFormat="false" ht="15" hidden="false" customHeight="false" outlineLevel="0" collapsed="false">
      <c r="A3834" s="16" t="n">
        <v>45806</v>
      </c>
      <c r="B3834" s="17" t="n">
        <v>104033.26</v>
      </c>
    </row>
    <row r="3835" customFormat="false" ht="15" hidden="false" customHeight="false" outlineLevel="0" collapsed="false">
      <c r="A3835" s="16" t="n">
        <v>45807</v>
      </c>
      <c r="B3835" s="17" t="n">
        <v>104645.87</v>
      </c>
    </row>
    <row r="3836" customFormat="false" ht="15" hidden="false" customHeight="false" outlineLevel="0" collapsed="false">
      <c r="A3836" s="16" t="n">
        <v>45808</v>
      </c>
      <c r="B3836" s="17" t="n">
        <v>105697.94</v>
      </c>
    </row>
    <row r="3837" customFormat="false" ht="15" hidden="false" customHeight="false" outlineLevel="0" collapsed="false">
      <c r="A3837" s="16" t="n">
        <v>45809</v>
      </c>
      <c r="B3837" s="17" t="n">
        <v>105904.94</v>
      </c>
    </row>
    <row r="3838" customFormat="false" ht="15" hidden="false" customHeight="false" outlineLevel="0" collapsed="false">
      <c r="A3838" s="16" t="n">
        <v>45810</v>
      </c>
      <c r="B3838" s="17" t="n">
        <v>105447.82</v>
      </c>
    </row>
    <row r="3839" customFormat="false" ht="15" hidden="false" customHeight="false" outlineLevel="0" collapsed="false">
      <c r="A3839" s="16" t="n">
        <v>45811</v>
      </c>
      <c r="B3839" s="17" t="n">
        <v>104753.38</v>
      </c>
    </row>
    <row r="3840" customFormat="false" ht="15" hidden="false" customHeight="false" outlineLevel="0" collapsed="false">
      <c r="A3840" s="16" t="n">
        <v>45812</v>
      </c>
      <c r="B3840" s="17" t="n">
        <v>101570.2</v>
      </c>
    </row>
    <row r="3841" customFormat="false" ht="15" hidden="false" customHeight="false" outlineLevel="0" collapsed="false">
      <c r="A3841" s="16" t="n">
        <v>45813</v>
      </c>
      <c r="B3841" s="17" t="n">
        <v>104397.99</v>
      </c>
    </row>
    <row r="3842" customFormat="false" ht="15" hidden="false" customHeight="false" outlineLevel="0" collapsed="false">
      <c r="A3842" s="16" t="n">
        <v>45814</v>
      </c>
      <c r="B3842" s="17" t="n">
        <v>105619.02</v>
      </c>
    </row>
    <row r="3843" customFormat="false" ht="15" hidden="false" customHeight="false" outlineLevel="0" collapsed="false">
      <c r="A3843" s="16" t="n">
        <v>45815</v>
      </c>
      <c r="B3843" s="17" t="n">
        <v>105784.4</v>
      </c>
    </row>
    <row r="3844" customFormat="false" ht="15" hidden="false" customHeight="false" outlineLevel="0" collapsed="false">
      <c r="A3844" s="16" t="n">
        <v>45816</v>
      </c>
      <c r="B3844" s="17" t="n">
        <v>110301.15</v>
      </c>
    </row>
    <row r="3845" customFormat="false" ht="15" hidden="false" customHeight="false" outlineLevel="0" collapsed="false">
      <c r="A3845" s="16" t="n">
        <v>45817</v>
      </c>
      <c r="B3845" s="17" t="n">
        <v>110300.24</v>
      </c>
    </row>
    <row r="3846" customFormat="false" ht="15" hidden="false" customHeight="false" outlineLevel="0" collapsed="false">
      <c r="A3846" s="16" t="n">
        <v>45818</v>
      </c>
      <c r="B3846" s="17" t="n">
        <v>108669.37</v>
      </c>
    </row>
    <row r="3847" customFormat="false" ht="15" hidden="false" customHeight="false" outlineLevel="0" collapsed="false">
      <c r="A3847" s="16" t="n">
        <v>45819</v>
      </c>
      <c r="B3847" s="17" t="n">
        <v>105721.05</v>
      </c>
    </row>
    <row r="3848" customFormat="false" ht="15" hidden="false" customHeight="false" outlineLevel="0" collapsed="false">
      <c r="A3848" s="16" t="n">
        <v>45820</v>
      </c>
      <c r="B3848" s="17" t="n">
        <v>106118.7</v>
      </c>
    </row>
    <row r="3849" customFormat="false" ht="15" hidden="false" customHeight="false" outlineLevel="0" collapsed="false">
      <c r="A3849" s="16" t="n">
        <v>45821</v>
      </c>
      <c r="B3849" s="17" t="n">
        <v>105465.42</v>
      </c>
    </row>
    <row r="3850" customFormat="false" ht="15" hidden="false" customHeight="false" outlineLevel="0" collapsed="false">
      <c r="A3850" s="16" t="n">
        <v>45822</v>
      </c>
      <c r="B3850" s="17" t="n">
        <v>105599.25</v>
      </c>
    </row>
    <row r="3851" customFormat="false" ht="15" hidden="false" customHeight="false" outlineLevel="0" collapsed="false">
      <c r="A3851" s="16" t="n">
        <v>45823</v>
      </c>
      <c r="B3851" s="17" t="n">
        <v>106853.38</v>
      </c>
    </row>
    <row r="3852" customFormat="false" ht="15" hidden="false" customHeight="false" outlineLevel="0" collapsed="false">
      <c r="A3852" s="16" t="n">
        <v>45824</v>
      </c>
      <c r="B3852" s="17" t="n">
        <v>104590.44</v>
      </c>
    </row>
    <row r="3853" customFormat="false" ht="15" hidden="false" customHeight="false" outlineLevel="0" collapsed="false">
      <c r="A3853" s="16" t="n">
        <v>45825</v>
      </c>
      <c r="B3853" s="17" t="n">
        <v>104915.6</v>
      </c>
    </row>
    <row r="3854" customFormat="false" ht="15" hidden="false" customHeight="false" outlineLevel="0" collapsed="false">
      <c r="A3854" s="16" t="n">
        <v>45826</v>
      </c>
      <c r="B3854" s="17" t="n">
        <v>104671.9</v>
      </c>
    </row>
    <row r="3855" customFormat="false" ht="15" hidden="false" customHeight="false" outlineLevel="0" collapsed="false">
      <c r="A3855" s="16" t="n">
        <v>45827</v>
      </c>
      <c r="B3855" s="17" t="n">
        <v>103317.8</v>
      </c>
    </row>
    <row r="3856" customFormat="false" ht="15" hidden="false" customHeight="false" outlineLevel="0" collapsed="false">
      <c r="A3856" s="16" t="n">
        <v>45828</v>
      </c>
      <c r="B3856" s="17" t="n">
        <v>102160.03</v>
      </c>
    </row>
    <row r="3857" customFormat="false" ht="15" hidden="false" customHeight="false" outlineLevel="0" collapsed="false">
      <c r="A3857" s="16" t="n">
        <v>45829</v>
      </c>
      <c r="B3857" s="17" t="n">
        <v>100996.87</v>
      </c>
    </row>
    <row r="3858" customFormat="false" ht="15" hidden="false" customHeight="false" outlineLevel="0" collapsed="false">
      <c r="A3858" s="16" t="n">
        <v>45830</v>
      </c>
      <c r="B3858" s="17" t="n">
        <v>105419.39</v>
      </c>
    </row>
    <row r="3859" customFormat="false" ht="15" hidden="false" customHeight="false" outlineLevel="0" collapsed="false">
      <c r="A3859" s="16" t="n">
        <v>45831</v>
      </c>
      <c r="B3859" s="17" t="n">
        <v>106141</v>
      </c>
    </row>
    <row r="3860" customFormat="false" ht="15" hidden="false" customHeight="false" outlineLevel="0" collapsed="false">
      <c r="A3860" s="16" t="n">
        <v>45832</v>
      </c>
      <c r="B3860" s="17" t="n">
        <v>107400.22</v>
      </c>
    </row>
    <row r="3861" customFormat="false" ht="15" hidden="false" customHeight="false" outlineLevel="0" collapsed="false">
      <c r="A3861" s="16" t="n">
        <v>45833</v>
      </c>
      <c r="B3861" s="17" t="n">
        <v>107029.64</v>
      </c>
    </row>
    <row r="3862" customFormat="false" ht="15" hidden="false" customHeight="false" outlineLevel="0" collapsed="false">
      <c r="A3862" s="16" t="n">
        <v>45834</v>
      </c>
      <c r="B3862" s="17" t="n">
        <v>107113.38</v>
      </c>
    </row>
    <row r="3863" customFormat="false" ht="15" hidden="false" customHeight="false" outlineLevel="0" collapsed="false">
      <c r="A3863" s="16" t="n">
        <v>45835</v>
      </c>
      <c r="B3863" s="17" t="n">
        <v>107352.2</v>
      </c>
    </row>
    <row r="3864" customFormat="false" ht="15" hidden="false" customHeight="false" outlineLevel="0" collapsed="false">
      <c r="A3864" s="16" t="n">
        <v>45836</v>
      </c>
      <c r="B3864" s="17" t="n">
        <v>108386.44</v>
      </c>
    </row>
    <row r="3865" customFormat="false" ht="15" hidden="false" customHeight="false" outlineLevel="0" collapsed="false">
      <c r="A3865" s="16" t="n">
        <v>45837</v>
      </c>
      <c r="B3865" s="17" t="n">
        <v>107173.21</v>
      </c>
    </row>
    <row r="3866" customFormat="false" ht="15" hidden="false" customHeight="false" outlineLevel="0" collapsed="false">
      <c r="A3866" s="16" t="n">
        <v>45838</v>
      </c>
      <c r="B3866" s="17" t="n">
        <v>105711.78</v>
      </c>
    </row>
    <row r="3867" customFormat="false" ht="15" hidden="false" customHeight="false" outlineLevel="0" collapsed="false">
      <c r="A3867" s="16" t="n">
        <v>45839</v>
      </c>
      <c r="B3867" s="17" t="n">
        <v>108888.32</v>
      </c>
    </row>
    <row r="3868" customFormat="false" ht="15" hidden="false" customHeight="false" outlineLevel="0" collapsed="false">
      <c r="A3868" s="16" t="n">
        <v>45840</v>
      </c>
      <c r="B3868" s="17" t="n">
        <v>109628.83</v>
      </c>
    </row>
    <row r="3869" customFormat="false" ht="15" hidden="false" customHeight="false" outlineLevel="0" collapsed="false">
      <c r="A3869" s="16" t="n">
        <v>45841</v>
      </c>
      <c r="B3869" s="17" t="n">
        <v>108028.6</v>
      </c>
    </row>
    <row r="3870" customFormat="false" ht="15" hidden="false" customHeight="false" outlineLevel="0" collapsed="false">
      <c r="A3870" s="16" t="n">
        <v>45842</v>
      </c>
      <c r="B3870" s="17" t="n">
        <v>108246.65</v>
      </c>
    </row>
    <row r="3871" customFormat="false" ht="15" hidden="false" customHeight="false" outlineLevel="0" collapsed="false">
      <c r="A3871" s="16" t="n">
        <v>45843</v>
      </c>
      <c r="B3871" s="17" t="n">
        <v>109217.98</v>
      </c>
    </row>
    <row r="3872" customFormat="false" ht="15" hidden="false" customHeight="false" outlineLevel="0" collapsed="false">
      <c r="A3872" s="16" t="n">
        <v>45844</v>
      </c>
      <c r="B3872" s="17" t="n">
        <v>108269.84</v>
      </c>
    </row>
    <row r="3873" customFormat="false" ht="15" hidden="false" customHeight="false" outlineLevel="0" collapsed="false">
      <c r="A3873" s="16" t="n">
        <v>45845</v>
      </c>
      <c r="B3873" s="17" t="n">
        <v>108958.04</v>
      </c>
    </row>
    <row r="3874" customFormat="false" ht="15" hidden="false" customHeight="false" outlineLevel="0" collapsed="false">
      <c r="A3874" s="16" t="n">
        <v>45846</v>
      </c>
      <c r="B3874" s="17" t="n">
        <v>111282.85</v>
      </c>
    </row>
    <row r="3875" customFormat="false" ht="15" hidden="false" customHeight="false" outlineLevel="0" collapsed="false">
      <c r="A3875" s="16" t="n">
        <v>45847</v>
      </c>
      <c r="B3875" s="17" t="n">
        <v>116031.3</v>
      </c>
    </row>
    <row r="3876" customFormat="false" ht="15" hidden="false" customHeight="false" outlineLevel="0" collapsed="false">
      <c r="A3876" s="16" t="n">
        <v>45848</v>
      </c>
      <c r="B3876" s="17" t="n">
        <v>117582.16</v>
      </c>
    </row>
    <row r="3877" customFormat="false" ht="15" hidden="false" customHeight="false" outlineLevel="0" collapsed="false">
      <c r="A3877" s="16" t="n">
        <v>45849</v>
      </c>
      <c r="B3877" s="17" t="n">
        <v>117472.65</v>
      </c>
    </row>
    <row r="3878" customFormat="false" ht="15" hidden="false" customHeight="false" outlineLevel="0" collapsed="false">
      <c r="A3878" s="16" t="n">
        <v>45850</v>
      </c>
      <c r="B3878" s="17" t="n">
        <v>119130.81</v>
      </c>
    </row>
    <row r="3879" customFormat="false" ht="15" hidden="false" customHeight="false" outlineLevel="0" collapsed="false">
      <c r="A3879" s="16" t="n">
        <v>45851</v>
      </c>
      <c r="B3879" s="17" t="n">
        <v>119863.71</v>
      </c>
    </row>
    <row r="3880" customFormat="false" ht="15" hidden="false" customHeight="false" outlineLevel="0" collapsed="false">
      <c r="A3880" s="16" t="n">
        <v>45852</v>
      </c>
      <c r="B3880" s="17" t="n">
        <v>117781.64</v>
      </c>
    </row>
    <row r="3881" customFormat="false" ht="15" hidden="false" customHeight="false" outlineLevel="0" collapsed="false">
      <c r="A3881" s="16" t="n">
        <v>45853</v>
      </c>
      <c r="B3881" s="17" t="n">
        <v>118681.68</v>
      </c>
    </row>
    <row r="3882" customFormat="false" ht="15" hidden="false" customHeight="false" outlineLevel="0" collapsed="false">
      <c r="A3882" s="16" t="n">
        <v>45854</v>
      </c>
      <c r="B3882" s="17" t="n">
        <v>119273.69</v>
      </c>
    </row>
    <row r="3883" customFormat="false" ht="15" hidden="false" customHeight="false" outlineLevel="0" collapsed="false">
      <c r="A3883" s="16" t="n">
        <v>45855</v>
      </c>
      <c r="B3883" s="17" t="n">
        <v>118023.05</v>
      </c>
    </row>
    <row r="3884" customFormat="false" ht="15" hidden="false" customHeight="false" outlineLevel="0" collapsed="false">
      <c r="A3884" s="16" t="n">
        <v>45856</v>
      </c>
      <c r="B3884" s="17" t="n">
        <v>117914.17</v>
      </c>
    </row>
    <row r="3885" customFormat="false" ht="15" hidden="false" customHeight="false" outlineLevel="0" collapsed="false">
      <c r="A3885" s="16" t="n">
        <v>45857</v>
      </c>
      <c r="B3885" s="17" t="n">
        <v>117312.7</v>
      </c>
    </row>
    <row r="3886" customFormat="false" ht="15" hidden="false" customHeight="false" outlineLevel="0" collapsed="false">
      <c r="A3886" s="16" t="n">
        <v>45858</v>
      </c>
      <c r="B3886" s="17" t="n">
        <v>117428.79</v>
      </c>
    </row>
    <row r="3887" customFormat="false" ht="15" hidden="false" customHeight="false" outlineLevel="0" collapsed="false">
      <c r="A3887" s="16" t="n">
        <v>45859</v>
      </c>
      <c r="B3887" s="17" t="n">
        <v>120026.42</v>
      </c>
    </row>
    <row r="3888" customFormat="false" ht="15" hidden="false" customHeight="false" outlineLevel="0" collapsed="false">
      <c r="A3888" s="16" t="n">
        <v>45860</v>
      </c>
      <c r="B3888" s="17" t="n">
        <v>118810.44</v>
      </c>
    </row>
    <row r="3889" customFormat="false" ht="15" hidden="false" customHeight="false" outlineLevel="0" collapsed="false">
      <c r="A3889" s="16" t="n">
        <v>45861</v>
      </c>
      <c r="B3889" s="17" t="n">
        <v>118397.04</v>
      </c>
    </row>
    <row r="3890" customFormat="false" ht="15" hidden="false" customHeight="false" outlineLevel="0" collapsed="false">
      <c r="A3890" s="16" t="n">
        <v>45862</v>
      </c>
      <c r="B3890" s="17" t="n">
        <v>117633.27</v>
      </c>
    </row>
    <row r="3891" customFormat="false" ht="15" hidden="false" customHeight="false" outlineLevel="0" collapsed="false">
      <c r="A3891" s="16" t="n">
        <v>45863</v>
      </c>
      <c r="B3891" s="17" t="n">
        <v>117969.63</v>
      </c>
    </row>
    <row r="3892" customFormat="false" ht="15" hidden="false" customHeight="false" outlineLevel="0" collapsed="false">
      <c r="A3892" s="16" t="n">
        <v>45864</v>
      </c>
      <c r="B3892" s="17" t="n">
        <v>119465.52</v>
      </c>
    </row>
    <row r="3893" customFormat="false" ht="15" hidden="false" customHeight="false" outlineLevel="0" collapsed="false">
      <c r="A3893" s="16" t="n">
        <v>45865</v>
      </c>
      <c r="B3893" s="17" t="n">
        <v>118070.59</v>
      </c>
    </row>
    <row r="3894" customFormat="false" ht="15" hidden="false" customHeight="false" outlineLevel="0" collapsed="false">
      <c r="A3894" s="16" t="n">
        <v>45866</v>
      </c>
      <c r="B3894" s="17" t="n">
        <v>117933.39</v>
      </c>
    </row>
    <row r="3895" customFormat="false" ht="15" hidden="false" customHeight="false" outlineLevel="0" collapsed="false">
      <c r="A3895" s="16" t="n">
        <v>45867</v>
      </c>
      <c r="B3895" s="17" t="n">
        <v>117830.15</v>
      </c>
    </row>
    <row r="3896" customFormat="false" ht="15" hidden="false" customHeight="false" outlineLevel="0" collapsed="false">
      <c r="A3896" s="16" t="n">
        <v>45868</v>
      </c>
      <c r="B3896" s="17" t="n">
        <v>115761.13</v>
      </c>
    </row>
    <row r="3897" customFormat="false" ht="15" hidden="false" customHeight="false" outlineLevel="0" collapsed="false">
      <c r="A3897" s="16" t="n">
        <v>45869</v>
      </c>
      <c r="B3897" s="17" t="n">
        <v>113248.73</v>
      </c>
    </row>
    <row r="3898" customFormat="false" ht="15" hidden="false" customHeight="false" outlineLevel="0" collapsed="false">
      <c r="A3898" s="16" t="n">
        <v>45870</v>
      </c>
      <c r="B3898" s="17" t="n">
        <v>112542.74</v>
      </c>
    </row>
    <row r="3899" customFormat="false" ht="15" hidden="false" customHeight="false" outlineLevel="0" collapsed="false">
      <c r="A3899" s="16" t="n">
        <v>45871</v>
      </c>
      <c r="B3899" s="17" t="n">
        <v>114215.73</v>
      </c>
    </row>
    <row r="3900" customFormat="false" ht="15" hidden="false" customHeight="false" outlineLevel="0" collapsed="false">
      <c r="A3900" s="16" t="n">
        <v>45872</v>
      </c>
      <c r="B3900" s="17" t="n">
        <v>115051.85</v>
      </c>
    </row>
    <row r="3901" customFormat="false" ht="15" hidden="false" customHeight="false" outlineLevel="0" collapsed="false">
      <c r="A3901" s="16" t="n">
        <v>45873</v>
      </c>
      <c r="B3901" s="17" t="n">
        <v>114112.95</v>
      </c>
    </row>
    <row r="3902" customFormat="false" ht="15" hidden="false" customHeight="false" outlineLevel="0" collapsed="false">
      <c r="A3902" s="16" t="n">
        <v>45874</v>
      </c>
      <c r="B3902" s="17" t="n">
        <v>115028.83</v>
      </c>
    </row>
    <row r="3903" customFormat="false" ht="15" hidden="false" customHeight="false" outlineLevel="0" collapsed="false">
      <c r="A3903" s="16" t="n">
        <v>45875</v>
      </c>
      <c r="B3903" s="17" t="n">
        <v>117515.49</v>
      </c>
    </row>
    <row r="3904" customFormat="false" ht="15" hidden="false" customHeight="false" outlineLevel="0" collapsed="false">
      <c r="A3904" s="16" t="n">
        <v>45876</v>
      </c>
      <c r="B3904" s="17" t="n">
        <v>116683.79</v>
      </c>
    </row>
    <row r="3905" customFormat="false" ht="15" hidden="false" customHeight="false" outlineLevel="0" collapsed="false">
      <c r="A3905" s="16" t="n">
        <v>45877</v>
      </c>
      <c r="B3905" s="17" t="n">
        <v>116492.51</v>
      </c>
    </row>
    <row r="3906" customFormat="false" ht="15" hidden="false" customHeight="false" outlineLevel="0" collapsed="false">
      <c r="A3906" s="16" t="n">
        <v>45878</v>
      </c>
      <c r="B3906" s="17" t="n">
        <v>119309.37</v>
      </c>
    </row>
    <row r="3907" customFormat="false" ht="15" hidden="false" customHeight="false" outlineLevel="0" collapsed="false">
      <c r="A3907" s="16" t="n">
        <v>45879</v>
      </c>
      <c r="B3907" s="17" t="n">
        <v>118701.84</v>
      </c>
    </row>
    <row r="3908" customFormat="false" ht="15" hidden="false" customHeight="false" outlineLevel="0" collapsed="false">
      <c r="A3908" s="16" t="n">
        <v>45880</v>
      </c>
      <c r="B3908" s="17" t="n">
        <v>120113.18</v>
      </c>
    </row>
    <row r="3909" customFormat="false" ht="15" hidden="false" customHeight="false" outlineLevel="0" collapsed="false">
      <c r="A3909" s="16" t="n">
        <v>45881</v>
      </c>
      <c r="B3909" s="17" t="n">
        <v>123365.63</v>
      </c>
    </row>
    <row r="3910" customFormat="false" ht="15" hidden="false" customHeight="false" outlineLevel="0" collapsed="false">
      <c r="A3910" s="16" t="n">
        <v>45882</v>
      </c>
      <c r="B3910" s="17" t="n">
        <v>118389.79</v>
      </c>
    </row>
    <row r="3911" customFormat="false" ht="15" hidden="false" customHeight="false" outlineLevel="0" collapsed="false">
      <c r="A3911" s="16" t="n">
        <v>45883</v>
      </c>
      <c r="B3911" s="17" t="n">
        <v>117436.96</v>
      </c>
    </row>
    <row r="3912" customFormat="false" ht="15" hidden="false" customHeight="false" outlineLevel="0" collapsed="false">
      <c r="A3912" s="16" t="n">
        <v>45884</v>
      </c>
      <c r="B3912" s="17" t="n">
        <v>117455.68</v>
      </c>
    </row>
    <row r="3913" customFormat="false" ht="15" hidden="false" customHeight="false" outlineLevel="0" collapsed="false">
      <c r="A3913" s="16" t="n">
        <v>45885</v>
      </c>
      <c r="B3913" s="17" t="n">
        <v>117488.6</v>
      </c>
    </row>
    <row r="3914" customFormat="false" ht="15" hidden="false" customHeight="false" outlineLevel="0" collapsed="false">
      <c r="A3914" s="16" t="n">
        <v>45886</v>
      </c>
      <c r="B3914" s="17" t="n">
        <v>116286.76</v>
      </c>
    </row>
    <row r="3915" customFormat="false" ht="15" hidden="false" customHeight="false" outlineLevel="0" collapsed="false">
      <c r="A3915" s="16" t="n">
        <v>45887</v>
      </c>
      <c r="B3915" s="17" t="n">
        <v>112856.19</v>
      </c>
    </row>
    <row r="3916" customFormat="false" ht="15" hidden="false" customHeight="false" outlineLevel="0" collapsed="false">
      <c r="A3916" s="16" t="n">
        <v>45888</v>
      </c>
      <c r="B3916" s="17" t="n">
        <v>114276</v>
      </c>
    </row>
    <row r="3917" customFormat="false" ht="15" hidden="false" customHeight="false" outlineLevel="0" collapsed="false">
      <c r="A3917" s="16" t="n">
        <v>45889</v>
      </c>
      <c r="B3917" s="17" t="n">
        <v>112480.3</v>
      </c>
    </row>
    <row r="3918" customFormat="false" ht="15" hidden="false" customHeight="false" outlineLevel="0" collapsed="false">
      <c r="A3918" s="16" t="n">
        <v>45890</v>
      </c>
      <c r="B3918" s="17" t="n">
        <v>116908.68</v>
      </c>
    </row>
    <row r="3919" customFormat="false" ht="15" hidden="false" customHeight="false" outlineLevel="0" collapsed="false">
      <c r="A3919" s="16" t="n">
        <v>45891</v>
      </c>
      <c r="B3919" s="17" t="n">
        <v>115383.87</v>
      </c>
    </row>
    <row r="3920" customFormat="false" ht="15" hidden="false" customHeight="false" outlineLevel="0" collapsed="false">
      <c r="A3920" s="16" t="n">
        <v>45892</v>
      </c>
      <c r="B3920" s="17" t="n">
        <v>113478</v>
      </c>
    </row>
    <row r="3921" customFormat="false" ht="15" hidden="false" customHeight="false" outlineLevel="0" collapsed="false">
      <c r="A3921" s="16" t="n">
        <v>45893</v>
      </c>
      <c r="B3921" s="17" t="n">
        <v>110127.74</v>
      </c>
    </row>
    <row r="3922" customFormat="false" ht="15" hidden="false" customHeight="false" outlineLevel="0" collapsed="false">
      <c r="A3922" s="16" t="n">
        <v>45894</v>
      </c>
      <c r="B3922" s="17" t="n">
        <v>111788.01</v>
      </c>
    </row>
    <row r="3923" customFormat="false" ht="15" hidden="false" customHeight="false" outlineLevel="0" collapsed="false">
      <c r="A3923" s="16" t="n">
        <v>45895</v>
      </c>
      <c r="B3923" s="17" t="n">
        <v>111253.21</v>
      </c>
    </row>
    <row r="3924" customFormat="false" ht="15" hidden="false" customHeight="false" outlineLevel="0" collapsed="false">
      <c r="A3924" s="16" t="n">
        <v>45896</v>
      </c>
      <c r="B3924" s="17" t="n">
        <v>112574.85</v>
      </c>
    </row>
    <row r="3925" customFormat="false" ht="15" hidden="false" customHeight="false" outlineLevel="0" collapsed="false">
      <c r="A3925" s="16" t="n">
        <v>45897</v>
      </c>
      <c r="B3925" s="17" t="n">
        <v>108378.32</v>
      </c>
    </row>
    <row r="3926" customFormat="false" ht="15" hidden="false" customHeight="false" outlineLevel="0" collapsed="false">
      <c r="A3926" s="16" t="n">
        <v>45898</v>
      </c>
      <c r="B3926" s="17" t="n">
        <v>108827.93</v>
      </c>
    </row>
    <row r="3927" customFormat="false" ht="15" hidden="false" customHeight="false" outlineLevel="0" collapsed="false">
      <c r="A3927" s="16" t="n">
        <v>45899</v>
      </c>
      <c r="B3927" s="17" t="n">
        <v>108247.95</v>
      </c>
    </row>
    <row r="3928" customFormat="false" ht="15" hidden="false" customHeight="false" outlineLevel="0" collapsed="false">
      <c r="A3928" s="16" t="n">
        <v>45900</v>
      </c>
      <c r="B3928" s="17" t="n">
        <v>109240.55</v>
      </c>
    </row>
    <row r="3929" customFormat="false" ht="15" hidden="false" customHeight="false" outlineLevel="0" collapsed="false">
      <c r="A3929" s="16" t="n">
        <v>45901</v>
      </c>
      <c r="B3929" s="17" t="n">
        <v>111247.94</v>
      </c>
    </row>
    <row r="3930" customFormat="false" ht="15" hidden="false" customHeight="false" outlineLevel="0" collapsed="false">
      <c r="A3930" s="16" t="n">
        <v>45902</v>
      </c>
      <c r="B3930" s="17" t="n">
        <v>111756.41</v>
      </c>
    </row>
    <row r="3931" customFormat="false" ht="15" hidden="false" customHeight="false" outlineLevel="0" collapsed="false">
      <c r="A3931" s="16" t="n">
        <v>45903</v>
      </c>
      <c r="B3931" s="17" t="n">
        <v>110720.79</v>
      </c>
    </row>
    <row r="3932" customFormat="false" ht="15" hidden="false" customHeight="false" outlineLevel="0" collapsed="false">
      <c r="A3932" s="16" t="n">
        <v>45904</v>
      </c>
      <c r="B3932" s="17" t="n">
        <v>110670.02</v>
      </c>
    </row>
    <row r="3933" customFormat="false" ht="15" hidden="false" customHeight="false" outlineLevel="0" collapsed="false">
      <c r="A3933" s="16" t="n">
        <v>45905</v>
      </c>
      <c r="B3933" s="17" t="n">
        <v>110212.6</v>
      </c>
    </row>
    <row r="3934" customFormat="false" ht="15" hidden="false" customHeight="false" outlineLevel="0" collapsed="false">
      <c r="A3934" s="16" t="n">
        <v>45906</v>
      </c>
      <c r="B3934" s="17" t="n">
        <v>111129.61</v>
      </c>
    </row>
    <row r="3935" customFormat="false" ht="15" hidden="false" customHeight="false" outlineLevel="0" collapsed="false">
      <c r="A3935" s="16" t="n">
        <v>45907</v>
      </c>
      <c r="B3935" s="17" t="n">
        <v>112072.57</v>
      </c>
    </row>
    <row r="3936" customFormat="false" ht="15" hidden="false" customHeight="false" outlineLevel="0" collapsed="false">
      <c r="A3936" s="16" t="n">
        <v>45908</v>
      </c>
      <c r="B3936" s="17" t="n">
        <v>111549.32</v>
      </c>
    </row>
    <row r="3937" customFormat="false" ht="15" hidden="false" customHeight="false" outlineLevel="0" collapsed="false">
      <c r="A3937" s="16" t="n">
        <v>45909</v>
      </c>
      <c r="B3937" s="17" t="n">
        <v>113983.97</v>
      </c>
    </row>
    <row r="3938" customFormat="false" ht="15" hidden="false" customHeight="false" outlineLevel="0" collapsed="false">
      <c r="A3938" s="16" t="n">
        <v>45910</v>
      </c>
      <c r="B3938" s="17" t="n">
        <v>115540</v>
      </c>
    </row>
    <row r="3939" customFormat="false" ht="15" hidden="false" customHeight="false" outlineLevel="0" collapsed="false">
      <c r="A3939" s="16" t="n">
        <v>45911</v>
      </c>
      <c r="B3939" s="17" t="n">
        <v>116106.03</v>
      </c>
    </row>
    <row r="3940" customFormat="false" ht="15" hidden="false" customHeight="false" outlineLevel="0" collapsed="false">
      <c r="A3940" s="16" t="n">
        <v>45912</v>
      </c>
      <c r="B3940" s="17" t="n">
        <v>115968.35</v>
      </c>
    </row>
    <row r="3941" customFormat="false" ht="15" hidden="false" customHeight="false" outlineLevel="0" collapsed="false">
      <c r="A3941" s="16" t="n">
        <v>45913</v>
      </c>
      <c r="B3941" s="17" t="n">
        <v>115314.13</v>
      </c>
    </row>
    <row r="3942" customFormat="false" ht="15" hidden="false" customHeight="false" outlineLevel="0" collapsed="false">
      <c r="A3942" s="16" t="n">
        <v>45914</v>
      </c>
      <c r="B3942" s="17" t="n">
        <v>115381.08</v>
      </c>
    </row>
    <row r="3943" customFormat="false" ht="15" hidden="false" customHeight="false" outlineLevel="0" collapsed="false">
      <c r="A3943" s="16" t="n">
        <v>45915</v>
      </c>
      <c r="B3943" s="17" t="n">
        <v>116832.56</v>
      </c>
    </row>
    <row r="3944" customFormat="false" ht="15" hidden="false" customHeight="false" outlineLevel="0" collapsed="false">
      <c r="A3944" s="16" t="n">
        <v>45916</v>
      </c>
      <c r="B3944" s="17" t="n">
        <v>116484.4</v>
      </c>
    </row>
    <row r="3945" customFormat="false" ht="15" hidden="false" customHeight="false" outlineLevel="0" collapsed="false">
      <c r="A3945" s="16" t="n">
        <v>45917</v>
      </c>
      <c r="B3945" s="17" t="n">
        <v>117117.99</v>
      </c>
    </row>
    <row r="3946" customFormat="false" ht="15" hidden="false" customHeight="false" outlineLevel="0" collapsed="false">
      <c r="A3946" s="16" t="n">
        <v>45918</v>
      </c>
      <c r="B3946" s="17" t="n">
        <v>115690.55</v>
      </c>
    </row>
    <row r="3947" customFormat="false" ht="15" hidden="false" customHeight="false" outlineLevel="0" collapsed="false">
      <c r="A3947" s="16" t="n">
        <v>45919</v>
      </c>
      <c r="B3947" s="17" t="n">
        <v>115752.4</v>
      </c>
    </row>
    <row r="3948" customFormat="false" ht="15" hidden="false" customHeight="false" outlineLevel="0" collapsed="false">
      <c r="A3948" s="16" t="n">
        <v>45920</v>
      </c>
      <c r="B3948" s="17" t="n">
        <v>115282.27</v>
      </c>
    </row>
    <row r="3949" customFormat="false" ht="15" hidden="false" customHeight="false" outlineLevel="0" collapsed="false">
      <c r="A3949" s="16" t="n">
        <v>45921</v>
      </c>
      <c r="B3949" s="17" t="n">
        <v>112736.59</v>
      </c>
    </row>
    <row r="3950" customFormat="false" ht="15" hidden="false" customHeight="false" outlineLevel="0" collapsed="false">
      <c r="A3950" s="16" t="n">
        <v>45922</v>
      </c>
      <c r="B3950" s="17" t="n">
        <v>112017.21</v>
      </c>
    </row>
    <row r="3951" customFormat="false" ht="15" hidden="false" customHeight="false" outlineLevel="0" collapsed="false">
      <c r="A3951" s="16" t="n">
        <v>45923</v>
      </c>
      <c r="B3951" s="17" t="n">
        <v>113348.17</v>
      </c>
    </row>
    <row r="3952" customFormat="false" ht="15" hidden="false" customHeight="false" outlineLevel="0" collapsed="false">
      <c r="A3952" s="16" t="n">
        <v>45924</v>
      </c>
      <c r="B3952" s="17" t="n">
        <v>109035.72</v>
      </c>
    </row>
    <row r="3953" customFormat="false" ht="15" hidden="false" customHeight="false" outlineLevel="0" collapsed="false">
      <c r="A3953" s="16" t="n">
        <v>45925</v>
      </c>
      <c r="B3953" s="17" t="n">
        <v>109697.29</v>
      </c>
    </row>
    <row r="3954" customFormat="false" ht="15" hidden="false" customHeight="false" outlineLevel="0" collapsed="false">
      <c r="A3954" s="16" t="n">
        <v>45926</v>
      </c>
      <c r="B3954" s="17" t="n">
        <v>109681.16</v>
      </c>
    </row>
    <row r="3955" customFormat="false" ht="15" hidden="false" customHeight="false" outlineLevel="0" collapsed="false">
      <c r="A3955" s="16" t="n">
        <v>45927</v>
      </c>
      <c r="B3955" s="17" t="n">
        <v>112197.67</v>
      </c>
    </row>
    <row r="3956" customFormat="false" ht="15" hidden="false" customHeight="false" outlineLevel="0" collapsed="false">
      <c r="A3956" s="16" t="n">
        <v>45928</v>
      </c>
      <c r="B3956" s="17" t="n">
        <v>114365.07</v>
      </c>
    </row>
    <row r="3957" customFormat="false" ht="15" hidden="false" customHeight="false" outlineLevel="0" collapsed="false">
      <c r="A3957" s="16" t="n">
        <v>45929</v>
      </c>
      <c r="B3957" s="17" t="n">
        <v>114067.71</v>
      </c>
    </row>
    <row r="3958" customFormat="false" ht="15" hidden="false" customHeight="false" outlineLevel="0" collapsed="false">
      <c r="A3958" s="16" t="n">
        <v>45930</v>
      </c>
      <c r="B3958" s="17" t="n">
        <v>118659.97</v>
      </c>
    </row>
    <row r="3959" customFormat="false" ht="15" hidden="false" customHeight="false" outlineLevel="0" collapsed="false">
      <c r="A3959" s="16" t="n">
        <v>45931</v>
      </c>
      <c r="B3959" s="17" t="n">
        <v>120621.32</v>
      </c>
    </row>
    <row r="3960" customFormat="false" ht="15" hidden="false" customHeight="false" outlineLevel="0" collapsed="false">
      <c r="A3960" s="16" t="n">
        <v>45932</v>
      </c>
      <c r="B3960" s="17" t="n">
        <v>122318.4</v>
      </c>
    </row>
    <row r="3961" customFormat="false" ht="15" hidden="false" customHeight="false" outlineLevel="0" collapsed="false">
      <c r="A3961" s="16" t="n">
        <v>45933</v>
      </c>
      <c r="B3961" s="17" t="n">
        <v>122458.56</v>
      </c>
    </row>
    <row r="3962" customFormat="false" ht="15" hidden="false" customHeight="false" outlineLevel="0" collapsed="false">
      <c r="A3962" s="16" t="n">
        <v>45934</v>
      </c>
      <c r="B3962" s="17" t="n">
        <v>123520.79</v>
      </c>
    </row>
    <row r="3963" customFormat="false" ht="15" hidden="false" customHeight="false" outlineLevel="0" collapsed="false">
      <c r="A3963" s="16" t="n">
        <v>45935</v>
      </c>
      <c r="B3963" s="17" t="n">
        <v>124720.09</v>
      </c>
    </row>
    <row r="3964" customFormat="false" ht="15" hidden="false" customHeight="false" outlineLevel="0" collapsed="false">
      <c r="A3964" s="16" t="n">
        <v>45936</v>
      </c>
      <c r="B3964" s="17" t="n">
        <v>121393.95</v>
      </c>
    </row>
    <row r="3965" customFormat="false" ht="15" hidden="false" customHeight="false" outlineLevel="0" collapsed="false">
      <c r="A3965" s="16" t="n">
        <v>45937</v>
      </c>
      <c r="B3965" s="17" t="n">
        <v>123343.25</v>
      </c>
    </row>
    <row r="3966" customFormat="false" ht="15" hidden="false" customHeight="false" outlineLevel="0" collapsed="false">
      <c r="A3966" s="16" t="n">
        <v>45938</v>
      </c>
      <c r="B3966" s="17" t="n">
        <v>121714.51</v>
      </c>
    </row>
    <row r="3967" customFormat="false" ht="15" hidden="false" customHeight="false" outlineLevel="0" collapsed="false">
      <c r="A3967" s="16" t="n">
        <v>45939</v>
      </c>
      <c r="B3967" s="17" t="n">
        <v>112980.28</v>
      </c>
    </row>
    <row r="3968" customFormat="false" ht="15" hidden="false" customHeight="false" outlineLevel="0" collapsed="false">
      <c r="A3968" s="16" t="n">
        <v>45940</v>
      </c>
      <c r="B3968" s="17" t="n">
        <v>110768.89</v>
      </c>
    </row>
    <row r="3969" customFormat="false" ht="15" hidden="false" customHeight="false" outlineLevel="0" collapsed="false">
      <c r="A3969" s="16" t="n">
        <v>45941</v>
      </c>
      <c r="B3969" s="17" t="n">
        <v>115067.98</v>
      </c>
    </row>
    <row r="3970" customFormat="false" ht="15" hidden="false" customHeight="false" outlineLevel="0" collapsed="false">
      <c r="A3970" s="16" t="n">
        <v>45942</v>
      </c>
      <c r="B3970" s="17" t="n">
        <v>115274.03</v>
      </c>
    </row>
    <row r="3971" customFormat="false" ht="15" hidden="false" customHeight="false" outlineLevel="0" collapsed="false">
      <c r="A3971" s="16" t="n">
        <v>45943</v>
      </c>
      <c r="B3971" s="17" t="n">
        <v>113068</v>
      </c>
    </row>
    <row r="3972" customFormat="false" ht="15" hidden="false" customHeight="false" outlineLevel="0" collapsed="false">
      <c r="A3972" s="16" t="n">
        <v>45944</v>
      </c>
      <c r="B3972" s="17" t="n">
        <v>110804.12</v>
      </c>
    </row>
    <row r="3973" customFormat="false" ht="15" hidden="false" customHeight="false" outlineLevel="0" collapsed="false">
      <c r="A3973" s="16" t="n">
        <v>45945</v>
      </c>
      <c r="B3973" s="17" t="n">
        <v>108198</v>
      </c>
    </row>
    <row r="3974" customFormat="false" ht="15" hidden="false" customHeight="false" outlineLevel="0" collapsed="false">
      <c r="A3974" s="16" t="n">
        <v>45946</v>
      </c>
      <c r="B3974" s="17" t="n">
        <v>106463.3</v>
      </c>
    </row>
    <row r="3975" customFormat="false" ht="15" hidden="false" customHeight="false" outlineLevel="0" collapsed="false">
      <c r="A3975" s="16" t="n">
        <v>45947</v>
      </c>
      <c r="B3975" s="17" t="n">
        <v>107208.91</v>
      </c>
    </row>
    <row r="3976" customFormat="false" ht="15" hidden="false" customHeight="false" outlineLevel="0" collapsed="false">
      <c r="A3976" s="16" t="n">
        <v>45948</v>
      </c>
      <c r="B3976" s="17" t="n">
        <v>108676.78</v>
      </c>
    </row>
    <row r="3977" customFormat="false" ht="15" hidden="false" customHeight="false" outlineLevel="0" collapsed="false">
      <c r="A3977" s="16" t="n">
        <v>45949</v>
      </c>
      <c r="B3977" s="17" t="n">
        <v>110568.06</v>
      </c>
    </row>
    <row r="3978" customFormat="false" ht="15" hidden="false" customHeight="false" outlineLevel="0" collapsed="false">
      <c r="A3978" s="16" t="n">
        <v>45950</v>
      </c>
      <c r="B3978" s="17" t="n">
        <v>108362.27</v>
      </c>
    </row>
    <row r="3979" customFormat="false" ht="15" hidden="false" customHeight="false" outlineLevel="0" collapsed="false">
      <c r="A3979" s="16" t="n">
        <v>45951</v>
      </c>
      <c r="B3979" s="17" t="n">
        <v>107585.98</v>
      </c>
    </row>
    <row r="3980" customFormat="false" ht="15" hidden="false" customHeight="false" outlineLevel="0" collapsed="false">
      <c r="A3980" s="16" t="n">
        <v>45952</v>
      </c>
      <c r="B3980" s="17" t="n">
        <v>110116.03</v>
      </c>
    </row>
    <row r="3981" customFormat="false" ht="15" hidden="false" customHeight="false" outlineLevel="0" collapsed="false">
      <c r="A3981" s="16" t="n">
        <v>45953</v>
      </c>
      <c r="B3981" s="17" t="n">
        <v>111042.13</v>
      </c>
    </row>
    <row r="3982" customFormat="false" ht="15" hidden="false" customHeight="false" outlineLevel="0" collapsed="false">
      <c r="A3982" s="16" t="n">
        <v>45954</v>
      </c>
      <c r="B3982" s="17" t="n">
        <v>111666.21</v>
      </c>
    </row>
    <row r="3983" customFormat="false" ht="15" hidden="false" customHeight="false" outlineLevel="0" collapsed="false">
      <c r="A3983" s="16" t="n">
        <v>45955</v>
      </c>
      <c r="B3983" s="17" t="n">
        <v>114548.09</v>
      </c>
    </row>
    <row r="3984" customFormat="false" ht="15" hidden="false" customHeight="false" outlineLevel="0" collapsed="false">
      <c r="A3984" s="16" t="n">
        <v>45956</v>
      </c>
      <c r="B3984" s="17" t="n">
        <v>114087.06</v>
      </c>
    </row>
    <row r="3985" customFormat="false" ht="15" hidden="false" customHeight="false" outlineLevel="0" collapsed="false">
      <c r="A3985" s="16" t="n">
        <v>45957</v>
      </c>
      <c r="B3985" s="17" t="n">
        <v>112906.75</v>
      </c>
    </row>
    <row r="3986" customFormat="false" ht="15" hidden="false" customHeight="false" outlineLevel="0" collapsed="false">
      <c r="A3986" s="16" t="n">
        <v>45958</v>
      </c>
      <c r="B3986" s="17" t="n">
        <v>110032.13</v>
      </c>
    </row>
    <row r="3987" customFormat="false" ht="15" hidden="false" customHeight="false" outlineLevel="0" collapsed="false">
      <c r="A3987" s="16" t="n">
        <v>45959</v>
      </c>
      <c r="B3987" s="17" t="n">
        <v>108308.18</v>
      </c>
    </row>
    <row r="3988" customFormat="false" ht="15" hidden="false" customHeight="false" outlineLevel="0" collapsed="false">
      <c r="A3988" s="16" t="n">
        <v>45960</v>
      </c>
      <c r="B3988" s="17" t="n">
        <v>109555.27</v>
      </c>
    </row>
    <row r="3989" customFormat="false" ht="15" hidden="false" customHeight="false" outlineLevel="0" collapsed="false">
      <c r="A3989" s="16" t="n">
        <v>45961</v>
      </c>
      <c r="B3989" s="17" t="n">
        <v>110052.25</v>
      </c>
    </row>
    <row r="3990" customFormat="false" ht="15" hidden="false" customHeight="false" outlineLevel="0" collapsed="false">
      <c r="A3990" s="16" t="n">
        <v>45962</v>
      </c>
      <c r="B3990" s="17" t="n">
        <v>110536.01</v>
      </c>
    </row>
    <row r="3991" customFormat="false" ht="15" hidden="false" customHeight="false" outlineLevel="0" collapsed="false">
      <c r="A3991" s="16" t="n">
        <v>45963</v>
      </c>
      <c r="B3991" s="17" t="n">
        <v>106557.98</v>
      </c>
    </row>
    <row r="3992" customFormat="false" ht="15" hidden="false" customHeight="false" outlineLevel="0" collapsed="false">
      <c r="A3992" s="16" t="n">
        <v>45964</v>
      </c>
      <c r="B3992" s="17" t="n">
        <v>101468.15</v>
      </c>
    </row>
    <row r="3993" customFormat="false" ht="15" hidden="false" customHeight="false" outlineLevel="0" collapsed="false">
      <c r="A3993" s="16" t="n">
        <v>45965</v>
      </c>
      <c r="B3993" s="17" t="n">
        <v>100291.85</v>
      </c>
    </row>
    <row r="3994" customFormat="false" ht="15" hidden="false" customHeight="false" outlineLevel="0" collapsed="false">
      <c r="A3994" s="16" t="n">
        <v>45966</v>
      </c>
      <c r="B3994" s="17" t="n">
        <v>103472</v>
      </c>
    </row>
    <row r="3995" customFormat="false" ht="15" hidden="false" customHeight="false" outlineLevel="0" collapsed="false">
      <c r="A3995" s="16" t="n">
        <v>45967</v>
      </c>
      <c r="B3995" s="17" t="n">
        <v>101447.93</v>
      </c>
    </row>
    <row r="3996" customFormat="false" ht="15" hidden="false" customHeight="false" outlineLevel="0" collapsed="false">
      <c r="A3996" s="16" t="n">
        <v>45968</v>
      </c>
      <c r="B3996" s="17" t="n">
        <v>102882.15</v>
      </c>
    </row>
    <row r="3997" customFormat="false" ht="15" hidden="false" customHeight="false" outlineLevel="0" collapsed="false">
      <c r="A3997" s="16" t="n">
        <v>45969</v>
      </c>
      <c r="B3997" s="17" t="n">
        <v>101838.43</v>
      </c>
    </row>
    <row r="3998" customFormat="false" ht="15" hidden="false" customHeight="false" outlineLevel="0" collapsed="false">
      <c r="A3998" s="16" t="n">
        <v>45970</v>
      </c>
      <c r="B3998" s="17" t="n">
        <v>106496.49</v>
      </c>
    </row>
    <row r="3999" customFormat="false" ht="15" hidden="false" customHeight="false" outlineLevel="0" collapsed="false">
      <c r="A3999" s="16" t="n">
        <v>45971</v>
      </c>
      <c r="B3999" s="17" t="n">
        <v>106071.01</v>
      </c>
    </row>
    <row r="4000" customFormat="false" ht="15" hidden="false" customHeight="false" outlineLevel="0" collapsed="false">
      <c r="A4000" s="16" t="n">
        <v>45972</v>
      </c>
      <c r="B4000" s="17" t="n">
        <v>102734.93</v>
      </c>
    </row>
    <row r="4001" customFormat="false" ht="15" hidden="false" customHeight="false" outlineLevel="0" collapsed="false">
      <c r="A4001" s="16" t="n">
        <v>45973</v>
      </c>
      <c r="B4001" s="17" t="n">
        <v>101945.44</v>
      </c>
    </row>
    <row r="4002" customFormat="false" ht="15" hidden="false" customHeight="false" outlineLevel="0" collapsed="false">
      <c r="A4002" s="16" t="n">
        <v>45974</v>
      </c>
      <c r="B4002" s="17" t="n">
        <v>98906.39</v>
      </c>
    </row>
    <row r="4003" customFormat="false" ht="15" hidden="false" customHeight="false" outlineLevel="0" collapsed="false">
      <c r="A4003" s="16" t="n">
        <v>45975</v>
      </c>
      <c r="B4003" s="17" t="n">
        <v>94829.23</v>
      </c>
    </row>
    <row r="4004" customFormat="false" ht="15" hidden="false" customHeight="false" outlineLevel="0" collapsed="false">
      <c r="A4004" s="16" t="n">
        <v>45976</v>
      </c>
      <c r="B4004" s="17" t="n">
        <v>95095.36</v>
      </c>
    </row>
    <row r="4005" customFormat="false" ht="15" hidden="false" customHeight="false" outlineLevel="0" collapsed="false">
      <c r="A4005" s="16" t="n">
        <v>45977</v>
      </c>
      <c r="B4005" s="17" t="n">
        <v>95197.96</v>
      </c>
    </row>
    <row r="4006" customFormat="false" ht="15" hidden="false" customHeight="false" outlineLevel="0" collapsed="false">
      <c r="A4006" s="16" t="n">
        <v>45978</v>
      </c>
      <c r="B4006" s="17" t="n">
        <v>91855.7</v>
      </c>
    </row>
    <row r="4007" customFormat="false" ht="15" hidden="false" customHeight="false" outlineLevel="0" collapsed="false">
      <c r="A4007" s="16" t="n">
        <v>45979</v>
      </c>
      <c r="B4007" s="17" t="n">
        <v>92184.51</v>
      </c>
    </row>
    <row r="4008" customFormat="false" ht="15" hidden="false" customHeight="false" outlineLevel="0" collapsed="false">
      <c r="A4008" s="16" t="n">
        <v>45980</v>
      </c>
      <c r="B4008" s="17" t="n">
        <v>91783.66</v>
      </c>
    </row>
    <row r="4009" customFormat="false" ht="15" hidden="false" customHeight="false" outlineLevel="0" collapsed="false">
      <c r="A4009" s="16" t="n">
        <v>45981</v>
      </c>
      <c r="B4009" s="17" t="n">
        <v>87214</v>
      </c>
    </row>
    <row r="4010" customFormat="false" ht="15" hidden="false" customHeight="false" outlineLevel="0" collapsed="false">
      <c r="A4010" s="16" t="n">
        <v>45982</v>
      </c>
      <c r="B4010" s="17" t="n">
        <v>84826</v>
      </c>
    </row>
    <row r="4011" customFormat="false" ht="15" hidden="false" customHeight="false" outlineLevel="0" collapsed="false">
      <c r="A4011" s="16" t="n">
        <v>45983</v>
      </c>
      <c r="B4011" s="17" t="n">
        <v>85133.92</v>
      </c>
    </row>
    <row r="4012" customFormat="false" ht="15" hidden="false" customHeight="false" outlineLevel="0" collapsed="false">
      <c r="A4012" s="16" t="n">
        <v>45984</v>
      </c>
      <c r="B4012" s="17" t="n">
        <v>86499.25</v>
      </c>
    </row>
    <row r="4013" customFormat="false" ht="15" hidden="false" customHeight="false" outlineLevel="0" collapsed="false">
      <c r="A4013" s="16" t="n">
        <v>45985</v>
      </c>
      <c r="B4013" s="17" t="n">
        <v>87981.12</v>
      </c>
    </row>
    <row r="4014" customFormat="false" ht="15" hidden="false" customHeight="false" outlineLevel="0" collapsed="false">
      <c r="A4014" s="16" t="n">
        <v>45986</v>
      </c>
      <c r="B4014" s="17" t="n">
        <v>87366.12</v>
      </c>
    </row>
    <row r="4015" customFormat="false" ht="15" hidden="false" customHeight="false" outlineLevel="0" collapsed="false">
      <c r="A4015" s="16" t="n">
        <v>45987</v>
      </c>
      <c r="B4015" s="17" t="n">
        <v>90635.53</v>
      </c>
    </row>
    <row r="4016" customFormat="false" ht="15" hidden="false" customHeight="false" outlineLevel="0" collapsed="false">
      <c r="A4016" s="16" t="n">
        <v>45988</v>
      </c>
      <c r="B4016" s="17" t="n">
        <v>91094</v>
      </c>
    </row>
    <row r="4017" customFormat="false" ht="15" hidden="false" customHeight="false" outlineLevel="0" collapsed="false">
      <c r="A4017" s="16" t="n">
        <v>45989</v>
      </c>
      <c r="B4017" s="17" t="n">
        <v>90919.78</v>
      </c>
    </row>
    <row r="4018" customFormat="false" ht="15" hidden="false" customHeight="false" outlineLevel="0" collapsed="false">
      <c r="A4018" s="16" t="n">
        <v>45990</v>
      </c>
      <c r="B4018" s="17" t="n">
        <v>90946.75</v>
      </c>
    </row>
    <row r="4019" customFormat="false" ht="15" hidden="false" customHeight="false" outlineLevel="0" collapsed="false">
      <c r="A4019" s="16" t="n">
        <v>45991</v>
      </c>
      <c r="B4019" s="17" t="n">
        <v>87446.89</v>
      </c>
    </row>
    <row r="4020" customFormat="false" ht="15" hidden="false" customHeight="false" outlineLevel="0" collapsed="false">
      <c r="A4020" s="16" t="n">
        <v>45992</v>
      </c>
      <c r="B4020" s="17" t="n">
        <v>86628.25</v>
      </c>
    </row>
    <row r="4021" customFormat="false" ht="15" hidden="false" customHeight="false" outlineLevel="0" collapsed="false">
      <c r="A4021" s="16" t="n">
        <v>45993</v>
      </c>
      <c r="B4021" s="17" t="n">
        <v>91532.75</v>
      </c>
    </row>
    <row r="4022" customFormat="false" ht="15" hidden="false" customHeight="false" outlineLevel="0" collapsed="false">
      <c r="A4022" s="16" t="n">
        <v>45994</v>
      </c>
      <c r="B4022" s="17" t="n">
        <v>93150.03</v>
      </c>
    </row>
    <row r="4023" customFormat="false" ht="15" hidden="false" customHeight="false" outlineLevel="0" collapsed="false">
      <c r="A4023" s="16" t="n">
        <v>45995</v>
      </c>
      <c r="B4023" s="17" t="n">
        <v>92353.31</v>
      </c>
    </row>
    <row r="4024" customFormat="false" ht="15" hidden="false" customHeight="false" outlineLevel="0" collapsed="false">
      <c r="A4024" s="16" t="n">
        <v>45996</v>
      </c>
      <c r="B4024" s="17" t="n">
        <v>89347.18</v>
      </c>
    </row>
    <row r="4025" customFormat="false" ht="15" hidden="false" customHeight="false" outlineLevel="0" collapsed="false">
      <c r="A4025" s="16" t="n">
        <v>45997</v>
      </c>
      <c r="B4025" s="17" t="n">
        <v>89480.46</v>
      </c>
    </row>
    <row r="4026" customFormat="false" ht="15" hidden="false" customHeight="false" outlineLevel="0" collapsed="false">
      <c r="A4026" s="16" t="n">
        <v>45998</v>
      </c>
      <c r="B4026" s="17" t="n">
        <v>90435.42</v>
      </c>
    </row>
    <row r="4027" customFormat="false" ht="15" hidden="false" customHeight="false" outlineLevel="0" collapsed="false">
      <c r="A4027" s="16" t="n">
        <v>45999</v>
      </c>
      <c r="B4027" s="17" t="n">
        <v>90338.37</v>
      </c>
    </row>
    <row r="4028" customFormat="false" ht="15" hidden="false" customHeight="false" outlineLevel="0" collapsed="false">
      <c r="A4028" s="16" t="n">
        <v>46000</v>
      </c>
      <c r="B4028" s="17" t="n">
        <v>92243.57</v>
      </c>
    </row>
    <row r="4029" customFormat="false" ht="15" hidden="false" customHeight="false" outlineLevel="0" collapsed="false">
      <c r="A4029" s="16" t="n">
        <v>46001</v>
      </c>
      <c r="B4029" s="17" t="n">
        <v>91194.97</v>
      </c>
    </row>
    <row r="4030" customFormat="false" ht="15" hidden="false" customHeight="false" outlineLevel="0" collapsed="false">
      <c r="A4030" s="16" t="n">
        <v>46002</v>
      </c>
      <c r="B4030" s="17" t="n">
        <v>91784.59</v>
      </c>
    </row>
    <row r="4031" customFormat="false" ht="15" hidden="false" customHeight="false" outlineLevel="0" collapsed="false">
      <c r="A4031" s="16" t="n">
        <v>46003</v>
      </c>
      <c r="B4031" s="17" t="n">
        <v>90350</v>
      </c>
    </row>
    <row r="4032" customFormat="false" ht="15" hidden="false" customHeight="false" outlineLevel="0" collapsed="false">
      <c r="A4032" s="16" t="n">
        <v>46004</v>
      </c>
      <c r="B4032" s="17" t="n">
        <v>90326.01</v>
      </c>
    </row>
    <row r="4033" customFormat="false" ht="15" hidden="false" customHeight="false" outlineLevel="0" collapsed="false">
      <c r="A4033" s="16" t="n">
        <v>46005</v>
      </c>
      <c r="B4033" s="17" t="n">
        <v>88460.01</v>
      </c>
    </row>
    <row r="4034" customFormat="false" ht="15" hidden="false" customHeight="false" outlineLevel="0" collapsed="false">
      <c r="A4034" s="16" t="n">
        <v>46006</v>
      </c>
      <c r="B4034" s="17" t="n">
        <v>85950</v>
      </c>
    </row>
    <row r="4035" customFormat="false" ht="15" hidden="false" customHeight="false" outlineLevel="0" collapsed="false">
      <c r="A4035" s="16" t="n">
        <v>46007</v>
      </c>
      <c r="B4035" s="17" t="n">
        <v>87599.87</v>
      </c>
    </row>
    <row r="4036" customFormat="false" ht="15" hidden="false" customHeight="false" outlineLevel="0" collapsed="false">
      <c r="A4036" s="16" t="n">
        <v>46008</v>
      </c>
      <c r="B4036" s="17" t="n">
        <v>86064.34</v>
      </c>
    </row>
    <row r="4037" customFormat="false" ht="15" hidden="false" customHeight="false" outlineLevel="0" collapsed="false">
      <c r="A4037" s="16" t="n">
        <v>46009</v>
      </c>
      <c r="B4037" s="17" t="n">
        <v>85352.25</v>
      </c>
    </row>
    <row r="4038" customFormat="false" ht="15" hidden="false" customHeight="false" outlineLevel="0" collapsed="false">
      <c r="A4038" s="16" t="n">
        <v>46010</v>
      </c>
      <c r="B4038" s="17" t="n">
        <v>88016.09</v>
      </c>
    </row>
    <row r="4039" customFormat="false" ht="15" hidden="false" customHeight="false" outlineLevel="0" collapsed="false">
      <c r="A4039" s="16" t="n">
        <v>46011</v>
      </c>
      <c r="B4039" s="17" t="n">
        <v>88322.39</v>
      </c>
    </row>
    <row r="4040" customFormat="false" ht="15" hidden="false" customHeight="false" outlineLevel="0" collapsed="false">
      <c r="A4040" s="16" t="n">
        <v>46012</v>
      </c>
      <c r="B4040" s="17" t="n">
        <v>88716</v>
      </c>
    </row>
    <row r="4041" customFormat="false" ht="15" hidden="false" customHeight="false" outlineLevel="0" collapsed="false">
      <c r="A4041" s="16" t="n">
        <v>46013</v>
      </c>
      <c r="B4041" s="17" t="n">
        <v>88837.97</v>
      </c>
    </row>
    <row r="4042" customFormat="false" ht="15" hidden="false" customHeight="false" outlineLevel="0" collapsed="false">
      <c r="A4042" s="16" t="n">
        <v>46014</v>
      </c>
      <c r="B4042" s="17" t="n">
        <v>87594.74</v>
      </c>
    </row>
    <row r="4043" customFormat="false" ht="15" hidden="false" customHeight="false" outlineLevel="0" collapsed="false">
      <c r="A4043" s="16" t="n">
        <v>46015</v>
      </c>
      <c r="B4043" s="17" t="n">
        <v>87516</v>
      </c>
    </row>
    <row r="4044" customFormat="false" ht="15" hidden="false" customHeight="false" outlineLevel="0" collapsed="false">
      <c r="A4044" s="16" t="n">
        <v>46016</v>
      </c>
      <c r="B4044" s="17" t="n">
        <v>87159.35</v>
      </c>
    </row>
    <row r="4045" customFormat="false" ht="15" hidden="false" customHeight="false" outlineLevel="0" collapsed="false">
      <c r="A4045" s="16" t="n">
        <v>46017</v>
      </c>
      <c r="B4045" s="17" t="n">
        <v>87280.65</v>
      </c>
    </row>
    <row r="4046" customFormat="false" ht="15" hidden="false" customHeight="false" outlineLevel="0" collapsed="false">
      <c r="A4046" s="16" t="n">
        <v>46018</v>
      </c>
      <c r="B4046" s="17" t="n">
        <v>87844.66</v>
      </c>
    </row>
    <row r="4047" customFormat="false" ht="15" hidden="false" customHeight="false" outlineLevel="0" collapsed="false">
      <c r="A4047" s="16" t="n">
        <v>46019</v>
      </c>
      <c r="B4047" s="17" t="n">
        <v>88029.48</v>
      </c>
    </row>
    <row r="4048" customFormat="false" ht="15" hidden="false" customHeight="false" outlineLevel="0" collapsed="false">
      <c r="A4048" s="16" t="n">
        <v>46020</v>
      </c>
      <c r="B4048" s="17" t="n">
        <v>87055.23</v>
      </c>
    </row>
    <row r="4049" customFormat="false" ht="15" hidden="false" customHeight="false" outlineLevel="0" collapsed="false">
      <c r="A4049" s="16" t="n">
        <v>46021</v>
      </c>
      <c r="B4049" s="17" t="n">
        <v>88185.26</v>
      </c>
    </row>
    <row r="4050" customFormat="false" ht="15" hidden="false" customHeight="false" outlineLevel="0" collapsed="false">
      <c r="A4050" s="16" t="n">
        <v>46022</v>
      </c>
      <c r="B4050" s="17" t="n">
        <v>87696</v>
      </c>
    </row>
    <row r="4051" customFormat="false" ht="15" hidden="false" customHeight="false" outlineLevel="0" collapsed="false">
      <c r="A4051" s="16" t="n">
        <v>46023</v>
      </c>
      <c r="B4051" s="17" t="n">
        <v>88642.88</v>
      </c>
    </row>
    <row r="4052" customFormat="false" ht="15" hidden="false" customHeight="false" outlineLevel="0" collapsed="false">
      <c r="A4052" s="16" t="n">
        <v>46024</v>
      </c>
      <c r="B4052" s="17" t="n">
        <v>90112.01</v>
      </c>
    </row>
    <row r="4053" customFormat="false" ht="15" hidden="false" customHeight="false" outlineLevel="0" collapsed="false">
      <c r="A4053" s="16" t="n">
        <v>46025</v>
      </c>
      <c r="B4053" s="17" t="n">
        <v>91351.98</v>
      </c>
    </row>
    <row r="4054" customFormat="false" ht="15" hidden="false" customHeight="false" outlineLevel="0" collapsed="false">
      <c r="A4054" s="16" t="n">
        <v>46026</v>
      </c>
      <c r="B4054" s="17" t="n">
        <v>92392.38</v>
      </c>
    </row>
    <row r="4055" customFormat="false" ht="15" hidden="false" customHeight="false" outlineLevel="0" collapsed="false">
      <c r="A4055" s="16" t="n">
        <v>46027</v>
      </c>
      <c r="B4055" s="17" t="n">
        <v>93891.94</v>
      </c>
    </row>
    <row r="4056" customFormat="false" ht="15" hidden="false" customHeight="false" outlineLevel="0" collapsed="false">
      <c r="A4056" s="16" t="n">
        <v>46028</v>
      </c>
      <c r="B4056" s="17" t="n">
        <v>92771.99</v>
      </c>
    </row>
    <row r="4057" customFormat="false" ht="15" hidden="false" customHeight="false" outlineLevel="0" collapsed="false">
      <c r="A4057" s="16" t="n">
        <v>46029</v>
      </c>
      <c r="B4057" s="17" t="n">
        <v>91377.92</v>
      </c>
    </row>
    <row r="4058" customFormat="false" ht="15" hidden="false" customHeight="false" outlineLevel="0" collapsed="false">
      <c r="A4058" s="16" t="n">
        <v>46030</v>
      </c>
      <c r="B4058" s="17" t="n">
        <v>91246.53</v>
      </c>
    </row>
    <row r="4059" customFormat="false" ht="15" hidden="false" customHeight="false" outlineLevel="0" collapsed="false">
      <c r="A4059" s="16" t="n">
        <v>46031</v>
      </c>
      <c r="B4059" s="17" t="n">
        <v>90476.01</v>
      </c>
    </row>
    <row r="4060" customFormat="false" ht="15" hidden="false" customHeight="false" outlineLevel="0" collapsed="false">
      <c r="A4060" s="16" t="n">
        <v>46032</v>
      </c>
      <c r="B4060" s="17" t="n">
        <v>90509.91</v>
      </c>
    </row>
    <row r="4061" customFormat="false" ht="15" hidden="false" customHeight="false" outlineLevel="0" collapsed="false">
      <c r="A4061" s="16" t="n">
        <v>46033</v>
      </c>
      <c r="B4061" s="17" t="n">
        <v>91538.05</v>
      </c>
    </row>
    <row r="4062" customFormat="false" ht="15" hidden="false" customHeight="false" outlineLevel="0" collapsed="false">
      <c r="A4062" s="16" t="n">
        <v>46034</v>
      </c>
      <c r="B4062" s="17" t="n">
        <v>91293.98</v>
      </c>
    </row>
    <row r="4063" customFormat="false" ht="15" hidden="false" customHeight="false" outlineLevel="0" collapsed="false">
      <c r="A4063" s="16" t="n">
        <v>46035</v>
      </c>
      <c r="B4063" s="17" t="n">
        <v>95222.7</v>
      </c>
    </row>
    <row r="4064" customFormat="false" ht="15" hidden="false" customHeight="false" outlineLevel="0" collapsed="false">
      <c r="A4064" s="16" t="n">
        <v>46036</v>
      </c>
      <c r="B4064" s="17" t="n">
        <v>96852.91</v>
      </c>
    </row>
    <row r="4065" customFormat="false" ht="15" hidden="false" customHeight="false" outlineLevel="0" collapsed="false">
      <c r="A4065" s="16" t="n">
        <v>46037</v>
      </c>
      <c r="B4065" s="17" t="n">
        <v>95569.99</v>
      </c>
    </row>
    <row r="4066" customFormat="false" ht="15" hidden="false" customHeight="false" outlineLevel="0" collapsed="false">
      <c r="A4066" s="16" t="n">
        <v>46038</v>
      </c>
      <c r="B4066" s="17" t="n">
        <v>95467.76</v>
      </c>
    </row>
    <row r="4067" customFormat="false" ht="15" hidden="false" customHeight="false" outlineLevel="0" collapsed="false">
      <c r="A4067" s="16" t="n">
        <v>46039</v>
      </c>
      <c r="B4067" s="17" t="n">
        <v>95015.57</v>
      </c>
    </row>
    <row r="4068" customFormat="false" ht="15" hidden="false" customHeight="false" outlineLevel="0" collapsed="false">
      <c r="A4068" s="16" t="n">
        <v>46040</v>
      </c>
      <c r="B4068" s="17" t="n">
        <v>92624.74</v>
      </c>
    </row>
    <row r="4069" customFormat="false" ht="15" hidden="false" customHeight="false" outlineLevel="0" collapsed="false">
      <c r="A4069" s="16" t="n">
        <v>46041</v>
      </c>
      <c r="B4069" s="17" t="n">
        <v>92572.21</v>
      </c>
    </row>
    <row r="4070" customFormat="false" ht="15" hidden="false" customHeight="false" outlineLevel="0" collapsed="false">
      <c r="A4070" s="16" t="n">
        <v>46042</v>
      </c>
      <c r="B4070" s="17" t="n">
        <v>88916.02</v>
      </c>
    </row>
    <row r="4071" customFormat="false" ht="15" hidden="false" customHeight="false" outlineLevel="0" collapsed="false">
      <c r="A4071" s="16" t="n">
        <v>46043</v>
      </c>
      <c r="B4071" s="17" t="n">
        <v>89936.47</v>
      </c>
    </row>
    <row r="4072" customFormat="false" ht="15" hidden="false" customHeight="false" outlineLevel="0" collapsed="false">
      <c r="A4072" s="16" t="n">
        <v>46044</v>
      </c>
      <c r="B4072" s="17" t="n">
        <v>89522.33</v>
      </c>
    </row>
    <row r="4073" customFormat="false" ht="15" hidden="false" customHeight="false" outlineLevel="0" collapsed="false">
      <c r="A4073" s="16" t="n">
        <v>46045</v>
      </c>
      <c r="B4073" s="17" t="n">
        <v>89365.99</v>
      </c>
    </row>
    <row r="4074" customFormat="false" ht="15" hidden="false" customHeight="false" outlineLevel="0" collapsed="false">
      <c r="A4074" s="16" t="n">
        <v>46046</v>
      </c>
      <c r="B4074" s="17" t="n">
        <v>89155.13</v>
      </c>
    </row>
    <row r="4075" customFormat="false" ht="15" hidden="false" customHeight="false" outlineLevel="0" collapsed="false">
      <c r="A4075" s="16" t="n">
        <v>46047</v>
      </c>
      <c r="B4075" s="17" t="n">
        <v>86978.89</v>
      </c>
    </row>
    <row r="4076" customFormat="false" ht="15" hidden="false" customHeight="false" outlineLevel="0" collapsed="false">
      <c r="A4076" s="16" t="n">
        <v>46048</v>
      </c>
      <c r="B4076" s="17" t="n">
        <v>88136.48</v>
      </c>
    </row>
    <row r="4077" customFormat="false" ht="15" hidden="false" customHeight="false" outlineLevel="0" collapsed="false">
      <c r="A4077" s="16" t="n">
        <v>46049</v>
      </c>
      <c r="B4077" s="17" t="n">
        <v>89296</v>
      </c>
    </row>
    <row r="4078" customFormat="false" ht="15" hidden="false" customHeight="false" outlineLevel="0" collapsed="false">
      <c r="A4078" s="16" t="n">
        <v>46050</v>
      </c>
      <c r="B4078" s="17" t="n">
        <v>88963.96</v>
      </c>
    </row>
    <row r="4079" customFormat="false" ht="15" hidden="false" customHeight="false" outlineLevel="0" collapsed="false">
      <c r="A4079" s="16" t="n">
        <v>46051</v>
      </c>
      <c r="B4079" s="17" t="n">
        <v>83943.96</v>
      </c>
    </row>
    <row r="4080" customFormat="false" ht="15" hidden="false" customHeight="false" outlineLevel="0" collapsed="false">
      <c r="A4080" s="16" t="n">
        <v>46052</v>
      </c>
      <c r="B4080" s="17" t="n">
        <v>83986.02</v>
      </c>
    </row>
    <row r="4081" customFormat="false" ht="15" hidden="false" customHeight="false" outlineLevel="0" collapsed="false">
      <c r="A4081" s="16" t="n">
        <v>46053</v>
      </c>
      <c r="B4081" s="17" t="n">
        <v>78727.3</v>
      </c>
    </row>
    <row r="4082" customFormat="false" ht="15" hidden="false" customHeight="false" outlineLevel="0" collapsed="false">
      <c r="A4082" s="16" t="n">
        <v>46054</v>
      </c>
      <c r="B4082" s="17" t="n">
        <v>77831.33</v>
      </c>
    </row>
    <row r="4083" customFormat="false" ht="15" hidden="false" customHeight="false" outlineLevel="0" collapsed="false">
      <c r="A4083" s="16" t="n">
        <v>46055</v>
      </c>
      <c r="B4083" s="17" t="n">
        <v>78938.16</v>
      </c>
    </row>
    <row r="4084" customFormat="false" ht="15" hidden="false" customHeight="false" outlineLevel="0" collapsed="false">
      <c r="A4084" s="16" t="n">
        <v>46056</v>
      </c>
      <c r="B4084" s="17" t="n">
        <v>76313.98</v>
      </c>
    </row>
    <row r="4085" customFormat="false" ht="15" hidden="false" customHeight="false" outlineLevel="0" collapsed="false">
      <c r="A4085" s="16" t="n">
        <v>46057</v>
      </c>
      <c r="B4085" s="17" t="n">
        <v>72853.79</v>
      </c>
    </row>
    <row r="4086" customFormat="false" ht="15" hidden="false" customHeight="false" outlineLevel="0" collapsed="false">
      <c r="A4086" s="16" t="n">
        <v>46058</v>
      </c>
      <c r="B4086" s="17" t="n">
        <v>63845.99</v>
      </c>
    </row>
    <row r="4087" customFormat="false" ht="15" hidden="false" customHeight="false" outlineLevel="0" collapsed="false">
      <c r="A4087" s="16" t="n">
        <v>46059</v>
      </c>
      <c r="B4087" s="17" t="n">
        <v>69936.2</v>
      </c>
    </row>
    <row r="4088" customFormat="false" ht="15" hidden="false" customHeight="false" outlineLevel="0" collapsed="false">
      <c r="A4088" s="16" t="n">
        <v>46060</v>
      </c>
      <c r="B4088" s="17" t="n">
        <v>69199.99</v>
      </c>
    </row>
    <row r="4089" customFormat="false" ht="15" hidden="false" customHeight="false" outlineLevel="0" collapsed="false">
      <c r="A4089" s="16" t="n">
        <v>46061</v>
      </c>
      <c r="B4089" s="17" t="n">
        <v>70477.92</v>
      </c>
    </row>
    <row r="4090" customFormat="false" ht="15" hidden="false" customHeight="false" outlineLevel="0" collapsed="false">
      <c r="A4090" s="16" t="n">
        <v>46062</v>
      </c>
      <c r="B4090" s="17" t="n">
        <v>69986.8</v>
      </c>
    </row>
    <row r="4091" customFormat="false" ht="15" hidden="false" customHeight="false" outlineLevel="0" collapsed="false">
      <c r="A4091" s="16" t="n">
        <v>46063</v>
      </c>
      <c r="B4091" s="17" t="n">
        <v>69219</v>
      </c>
    </row>
    <row r="4092" customFormat="false" ht="15" hidden="false" customHeight="false" outlineLevel="0" collapsed="false">
      <c r="A4092" s="16" t="n">
        <v>46064</v>
      </c>
      <c r="B4092" s="17" t="n">
        <v>67479.13</v>
      </c>
    </row>
    <row r="4093" customFormat="false" ht="15" hidden="false" customHeight="false" outlineLevel="0" collapsed="false">
      <c r="A4093" s="16" t="n">
        <v>46065</v>
      </c>
      <c r="B4093" s="17" t="n">
        <v>66001.99</v>
      </c>
    </row>
    <row r="4094" customFormat="false" ht="15" hidden="false" customHeight="false" outlineLevel="0" collapsed="false">
      <c r="A4094" s="16" t="n">
        <v>46066</v>
      </c>
      <c r="B4094" s="17" t="n">
        <v>68970.18</v>
      </c>
    </row>
    <row r="4095" customFormat="false" ht="15" hidden="false" customHeight="false" outlineLevel="0" collapsed="false">
      <c r="A4095" s="16" t="n">
        <v>46067</v>
      </c>
      <c r="B4095" s="17" t="n">
        <v>69801.43</v>
      </c>
    </row>
    <row r="4096" customFormat="false" ht="15" hidden="false" customHeight="false" outlineLevel="0" collapsed="false">
      <c r="A4096" s="16" t="n">
        <v>46068</v>
      </c>
      <c r="B4096" s="17" t="n">
        <v>68913.72</v>
      </c>
    </row>
    <row r="4097" customFormat="false" ht="15" hidden="false" customHeight="false" outlineLevel="0" collapsed="false">
      <c r="A4097" s="16" t="n">
        <v>46069</v>
      </c>
      <c r="B4097" s="17" t="n">
        <v>68810.28</v>
      </c>
    </row>
    <row r="4098" customFormat="false" ht="15" hidden="false" customHeight="false" outlineLevel="0" collapsed="false">
      <c r="A4098" s="16" t="n">
        <v>46070</v>
      </c>
      <c r="B4098" s="17" t="n">
        <v>67191.37</v>
      </c>
    </row>
    <row r="4099" customFormat="false" ht="15" hidden="false" customHeight="false" outlineLevel="0" collapsed="false">
      <c r="A4099" s="16" t="n">
        <v>46071</v>
      </c>
      <c r="B4099" s="17" t="n">
        <v>66533.36</v>
      </c>
    </row>
    <row r="4100" customFormat="false" ht="15" hidden="false" customHeight="false" outlineLevel="0" collapsed="false">
      <c r="A4100" s="16" t="n">
        <v>46072</v>
      </c>
      <c r="B4100" s="17" t="n">
        <v>67214.29</v>
      </c>
    </row>
    <row r="4101" customFormat="false" ht="15" hidden="false" customHeight="false" outlineLevel="0" collapsed="false">
      <c r="A4101" s="16" t="n">
        <v>46073</v>
      </c>
      <c r="B4101" s="17" t="n">
        <v>67885.32</v>
      </c>
    </row>
    <row r="4102" customFormat="false" ht="15" hidden="false" customHeight="false" outlineLevel="0" collapsed="false">
      <c r="A4102" s="16" t="n">
        <v>46074</v>
      </c>
      <c r="B4102" s="17" t="n">
        <v>67969.48</v>
      </c>
    </row>
    <row r="4103" customFormat="false" ht="15" hidden="false" customHeight="false" outlineLevel="0" collapsed="false">
      <c r="A4103" s="16" t="n">
        <v>46075</v>
      </c>
      <c r="B4103" s="17" t="n">
        <v>66238.9</v>
      </c>
    </row>
    <row r="4104" customFormat="false" ht="15" hidden="false" customHeight="false" outlineLevel="0" collapsed="false">
      <c r="A4104" s="16" t="n">
        <v>46076</v>
      </c>
      <c r="B4104" s="17" t="n">
        <v>64743.99</v>
      </c>
    </row>
    <row r="4105" customFormat="false" ht="15" hidden="false" customHeight="false" outlineLevel="0" collapsed="false">
      <c r="A4105" s="16" t="n">
        <v>46077</v>
      </c>
      <c r="B4105" s="17" t="n">
        <v>64290.01</v>
      </c>
    </row>
    <row r="4106" customFormat="false" ht="15" hidden="false" customHeight="false" outlineLevel="0" collapsed="false">
      <c r="A4106" s="16" t="n">
        <v>46078</v>
      </c>
      <c r="B4106" s="17" t="n">
        <v>68448.27</v>
      </c>
    </row>
    <row r="4107" customFormat="false" ht="15" hidden="false" customHeight="false" outlineLevel="0" collapsed="false">
      <c r="A4107" s="16" t="n">
        <v>46079</v>
      </c>
      <c r="B4107" s="17" t="n">
        <v>67068.86</v>
      </c>
    </row>
    <row r="4108" customFormat="false" ht="15" hidden="false" customHeight="false" outlineLevel="0" collapsed="false">
      <c r="A4108" s="16" t="n">
        <v>46080</v>
      </c>
      <c r="B4108" s="17" t="n">
        <v>65950</v>
      </c>
    </row>
    <row r="4109" customFormat="false" ht="15" hidden="false" customHeight="false" outlineLevel="0" collapsed="false">
      <c r="A4109" s="16" t="n">
        <v>46081</v>
      </c>
      <c r="B4109" s="17" t="n">
        <v>66680.36</v>
      </c>
    </row>
    <row r="4110" customFormat="false" ht="15" hidden="false" customHeight="false" outlineLevel="0" collapsed="false">
      <c r="A4110" s="16" t="n">
        <v>46082</v>
      </c>
      <c r="B4110" s="17" t="n">
        <v>66474.29</v>
      </c>
    </row>
    <row r="4111" customFormat="false" ht="15" hidden="false" customHeight="false" outlineLevel="0" collapsed="false">
      <c r="A4111" s="16" t="n">
        <v>46083</v>
      </c>
      <c r="B4111" s="17" t="n">
        <v>69016.92</v>
      </c>
    </row>
    <row r="4112" customFormat="false" ht="15" hidden="false" customHeight="false" outlineLevel="0" collapsed="false">
      <c r="A4112" s="16" t="n">
        <v>46084</v>
      </c>
      <c r="B4112" s="17" t="n">
        <v>68222.81</v>
      </c>
    </row>
    <row r="4113" customFormat="false" ht="15" hidden="false" customHeight="false" outlineLevel="0" collapsed="false">
      <c r="A4113" s="16" t="n">
        <v>46085</v>
      </c>
      <c r="B4113" s="17" t="n">
        <v>72776.66</v>
      </c>
    </row>
    <row r="4114" customFormat="false" ht="15" hidden="false" customHeight="false" outlineLevel="0" collapsed="false">
      <c r="A4114" s="16" t="n">
        <v>46086</v>
      </c>
      <c r="B4114" s="17" t="n">
        <v>70955.49</v>
      </c>
    </row>
    <row r="4115" customFormat="false" ht="15" hidden="false" customHeight="false" outlineLevel="0" collapsed="false">
      <c r="A4115" s="16" t="n">
        <v>46087</v>
      </c>
      <c r="B4115" s="17" t="n">
        <v>68350</v>
      </c>
    </row>
    <row r="4116" customFormat="false" ht="15" hidden="false" customHeight="false" outlineLevel="0" collapsed="false">
      <c r="A4116" s="16" t="n">
        <v>46088</v>
      </c>
      <c r="B4116" s="17" t="n">
        <v>67193.87</v>
      </c>
    </row>
    <row r="4117" customFormat="false" ht="15" hidden="false" customHeight="false" outlineLevel="0" collapsed="false">
      <c r="A4117" s="16" t="n">
        <v>46089</v>
      </c>
      <c r="B4117" s="17" t="n">
        <v>66055.14</v>
      </c>
    </row>
    <row r="4118" customFormat="false" ht="15" hidden="false" customHeight="false" outlineLevel="0" collapsed="false">
      <c r="A4118" s="16" t="n">
        <v>46090</v>
      </c>
      <c r="B4118" s="17" t="n">
        <v>68480.54</v>
      </c>
    </row>
    <row r="4119" customFormat="false" ht="15" hidden="false" customHeight="false" outlineLevel="0" collapsed="false">
      <c r="A4119" s="16" t="n">
        <v>46091</v>
      </c>
      <c r="B4119" s="17" t="n">
        <v>69847.95</v>
      </c>
    </row>
    <row r="4120" customFormat="false" ht="15" hidden="false" customHeight="false" outlineLevel="0" collapsed="false">
      <c r="A4120" s="16" t="n">
        <v>46092</v>
      </c>
      <c r="B4120" s="17" t="n">
        <v>70210.72</v>
      </c>
    </row>
    <row r="4121" customFormat="false" ht="15" hidden="false" customHeight="false" outlineLevel="0" collapsed="false">
      <c r="A4121" s="16" t="n">
        <v>46093</v>
      </c>
      <c r="B4121" s="17" t="n">
        <v>70500.54</v>
      </c>
    </row>
    <row r="4122" customFormat="false" ht="15" hidden="false" customHeight="false" outlineLevel="0" collapsed="false">
      <c r="A4122" s="16" t="n">
        <v>46094</v>
      </c>
      <c r="B4122" s="17" t="n">
        <v>70838.78</v>
      </c>
    </row>
    <row r="4123" customFormat="false" ht="15" hidden="false" customHeight="false" outlineLevel="0" collapsed="false">
      <c r="A4123" s="16" t="n">
        <v>46095</v>
      </c>
      <c r="B4123" s="17" t="n">
        <v>71118.53</v>
      </c>
    </row>
    <row r="4124" customFormat="false" ht="15" hidden="false" customHeight="false" outlineLevel="0" collapsed="false">
      <c r="A4124" s="16" t="n">
        <v>46096</v>
      </c>
      <c r="B4124" s="17" t="n">
        <v>72953.27</v>
      </c>
    </row>
    <row r="4125" customFormat="false" ht="15" hidden="false" customHeight="false" outlineLevel="0" collapsed="false">
      <c r="A4125" s="16" t="n">
        <v>46097</v>
      </c>
      <c r="B4125" s="17" t="n">
        <v>74758.54</v>
      </c>
    </row>
    <row r="4126" customFormat="false" ht="15" hidden="false" customHeight="false" outlineLevel="0" collapsed="false">
      <c r="A4126" s="16" t="n">
        <v>46098</v>
      </c>
      <c r="B4126" s="17" t="n">
        <v>73845.35</v>
      </c>
    </row>
    <row r="4127" customFormat="false" ht="15" hidden="false" customHeight="false" outlineLevel="0" collapsed="false">
      <c r="A4127" s="16" t="n">
        <v>46099</v>
      </c>
      <c r="B4127" s="17" t="n">
        <v>71204.95</v>
      </c>
    </row>
    <row r="4128" customFormat="false" ht="15" hidden="false" customHeight="false" outlineLevel="0" collapsed="false">
      <c r="A4128" s="16" t="n">
        <v>46100</v>
      </c>
      <c r="B4128" s="17" t="n">
        <v>69858.95</v>
      </c>
    </row>
    <row r="4129" customFormat="false" ht="15" hidden="false" customHeight="false" outlineLevel="0" collapsed="false">
      <c r="A4129" s="16" t="n">
        <v>46101</v>
      </c>
      <c r="B4129" s="17" t="n">
        <v>70560.99</v>
      </c>
    </row>
    <row r="4130" customFormat="false" ht="15" hidden="false" customHeight="false" outlineLevel="0" collapsed="false">
      <c r="A4130" s="16" t="n">
        <v>46102</v>
      </c>
      <c r="B4130" s="17" t="n">
        <v>68398.68</v>
      </c>
    </row>
    <row r="4131" customFormat="false" ht="15" hidden="false" customHeight="false" outlineLevel="0" collapsed="false">
      <c r="A4131" s="16" t="n">
        <v>46103</v>
      </c>
      <c r="B4131" s="17" t="n">
        <v>67977.71</v>
      </c>
    </row>
    <row r="4132" customFormat="false" ht="15" hidden="false" customHeight="false" outlineLevel="0" collapsed="false">
      <c r="A4132" s="16" t="n">
        <v>46104</v>
      </c>
      <c r="B4132" s="17" t="n">
        <v>70906</v>
      </c>
    </row>
    <row r="4133" customFormat="false" ht="15" hidden="false" customHeight="false" outlineLevel="0" collapsed="false">
      <c r="A4133" s="16" t="n">
        <v>46105</v>
      </c>
      <c r="B4133" s="17" t="n">
        <v>70555.44</v>
      </c>
    </row>
    <row r="4134" customFormat="false" ht="15" hidden="false" customHeight="false" outlineLevel="0" collapsed="false">
      <c r="A4134" s="16" t="n">
        <v>46106</v>
      </c>
      <c r="B4134" s="17" t="n">
        <v>71277.56</v>
      </c>
    </row>
    <row r="4135" customFormat="false" ht="15" hidden="false" customHeight="false" outlineLevel="0" collapsed="false">
      <c r="A4135" s="16" t="n">
        <v>46107</v>
      </c>
      <c r="B4135" s="17" t="n">
        <v>68762.2</v>
      </c>
    </row>
    <row r="4136" customFormat="false" ht="15" hidden="false" customHeight="false" outlineLevel="0" collapsed="false">
      <c r="A4136" s="16" t="n">
        <v>46108</v>
      </c>
      <c r="B4136" s="17" t="n">
        <v>66390.02</v>
      </c>
    </row>
    <row r="4137" customFormat="false" ht="15" hidden="false" customHeight="false" outlineLevel="0" collapsed="false">
      <c r="A4137" s="16" t="n">
        <v>46109</v>
      </c>
      <c r="B4137" s="17" t="n">
        <v>66392.04</v>
      </c>
    </row>
    <row r="4138" customFormat="false" ht="15" hidden="false" customHeight="false" outlineLevel="0" collapsed="false">
      <c r="A4138" s="16" t="n">
        <v>46110</v>
      </c>
      <c r="B4138" s="17" t="n">
        <v>65862.79</v>
      </c>
    </row>
    <row r="4139" customFormat="false" ht="15" hidden="false" customHeight="false" outlineLevel="0" collapsed="false">
      <c r="A4139" s="16" t="n">
        <v>46111</v>
      </c>
      <c r="B4139" s="17" t="n">
        <v>66683.77</v>
      </c>
    </row>
    <row r="4140" customFormat="false" ht="15" hidden="false" customHeight="false" outlineLevel="0" collapsed="false">
      <c r="A4140" s="16" t="n">
        <v>46112</v>
      </c>
      <c r="B4140" s="17" t="n">
        <v>68133.96</v>
      </c>
    </row>
    <row r="4141" customFormat="false" ht="15" hidden="false" customHeight="false" outlineLevel="0" collapsed="false">
      <c r="A4141" s="16" t="n">
        <v>46113</v>
      </c>
      <c r="B4141" s="17" t="n">
        <v>68100.65</v>
      </c>
    </row>
    <row r="4142" customFormat="false" ht="15" hidden="false" customHeight="false" outlineLevel="0" collapsed="false">
      <c r="A4142" s="16" t="n">
        <v>46114</v>
      </c>
      <c r="B4142" s="17" t="n">
        <v>66959.99</v>
      </c>
    </row>
    <row r="4143" customFormat="false" ht="15" hidden="false" customHeight="false" outlineLevel="0" collapsed="false">
      <c r="A4143" s="16" t="n">
        <v>46115</v>
      </c>
      <c r="B4143" s="17" t="n">
        <v>66911.51</v>
      </c>
    </row>
    <row r="4144" customFormat="false" ht="15" hidden="false" customHeight="false" outlineLevel="0" collapsed="false">
      <c r="A4144" s="16" t="n">
        <v>46116</v>
      </c>
      <c r="B4144" s="17" t="n">
        <v>67284.16</v>
      </c>
    </row>
    <row r="4145" customFormat="false" ht="15" hidden="false" customHeight="false" outlineLevel="0" collapsed="false">
      <c r="A4145" s="16" t="n">
        <v>46117</v>
      </c>
      <c r="B4145" s="17" t="n">
        <v>69279.05</v>
      </c>
    </row>
    <row r="4146" customFormat="false" ht="15" hidden="false" customHeight="false" outlineLevel="0" collapsed="false">
      <c r="A4146" s="16" t="n">
        <v>46118</v>
      </c>
      <c r="B4146" s="17" t="n">
        <v>68909.06</v>
      </c>
    </row>
    <row r="4147" customFormat="false" ht="15" hidden="false" customHeight="false" outlineLevel="0" collapsed="false">
      <c r="A4147" s="16" t="n">
        <v>46119</v>
      </c>
      <c r="B4147" s="17" t="n">
        <v>71872.04</v>
      </c>
    </row>
    <row r="4148" customFormat="false" ht="15" hidden="false" customHeight="false" outlineLevel="0" collapsed="false">
      <c r="A4148" s="16" t="n">
        <v>46120</v>
      </c>
      <c r="B4148" s="17" t="n">
        <v>71015.98</v>
      </c>
    </row>
    <row r="4149" customFormat="false" ht="15" hidden="false" customHeight="false" outlineLevel="0" collapsed="false">
      <c r="A4149" s="16" t="n">
        <v>46121</v>
      </c>
      <c r="B4149" s="17" t="n">
        <v>71798.73</v>
      </c>
    </row>
    <row r="4150" customFormat="false" ht="15" hidden="false" customHeight="false" outlineLevel="0" collapsed="false">
      <c r="A4150" s="16" t="n">
        <v>46122</v>
      </c>
      <c r="B4150" s="17" t="n">
        <v>72905.26</v>
      </c>
    </row>
    <row r="4151" customFormat="false" ht="15" hidden="false" customHeight="false" outlineLevel="0" collapsed="false">
      <c r="A4151" s="16" t="n">
        <v>46123</v>
      </c>
      <c r="B4151" s="17" t="n">
        <v>72997.99</v>
      </c>
    </row>
    <row r="4152" customFormat="false" ht="15" hidden="false" customHeight="false" outlineLevel="0" collapsed="false">
      <c r="A4152" s="16" t="n">
        <v>46124</v>
      </c>
      <c r="B4152" s="17" t="n">
        <v>70661.26</v>
      </c>
    </row>
    <row r="4153" customFormat="false" ht="15" hidden="false" customHeight="false" outlineLevel="0" collapsed="false">
      <c r="A4153" s="16" t="n">
        <v>46125</v>
      </c>
      <c r="B4153" s="17" t="n">
        <v>74505.1</v>
      </c>
    </row>
    <row r="4154" customFormat="false" ht="15" hidden="false" customHeight="false" outlineLevel="0" collapsed="false">
      <c r="A4154" s="16" t="n">
        <v>46126</v>
      </c>
      <c r="B4154" s="17" t="n">
        <v>74386.01</v>
      </c>
    </row>
    <row r="4155" customFormat="false" ht="15" hidden="false" customHeight="false" outlineLevel="0" collapsed="false">
      <c r="A4155" s="16" t="n">
        <v>46127</v>
      </c>
      <c r="B4155" s="17" t="n">
        <v>74725.02</v>
      </c>
    </row>
    <row r="4156" customFormat="false" ht="15" hidden="false" customHeight="false" outlineLevel="0" collapsed="false">
      <c r="A4156" s="16" t="n">
        <v>46128</v>
      </c>
      <c r="B4156" s="17" t="n">
        <v>75124.72</v>
      </c>
    </row>
    <row r="4157" customFormat="false" ht="15" hidden="false" customHeight="false" outlineLevel="0" collapsed="false">
      <c r="A4157" s="16" t="n">
        <v>46129</v>
      </c>
      <c r="B4157" s="17" t="n">
        <v>75736.82</v>
      </c>
    </row>
    <row r="4158" customFormat="false" ht="15" hidden="false" customHeight="false" outlineLevel="0" collapsed="false">
      <c r="A4158" s="16" t="n">
        <v>46130</v>
      </c>
      <c r="B4158" s="17" t="n">
        <v>73823.14</v>
      </c>
    </row>
    <row r="4159" customFormat="false" ht="15" hidden="false" customHeight="false" outlineLevel="0" collapsed="false">
      <c r="A4159" s="16" t="n">
        <v>46131</v>
      </c>
      <c r="B4159" s="17" t="n">
        <v>74201.44</v>
      </c>
    </row>
    <row r="4160" customFormat="false" ht="15" hidden="false" customHeight="false" outlineLevel="0" collapsed="false">
      <c r="A4160" s="16" t="n">
        <v>46132</v>
      </c>
      <c r="B4160" s="17" t="n">
        <v>75854.66</v>
      </c>
    </row>
    <row r="4161" customFormat="false" ht="15" hidden="false" customHeight="false" outlineLevel="0" collapsed="false">
      <c r="A4161" s="16" t="n">
        <v>46133</v>
      </c>
      <c r="B4161" s="17" t="n">
        <v>76434.02</v>
      </c>
    </row>
    <row r="4162" customFormat="false" ht="15" hidden="false" customHeight="false" outlineLevel="0" collapsed="false">
      <c r="A4162" s="16" t="n">
        <v>46134</v>
      </c>
      <c r="B4162" s="17" t="n">
        <v>78416.36</v>
      </c>
    </row>
    <row r="4163" customFormat="false" ht="15" hidden="false" customHeight="false" outlineLevel="0" collapsed="false">
      <c r="A4163" s="16" t="n">
        <v>46135</v>
      </c>
      <c r="B4163" s="17" t="n">
        <v>78281.09</v>
      </c>
    </row>
    <row r="4164" customFormat="false" ht="15" hidden="false" customHeight="false" outlineLevel="0" collapsed="false">
      <c r="A4164" s="16" t="n">
        <v>46136</v>
      </c>
      <c r="B4164" s="17" t="n">
        <v>77490.01</v>
      </c>
    </row>
    <row r="4165" customFormat="false" ht="15" hidden="false" customHeight="false" outlineLevel="0" collapsed="false">
      <c r="A4165" s="16" t="n">
        <v>46137</v>
      </c>
      <c r="B4165" s="17" t="n">
        <v>77650.51</v>
      </c>
    </row>
    <row r="4166" customFormat="false" ht="15" hidden="false" customHeight="false" outlineLevel="0" collapsed="false">
      <c r="A4166" s="16" t="n">
        <v>46138</v>
      </c>
      <c r="B4166" s="17" t="n">
        <v>78818.4</v>
      </c>
    </row>
    <row r="4167" customFormat="false" ht="15" hidden="false" customHeight="false" outlineLevel="0" collapsed="false">
      <c r="A4167" s="16" t="n">
        <v>46139</v>
      </c>
      <c r="B4167" s="17" t="n">
        <v>77302.47</v>
      </c>
    </row>
    <row r="4168" customFormat="false" ht="15" hidden="false" customHeight="false" outlineLevel="0" collapsed="false">
      <c r="A4168" s="16" t="n">
        <v>46140</v>
      </c>
      <c r="B4168" s="17" t="n">
        <v>76361.99</v>
      </c>
    </row>
    <row r="4169" customFormat="false" ht="15" hidden="false" customHeight="false" outlineLevel="0" collapsed="false">
      <c r="A4169" s="16" t="n">
        <v>46141</v>
      </c>
      <c r="B4169" s="17" t="n">
        <v>75794.4</v>
      </c>
    </row>
    <row r="4170" customFormat="false" ht="15" hidden="false" customHeight="false" outlineLevel="0" collapsed="false">
      <c r="A4170" s="16" t="n">
        <v>46142</v>
      </c>
      <c r="B4170" s="17" t="n">
        <v>76442.08</v>
      </c>
    </row>
    <row r="4171" customFormat="false" ht="15" hidden="false" customHeight="false" outlineLevel="0" collapsed="false">
      <c r="A4171" s="16" t="n">
        <v>46143</v>
      </c>
      <c r="B4171" s="17" t="n">
        <v>78285.16</v>
      </c>
    </row>
    <row r="4172" customFormat="false" ht="15" hidden="false" customHeight="false" outlineLevel="0" collapsed="false">
      <c r="A4172" s="16" t="n">
        <v>46144</v>
      </c>
      <c r="B4172" s="17" t="n">
        <v>78705.06</v>
      </c>
    </row>
    <row r="4173" customFormat="false" ht="15" hidden="false" customHeight="false" outlineLevel="0" collapsed="false">
      <c r="A4173" s="16" t="n">
        <v>46145</v>
      </c>
      <c r="B4173" s="17" t="n">
        <v>78496.31</v>
      </c>
    </row>
    <row r="4174" customFormat="false" ht="15" hidden="false" customHeight="false" outlineLevel="0" collapsed="false">
      <c r="A4174" s="16" t="n">
        <v>46146</v>
      </c>
      <c r="B4174" s="17" t="n">
        <v>79926.19</v>
      </c>
    </row>
    <row r="4175" customFormat="false" ht="15" hidden="false" customHeight="false" outlineLevel="0" collapsed="false">
      <c r="A4175" s="16" t="n">
        <v>46147</v>
      </c>
      <c r="B4175" s="17" t="n">
        <v>81028.26</v>
      </c>
    </row>
    <row r="4176" customFormat="false" ht="15" hidden="false" customHeight="false" outlineLevel="0" collapsed="false">
      <c r="A4176" s="16" t="n">
        <v>46148</v>
      </c>
      <c r="B4176" s="17" t="n">
        <v>81476.51</v>
      </c>
    </row>
    <row r="4177" customFormat="false" ht="15" hidden="false" customHeight="false" outlineLevel="0" collapsed="false">
      <c r="A4177" s="16" t="n">
        <v>46149</v>
      </c>
      <c r="B4177" s="17" t="n">
        <v>80047.2</v>
      </c>
    </row>
    <row r="4178" customFormat="false" ht="15" hidden="false" customHeight="false" outlineLevel="0" collapsed="false">
      <c r="A4178" s="16" t="n">
        <v>46150</v>
      </c>
      <c r="B4178" s="17" t="n">
        <v>80150.27</v>
      </c>
    </row>
    <row r="4179" customFormat="false" ht="15" hidden="false" customHeight="false" outlineLevel="0" collapsed="false">
      <c r="A4179" s="16" t="n">
        <v>46151</v>
      </c>
      <c r="B4179" s="17" t="n">
        <v>80645.62</v>
      </c>
    </row>
    <row r="4180" customFormat="false" ht="15" hidden="false" customHeight="false" outlineLevel="0" collapsed="false">
      <c r="A4180" s="16" t="n">
        <v>46152</v>
      </c>
      <c r="B4180" s="17" t="n">
        <v>82103.78</v>
      </c>
    </row>
    <row r="4181" customFormat="false" ht="15" hidden="false" customHeight="false" outlineLevel="0" collapsed="false">
      <c r="A4181" s="16" t="n">
        <v>46153</v>
      </c>
      <c r="B4181" s="17" t="n">
        <v>81734.25</v>
      </c>
    </row>
    <row r="4182" customFormat="false" ht="15" hidden="false" customHeight="false" outlineLevel="0" collapsed="false">
      <c r="A4182" s="16" t="n">
        <v>46154</v>
      </c>
      <c r="B4182" s="17" t="n">
        <v>80414.77</v>
      </c>
    </row>
    <row r="4183" customFormat="false" ht="15" hidden="false" customHeight="false" outlineLevel="0" collapsed="false">
      <c r="A4183" s="16" t="n">
        <v>46155</v>
      </c>
      <c r="B4183" s="17" t="n">
        <v>79371.63</v>
      </c>
    </row>
    <row r="4184" customFormat="false" ht="15" hidden="false" customHeight="false" outlineLevel="0" collapsed="false">
      <c r="A4184" s="16" t="n">
        <v>46156</v>
      </c>
      <c r="B4184" s="17" t="n">
        <v>79142.38</v>
      </c>
    </row>
    <row r="4185" customFormat="false" ht="15" hidden="false" customHeight="false" outlineLevel="0" collapsed="false">
      <c r="A4185" s="16" t="n">
        <v>46157</v>
      </c>
      <c r="B4185" s="17" t="n">
        <v>79026</v>
      </c>
    </row>
    <row r="4186" customFormat="false" ht="15" hidden="false" customHeight="false" outlineLevel="0" collapsed="false">
      <c r="A4186" s="16" t="n">
        <v>46158</v>
      </c>
      <c r="B4186" s="17" t="n">
        <v>78183.58</v>
      </c>
    </row>
    <row r="4187" customFormat="false" ht="15" hidden="false" customHeight="false" outlineLevel="0" collapsed="false">
      <c r="A4187" s="16" t="n">
        <v>46159</v>
      </c>
      <c r="B4187" s="17" t="n">
        <v>77269.08</v>
      </c>
    </row>
    <row r="4188" customFormat="false" ht="15" hidden="false" customHeight="false" outlineLevel="0" collapsed="false">
      <c r="A4188" s="16" t="n">
        <v>46160</v>
      </c>
      <c r="B4188" s="17" t="n">
        <v>76952.14</v>
      </c>
    </row>
    <row r="4189" customFormat="false" ht="15" hidden="false" customHeight="false" outlineLevel="0" collapsed="false">
      <c r="A4189" s="16" t="n">
        <v>46161</v>
      </c>
      <c r="B4189" s="17" t="n">
        <v>76799.23</v>
      </c>
    </row>
    <row r="4190" customFormat="false" ht="15" hidden="false" customHeight="false" outlineLevel="0" collapsed="false">
      <c r="A4190" s="16" t="n">
        <v>46162</v>
      </c>
      <c r="B4190" s="17" t="n">
        <v>77494.61</v>
      </c>
    </row>
    <row r="4191" customFormat="false" ht="15" hidden="false" customHeight="false" outlineLevel="0" collapsed="false">
      <c r="A4191" s="16" t="n">
        <v>46163</v>
      </c>
      <c r="B4191" s="17" t="n">
        <v>77451.06</v>
      </c>
    </row>
    <row r="4192" customFormat="false" ht="15" hidden="false" customHeight="false" outlineLevel="0" collapsed="false">
      <c r="A4192" s="16" t="n">
        <v>46164</v>
      </c>
      <c r="B4192" s="17" t="n">
        <v>75478.44</v>
      </c>
    </row>
    <row r="4193" customFormat="false" ht="15" hidden="false" customHeight="false" outlineLevel="0" collapsed="false">
      <c r="A4193" s="16" t="n">
        <v>46165</v>
      </c>
      <c r="B4193" s="17" t="n">
        <v>76627.99</v>
      </c>
    </row>
    <row r="4194" customFormat="false" ht="15" hidden="false" customHeight="false" outlineLevel="0" collapsed="false">
      <c r="A4194" s="16" t="n">
        <v>46166</v>
      </c>
      <c r="B4194" s="17" t="n">
        <v>77078.18</v>
      </c>
    </row>
    <row r="4195" customFormat="false" ht="15" hidden="false" customHeight="false" outlineLevel="0" collapsed="false">
      <c r="A4195" s="16" t="n">
        <v>46167</v>
      </c>
      <c r="B4195" s="17" t="n">
        <v>77196.83</v>
      </c>
    </row>
    <row r="4196" customFormat="false" ht="15" hidden="false" customHeight="false" outlineLevel="0" collapsed="false">
      <c r="A4196" s="16" t="n">
        <v>46168</v>
      </c>
      <c r="B4196" s="17" t="n">
        <v>75834.53</v>
      </c>
    </row>
    <row r="4197" customFormat="false" ht="15" hidden="false" customHeight="false" outlineLevel="0" collapsed="false">
      <c r="A4197" s="16" t="n">
        <v>46169</v>
      </c>
      <c r="B4197" s="17" t="n">
        <v>74422.7</v>
      </c>
    </row>
    <row r="4198" customFormat="false" ht="15" hidden="false" customHeight="false" outlineLevel="0" collapsed="false">
      <c r="A4198" s="16" t="n">
        <v>46170</v>
      </c>
      <c r="B4198" s="17" t="n">
        <v>74025.1</v>
      </c>
    </row>
    <row r="4199" customFormat="false" ht="15" hidden="false" customHeight="false" outlineLevel="0" collapsed="false">
      <c r="A4199" s="16" t="n">
        <v>46171</v>
      </c>
      <c r="B4199" s="17" t="n">
        <v>73897.41</v>
      </c>
    </row>
    <row r="4200" customFormat="false" ht="15" hidden="false" customHeight="false" outlineLevel="0" collapsed="false">
      <c r="A4200" s="16" t="n">
        <v>46172</v>
      </c>
      <c r="B4200" s="17" t="n">
        <v>73758.31</v>
      </c>
    </row>
    <row r="4201" customFormat="false" ht="15" hidden="false" customHeight="false" outlineLevel="0" collapsed="false">
      <c r="A4201" s="16" t="n">
        <v>46173</v>
      </c>
      <c r="B4201" s="17" t="n">
        <v>73688.35</v>
      </c>
    </row>
    <row r="4202" customFormat="false" ht="15" hidden="false" customHeight="false" outlineLevel="0" collapsed="false">
      <c r="A4202" s="16" t="n">
        <v>46174</v>
      </c>
      <c r="B4202" s="17" t="n">
        <v>71263.63</v>
      </c>
    </row>
    <row r="4203" customFormat="false" ht="15" hidden="false" customHeight="false" outlineLevel="0" collapsed="false">
      <c r="A4203" s="16" t="n">
        <v>46175</v>
      </c>
      <c r="B4203" s="17" t="n">
        <v>66661.02</v>
      </c>
    </row>
    <row r="4204" customFormat="false" ht="15" hidden="false" customHeight="false" outlineLevel="0" collapsed="false">
      <c r="A4204" s="16" t="n">
        <v>46176</v>
      </c>
      <c r="B4204" s="17" t="n">
        <v>64257.19</v>
      </c>
    </row>
    <row r="4205" customFormat="false" ht="15" hidden="false" customHeight="false" outlineLevel="0" collapsed="false">
      <c r="A4205" s="16" t="n">
        <v>46177</v>
      </c>
      <c r="B4205" s="17" t="n">
        <v>63742.66</v>
      </c>
    </row>
    <row r="4206" customFormat="false" ht="15" hidden="false" customHeight="false" outlineLevel="0" collapsed="false">
      <c r="A4206" s="16" t="n">
        <v>46178</v>
      </c>
      <c r="B4206" s="17" t="n">
        <v>61272.32</v>
      </c>
    </row>
    <row r="4207" customFormat="false" ht="15" hidden="false" customHeight="false" outlineLevel="0" collapsed="false">
      <c r="A4207" s="16" t="n">
        <v>46179</v>
      </c>
      <c r="B4207" s="17" t="n">
        <v>60881.64</v>
      </c>
    </row>
    <row r="4208" customFormat="false" ht="15" hidden="false" customHeight="false" outlineLevel="0" collapsed="false">
      <c r="A4208" s="16" t="n">
        <v>46180</v>
      </c>
      <c r="B4208" s="17" t="n">
        <v>63216.78</v>
      </c>
    </row>
    <row r="4209" customFormat="false" ht="15" hidden="false" customHeight="false" outlineLevel="0" collapsed="false">
      <c r="A4209" s="16" t="n">
        <v>46181</v>
      </c>
      <c r="B4209" s="17" t="n">
        <v>63049.86</v>
      </c>
    </row>
    <row r="4210" customFormat="false" ht="15" hidden="false" customHeight="false" outlineLevel="0" collapsed="false">
      <c r="A4210" s="16" t="n">
        <v>46182</v>
      </c>
      <c r="B4210" s="17" t="n">
        <v>61751.94</v>
      </c>
    </row>
    <row r="4211" customFormat="false" ht="15" hidden="false" customHeight="false" outlineLevel="0" collapsed="false">
      <c r="A4211" s="16" t="n">
        <v>46183</v>
      </c>
      <c r="B4211" s="17" t="n">
        <v>61570.02</v>
      </c>
    </row>
    <row r="4212" customFormat="false" ht="15" hidden="false" customHeight="false" outlineLevel="0" collapsed="false">
      <c r="A4212" s="16" t="n">
        <v>46184</v>
      </c>
      <c r="B4212" s="17" t="n">
        <v>63482.72</v>
      </c>
    </row>
    <row r="4213" customFormat="false" ht="15" hidden="false" customHeight="false" outlineLevel="0" collapsed="false">
      <c r="A4213" s="16" t="n">
        <v>46185</v>
      </c>
      <c r="B4213" s="17" t="n">
        <v>63554.96</v>
      </c>
    </row>
    <row r="4214" customFormat="false" ht="15" hidden="false" customHeight="false" outlineLevel="0" collapsed="false">
      <c r="A4214" s="16" t="n">
        <v>46186</v>
      </c>
      <c r="B4214" s="17" t="n">
        <v>64374.02</v>
      </c>
    </row>
    <row r="4215" customFormat="false" ht="15" hidden="false" customHeight="false" outlineLevel="0" collapsed="false">
      <c r="A4215" s="16" t="n">
        <v>46187</v>
      </c>
      <c r="B4215" s="17" t="n">
        <v>65605.04</v>
      </c>
    </row>
    <row r="4216" customFormat="false" ht="15" hidden="false" customHeight="false" outlineLevel="0" collapsed="false">
      <c r="A4216" s="16" t="n">
        <v>46188</v>
      </c>
      <c r="B4216" s="17" t="n">
        <v>66231.94</v>
      </c>
    </row>
    <row r="4217" customFormat="false" ht="15" hidden="false" customHeight="false" outlineLevel="0" collapsed="false">
      <c r="A4217" s="16" t="n">
        <v>46189</v>
      </c>
      <c r="B4217" s="17" t="n">
        <v>65679.13</v>
      </c>
    </row>
    <row r="4218" customFormat="false" ht="15" hidden="false" customHeight="false" outlineLevel="0" collapsed="false">
      <c r="A4218" s="16" t="n">
        <v>46190</v>
      </c>
      <c r="B4218" s="17" t="n">
        <v>64529.96</v>
      </c>
    </row>
    <row r="4219" customFormat="false" ht="15" hidden="false" customHeight="false" outlineLevel="0" collapsed="false">
      <c r="A4219" s="16" t="n">
        <v>46191</v>
      </c>
      <c r="B4219" s="17" t="n">
        <v>62852.71</v>
      </c>
    </row>
    <row r="4220" customFormat="false" ht="15" hidden="false" customHeight="false" outlineLevel="0" collapsed="false">
      <c r="A4220" s="16" t="n">
        <v>46192</v>
      </c>
      <c r="B4220" s="17" t="n">
        <v>63522.76</v>
      </c>
    </row>
    <row r="4221" customFormat="false" ht="15" hidden="false" customHeight="false" outlineLevel="0" collapsed="false">
      <c r="A4221" s="16" t="n">
        <v>46193</v>
      </c>
      <c r="B4221" s="17" t="n">
        <v>64180</v>
      </c>
    </row>
    <row r="4222" customFormat="false" ht="15" hidden="false" customHeight="false" outlineLevel="0" collapsed="false">
      <c r="A4222" s="16" t="n">
        <v>46194</v>
      </c>
      <c r="B4222" s="17" t="n">
        <v>63321.17</v>
      </c>
    </row>
    <row r="4223" customFormat="false" ht="15" hidden="false" customHeight="false" outlineLevel="0" collapsed="false">
      <c r="A4223" s="16" t="n">
        <v>46195</v>
      </c>
      <c r="B4223" s="17" t="n">
        <v>63932.91</v>
      </c>
    </row>
    <row r="4224" customFormat="false" ht="15" hidden="false" customHeight="false" outlineLevel="0" collapsed="false">
      <c r="A4224" s="16" t="n">
        <v>46196</v>
      </c>
      <c r="B4224" s="17" t="n">
        <v>62689.99</v>
      </c>
    </row>
    <row r="4225" customFormat="false" ht="15" hidden="false" customHeight="false" outlineLevel="0" collapsed="false">
      <c r="A4225" s="16" t="n">
        <v>46197</v>
      </c>
      <c r="B4225" s="17" t="n">
        <v>60950</v>
      </c>
    </row>
    <row r="4226" customFormat="false" ht="15" hidden="false" customHeight="false" outlineLevel="0" collapsed="false">
      <c r="A4226" s="16" t="n">
        <v>46198</v>
      </c>
      <c r="B4226" s="17" t="n">
        <v>59778.75</v>
      </c>
    </row>
    <row r="4227" customFormat="false" ht="15" hidden="false" customHeight="false" outlineLevel="0" collapsed="false">
      <c r="A4227" s="16" t="n">
        <v>46199</v>
      </c>
      <c r="B4227" s="17" t="n">
        <v>59995.84</v>
      </c>
    </row>
    <row r="4228" customFormat="false" ht="15" hidden="false" customHeight="false" outlineLevel="0" collapsed="false">
      <c r="A4228" s="16" t="n">
        <v>46200</v>
      </c>
      <c r="B4228" s="17" t="n">
        <v>59964.66</v>
      </c>
    </row>
    <row r="4229" customFormat="false" ht="15" hidden="false" customHeight="false" outlineLevel="0" collapsed="false">
      <c r="A4229" s="16" t="n">
        <v>46201</v>
      </c>
      <c r="B4229" s="17" t="n">
        <v>59367.05</v>
      </c>
    </row>
    <row r="4230" customFormat="false" ht="15" hidden="false" customHeight="false" outlineLevel="0" collapsed="false">
      <c r="A4230" s="16" t="n">
        <v>46202</v>
      </c>
      <c r="B4230" s="17" t="n">
        <v>60128.09</v>
      </c>
    </row>
    <row r="4231" customFormat="false" ht="15" hidden="false" customHeight="false" outlineLevel="0" collapsed="false">
      <c r="A4231" s="16" t="n">
        <v>46203</v>
      </c>
      <c r="B4231" s="17" t="n">
        <v>58585.96</v>
      </c>
    </row>
    <row r="4232" customFormat="false" ht="15" hidden="false" customHeight="false" outlineLevel="0" collapsed="false">
      <c r="A4232" s="16" t="n">
        <v>46204</v>
      </c>
      <c r="B4232" s="17" t="n">
        <v>59881.98</v>
      </c>
    </row>
    <row r="4233" customFormat="false" ht="15" hidden="false" customHeight="false" outlineLevel="0" collapsed="false">
      <c r="A4233" s="16" t="n">
        <v>46205</v>
      </c>
      <c r="B4233" s="17" t="n">
        <v>61422.31</v>
      </c>
    </row>
    <row r="4234" customFormat="false" ht="15" hidden="false" customHeight="false" outlineLevel="0" collapsed="false">
      <c r="A4234" s="16" t="n">
        <v>46206</v>
      </c>
      <c r="B4234" s="17" t="n">
        <v>62537.99</v>
      </c>
    </row>
    <row r="4235" customFormat="false" ht="15" hidden="false" customHeight="false" outlineLevel="0" collapsed="false">
      <c r="A4235" s="16" t="n">
        <v>46207</v>
      </c>
      <c r="B4235" s="17" t="n">
        <v>63027.09</v>
      </c>
    </row>
    <row r="4236" customFormat="false" ht="15" hidden="false" customHeight="false" outlineLevel="0" collapsed="false">
      <c r="A4236" s="16" t="n">
        <v>46208</v>
      </c>
      <c r="B4236" s="17" t="n">
        <v>63577.07</v>
      </c>
    </row>
    <row r="4237" customFormat="false" ht="15" hidden="false" customHeight="false" outlineLevel="0" collapsed="false">
      <c r="A4237" s="16" t="n">
        <v>46209</v>
      </c>
      <c r="B4237" s="17" t="n">
        <v>63980.01</v>
      </c>
    </row>
    <row r="4238" customFormat="false" ht="15" hidden="false" customHeight="false" outlineLevel="0" collapsed="false">
      <c r="A4238" s="16" t="n">
        <v>46210</v>
      </c>
      <c r="B4238" s="17" t="n">
        <v>63367.99</v>
      </c>
    </row>
    <row r="4239" customFormat="false" ht="15" hidden="false" customHeight="false" outlineLevel="0" collapsed="false">
      <c r="A4239" s="16" t="n">
        <v>46211</v>
      </c>
      <c r="B4239" s="17" t="n">
        <v>62168.43</v>
      </c>
    </row>
    <row r="4240" customFormat="false" ht="15" hidden="false" customHeight="false" outlineLevel="0" collapsed="false">
      <c r="A4240" s="16" t="n">
        <v>46212</v>
      </c>
      <c r="B4240" s="17" t="n">
        <v>63156.18</v>
      </c>
    </row>
    <row r="4241" customFormat="false" ht="15" hidden="false" customHeight="false" outlineLevel="0" collapsed="false">
      <c r="A4241" s="16" t="n">
        <v>46213</v>
      </c>
      <c r="B4241" s="17" t="n">
        <v>64057.01</v>
      </c>
    </row>
    <row r="4242" customFormat="false" ht="15" hidden="false" customHeight="false" outlineLevel="0" collapsed="false">
      <c r="A4242" s="16" t="n">
        <v>46214</v>
      </c>
      <c r="B4242" s="17" t="n">
        <v>63831.03</v>
      </c>
    </row>
    <row r="4243" customFormat="false" ht="15" hidden="false" customHeight="false" outlineLevel="0" collapsed="false">
      <c r="A4243" s="16" t="n">
        <v>46215</v>
      </c>
      <c r="B4243" s="17" t="n">
        <v>63809.21</v>
      </c>
    </row>
    <row r="4244" customFormat="false" ht="15" hidden="false" customHeight="false" outlineLevel="0" collapsed="false">
      <c r="A4244" s="16" t="n">
        <v>46216</v>
      </c>
      <c r="B4244" s="17" t="n">
        <v>62233.29</v>
      </c>
    </row>
    <row r="4245" customFormat="false" ht="15" hidden="false" customHeight="false" outlineLevel="0" collapsed="false">
      <c r="A4245" s="16" t="n">
        <v>46217</v>
      </c>
      <c r="B4245" s="17" t="n">
        <v>64967.74</v>
      </c>
    </row>
    <row r="4246" customFormat="false" ht="15" hidden="false" customHeight="false" outlineLevel="0" collapsed="false">
      <c r="A4246" s="16" t="n">
        <v>46218</v>
      </c>
      <c r="B4246" s="17" t="n">
        <v>64755.57</v>
      </c>
    </row>
    <row r="4247" customFormat="false" ht="15" hidden="false" customHeight="false" outlineLevel="0" collapsed="false">
      <c r="A4247" s="16" t="n">
        <v>46219</v>
      </c>
      <c r="B4247" s="17" t="n">
        <v>63746.78</v>
      </c>
    </row>
    <row r="4248" customFormat="false" ht="15" hidden="false" customHeight="false" outlineLevel="0" collapsed="false">
      <c r="A4248" s="16" t="n">
        <v>46220</v>
      </c>
      <c r="B4248" s="17" t="n">
        <v>63900.18</v>
      </c>
    </row>
    <row r="4249" customFormat="false" ht="15" hidden="false" customHeight="false" outlineLevel="0" collapsed="false">
      <c r="A4249" s="16" t="n">
        <v>46221</v>
      </c>
      <c r="B4249" s="17" t="n">
        <v>64793.76</v>
      </c>
    </row>
    <row r="4250" customFormat="false" ht="15" hidden="false" customHeight="false" outlineLevel="0" collapsed="false">
      <c r="A4250" s="16" t="n">
        <v>46222</v>
      </c>
      <c r="B4250" s="17" t="n">
        <v>64571.18</v>
      </c>
    </row>
    <row r="4251" customFormat="false" ht="15" hidden="false" customHeight="false" outlineLevel="0" collapsed="false">
      <c r="A4251" s="16" t="n">
        <v>46223</v>
      </c>
      <c r="B4251" s="17" t="n">
        <v>65151.3</v>
      </c>
    </row>
    <row r="4252" customFormat="false" ht="15" hidden="false" customHeight="false" outlineLevel="0" collapsed="false">
      <c r="A4252" s="16" t="n">
        <v>46224</v>
      </c>
      <c r="B4252" s="17" t="n">
        <v>66553.73</v>
      </c>
    </row>
    <row r="4253" customFormat="false" ht="15" hidden="false" customHeight="false" outlineLevel="0" collapsed="false">
      <c r="A4253" s="16" t="n">
        <v>46225</v>
      </c>
      <c r="B4253" s="17" t="n">
        <v>66063.67</v>
      </c>
    </row>
    <row r="4254" customFormat="false" ht="15" hidden="false" customHeight="false" outlineLevel="0" collapsed="false">
      <c r="A4254" s="16" t="n">
        <v>46226</v>
      </c>
      <c r="B4254" s="17" t="n">
        <v>65000.99</v>
      </c>
    </row>
    <row r="4255" customFormat="false" ht="15" hidden="false" customHeight="false" outlineLevel="0" collapsed="false">
      <c r="A4255" s="16" t="n">
        <v>46227</v>
      </c>
      <c r="B4255" s="17" t="n">
        <v>64108.38</v>
      </c>
    </row>
    <row r="4256" customFormat="false" ht="15" hidden="false" customHeight="false" outlineLevel="0" collapsed="false">
      <c r="A4256" s="16" t="n">
        <v>46228</v>
      </c>
      <c r="B4256" s="17" t="n">
        <v>64319.9</v>
      </c>
    </row>
    <row r="4257" customFormat="false" ht="15" hidden="false" customHeight="false" outlineLevel="0" collapsed="false">
      <c r="A4257" s="16" t="n">
        <v>46229</v>
      </c>
      <c r="B4257" s="17" t="n">
        <v>65243.31</v>
      </c>
    </row>
    <row r="4258" customFormat="false" ht="15" hidden="false" customHeight="false" outlineLevel="0" collapsed="false">
      <c r="A4258" s="16" t="n">
        <v>46230</v>
      </c>
      <c r="B4258" s="17" t="n">
        <v>63692.68</v>
      </c>
    </row>
    <row r="4259" customFormat="false" ht="15" hidden="false" customHeight="false" outlineLevel="0" collapsed="false">
      <c r="A4259" s="16" t="n">
        <v>46231</v>
      </c>
      <c r="B4259" s="17" t="n">
        <v>63945.6</v>
      </c>
    </row>
    <row r="4260" customFormat="false" ht="15" hidden="false" customHeight="false" outlineLevel="0" collapsed="false">
      <c r="A4260" s="16" t="n">
        <v>46232</v>
      </c>
      <c r="B4260" s="17" t="n">
        <v>63896.15</v>
      </c>
    </row>
    <row r="4261" customFormat="false" ht="15" hidden="false" customHeight="false" outlineLevel="0" collapsed="false">
      <c r="A4261" s="16" t="n">
        <v>46233</v>
      </c>
      <c r="B4261" s="17" t="n">
        <v>64817.71</v>
      </c>
    </row>
    <row r="4262" customFormat="false" ht="15" hidden="false" customHeight="false" outlineLevel="0" collapsed="false">
      <c r="A4262" s="16" t="n">
        <v>46234</v>
      </c>
      <c r="B4262" s="17" t="n">
        <v>62886.64</v>
      </c>
    </row>
    <row r="4263" customFormat="false" ht="15" hidden="false" customHeight="false" outlineLevel="0" collapsed="false">
      <c r="A4263" s="16" t="n">
        <v>46235</v>
      </c>
      <c r="B4263" s="17" t="n">
        <v>62835</v>
      </c>
    </row>
    <row r="4264" customFormat="false" ht="15" hidden="false" customHeight="false" outlineLevel="0" collapsed="false">
      <c r="A4264" s="16" t="n">
        <v>46236</v>
      </c>
      <c r="B4264" s="17" t="n">
        <v>63443.93</v>
      </c>
    </row>
    <row r="4265" customFormat="false" ht="15" hidden="false" customHeight="false" outlineLevel="0" collapsed="false">
      <c r="A4265" s="16" t="n">
        <v>46237</v>
      </c>
      <c r="B4265" s="17" t="n">
        <v>63503.04</v>
      </c>
    </row>
    <row r="4266" customFormat="false" ht="15" hidden="false" customHeight="false" outlineLevel="0" collapsed="false">
      <c r="A4266" s="16" t="n">
        <v>46238</v>
      </c>
      <c r="B4266" s="17" t="n">
        <v>64023.39</v>
      </c>
    </row>
    <row r="4267" customFormat="false" ht="15" hidden="false" customHeight="false" outlineLevel="0" collapsed="false">
      <c r="A4267" s="16" t="n">
        <v>46239</v>
      </c>
      <c r="B4267" s="17" t="n">
        <v>64555.45</v>
      </c>
    </row>
    <row r="4268" customFormat="false" ht="15" hidden="false" customHeight="false" outlineLevel="0" collapsed="false">
      <c r="A4268" s="16" t="n">
        <v>46240</v>
      </c>
      <c r="B4268" s="17" t="n">
        <v>64291.84</v>
      </c>
    </row>
    <row r="4269" customFormat="false" ht="15" hidden="false" customHeight="false" outlineLevel="0" collapsed="false">
      <c r="A4269" s="16" t="n">
        <v>46241</v>
      </c>
      <c r="B4269" s="17" t="n">
        <v>64877.34</v>
      </c>
    </row>
    <row r="4270" customFormat="false" ht="15" hidden="false" customHeight="false" outlineLevel="0" collapsed="false">
      <c r="A4270" s="16" t="n">
        <v>46242</v>
      </c>
      <c r="B4270" s="17" t="n">
        <v>64910.12</v>
      </c>
    </row>
    <row r="4271" customFormat="false" ht="15" hidden="false" customHeight="false" outlineLevel="0" collapsed="false">
      <c r="A4271" s="16" t="n">
        <v>46243</v>
      </c>
      <c r="B4271" s="17" t="n">
        <v>64855.5</v>
      </c>
    </row>
    <row r="4272" customFormat="false" ht="15" hidden="false" customHeight="false" outlineLevel="0" collapsed="false">
      <c r="A4272" s="16" t="n">
        <v>46244</v>
      </c>
      <c r="B4272" s="17" t="n">
        <v>63876.26</v>
      </c>
    </row>
    <row r="4273" customFormat="false" ht="15" hidden="false" customHeight="false" outlineLevel="0" collapsed="false">
      <c r="A4273" s="16" t="n">
        <v>46245</v>
      </c>
      <c r="B4273" s="17" t="n">
        <v>63528.48</v>
      </c>
    </row>
    <row r="4274" customFormat="false" ht="15" hidden="false" customHeight="false" outlineLevel="0" collapsed="false">
      <c r="A4274" s="16" t="n">
        <v>46246</v>
      </c>
      <c r="B4274" s="17" t="n">
        <v>63402.49</v>
      </c>
    </row>
    <row r="4275" customFormat="false" ht="15" hidden="false" customHeight="false" outlineLevel="0" collapsed="false">
      <c r="A4275" s="16" t="n">
        <v>46247</v>
      </c>
      <c r="B4275" s="17" t="n">
        <v>63387.81</v>
      </c>
    </row>
    <row r="4276" customFormat="false" ht="15" hidden="false" customHeight="false" outlineLevel="0" collapsed="false">
      <c r="A4276" s="16" t="n">
        <v>46248</v>
      </c>
      <c r="B4276" s="17" t="n">
        <v>62968.43</v>
      </c>
    </row>
    <row r="4277" customFormat="false" ht="15" hidden="false" customHeight="false" outlineLevel="0" collapsed="false">
      <c r="A4277" s="16" t="n">
        <v>46249</v>
      </c>
      <c r="B4277" s="17" t="n">
        <v>62999.01</v>
      </c>
    </row>
    <row r="4278" customFormat="false" ht="15" hidden="false" customHeight="false" outlineLevel="0" collapsed="false">
      <c r="A4278" s="16" t="n">
        <v>46250</v>
      </c>
      <c r="B4278" s="17" t="n">
        <v>62859.47</v>
      </c>
    </row>
    <row r="4279" customFormat="false" ht="15" hidden="false" customHeight="false" outlineLevel="0" collapsed="false">
      <c r="A4279" s="16" t="n">
        <v>46251</v>
      </c>
      <c r="B4279" s="17" t="n">
        <v>64423.92</v>
      </c>
    </row>
    <row r="4280" customFormat="false" ht="15" hidden="false" customHeight="false" outlineLevel="0" collapsed="false">
      <c r="A4280" s="16" t="n">
        <v>46252</v>
      </c>
      <c r="B4280" s="17" t="n">
        <v>64625.4</v>
      </c>
    </row>
    <row r="4281" customFormat="false" ht="15" hidden="false" customHeight="false" outlineLevel="0" collapsed="false">
      <c r="A4281" s="16" t="n">
        <v>46253</v>
      </c>
      <c r="B4281" s="17" t="n">
        <v>69487.6</v>
      </c>
    </row>
    <row r="4282" customFormat="false" ht="15" hidden="false" customHeight="false" outlineLevel="0" collapsed="false">
      <c r="A4282" s="16" t="n">
        <v>46254</v>
      </c>
      <c r="B4282" s="17" t="n">
        <v>73086.97</v>
      </c>
    </row>
    <row r="4283" customFormat="false" ht="15" hidden="false" customHeight="false" outlineLevel="0" collapsed="false">
      <c r="A4283" s="16" t="n">
        <v>46255</v>
      </c>
      <c r="B4283" s="17" t="n">
        <v>78126.63</v>
      </c>
    </row>
    <row r="4284" customFormat="false" ht="15" hidden="false" customHeight="false" outlineLevel="0" collapsed="false">
      <c r="A4284" s="16" t="n">
        <v>46256</v>
      </c>
      <c r="B4284" s="17" t="n">
        <v>77117.73</v>
      </c>
    </row>
    <row r="4285" customFormat="false" ht="15" hidden="false" customHeight="false" outlineLevel="0" collapsed="false">
      <c r="A4285" s="16" t="n">
        <v>46257</v>
      </c>
      <c r="B4285" s="17" t="n">
        <v>77637.69</v>
      </c>
    </row>
    <row r="4286" customFormat="false" ht="15" hidden="false" customHeight="false" outlineLevel="0" collapsed="false">
      <c r="A4286" s="16" t="n">
        <v>46258</v>
      </c>
      <c r="B4286" s="17" t="n">
        <v>78981.39</v>
      </c>
    </row>
    <row r="4287" customFormat="false" ht="15" hidden="false" customHeight="false" outlineLevel="0" collapsed="false">
      <c r="A4287" s="16" t="n">
        <v>46259</v>
      </c>
      <c r="B4287" s="17" t="n">
        <v>78510.95</v>
      </c>
    </row>
    <row r="4288" customFormat="false" ht="15" hidden="false" customHeight="false" outlineLevel="0" collapsed="false">
      <c r="A4288" s="16" t="n">
        <v>46260</v>
      </c>
      <c r="B4288" s="17" t="n">
        <v>78961.93</v>
      </c>
    </row>
    <row r="4289" customFormat="false" ht="15" hidden="false" customHeight="false" outlineLevel="0" collapsed="false">
      <c r="A4289" s="16" t="n">
        <v>46261</v>
      </c>
      <c r="B4289" s="17" t="n">
        <v>80209.61</v>
      </c>
    </row>
    <row r="4290" customFormat="false" ht="15" hidden="false" customHeight="false" outlineLevel="0" collapsed="false">
      <c r="A4290" s="16" t="n">
        <v>46262</v>
      </c>
      <c r="B4290" s="17" t="n">
        <v>77838.65</v>
      </c>
    </row>
    <row r="4291" customFormat="false" ht="15" hidden="false" customHeight="false" outlineLevel="0" collapsed="false">
      <c r="A4291" s="16" t="n">
        <v>46263</v>
      </c>
      <c r="B4291" s="17" t="n">
        <v>78215</v>
      </c>
    </row>
    <row r="4292" customFormat="false" ht="15" hidden="false" customHeight="false" outlineLevel="0" collapsed="false">
      <c r="A4292" s="16" t="n">
        <v>46264</v>
      </c>
      <c r="B4292" s="17" t="n">
        <v>77757.98</v>
      </c>
    </row>
    <row r="4293" customFormat="false" ht="15" hidden="false" customHeight="false" outlineLevel="0" collapsed="false">
      <c r="A4293" s="16" t="n">
        <v>46265</v>
      </c>
      <c r="B4293" s="17" t="n">
        <v>78603.02</v>
      </c>
    </row>
    <row r="4294" customFormat="false" ht="15" hidden="false" customHeight="false" outlineLevel="0" collapsed="false">
      <c r="A4294" s="16" t="n">
        <v>46266</v>
      </c>
      <c r="B4294" s="17" t="n">
        <v>77392.65</v>
      </c>
    </row>
    <row r="4295" customFormat="false" ht="15" hidden="false" customHeight="false" outlineLevel="0" collapsed="false">
      <c r="A4295" s="16" t="n">
        <v>46267</v>
      </c>
      <c r="B4295" s="17" t="n">
        <v>77330.23</v>
      </c>
    </row>
    <row r="4296" customFormat="false" ht="15" hidden="false" customHeight="false" outlineLevel="0" collapsed="false">
      <c r="A4296" s="16" t="n">
        <v>46268</v>
      </c>
      <c r="B4296" s="17" t="n">
        <v>81129.19</v>
      </c>
    </row>
    <row r="4297" customFormat="false" ht="15" hidden="false" customHeight="false" outlineLevel="0" collapsed="false">
      <c r="A4297" s="16" t="n">
        <v>46269</v>
      </c>
      <c r="B4297" s="17" t="n">
        <v>79658.55</v>
      </c>
    </row>
    <row r="4298" customFormat="false" ht="15" hidden="false" customHeight="false" outlineLevel="0" collapsed="false">
      <c r="A4298" s="16" t="n">
        <v>46270</v>
      </c>
      <c r="B4298" s="17" t="n">
        <v>79879.24</v>
      </c>
    </row>
    <row r="4299" customFormat="false" ht="15" hidden="false" customHeight="false" outlineLevel="0" collapsed="false">
      <c r="A4299" s="16" t="n">
        <v>46271</v>
      </c>
      <c r="B4299" s="17" t="n">
        <v>80309.06</v>
      </c>
    </row>
    <row r="4300" customFormat="false" ht="15" hidden="false" customHeight="false" outlineLevel="0" collapsed="false">
      <c r="A4300" s="16" t="n">
        <v>46272</v>
      </c>
      <c r="B4300" s="17" t="n">
        <v>79067.23</v>
      </c>
    </row>
    <row r="4301" customFormat="false" ht="15" hidden="false" customHeight="false" outlineLevel="0" collapsed="false">
      <c r="A4301" s="16" t="n">
        <v>46273</v>
      </c>
      <c r="B4301" s="17" t="n">
        <v>78548.91</v>
      </c>
    </row>
    <row r="4302" customFormat="false" ht="15" hidden="false" customHeight="false" outlineLevel="0" collapsed="false">
      <c r="A4302" s="16" t="n">
        <v>46274</v>
      </c>
      <c r="B4302" s="17" t="n">
        <v>78303.59</v>
      </c>
    </row>
    <row r="4303" customFormat="false" ht="15" hidden="false" customHeight="false" outlineLevel="0" collapsed="false">
      <c r="A4303" s="16" t="n">
        <v>46275</v>
      </c>
      <c r="B4303" s="17" t="n">
        <v>76664.89</v>
      </c>
    </row>
    <row r="4304" customFormat="false" ht="15" hidden="false" customHeight="false" outlineLevel="0" collapsed="false">
      <c r="A4304" s="16" t="n">
        <v>46276</v>
      </c>
      <c r="B4304" s="17" t="n">
        <v>77276.5</v>
      </c>
    </row>
    <row r="4305" customFormat="false" ht="15" hidden="false" customHeight="false" outlineLevel="0" collapsed="false">
      <c r="A4305" s="16" t="n">
        <v>46277</v>
      </c>
      <c r="B4305" s="17" t="n">
        <v>77270.73</v>
      </c>
    </row>
    <row r="4306" customFormat="false" ht="15" hidden="false" customHeight="false" outlineLevel="0" collapsed="false">
      <c r="A4306" s="16" t="n">
        <v>46278</v>
      </c>
      <c r="B4306" s="17" t="n">
        <v>76804.92</v>
      </c>
    </row>
    <row r="4307" customFormat="false" ht="15" hidden="false" customHeight="false" outlineLevel="0" collapsed="false">
      <c r="A4307" s="16" t="n">
        <v>46279</v>
      </c>
      <c r="B4307" s="17" t="n">
        <v>78200.38</v>
      </c>
    </row>
    <row r="4308" customFormat="false" ht="15" hidden="false" customHeight="false" outlineLevel="0" collapsed="false">
      <c r="A4308" s="16" t="n">
        <v>46280</v>
      </c>
      <c r="B4308" s="17" t="n">
        <v>75656.09</v>
      </c>
    </row>
    <row r="4309" customFormat="false" ht="15" hidden="false" customHeight="false" outlineLevel="0" collapsed="false">
      <c r="A4309" s="16" t="n">
        <v>46281</v>
      </c>
      <c r="B4309" s="17" t="n">
        <v>76208.64</v>
      </c>
    </row>
    <row r="4310" customFormat="false" ht="15" hidden="false" customHeight="false" outlineLevel="0" collapsed="false">
      <c r="A4310" s="16" t="n">
        <v>46282</v>
      </c>
      <c r="B4310" s="17" t="n">
        <v>76366.4</v>
      </c>
    </row>
    <row r="4311" customFormat="false" ht="15" hidden="false" customHeight="false" outlineLevel="0" collapsed="false">
      <c r="A4311" s="16" t="n">
        <v>46283</v>
      </c>
      <c r="B4311" s="17" t="n">
        <v>80844</v>
      </c>
    </row>
    <row r="4312" customFormat="false" ht="15" hidden="false" customHeight="false" outlineLevel="0" collapsed="false">
      <c r="A4312" s="16" t="n">
        <v>46284</v>
      </c>
      <c r="B4312" s="17" t="n">
        <v>81186</v>
      </c>
    </row>
    <row r="4313" customFormat="false" ht="15" hidden="false" customHeight="false" outlineLevel="0" collapsed="false">
      <c r="A4313" s="16" t="n">
        <v>46285</v>
      </c>
      <c r="B4313" s="17" t="n">
        <v>81253.37</v>
      </c>
    </row>
    <row r="4314" customFormat="false" ht="15" hidden="false" customHeight="false" outlineLevel="0" collapsed="false">
      <c r="A4314" s="16" t="n">
        <v>46286</v>
      </c>
      <c r="B4314" s="17" t="n">
        <v>86396.74</v>
      </c>
    </row>
    <row r="4315" customFormat="false" ht="15" hidden="false" customHeight="false" outlineLevel="0" collapsed="false">
      <c r="A4315" s="16" t="n">
        <v>46287</v>
      </c>
      <c r="B4315" s="17" t="n">
        <v>86249.98</v>
      </c>
    </row>
    <row r="4316" customFormat="false" ht="15" hidden="false" customHeight="false" outlineLevel="0" collapsed="false">
      <c r="A4316" s="16" t="n">
        <v>46288</v>
      </c>
      <c r="B4316" s="17" t="n">
        <v>84452.97</v>
      </c>
    </row>
    <row r="4317" customFormat="false" ht="15" hidden="false" customHeight="false" outlineLevel="0" collapsed="false">
      <c r="A4317" s="16" t="n">
        <v>46289</v>
      </c>
      <c r="B4317" s="17" t="n">
        <v>84470.76</v>
      </c>
    </row>
    <row r="4318" customFormat="false" ht="15" hidden="false" customHeight="false" outlineLevel="0" collapsed="false">
      <c r="A4318" s="16" t="n">
        <v>46290</v>
      </c>
      <c r="B4318" s="17" t="n">
        <v>84048.07</v>
      </c>
    </row>
    <row r="4319" customFormat="false" ht="15" hidden="false" customHeight="false" outlineLevel="0" collapsed="false">
      <c r="A4319" s="16" t="n">
        <v>46291</v>
      </c>
      <c r="B4319" s="17" t="n">
        <v>84337.36</v>
      </c>
    </row>
    <row r="4320" customFormat="false" ht="15" hidden="false" customHeight="false" outlineLevel="0" collapsed="false">
      <c r="A4320" s="16" t="n">
        <v>46292</v>
      </c>
      <c r="B4320" s="17" t="n">
        <v>84553.91</v>
      </c>
    </row>
    <row r="4321" customFormat="false" ht="15" hidden="false" customHeight="false" outlineLevel="0" collapsed="false">
      <c r="A4321" s="16" t="n">
        <v>46293</v>
      </c>
      <c r="B4321" s="17" t="n">
        <v>83487.03</v>
      </c>
    </row>
    <row r="4322" customFormat="false" ht="15" hidden="false" customHeight="false" outlineLevel="0" collapsed="false">
      <c r="A4322" s="16" t="n">
        <v>46294</v>
      </c>
      <c r="B4322" s="17" t="n">
        <v>83636.7</v>
      </c>
    </row>
    <row r="4323" customFormat="false" ht="15" hidden="false" customHeight="false" outlineLevel="0" collapsed="false">
      <c r="A4323" s="16" t="n">
        <v>46295</v>
      </c>
      <c r="B4323" s="17" t="n">
        <v>83482.51</v>
      </c>
    </row>
    <row r="4324" customFormat="false" ht="15" hidden="false" customHeight="false" outlineLevel="0" collapsed="false">
      <c r="A4324" s="16" t="n">
        <v>46296</v>
      </c>
      <c r="B4324" s="17" t="n">
        <v>84759.64</v>
      </c>
    </row>
    <row r="4325" customFormat="false" ht="15" hidden="false" customHeight="false" outlineLevel="0" collapsed="false">
      <c r="A4325" s="16" t="n">
        <v>46297</v>
      </c>
      <c r="B4325" s="17" t="n">
        <v>84478.54</v>
      </c>
    </row>
    <row r="4326" customFormat="false" ht="15" hidden="false" customHeight="false" outlineLevel="0" collapsed="false">
      <c r="A4326" s="16" t="n">
        <v>46298</v>
      </c>
      <c r="B4326" s="17" t="n">
        <v>84813.71</v>
      </c>
    </row>
    <row r="4327" customFormat="false" ht="15" hidden="false" customHeight="false" outlineLevel="0" collapsed="false">
      <c r="A4327" s="16" t="n">
        <v>46299</v>
      </c>
      <c r="B4327" s="17" t="n">
        <v>86423.68</v>
      </c>
    </row>
    <row r="4328" customFormat="false" ht="15" hidden="false" customHeight="false" outlineLevel="0" collapsed="false">
      <c r="A4328" s="16" t="n">
        <v>46300</v>
      </c>
      <c r="B4328" s="17" t="n">
        <v>85820.65</v>
      </c>
    </row>
    <row r="4329" customFormat="false" ht="15" hidden="false" customHeight="false" outlineLevel="0" collapsed="false">
      <c r="A4329" s="16" t="n">
        <v>46301</v>
      </c>
      <c r="B4329" s="17" t="n">
        <v>85499.09</v>
      </c>
    </row>
    <row r="4330" customFormat="false" ht="15" hidden="false" customHeight="false" outlineLevel="0" collapsed="false">
      <c r="A4330" s="16" t="n">
        <v>46302</v>
      </c>
      <c r="B4330" s="17" t="n">
        <v>83239.49</v>
      </c>
    </row>
    <row r="4331" customFormat="false" ht="15" hidden="false" customHeight="false" outlineLevel="0" collapsed="false">
      <c r="A4331" s="16" t="n">
        <v>46303</v>
      </c>
      <c r="B4331" s="17" t="n">
        <v>81657.19</v>
      </c>
    </row>
    <row r="4332" customFormat="false" ht="15" hidden="false" customHeight="false" outlineLevel="0" collapsed="false">
      <c r="A4332" s="16" t="n">
        <v>46304</v>
      </c>
      <c r="B4332" s="17" t="n">
        <v>82543.3</v>
      </c>
    </row>
    <row r="4333" customFormat="false" ht="15" hidden="false" customHeight="false" outlineLevel="0" collapsed="false">
      <c r="A4333" s="16" t="n">
        <v>46305</v>
      </c>
      <c r="B4333" s="17" t="n">
        <v>82926.27</v>
      </c>
    </row>
    <row r="4334" customFormat="false" ht="15" hidden="false" customHeight="false" outlineLevel="0" collapsed="false">
      <c r="A4334" s="16" t="n">
        <v>46306</v>
      </c>
      <c r="B4334" s="17" t="n">
        <v>83683.56</v>
      </c>
    </row>
    <row r="4335" customFormat="false" ht="15" hidden="false" customHeight="false" outlineLevel="0" collapsed="false">
      <c r="A4335" s="16" t="n">
        <v>46307</v>
      </c>
      <c r="B4335" s="17" t="n">
        <v>81782.78</v>
      </c>
    </row>
    <row r="4336" customFormat="false" ht="15" hidden="false" customHeight="false" outlineLevel="0" collapsed="false">
      <c r="A4336" s="16" t="n">
        <v>46308</v>
      </c>
      <c r="B4336" s="17" t="n">
        <v>83159.9</v>
      </c>
    </row>
    <row r="4337" customFormat="false" ht="15" hidden="false" customHeight="false" outlineLevel="0" collapsed="false">
      <c r="A4337" s="16" t="n">
        <v>46309</v>
      </c>
      <c r="B4337" s="17" t="n">
        <v>81694.05</v>
      </c>
    </row>
    <row r="4338" customFormat="false" ht="15" hidden="false" customHeight="false" outlineLevel="0" collapsed="false">
      <c r="A4338" s="16" t="n">
        <v>46310</v>
      </c>
      <c r="B4338" s="17" t="n">
        <v>82140.24</v>
      </c>
    </row>
    <row r="4339" customFormat="false" ht="15" hidden="false" customHeight="false" outlineLevel="0" collapsed="false">
      <c r="A4339" s="16" t="n">
        <v>46311</v>
      </c>
      <c r="B4339" s="17" t="n">
        <v>81475.05</v>
      </c>
    </row>
    <row r="4340" customFormat="false" ht="15" hidden="false" customHeight="false" outlineLevel="0" collapsed="false">
      <c r="A4340" s="16" t="n">
        <v>46312</v>
      </c>
      <c r="B4340" s="17" t="n">
        <v>81310.49</v>
      </c>
    </row>
    <row r="4341" customFormat="false" ht="15" hidden="false" customHeight="false" outlineLevel="0" collapsed="false">
      <c r="A4341" s="16" t="n">
        <v>46313</v>
      </c>
      <c r="B4341" s="17" t="n">
        <v>81977.73</v>
      </c>
    </row>
    <row r="4342" customFormat="false" ht="15" hidden="false" customHeight="false" outlineLevel="0" collapsed="false">
      <c r="A4342" s="16" t="n">
        <v>46314</v>
      </c>
      <c r="B4342" s="17" t="n">
        <v>81804.35</v>
      </c>
    </row>
    <row r="4343" customFormat="false" ht="15" hidden="false" customHeight="false" outlineLevel="0" collapsed="false">
      <c r="A4343" s="16" t="n">
        <v>46315</v>
      </c>
      <c r="B4343" s="17" t="n">
        <v>82850.31</v>
      </c>
    </row>
    <row r="4344" customFormat="false" ht="15" hidden="false" customHeight="false" outlineLevel="0" collapsed="false">
      <c r="A4344" s="16" t="n">
        <v>46316</v>
      </c>
      <c r="B4344" s="17" t="n">
        <v>84133.56</v>
      </c>
    </row>
    <row r="4345" customFormat="false" ht="15" hidden="false" customHeight="false" outlineLevel="0" collapsed="false">
      <c r="A4345" s="16" t="n">
        <v>46317</v>
      </c>
      <c r="B4345" s="17" t="n">
        <v>81225.62</v>
      </c>
    </row>
    <row r="4346" customFormat="false" ht="15" hidden="false" customHeight="false" outlineLevel="0" collapsed="false">
      <c r="A4346" s="16" t="n">
        <v>46318</v>
      </c>
      <c r="B4346" s="17" t="n">
        <v>81026.7</v>
      </c>
    </row>
    <row r="4347" customFormat="false" ht="15" hidden="false" customHeight="false" outlineLevel="0" collapsed="false">
      <c r="A4347" s="16" t="n">
        <v>46319</v>
      </c>
      <c r="B4347" s="17" t="n">
        <v>80681.44</v>
      </c>
    </row>
    <row r="4348" customFormat="false" ht="15" hidden="false" customHeight="false" outlineLevel="0" collapsed="false">
      <c r="A4348" s="16" t="n">
        <v>46320</v>
      </c>
      <c r="B4348" s="17" t="n">
        <v>79914.39</v>
      </c>
    </row>
    <row r="4349" customFormat="false" ht="15" hidden="false" customHeight="false" outlineLevel="0" collapsed="false">
      <c r="A4349" s="16" t="n">
        <v>46321</v>
      </c>
      <c r="B4349" s="17" t="n">
        <v>80056.43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0"/>
    <col collapsed="false" customWidth="true" hidden="false" outlineLevel="0" max="16" min="16" style="0" width="3"/>
    <col collapsed="false" customWidth="true" hidden="false" outlineLevel="0" max="17" min="17" style="0" width="34"/>
    <col collapsed="false" customWidth="true" hidden="false" outlineLevel="0" max="18" min="18" style="0" width="13"/>
  </cols>
  <sheetData>
    <row r="1" customFormat="false" ht="54" hidden="false" customHeight="true" outlineLevel="0" collapsed="false">
      <c r="A1" s="6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7" t="s">
        <v>94</v>
      </c>
      <c r="N1" s="7" t="s">
        <v>95</v>
      </c>
      <c r="O1" s="7" t="s">
        <v>96</v>
      </c>
      <c r="Q1" s="4" t="s">
        <v>97</v>
      </c>
    </row>
    <row r="2" customFormat="false" ht="15" hidden="false" customHeight="false" outlineLevel="0" collapsed="false">
      <c r="A2" s="16" t="n">
        <v>41974</v>
      </c>
      <c r="B2" s="23" t="n">
        <f aca="false">YEAR(A2)</f>
        <v>2014</v>
      </c>
      <c r="C2" s="17" t="n">
        <v>370</v>
      </c>
      <c r="E2" s="24" t="n">
        <f aca="false">LN(C2)</f>
        <v>5.91350300563827</v>
      </c>
      <c r="K2" s="17" t="n">
        <f aca="false">C2</f>
        <v>370</v>
      </c>
      <c r="L2" s="25" t="n">
        <f aca="false">C2/K2-1</f>
        <v>0</v>
      </c>
      <c r="N2" s="25" t="str">
        <f aca="false">IF(A2-7&lt;$R$2,"",C2/INDEX(Clean_Data!$C$2:$C$4314,MATCH(A2-7,Clean_Data!$A$2:$A$4314,1))-1)</f>
        <v/>
      </c>
      <c r="O2" s="25" t="str">
        <f aca="false">IF(A2-30&lt;$R$2,"",C2/INDEX(Clean_Data!$C$2:$C$4314,MATCH(A2-30,Clean_Data!$A$2:$A$4314,1))-1)</f>
        <v/>
      </c>
      <c r="Q2" s="5" t="s">
        <v>98</v>
      </c>
      <c r="R2" s="26" t="n">
        <v>42024</v>
      </c>
    </row>
    <row r="3" customFormat="false" ht="15" hidden="false" customHeight="false" outlineLevel="0" collapsed="false">
      <c r="A3" s="16" t="n">
        <v>41975</v>
      </c>
      <c r="B3" s="23" t="n">
        <f aca="false">YEAR(A3)</f>
        <v>2014</v>
      </c>
      <c r="C3" s="17" t="n">
        <v>378</v>
      </c>
      <c r="D3" s="23" t="n">
        <f aca="false">A3-A2</f>
        <v>1</v>
      </c>
      <c r="E3" s="24" t="n">
        <f aca="false">LN(C3)</f>
        <v>5.93489419561959</v>
      </c>
      <c r="F3" s="25" t="n">
        <f aca="false">LN(C3/C2)</f>
        <v>0.0213911899813176</v>
      </c>
      <c r="G3" s="25" t="str">
        <f aca="false">IF(AND(D3=1,A3&gt;=$R$2),F3,"")</f>
        <v/>
      </c>
      <c r="H3" s="27" t="str">
        <f aca="false">IF(G3="","",G3^2)</f>
        <v/>
      </c>
      <c r="I3" s="25" t="str">
        <f aca="false">IF(G3="","",C3/C2-1)</f>
        <v/>
      </c>
      <c r="K3" s="17" t="n">
        <f aca="false">MAX(K2,C3)</f>
        <v>378</v>
      </c>
      <c r="L3" s="25" t="n">
        <f aca="false">C3/K3-1</f>
        <v>0</v>
      </c>
      <c r="N3" s="25" t="str">
        <f aca="false">IF(A3-7&lt;$R$2,"",C3/INDEX(Clean_Data!$C$2:$C$4314,MATCH(A3-7,Clean_Data!$A$2:$A$4314,1))-1)</f>
        <v/>
      </c>
      <c r="O3" s="25" t="str">
        <f aca="false">IF(A3-30&lt;$R$2,"",C3/INDEX(Clean_Data!$C$2:$C$4314,MATCH(A3-30,Clean_Data!$A$2:$A$4314,1))-1)</f>
        <v/>
      </c>
      <c r="Q3" s="5" t="s">
        <v>99</v>
      </c>
      <c r="R3" s="28" t="n">
        <v>365</v>
      </c>
    </row>
    <row r="4" customFormat="false" ht="15" hidden="false" customHeight="false" outlineLevel="0" collapsed="false">
      <c r="A4" s="16" t="n">
        <v>41976</v>
      </c>
      <c r="B4" s="23" t="n">
        <f aca="false">YEAR(A4)</f>
        <v>2014</v>
      </c>
      <c r="C4" s="17" t="n">
        <v>378</v>
      </c>
      <c r="D4" s="23" t="n">
        <f aca="false">A4-A3</f>
        <v>1</v>
      </c>
      <c r="E4" s="24" t="n">
        <f aca="false">LN(C4)</f>
        <v>5.93489419561959</v>
      </c>
      <c r="F4" s="25" t="n">
        <f aca="false">LN(C4/C3)</f>
        <v>0</v>
      </c>
      <c r="G4" s="25" t="str">
        <f aca="false">IF(AND(D4=1,A4&gt;=$R$2),F4,"")</f>
        <v/>
      </c>
      <c r="H4" s="27" t="str">
        <f aca="false">IF(G4="","",G4^2)</f>
        <v/>
      </c>
      <c r="I4" s="25" t="str">
        <f aca="false">IF(G4="","",C4/C3-1)</f>
        <v/>
      </c>
      <c r="K4" s="17" t="n">
        <f aca="false">MAX(K3,C4)</f>
        <v>378</v>
      </c>
      <c r="L4" s="25" t="n">
        <f aca="false">C4/K4-1</f>
        <v>0</v>
      </c>
      <c r="N4" s="25" t="str">
        <f aca="false">IF(A4-7&lt;$R$2,"",C4/INDEX(Clean_Data!$C$2:$C$4314,MATCH(A4-7,Clean_Data!$A$2:$A$4314,1))-1)</f>
        <v/>
      </c>
      <c r="O4" s="25" t="str">
        <f aca="false">IF(A4-30&lt;$R$2,"",C4/INDEX(Clean_Data!$C$2:$C$4314,MATCH(A4-30,Clean_Data!$A$2:$A$4314,1))-1)</f>
        <v/>
      </c>
    </row>
    <row r="5" customFormat="false" ht="15" hidden="false" customHeight="false" outlineLevel="0" collapsed="false">
      <c r="A5" s="16" t="n">
        <v>41977</v>
      </c>
      <c r="B5" s="23" t="n">
        <f aca="false">YEAR(A5)</f>
        <v>2014</v>
      </c>
      <c r="C5" s="17" t="n">
        <v>377.1</v>
      </c>
      <c r="D5" s="23" t="n">
        <f aca="false">A5-A4</f>
        <v>1</v>
      </c>
      <c r="E5" s="24" t="n">
        <f aca="false">LN(C5)</f>
        <v>5.93251040426431</v>
      </c>
      <c r="F5" s="25" t="n">
        <f aca="false">LN(C5/C4)</f>
        <v>-0.00238379135527625</v>
      </c>
      <c r="G5" s="25" t="str">
        <f aca="false">IF(AND(D5=1,A5&gt;=$R$2),F5,"")</f>
        <v/>
      </c>
      <c r="H5" s="27" t="str">
        <f aca="false">IF(G5="","",G5^2)</f>
        <v/>
      </c>
      <c r="I5" s="25" t="str">
        <f aca="false">IF(G5="","",C5/C4-1)</f>
        <v/>
      </c>
      <c r="K5" s="17" t="n">
        <f aca="false">MAX(K4,C5)</f>
        <v>378</v>
      </c>
      <c r="L5" s="25" t="n">
        <f aca="false">C5/K5-1</f>
        <v>-0.00238095238095237</v>
      </c>
      <c r="N5" s="25" t="str">
        <f aca="false">IF(A5-7&lt;$R$2,"",C5/INDEX(Clean_Data!$C$2:$C$4314,MATCH(A5-7,Clean_Data!$A$2:$A$4314,1))-1)</f>
        <v/>
      </c>
      <c r="O5" s="25" t="str">
        <f aca="false">IF(A5-30&lt;$R$2,"",C5/INDEX(Clean_Data!$C$2:$C$4314,MATCH(A5-30,Clean_Data!$A$2:$A$4314,1))-1)</f>
        <v/>
      </c>
      <c r="Q5" s="22" t="s">
        <v>100</v>
      </c>
    </row>
    <row r="6" customFormat="false" ht="15" hidden="false" customHeight="false" outlineLevel="0" collapsed="false">
      <c r="A6" s="16" t="n">
        <v>41979</v>
      </c>
      <c r="B6" s="23" t="n">
        <f aca="false">YEAR(A6)</f>
        <v>2014</v>
      </c>
      <c r="C6" s="17" t="n">
        <v>378</v>
      </c>
      <c r="D6" s="23" t="n">
        <f aca="false">A6-A5</f>
        <v>2</v>
      </c>
      <c r="E6" s="24" t="n">
        <f aca="false">LN(C6)</f>
        <v>5.93489419561959</v>
      </c>
      <c r="F6" s="25" t="n">
        <f aca="false">LN(C6/C5)</f>
        <v>0.0023837913552762</v>
      </c>
      <c r="G6" s="25" t="str">
        <f aca="false">IF(AND(D6=1,A6&gt;=$R$2),F6,"")</f>
        <v/>
      </c>
      <c r="H6" s="27" t="str">
        <f aca="false">IF(G6="","",G6^2)</f>
        <v/>
      </c>
      <c r="I6" s="25" t="str">
        <f aca="false">IF(G6="","",C6/C5-1)</f>
        <v/>
      </c>
      <c r="K6" s="17" t="n">
        <f aca="false">MAX(K5,C6)</f>
        <v>378</v>
      </c>
      <c r="L6" s="25" t="n">
        <f aca="false">C6/K6-1</f>
        <v>0</v>
      </c>
      <c r="N6" s="25" t="str">
        <f aca="false">IF(A6-7&lt;$R$2,"",C6/INDEX(Clean_Data!$C$2:$C$4314,MATCH(A6-7,Clean_Data!$A$2:$A$4314,1))-1)</f>
        <v/>
      </c>
      <c r="O6" s="25" t="str">
        <f aca="false">IF(A6-30&lt;$R$2,"",C6/INDEX(Clean_Data!$C$2:$C$4314,MATCH(A6-30,Clean_Data!$A$2:$A$4314,1))-1)</f>
        <v/>
      </c>
      <c r="Q6" s="22" t="s">
        <v>101</v>
      </c>
    </row>
    <row r="7" customFormat="false" ht="15" hidden="false" customHeight="false" outlineLevel="0" collapsed="false">
      <c r="A7" s="16" t="n">
        <v>41981</v>
      </c>
      <c r="B7" s="23" t="n">
        <f aca="false">YEAR(A7)</f>
        <v>2014</v>
      </c>
      <c r="C7" s="17" t="n">
        <v>375</v>
      </c>
      <c r="D7" s="23" t="n">
        <f aca="false">A7-A6</f>
        <v>2</v>
      </c>
      <c r="E7" s="24" t="n">
        <f aca="false">LN(C7)</f>
        <v>5.92692602597041</v>
      </c>
      <c r="F7" s="25" t="n">
        <f aca="false">LN(C7/C6)</f>
        <v>-0.00796816964917685</v>
      </c>
      <c r="G7" s="25" t="str">
        <f aca="false">IF(AND(D7=1,A7&gt;=$R$2),F7,"")</f>
        <v/>
      </c>
      <c r="H7" s="27" t="str">
        <f aca="false">IF(G7="","",G7^2)</f>
        <v/>
      </c>
      <c r="I7" s="25" t="str">
        <f aca="false">IF(G7="","",C7/C6-1)</f>
        <v/>
      </c>
      <c r="K7" s="17" t="n">
        <f aca="false">MAX(K6,C7)</f>
        <v>378</v>
      </c>
      <c r="L7" s="25" t="n">
        <f aca="false">C7/K7-1</f>
        <v>-0.00793650793650791</v>
      </c>
      <c r="N7" s="25" t="str">
        <f aca="false">IF(A7-7&lt;$R$2,"",C7/INDEX(Clean_Data!$C$2:$C$4314,MATCH(A7-7,Clean_Data!$A$2:$A$4314,1))-1)</f>
        <v/>
      </c>
      <c r="O7" s="25" t="str">
        <f aca="false">IF(A7-30&lt;$R$2,"",C7/INDEX(Clean_Data!$C$2:$C$4314,MATCH(A7-30,Clean_Data!$A$2:$A$4314,1))-1)</f>
        <v/>
      </c>
      <c r="Q7" s="22" t="s">
        <v>102</v>
      </c>
    </row>
    <row r="8" customFormat="false" ht="15" hidden="false" customHeight="false" outlineLevel="0" collapsed="false">
      <c r="A8" s="16" t="n">
        <v>41983</v>
      </c>
      <c r="B8" s="23" t="n">
        <f aca="false">YEAR(A8)</f>
        <v>2014</v>
      </c>
      <c r="C8" s="17" t="n">
        <v>360.5</v>
      </c>
      <c r="D8" s="23" t="n">
        <f aca="false">A8-A7</f>
        <v>2</v>
      </c>
      <c r="E8" s="24" t="n">
        <f aca="false">LN(C8)</f>
        <v>5.887491956725</v>
      </c>
      <c r="F8" s="25" t="n">
        <f aca="false">LN(C8/C7)</f>
        <v>-0.039434069245407</v>
      </c>
      <c r="G8" s="25" t="str">
        <f aca="false">IF(AND(D8=1,A8&gt;=$R$2),F8,"")</f>
        <v/>
      </c>
      <c r="H8" s="27" t="str">
        <f aca="false">IF(G8="","",G8^2)</f>
        <v/>
      </c>
      <c r="I8" s="25" t="str">
        <f aca="false">IF(G8="","",C8/C7-1)</f>
        <v/>
      </c>
      <c r="K8" s="17" t="n">
        <f aca="false">MAX(K7,C8)</f>
        <v>378</v>
      </c>
      <c r="L8" s="25" t="n">
        <f aca="false">C8/K8-1</f>
        <v>-0.0462962962962963</v>
      </c>
      <c r="N8" s="25" t="str">
        <f aca="false">IF(A8-7&lt;$R$2,"",C8/INDEX(Clean_Data!$C$2:$C$4314,MATCH(A8-7,Clean_Data!$A$2:$A$4314,1))-1)</f>
        <v/>
      </c>
      <c r="O8" s="25" t="str">
        <f aca="false">IF(A8-30&lt;$R$2,"",C8/INDEX(Clean_Data!$C$2:$C$4314,MATCH(A8-30,Clean_Data!$A$2:$A$4314,1))-1)</f>
        <v/>
      </c>
      <c r="Q8" s="22" t="s">
        <v>103</v>
      </c>
    </row>
    <row r="9" customFormat="false" ht="15" hidden="false" customHeight="false" outlineLevel="0" collapsed="false">
      <c r="A9" s="16" t="n">
        <v>41985</v>
      </c>
      <c r="B9" s="23" t="n">
        <f aca="false">YEAR(A9)</f>
        <v>2014</v>
      </c>
      <c r="C9" s="17" t="n">
        <v>350</v>
      </c>
      <c r="D9" s="23" t="n">
        <f aca="false">A9-A8</f>
        <v>2</v>
      </c>
      <c r="E9" s="24" t="n">
        <f aca="false">LN(C9)</f>
        <v>5.85793315448346</v>
      </c>
      <c r="F9" s="25" t="n">
        <f aca="false">LN(C9/C8)</f>
        <v>-0.0295588022415444</v>
      </c>
      <c r="G9" s="25" t="str">
        <f aca="false">IF(AND(D9=1,A9&gt;=$R$2),F9,"")</f>
        <v/>
      </c>
      <c r="H9" s="27" t="str">
        <f aca="false">IF(G9="","",G9^2)</f>
        <v/>
      </c>
      <c r="I9" s="25" t="str">
        <f aca="false">IF(G9="","",C9/C8-1)</f>
        <v/>
      </c>
      <c r="K9" s="17" t="n">
        <f aca="false">MAX(K8,C9)</f>
        <v>378</v>
      </c>
      <c r="L9" s="25" t="n">
        <f aca="false">C9/K9-1</f>
        <v>-0.0740740740740741</v>
      </c>
      <c r="N9" s="25" t="str">
        <f aca="false">IF(A9-7&lt;$R$2,"",C9/INDEX(Clean_Data!$C$2:$C$4314,MATCH(A9-7,Clean_Data!$A$2:$A$4314,1))-1)</f>
        <v/>
      </c>
      <c r="O9" s="25" t="str">
        <f aca="false">IF(A9-30&lt;$R$2,"",C9/INDEX(Clean_Data!$C$2:$C$4314,MATCH(A9-30,Clean_Data!$A$2:$A$4314,1))-1)</f>
        <v/>
      </c>
      <c r="Q9" s="22" t="s">
        <v>104</v>
      </c>
    </row>
    <row r="10" customFormat="false" ht="15" hidden="false" customHeight="false" outlineLevel="0" collapsed="false">
      <c r="A10" s="16" t="n">
        <v>41991</v>
      </c>
      <c r="B10" s="23" t="n">
        <f aca="false">YEAR(A10)</f>
        <v>2014</v>
      </c>
      <c r="C10" s="17" t="n">
        <v>340</v>
      </c>
      <c r="D10" s="23" t="n">
        <f aca="false">A10-A9</f>
        <v>6</v>
      </c>
      <c r="E10" s="24" t="n">
        <f aca="false">LN(C10)</f>
        <v>5.82894561761021</v>
      </c>
      <c r="F10" s="25" t="n">
        <f aca="false">LN(C10/C9)</f>
        <v>-0.0289875368732523</v>
      </c>
      <c r="G10" s="25" t="str">
        <f aca="false">IF(AND(D10=1,A10&gt;=$R$2),F10,"")</f>
        <v/>
      </c>
      <c r="H10" s="27" t="str">
        <f aca="false">IF(G10="","",G10^2)</f>
        <v/>
      </c>
      <c r="I10" s="25" t="str">
        <f aca="false">IF(G10="","",C10/C9-1)</f>
        <v/>
      </c>
      <c r="K10" s="17" t="n">
        <f aca="false">MAX(K9,C10)</f>
        <v>378</v>
      </c>
      <c r="L10" s="25" t="n">
        <f aca="false">C10/K10-1</f>
        <v>-0.100529100529101</v>
      </c>
      <c r="N10" s="25" t="str">
        <f aca="false">IF(A10-7&lt;$R$2,"",C10/INDEX(Clean_Data!$C$2:$C$4314,MATCH(A10-7,Clean_Data!$A$2:$A$4314,1))-1)</f>
        <v/>
      </c>
      <c r="O10" s="25" t="str">
        <f aca="false">IF(A10-30&lt;$R$2,"",C10/INDEX(Clean_Data!$C$2:$C$4314,MATCH(A10-30,Clean_Data!$A$2:$A$4314,1))-1)</f>
        <v/>
      </c>
      <c r="Q10" s="22" t="s">
        <v>105</v>
      </c>
    </row>
    <row r="11" customFormat="false" ht="15" hidden="false" customHeight="false" outlineLevel="0" collapsed="false">
      <c r="A11" s="16" t="n">
        <v>42012</v>
      </c>
      <c r="B11" s="23" t="n">
        <f aca="false">YEAR(A11)</f>
        <v>2015</v>
      </c>
      <c r="C11" s="17" t="n">
        <v>288.99</v>
      </c>
      <c r="D11" s="23" t="n">
        <f aca="false">A11-A10</f>
        <v>21</v>
      </c>
      <c r="E11" s="24" t="n">
        <f aca="false">LN(C11)</f>
        <v>5.66639208543764</v>
      </c>
      <c r="F11" s="25" t="n">
        <f aca="false">LN(C11/C10)</f>
        <v>-0.162553532172565</v>
      </c>
      <c r="G11" s="25" t="str">
        <f aca="false">IF(AND(D11=1,A11&gt;=$R$2),F11,"")</f>
        <v/>
      </c>
      <c r="H11" s="27" t="str">
        <f aca="false">IF(G11="","",G11^2)</f>
        <v/>
      </c>
      <c r="I11" s="25" t="str">
        <f aca="false">IF(G11="","",C11/C10-1)</f>
        <v/>
      </c>
      <c r="K11" s="17" t="n">
        <f aca="false">MAX(K10,C11)</f>
        <v>378</v>
      </c>
      <c r="L11" s="25" t="n">
        <f aca="false">C11/K11-1</f>
        <v>-0.235476190476191</v>
      </c>
      <c r="N11" s="25" t="str">
        <f aca="false">IF(A11-7&lt;$R$2,"",C11/INDEX(Clean_Data!$C$2:$C$4314,MATCH(A11-7,Clean_Data!$A$2:$A$4314,1))-1)</f>
        <v/>
      </c>
      <c r="O11" s="25" t="str">
        <f aca="false">IF(A11-30&lt;$R$2,"",C11/INDEX(Clean_Data!$C$2:$C$4314,MATCH(A11-30,Clean_Data!$A$2:$A$4314,1))-1)</f>
        <v/>
      </c>
      <c r="Q11" s="22" t="s">
        <v>106</v>
      </c>
    </row>
    <row r="12" customFormat="false" ht="15" hidden="false" customHeight="false" outlineLevel="0" collapsed="false">
      <c r="A12" s="16" t="n">
        <v>42017</v>
      </c>
      <c r="B12" s="23" t="n">
        <f aca="false">YEAR(A12)</f>
        <v>2015</v>
      </c>
      <c r="C12" s="17" t="n">
        <v>260</v>
      </c>
      <c r="D12" s="23" t="n">
        <f aca="false">A12-A11</f>
        <v>5</v>
      </c>
      <c r="E12" s="24" t="n">
        <f aca="false">LN(C12)</f>
        <v>5.56068163101553</v>
      </c>
      <c r="F12" s="25" t="n">
        <f aca="false">LN(C12/C11)</f>
        <v>-0.105710454422114</v>
      </c>
      <c r="G12" s="25" t="str">
        <f aca="false">IF(AND(D12=1,A12&gt;=$R$2),F12,"")</f>
        <v/>
      </c>
      <c r="H12" s="27" t="str">
        <f aca="false">IF(G12="","",G12^2)</f>
        <v/>
      </c>
      <c r="I12" s="25" t="str">
        <f aca="false">IF(G12="","",C12/C11-1)</f>
        <v/>
      </c>
      <c r="K12" s="17" t="n">
        <f aca="false">MAX(K11,C12)</f>
        <v>378</v>
      </c>
      <c r="L12" s="25" t="n">
        <f aca="false">C12/K12-1</f>
        <v>-0.312169312169312</v>
      </c>
      <c r="N12" s="25" t="str">
        <f aca="false">IF(A12-7&lt;$R$2,"",C12/INDEX(Clean_Data!$C$2:$C$4314,MATCH(A12-7,Clean_Data!$A$2:$A$4314,1))-1)</f>
        <v/>
      </c>
      <c r="O12" s="25" t="str">
        <f aca="false">IF(A12-30&lt;$R$2,"",C12/INDEX(Clean_Data!$C$2:$C$4314,MATCH(A12-30,Clean_Data!$A$2:$A$4314,1))-1)</f>
        <v/>
      </c>
    </row>
    <row r="13" customFormat="false" ht="15" hidden="false" customHeight="false" outlineLevel="0" collapsed="false">
      <c r="A13" s="16" t="n">
        <v>42018</v>
      </c>
      <c r="B13" s="23" t="n">
        <f aca="false">YEAR(A13)</f>
        <v>2015</v>
      </c>
      <c r="C13" s="17" t="n">
        <v>120</v>
      </c>
      <c r="D13" s="23" t="n">
        <f aca="false">A13-A12</f>
        <v>1</v>
      </c>
      <c r="E13" s="24" t="n">
        <f aca="false">LN(C13)</f>
        <v>4.78749174278205</v>
      </c>
      <c r="F13" s="25" t="n">
        <f aca="false">LN(C13/C12)</f>
        <v>-0.773189888233482</v>
      </c>
      <c r="G13" s="25" t="str">
        <f aca="false">IF(AND(D13=1,A13&gt;=$R$2),F13,"")</f>
        <v/>
      </c>
      <c r="H13" s="27" t="str">
        <f aca="false">IF(G13="","",G13^2)</f>
        <v/>
      </c>
      <c r="I13" s="25" t="str">
        <f aca="false">IF(G13="","",C13/C12-1)</f>
        <v/>
      </c>
      <c r="K13" s="17" t="n">
        <f aca="false">MAX(K12,C13)</f>
        <v>378</v>
      </c>
      <c r="L13" s="25" t="n">
        <f aca="false">C13/K13-1</f>
        <v>-0.682539682539683</v>
      </c>
      <c r="N13" s="25" t="str">
        <f aca="false">IF(A13-7&lt;$R$2,"",C13/INDEX(Clean_Data!$C$2:$C$4314,MATCH(A13-7,Clean_Data!$A$2:$A$4314,1))-1)</f>
        <v/>
      </c>
      <c r="O13" s="25" t="str">
        <f aca="false">IF(A13-30&lt;$R$2,"",C13/INDEX(Clean_Data!$C$2:$C$4314,MATCH(A13-30,Clean_Data!$A$2:$A$4314,1))-1)</f>
        <v/>
      </c>
    </row>
    <row r="14" customFormat="false" ht="15" hidden="false" customHeight="false" outlineLevel="0" collapsed="false">
      <c r="A14" s="16" t="n">
        <v>42019</v>
      </c>
      <c r="B14" s="23" t="n">
        <f aca="false">YEAR(A14)</f>
        <v>2015</v>
      </c>
      <c r="C14" s="17" t="n">
        <v>204.22</v>
      </c>
      <c r="D14" s="23" t="n">
        <f aca="false">A14-A13</f>
        <v>1</v>
      </c>
      <c r="E14" s="24" t="n">
        <f aca="false">LN(C14)</f>
        <v>5.31919784412739</v>
      </c>
      <c r="F14" s="25" t="n">
        <f aca="false">LN(C14/C13)</f>
        <v>0.531706101345346</v>
      </c>
      <c r="G14" s="25" t="str">
        <f aca="false">IF(AND(D14=1,A14&gt;=$R$2),F14,"")</f>
        <v/>
      </c>
      <c r="H14" s="27" t="str">
        <f aca="false">IF(G14="","",G14^2)</f>
        <v/>
      </c>
      <c r="I14" s="25" t="str">
        <f aca="false">IF(G14="","",C14/C13-1)</f>
        <v/>
      </c>
      <c r="K14" s="17" t="n">
        <f aca="false">MAX(K13,C14)</f>
        <v>378</v>
      </c>
      <c r="L14" s="25" t="n">
        <f aca="false">C14/K14-1</f>
        <v>-0.45973544973545</v>
      </c>
      <c r="N14" s="25" t="str">
        <f aca="false">IF(A14-7&lt;$R$2,"",C14/INDEX(Clean_Data!$C$2:$C$4314,MATCH(A14-7,Clean_Data!$A$2:$A$4314,1))-1)</f>
        <v/>
      </c>
      <c r="O14" s="25" t="str">
        <f aca="false">IF(A14-30&lt;$R$2,"",C14/INDEX(Clean_Data!$C$2:$C$4314,MATCH(A14-30,Clean_Data!$A$2:$A$4314,1))-1)</f>
        <v/>
      </c>
    </row>
    <row r="15" customFormat="false" ht="15" hidden="false" customHeight="false" outlineLevel="0" collapsed="false">
      <c r="A15" s="16" t="n">
        <v>42020</v>
      </c>
      <c r="B15" s="23" t="n">
        <f aca="false">YEAR(A15)</f>
        <v>2015</v>
      </c>
      <c r="C15" s="17" t="n">
        <v>199.46</v>
      </c>
      <c r="D15" s="23" t="n">
        <f aca="false">A15-A14</f>
        <v>1</v>
      </c>
      <c r="E15" s="24" t="n">
        <f aca="false">LN(C15)</f>
        <v>5.29561371497372</v>
      </c>
      <c r="F15" s="25" t="n">
        <f aca="false">LN(C15/C14)</f>
        <v>-0.0235841291536699</v>
      </c>
      <c r="G15" s="25" t="str">
        <f aca="false">IF(AND(D15=1,A15&gt;=$R$2),F15,"")</f>
        <v/>
      </c>
      <c r="H15" s="27" t="str">
        <f aca="false">IF(G15="","",G15^2)</f>
        <v/>
      </c>
      <c r="I15" s="25" t="str">
        <f aca="false">IF(G15="","",C15/C14-1)</f>
        <v/>
      </c>
      <c r="K15" s="17" t="n">
        <f aca="false">MAX(K14,C15)</f>
        <v>378</v>
      </c>
      <c r="L15" s="25" t="n">
        <f aca="false">C15/K15-1</f>
        <v>-0.472328042328042</v>
      </c>
      <c r="N15" s="25" t="str">
        <f aca="false">IF(A15-7&lt;$R$2,"",C15/INDEX(Clean_Data!$C$2:$C$4314,MATCH(A15-7,Clean_Data!$A$2:$A$4314,1))-1)</f>
        <v/>
      </c>
      <c r="O15" s="25" t="str">
        <f aca="false">IF(A15-30&lt;$R$2,"",C15/INDEX(Clean_Data!$C$2:$C$4314,MATCH(A15-30,Clean_Data!$A$2:$A$4314,1))-1)</f>
        <v/>
      </c>
    </row>
    <row r="16" customFormat="false" ht="15" hidden="false" customHeight="false" outlineLevel="0" collapsed="false">
      <c r="A16" s="16" t="n">
        <v>42021</v>
      </c>
      <c r="B16" s="23" t="n">
        <f aca="false">YEAR(A16)</f>
        <v>2015</v>
      </c>
      <c r="C16" s="17" t="n">
        <v>184</v>
      </c>
      <c r="D16" s="23" t="n">
        <f aca="false">A16-A15</f>
        <v>1</v>
      </c>
      <c r="E16" s="24" t="n">
        <f aca="false">LN(C16)</f>
        <v>5.21493575760899</v>
      </c>
      <c r="F16" s="25" t="n">
        <f aca="false">LN(C16/C15)</f>
        <v>-0.0806779573647363</v>
      </c>
      <c r="G16" s="25" t="str">
        <f aca="false">IF(AND(D16=1,A16&gt;=$R$2),F16,"")</f>
        <v/>
      </c>
      <c r="H16" s="27" t="str">
        <f aca="false">IF(G16="","",G16^2)</f>
        <v/>
      </c>
      <c r="I16" s="25" t="str">
        <f aca="false">IF(G16="","",C16/C15-1)</f>
        <v/>
      </c>
      <c r="K16" s="17" t="n">
        <f aca="false">MAX(K15,C16)</f>
        <v>378</v>
      </c>
      <c r="L16" s="25" t="n">
        <f aca="false">C16/K16-1</f>
        <v>-0.513227513227513</v>
      </c>
      <c r="N16" s="25" t="str">
        <f aca="false">IF(A16-7&lt;$R$2,"",C16/INDEX(Clean_Data!$C$2:$C$4314,MATCH(A16-7,Clean_Data!$A$2:$A$4314,1))-1)</f>
        <v/>
      </c>
      <c r="O16" s="25" t="str">
        <f aca="false">IF(A16-30&lt;$R$2,"",C16/INDEX(Clean_Data!$C$2:$C$4314,MATCH(A16-30,Clean_Data!$A$2:$A$4314,1))-1)</f>
        <v/>
      </c>
    </row>
    <row r="17" customFormat="false" ht="15" hidden="false" customHeight="false" outlineLevel="0" collapsed="false">
      <c r="A17" s="16" t="n">
        <v>42023</v>
      </c>
      <c r="B17" s="23" t="n">
        <f aca="false">YEAR(A17)</f>
        <v>2015</v>
      </c>
      <c r="C17" s="17" t="n">
        <v>225.51</v>
      </c>
      <c r="D17" s="23" t="n">
        <f aca="false">A17-A16</f>
        <v>2</v>
      </c>
      <c r="E17" s="24" t="n">
        <f aca="false">LN(C17)</f>
        <v>5.41836450385749</v>
      </c>
      <c r="F17" s="25" t="n">
        <f aca="false">LN(C17/C16)</f>
        <v>0.203428746248502</v>
      </c>
      <c r="G17" s="25" t="str">
        <f aca="false">IF(AND(D17=1,A17&gt;=$R$2),F17,"")</f>
        <v/>
      </c>
      <c r="H17" s="27" t="str">
        <f aca="false">IF(G17="","",G17^2)</f>
        <v/>
      </c>
      <c r="I17" s="25" t="str">
        <f aca="false">IF(G17="","",C17/C16-1)</f>
        <v/>
      </c>
      <c r="K17" s="17" t="n">
        <f aca="false">MAX(K16,C17)</f>
        <v>378</v>
      </c>
      <c r="L17" s="25" t="n">
        <f aca="false">C17/K17-1</f>
        <v>-0.403412698412698</v>
      </c>
      <c r="N17" s="25" t="str">
        <f aca="false">IF(A17-7&lt;$R$2,"",C17/INDEX(Clean_Data!$C$2:$C$4314,MATCH(A17-7,Clean_Data!$A$2:$A$4314,1))-1)</f>
        <v/>
      </c>
      <c r="O17" s="25" t="str">
        <f aca="false">IF(A17-30&lt;$R$2,"",C17/INDEX(Clean_Data!$C$2:$C$4314,MATCH(A17-30,Clean_Data!$A$2:$A$4314,1))-1)</f>
        <v/>
      </c>
    </row>
    <row r="18" customFormat="false" ht="15" hidden="false" customHeight="false" outlineLevel="0" collapsed="false">
      <c r="A18" s="16" t="n">
        <v>42024</v>
      </c>
      <c r="B18" s="23" t="n">
        <f aca="false">YEAR(A18)</f>
        <v>2015</v>
      </c>
      <c r="C18" s="17" t="n">
        <v>218</v>
      </c>
      <c r="D18" s="23" t="n">
        <f aca="false">A18-A17</f>
        <v>1</v>
      </c>
      <c r="E18" s="24" t="n">
        <f aca="false">LN(C18)</f>
        <v>5.38449506278909</v>
      </c>
      <c r="F18" s="25" t="n">
        <f aca="false">LN(C18/C17)</f>
        <v>-0.0338694410683981</v>
      </c>
      <c r="G18" s="25" t="n">
        <f aca="false">IF(AND(D18=1,A18&gt;=$R$2),F18,"")</f>
        <v>-0.0338694410683981</v>
      </c>
      <c r="H18" s="27" t="n">
        <f aca="false">IF(G18="","",G18^2)</f>
        <v>0.00114713903828569</v>
      </c>
      <c r="I18" s="25" t="n">
        <f aca="false">IF(G18="","",C18/C17-1)</f>
        <v>-0.0333022925812602</v>
      </c>
      <c r="K18" s="17" t="n">
        <f aca="false">MAX(K17,C18)</f>
        <v>378</v>
      </c>
      <c r="L18" s="25" t="n">
        <f aca="false">C18/K18-1</f>
        <v>-0.423280423280423</v>
      </c>
      <c r="N18" s="25" t="str">
        <f aca="false">IF(A18-7&lt;$R$2,"",C18/INDEX(Clean_Data!$C$2:$C$4314,MATCH(A18-7,Clean_Data!$A$2:$A$4314,1))-1)</f>
        <v/>
      </c>
      <c r="O18" s="25" t="str">
        <f aca="false">IF(A18-30&lt;$R$2,"",C18/INDEX(Clean_Data!$C$2:$C$4314,MATCH(A18-30,Clean_Data!$A$2:$A$4314,1))-1)</f>
        <v/>
      </c>
    </row>
    <row r="19" customFormat="false" ht="15" hidden="false" customHeight="false" outlineLevel="0" collapsed="false">
      <c r="A19" s="16" t="n">
        <v>42025</v>
      </c>
      <c r="B19" s="23" t="n">
        <f aca="false">YEAR(A19)</f>
        <v>2015</v>
      </c>
      <c r="C19" s="17" t="n">
        <v>225.51</v>
      </c>
      <c r="D19" s="23" t="n">
        <f aca="false">A19-A18</f>
        <v>1</v>
      </c>
      <c r="E19" s="24" t="n">
        <f aca="false">LN(C19)</f>
        <v>5.41836450385749</v>
      </c>
      <c r="F19" s="25" t="n">
        <f aca="false">LN(C19/C18)</f>
        <v>0.0338694410683982</v>
      </c>
      <c r="G19" s="25" t="n">
        <f aca="false">IF(AND(D19=1,A19&gt;=$R$2),F19,"")</f>
        <v>0.0338694410683982</v>
      </c>
      <c r="H19" s="27" t="n">
        <f aca="false">IF(G19="","",G19^2)</f>
        <v>0.0011471390382857</v>
      </c>
      <c r="I19" s="25" t="n">
        <f aca="false">IF(G19="","",C19/C18-1)</f>
        <v>0.0344495412844037</v>
      </c>
      <c r="K19" s="17" t="n">
        <f aca="false">MAX(K18,C19)</f>
        <v>378</v>
      </c>
      <c r="L19" s="25" t="n">
        <f aca="false">C19/K19-1</f>
        <v>-0.403412698412698</v>
      </c>
      <c r="N19" s="25" t="str">
        <f aca="false">IF(A19-7&lt;$R$2,"",C19/INDEX(Clean_Data!$C$2:$C$4314,MATCH(A19-7,Clean_Data!$A$2:$A$4314,1))-1)</f>
        <v/>
      </c>
      <c r="O19" s="25" t="str">
        <f aca="false">IF(A19-30&lt;$R$2,"",C19/INDEX(Clean_Data!$C$2:$C$4314,MATCH(A19-30,Clean_Data!$A$2:$A$4314,1))-1)</f>
        <v/>
      </c>
    </row>
    <row r="20" customFormat="false" ht="15" hidden="false" customHeight="false" outlineLevel="0" collapsed="false">
      <c r="A20" s="16" t="n">
        <v>42026</v>
      </c>
      <c r="B20" s="23" t="n">
        <f aca="false">YEAR(A20)</f>
        <v>2015</v>
      </c>
      <c r="C20" s="17" t="n">
        <v>226.32</v>
      </c>
      <c r="D20" s="23" t="n">
        <f aca="false">A20-A19</f>
        <v>1</v>
      </c>
      <c r="E20" s="24" t="n">
        <f aca="false">LN(C20)</f>
        <v>5.42194992699331</v>
      </c>
      <c r="F20" s="25" t="n">
        <f aca="false">LN(C20/C19)</f>
        <v>0.00358542313582453</v>
      </c>
      <c r="G20" s="25" t="n">
        <f aca="false">IF(AND(D20=1,A20&gt;=$R$2),F20,"")</f>
        <v>0.00358542313582453</v>
      </c>
      <c r="H20" s="27" t="n">
        <f aca="false">IF(G20="","",G20^2)</f>
        <v>1.28552590629058E-005</v>
      </c>
      <c r="I20" s="25" t="n">
        <f aca="false">IF(G20="","",C20/C19-1)</f>
        <v>0.00359185845417054</v>
      </c>
      <c r="K20" s="17" t="n">
        <f aca="false">MAX(K19,C20)</f>
        <v>378</v>
      </c>
      <c r="L20" s="25" t="n">
        <f aca="false">C20/K20-1</f>
        <v>-0.401269841269841</v>
      </c>
      <c r="N20" s="25" t="str">
        <f aca="false">IF(A20-7&lt;$R$2,"",C20/INDEX(Clean_Data!$C$2:$C$4314,MATCH(A20-7,Clean_Data!$A$2:$A$4314,1))-1)</f>
        <v/>
      </c>
      <c r="O20" s="25" t="str">
        <f aca="false">IF(A20-30&lt;$R$2,"",C20/INDEX(Clean_Data!$C$2:$C$4314,MATCH(A20-30,Clean_Data!$A$2:$A$4314,1))-1)</f>
        <v/>
      </c>
    </row>
    <row r="21" customFormat="false" ht="15" hidden="false" customHeight="false" outlineLevel="0" collapsed="false">
      <c r="A21" s="16" t="n">
        <v>42027</v>
      </c>
      <c r="B21" s="23" t="n">
        <f aca="false">YEAR(A21)</f>
        <v>2015</v>
      </c>
      <c r="C21" s="17" t="n">
        <v>235</v>
      </c>
      <c r="D21" s="23" t="n">
        <f aca="false">A21-A20</f>
        <v>1</v>
      </c>
      <c r="E21" s="24" t="n">
        <f aca="false">LN(C21)</f>
        <v>5.45958551414416</v>
      </c>
      <c r="F21" s="25" t="n">
        <f aca="false">LN(C21/C20)</f>
        <v>0.0376355871508473</v>
      </c>
      <c r="G21" s="25" t="n">
        <f aca="false">IF(AND(D21=1,A21&gt;=$R$2),F21,"")</f>
        <v>0.0376355871508473</v>
      </c>
      <c r="H21" s="27" t="n">
        <f aca="false">IF(G21="","",G21^2)</f>
        <v>0.00141643742018902</v>
      </c>
      <c r="I21" s="25" t="n">
        <f aca="false">IF(G21="","",C21/C20-1)</f>
        <v>0.0383527748320962</v>
      </c>
      <c r="K21" s="17" t="n">
        <f aca="false">MAX(K20,C21)</f>
        <v>378</v>
      </c>
      <c r="L21" s="25" t="n">
        <f aca="false">C21/K21-1</f>
        <v>-0.378306878306878</v>
      </c>
      <c r="N21" s="25" t="str">
        <f aca="false">IF(A21-7&lt;$R$2,"",C21/INDEX(Clean_Data!$C$2:$C$4314,MATCH(A21-7,Clean_Data!$A$2:$A$4314,1))-1)</f>
        <v/>
      </c>
      <c r="O21" s="25" t="str">
        <f aca="false">IF(A21-30&lt;$R$2,"",C21/INDEX(Clean_Data!$C$2:$C$4314,MATCH(A21-30,Clean_Data!$A$2:$A$4314,1))-1)</f>
        <v/>
      </c>
    </row>
    <row r="22" customFormat="false" ht="15" hidden="false" customHeight="false" outlineLevel="0" collapsed="false">
      <c r="A22" s="16" t="n">
        <v>42028</v>
      </c>
      <c r="B22" s="23" t="n">
        <f aca="false">YEAR(A22)</f>
        <v>2015</v>
      </c>
      <c r="C22" s="17" t="n">
        <v>240</v>
      </c>
      <c r="D22" s="23" t="n">
        <f aca="false">A22-A21</f>
        <v>1</v>
      </c>
      <c r="E22" s="24" t="n">
        <f aca="false">LN(C22)</f>
        <v>5.48063892334199</v>
      </c>
      <c r="F22" s="25" t="n">
        <f aca="false">LN(C22/C21)</f>
        <v>0.0210534091978323</v>
      </c>
      <c r="G22" s="25" t="n">
        <f aca="false">IF(AND(D22=1,A22&gt;=$R$2),F22,"")</f>
        <v>0.0210534091978323</v>
      </c>
      <c r="H22" s="27" t="n">
        <f aca="false">IF(G22="","",G22^2)</f>
        <v>0.000443246038851368</v>
      </c>
      <c r="I22" s="25" t="n">
        <f aca="false">IF(G22="","",C22/C21-1)</f>
        <v>0.0212765957446808</v>
      </c>
      <c r="K22" s="17" t="n">
        <f aca="false">MAX(K21,C22)</f>
        <v>378</v>
      </c>
      <c r="L22" s="25" t="n">
        <f aca="false">C22/K22-1</f>
        <v>-0.365079365079365</v>
      </c>
      <c r="N22" s="25" t="str">
        <f aca="false">IF(A22-7&lt;$R$2,"",C22/INDEX(Clean_Data!$C$2:$C$4314,MATCH(A22-7,Clean_Data!$A$2:$A$4314,1))-1)</f>
        <v/>
      </c>
      <c r="O22" s="25" t="str">
        <f aca="false">IF(A22-30&lt;$R$2,"",C22/INDEX(Clean_Data!$C$2:$C$4314,MATCH(A22-30,Clean_Data!$A$2:$A$4314,1))-1)</f>
        <v/>
      </c>
    </row>
    <row r="23" customFormat="false" ht="15" hidden="false" customHeight="false" outlineLevel="0" collapsed="false">
      <c r="A23" s="16" t="n">
        <v>42029</v>
      </c>
      <c r="B23" s="23" t="n">
        <f aca="false">YEAR(A23)</f>
        <v>2015</v>
      </c>
      <c r="C23" s="17" t="n">
        <v>254.53</v>
      </c>
      <c r="D23" s="23" t="n">
        <f aca="false">A23-A22</f>
        <v>1</v>
      </c>
      <c r="E23" s="24" t="n">
        <f aca="false">LN(C23)</f>
        <v>5.53941870723602</v>
      </c>
      <c r="F23" s="25" t="n">
        <f aca="false">LN(C23/C22)</f>
        <v>0.0587797838940324</v>
      </c>
      <c r="G23" s="25" t="n">
        <f aca="false">IF(AND(D23=1,A23&gt;=$R$2),F23,"")</f>
        <v>0.0587797838940324</v>
      </c>
      <c r="H23" s="27" t="n">
        <f aca="false">IF(G23="","",G23^2)</f>
        <v>0.00345506299462915</v>
      </c>
      <c r="I23" s="25" t="n">
        <f aca="false">IF(G23="","",C23/C22-1)</f>
        <v>0.0605416666666667</v>
      </c>
      <c r="K23" s="17" t="n">
        <f aca="false">MAX(K22,C23)</f>
        <v>378</v>
      </c>
      <c r="L23" s="25" t="n">
        <f aca="false">C23/K23-1</f>
        <v>-0.326640211640212</v>
      </c>
      <c r="N23" s="25" t="str">
        <f aca="false">IF(A23-7&lt;$R$2,"",C23/INDEX(Clean_Data!$C$2:$C$4314,MATCH(A23-7,Clean_Data!$A$2:$A$4314,1))-1)</f>
        <v/>
      </c>
      <c r="O23" s="25" t="str">
        <f aca="false">IF(A23-30&lt;$R$2,"",C23/INDEX(Clean_Data!$C$2:$C$4314,MATCH(A23-30,Clean_Data!$A$2:$A$4314,1))-1)</f>
        <v/>
      </c>
    </row>
    <row r="24" customFormat="false" ht="15" hidden="false" customHeight="false" outlineLevel="0" collapsed="false">
      <c r="A24" s="16" t="n">
        <v>42030</v>
      </c>
      <c r="B24" s="23" t="n">
        <f aca="false">YEAR(A24)</f>
        <v>2015</v>
      </c>
      <c r="C24" s="17" t="n">
        <v>274.48</v>
      </c>
      <c r="D24" s="23" t="n">
        <f aca="false">A24-A23</f>
        <v>1</v>
      </c>
      <c r="E24" s="24" t="n">
        <f aca="false">LN(C24)</f>
        <v>5.6148783985502</v>
      </c>
      <c r="F24" s="25" t="n">
        <f aca="false">LN(C24/C23)</f>
        <v>0.0754596913141708</v>
      </c>
      <c r="G24" s="25" t="n">
        <f aca="false">IF(AND(D24=1,A24&gt;=$R$2),F24,"")</f>
        <v>0.0754596913141708</v>
      </c>
      <c r="H24" s="27" t="n">
        <f aca="false">IF(G24="","",G24^2)</f>
        <v>0.00569416501322995</v>
      </c>
      <c r="I24" s="25" t="n">
        <f aca="false">IF(G24="","",C24/C23-1)</f>
        <v>0.0783797587710684</v>
      </c>
      <c r="K24" s="17" t="n">
        <f aca="false">MAX(K23,C24)</f>
        <v>378</v>
      </c>
      <c r="L24" s="25" t="n">
        <f aca="false">C24/K24-1</f>
        <v>-0.273862433862434</v>
      </c>
      <c r="N24" s="25" t="str">
        <f aca="false">IF(A24-7&lt;$R$2,"",C24/INDEX(Clean_Data!$C$2:$C$4314,MATCH(A24-7,Clean_Data!$A$2:$A$4314,1))-1)</f>
        <v/>
      </c>
      <c r="O24" s="25" t="str">
        <f aca="false">IF(A24-30&lt;$R$2,"",C24/INDEX(Clean_Data!$C$2:$C$4314,MATCH(A24-30,Clean_Data!$A$2:$A$4314,1))-1)</f>
        <v/>
      </c>
    </row>
    <row r="25" customFormat="false" ht="15" hidden="false" customHeight="false" outlineLevel="0" collapsed="false">
      <c r="A25" s="16" t="n">
        <v>42031</v>
      </c>
      <c r="B25" s="23" t="n">
        <f aca="false">YEAR(A25)</f>
        <v>2015</v>
      </c>
      <c r="C25" s="17" t="n">
        <v>263.65</v>
      </c>
      <c r="D25" s="23" t="n">
        <f aca="false">A25-A24</f>
        <v>1</v>
      </c>
      <c r="E25" s="24" t="n">
        <f aca="false">LN(C25)</f>
        <v>5.57462246597648</v>
      </c>
      <c r="F25" s="25" t="n">
        <f aca="false">LN(C25/C24)</f>
        <v>-0.0402559325737157</v>
      </c>
      <c r="G25" s="25" t="n">
        <f aca="false">IF(AND(D25=1,A25&gt;=$R$2),F25,"")</f>
        <v>-0.0402559325737157</v>
      </c>
      <c r="H25" s="27" t="n">
        <f aca="false">IF(G25="","",G25^2)</f>
        <v>0.00162054010737954</v>
      </c>
      <c r="I25" s="25" t="n">
        <f aca="false">IF(G25="","",C25/C24-1)</f>
        <v>-0.039456426697756</v>
      </c>
      <c r="K25" s="17" t="n">
        <f aca="false">MAX(K24,C25)</f>
        <v>378</v>
      </c>
      <c r="L25" s="25" t="n">
        <f aca="false">C25/K25-1</f>
        <v>-0.302513227513228</v>
      </c>
      <c r="N25" s="25" t="n">
        <f aca="false">IF(A25-7&lt;$R$2,"",C25/INDEX(Clean_Data!$C$2:$C$4314,MATCH(A25-7,Clean_Data!$A$2:$A$4314,1))-1)</f>
        <v>0.209403669724771</v>
      </c>
      <c r="O25" s="25" t="str">
        <f aca="false">IF(A25-30&lt;$R$2,"",C25/INDEX(Clean_Data!$C$2:$C$4314,MATCH(A25-30,Clean_Data!$A$2:$A$4314,1))-1)</f>
        <v/>
      </c>
    </row>
    <row r="26" customFormat="false" ht="15" hidden="false" customHeight="false" outlineLevel="0" collapsed="false">
      <c r="A26" s="16" t="n">
        <v>42032</v>
      </c>
      <c r="B26" s="23" t="n">
        <f aca="false">YEAR(A26)</f>
        <v>2015</v>
      </c>
      <c r="C26" s="17" t="n">
        <v>236.09</v>
      </c>
      <c r="D26" s="23" t="n">
        <f aca="false">A26-A25</f>
        <v>1</v>
      </c>
      <c r="E26" s="24" t="n">
        <f aca="false">LN(C26)</f>
        <v>5.46421308826012</v>
      </c>
      <c r="F26" s="25" t="n">
        <f aca="false">LN(C26/C25)</f>
        <v>-0.110409377716357</v>
      </c>
      <c r="G26" s="25" t="n">
        <f aca="false">IF(AND(D26=1,A26&gt;=$R$2),F26,"")</f>
        <v>-0.110409377716357</v>
      </c>
      <c r="H26" s="27" t="n">
        <f aca="false">IF(G26="","",G26^2)</f>
        <v>0.0121902306877132</v>
      </c>
      <c r="I26" s="25" t="n">
        <f aca="false">IF(G26="","",C26/C25-1)</f>
        <v>-0.104532524179784</v>
      </c>
      <c r="K26" s="17" t="n">
        <f aca="false">MAX(K25,C26)</f>
        <v>378</v>
      </c>
      <c r="L26" s="25" t="n">
        <f aca="false">C26/K26-1</f>
        <v>-0.37542328042328</v>
      </c>
      <c r="N26" s="25" t="n">
        <f aca="false">IF(A26-7&lt;$R$2,"",C26/INDEX(Clean_Data!$C$2:$C$4314,MATCH(A26-7,Clean_Data!$A$2:$A$4314,1))-1)</f>
        <v>0.046915879561882</v>
      </c>
      <c r="O26" s="25" t="str">
        <f aca="false">IF(A26-30&lt;$R$2,"",C26/INDEX(Clean_Data!$C$2:$C$4314,MATCH(A26-30,Clean_Data!$A$2:$A$4314,1))-1)</f>
        <v/>
      </c>
    </row>
    <row r="27" customFormat="false" ht="15" hidden="false" customHeight="false" outlineLevel="0" collapsed="false">
      <c r="A27" s="16" t="n">
        <v>42033</v>
      </c>
      <c r="B27" s="23" t="n">
        <f aca="false">YEAR(A27)</f>
        <v>2015</v>
      </c>
      <c r="C27" s="17" t="n">
        <v>235.03</v>
      </c>
      <c r="D27" s="23" t="n">
        <f aca="false">A27-A26</f>
        <v>1</v>
      </c>
      <c r="E27" s="24" t="n">
        <f aca="false">LN(C27)</f>
        <v>5.45971316557084</v>
      </c>
      <c r="F27" s="25" t="n">
        <f aca="false">LN(C27/C26)</f>
        <v>-0.00449992268928488</v>
      </c>
      <c r="G27" s="25" t="n">
        <f aca="false">IF(AND(D27=1,A27&gt;=$R$2),F27,"")</f>
        <v>-0.00449992268928488</v>
      </c>
      <c r="H27" s="27" t="n">
        <f aca="false">IF(G27="","",G27^2)</f>
        <v>2.02493042095409E-005</v>
      </c>
      <c r="I27" s="25" t="n">
        <f aca="false">IF(G27="","",C27/C26-1)</f>
        <v>-0.00448981320682795</v>
      </c>
      <c r="K27" s="17" t="n">
        <f aca="false">MAX(K26,C27)</f>
        <v>378</v>
      </c>
      <c r="L27" s="25" t="n">
        <f aca="false">C27/K27-1</f>
        <v>-0.378227513227513</v>
      </c>
      <c r="N27" s="25" t="n">
        <f aca="false">IF(A27-7&lt;$R$2,"",C27/INDEX(Clean_Data!$C$2:$C$4314,MATCH(A27-7,Clean_Data!$A$2:$A$4314,1))-1)</f>
        <v>0.0384853305054791</v>
      </c>
      <c r="O27" s="25" t="str">
        <f aca="false">IF(A27-30&lt;$R$2,"",C27/INDEX(Clean_Data!$C$2:$C$4314,MATCH(A27-30,Clean_Data!$A$2:$A$4314,1))-1)</f>
        <v/>
      </c>
    </row>
    <row r="28" customFormat="false" ht="15" hidden="false" customHeight="false" outlineLevel="0" collapsed="false">
      <c r="A28" s="16" t="n">
        <v>42034</v>
      </c>
      <c r="B28" s="23" t="n">
        <f aca="false">YEAR(A28)</f>
        <v>2015</v>
      </c>
      <c r="C28" s="17" t="n">
        <v>229.07</v>
      </c>
      <c r="D28" s="23" t="n">
        <f aca="false">A28-A27</f>
        <v>1</v>
      </c>
      <c r="E28" s="24" t="n">
        <f aca="false">LN(C28)</f>
        <v>5.43402763370048</v>
      </c>
      <c r="F28" s="25" t="n">
        <f aca="false">LN(C28/C27)</f>
        <v>-0.0256855318703538</v>
      </c>
      <c r="G28" s="25" t="n">
        <f aca="false">IF(AND(D28=1,A28&gt;=$R$2),F28,"")</f>
        <v>-0.0256855318703538</v>
      </c>
      <c r="H28" s="27" t="n">
        <f aca="false">IF(G28="","",G28^2)</f>
        <v>0.000659746547462961</v>
      </c>
      <c r="I28" s="25" t="n">
        <f aca="false">IF(G28="","",C28/C27-1)</f>
        <v>-0.0253584648768243</v>
      </c>
      <c r="K28" s="17" t="n">
        <f aca="false">MAX(K27,C28)</f>
        <v>378</v>
      </c>
      <c r="L28" s="25" t="n">
        <f aca="false">C28/K28-1</f>
        <v>-0.393994708994709</v>
      </c>
      <c r="N28" s="25" t="n">
        <f aca="false">IF(A28-7&lt;$R$2,"",C28/INDEX(Clean_Data!$C$2:$C$4314,MATCH(A28-7,Clean_Data!$A$2:$A$4314,1))-1)</f>
        <v>-0.0252340425531915</v>
      </c>
      <c r="O28" s="25" t="str">
        <f aca="false">IF(A28-30&lt;$R$2,"",C28/INDEX(Clean_Data!$C$2:$C$4314,MATCH(A28-30,Clean_Data!$A$2:$A$4314,1))-1)</f>
        <v/>
      </c>
    </row>
    <row r="29" customFormat="false" ht="15" hidden="false" customHeight="false" outlineLevel="0" collapsed="false">
      <c r="A29" s="16" t="n">
        <v>42035</v>
      </c>
      <c r="B29" s="23" t="n">
        <f aca="false">YEAR(A29)</f>
        <v>2015</v>
      </c>
      <c r="C29" s="17" t="n">
        <v>218.45</v>
      </c>
      <c r="D29" s="23" t="n">
        <f aca="false">A29-A28</f>
        <v>1</v>
      </c>
      <c r="E29" s="24" t="n">
        <f aca="false">LN(C29)</f>
        <v>5.38655715539745</v>
      </c>
      <c r="F29" s="25" t="n">
        <f aca="false">LN(C29/C28)</f>
        <v>-0.0474704783030383</v>
      </c>
      <c r="G29" s="25" t="n">
        <f aca="false">IF(AND(D29=1,A29&gt;=$R$2),F29,"")</f>
        <v>-0.0474704783030383</v>
      </c>
      <c r="H29" s="27" t="n">
        <f aca="false">IF(G29="","",G29^2)</f>
        <v>0.00225344631031923</v>
      </c>
      <c r="I29" s="25" t="n">
        <f aca="false">IF(G29="","",C29/C28-1)</f>
        <v>-0.0463613742524119</v>
      </c>
      <c r="K29" s="17" t="n">
        <f aca="false">MAX(K28,C29)</f>
        <v>378</v>
      </c>
      <c r="L29" s="25" t="n">
        <f aca="false">C29/K29-1</f>
        <v>-0.422089947089947</v>
      </c>
      <c r="N29" s="25" t="n">
        <f aca="false">IF(A29-7&lt;$R$2,"",C29/INDEX(Clean_Data!$C$2:$C$4314,MATCH(A29-7,Clean_Data!$A$2:$A$4314,1))-1)</f>
        <v>-0.0897916666666667</v>
      </c>
      <c r="O29" s="25" t="str">
        <f aca="false">IF(A29-30&lt;$R$2,"",C29/INDEX(Clean_Data!$C$2:$C$4314,MATCH(A29-30,Clean_Data!$A$2:$A$4314,1))-1)</f>
        <v/>
      </c>
    </row>
    <row r="30" customFormat="false" ht="15" hidden="false" customHeight="false" outlineLevel="0" collapsed="false">
      <c r="A30" s="16" t="n">
        <v>42036</v>
      </c>
      <c r="B30" s="23" t="n">
        <f aca="false">YEAR(A30)</f>
        <v>2015</v>
      </c>
      <c r="C30" s="17" t="n">
        <v>228.99</v>
      </c>
      <c r="D30" s="23" t="n">
        <f aca="false">A30-A29</f>
        <v>1</v>
      </c>
      <c r="E30" s="24" t="n">
        <f aca="false">LN(C30)</f>
        <v>5.43367833447849</v>
      </c>
      <c r="F30" s="25" t="n">
        <f aca="false">LN(C30/C29)</f>
        <v>0.0471211790810439</v>
      </c>
      <c r="G30" s="25" t="n">
        <f aca="false">IF(AND(D30=1,A30&gt;=$R$2),F30,"")</f>
        <v>0.0471211790810439</v>
      </c>
      <c r="H30" s="27" t="n">
        <f aca="false">IF(G30="","",G30^2)</f>
        <v>0.00222040551798781</v>
      </c>
      <c r="I30" s="25" t="n">
        <f aca="false">IF(G30="","",C30/C29-1)</f>
        <v>0.0482490272373541</v>
      </c>
      <c r="K30" s="17" t="n">
        <f aca="false">MAX(K29,C30)</f>
        <v>378</v>
      </c>
      <c r="L30" s="25" t="n">
        <f aca="false">C30/K30-1</f>
        <v>-0.394206349206349</v>
      </c>
      <c r="N30" s="25" t="n">
        <f aca="false">IF(A30-7&lt;$R$2,"",C30/INDEX(Clean_Data!$C$2:$C$4314,MATCH(A30-7,Clean_Data!$A$2:$A$4314,1))-1)</f>
        <v>-0.100341806466821</v>
      </c>
      <c r="O30" s="25" t="str">
        <f aca="false">IF(A30-30&lt;$R$2,"",C30/INDEX(Clean_Data!$C$2:$C$4314,MATCH(A30-30,Clean_Data!$A$2:$A$4314,1))-1)</f>
        <v/>
      </c>
    </row>
    <row r="31" customFormat="false" ht="15" hidden="false" customHeight="false" outlineLevel="0" collapsed="false">
      <c r="A31" s="16" t="n">
        <v>42037</v>
      </c>
      <c r="B31" s="23" t="n">
        <f aca="false">YEAR(A31)</f>
        <v>2015</v>
      </c>
      <c r="C31" s="17" t="n">
        <v>237.83</v>
      </c>
      <c r="D31" s="23" t="n">
        <f aca="false">A31-A30</f>
        <v>1</v>
      </c>
      <c r="E31" s="24" t="n">
        <f aca="false">LN(C31)</f>
        <v>5.47155613273361</v>
      </c>
      <c r="F31" s="25" t="n">
        <f aca="false">LN(C31/C30)</f>
        <v>0.0378777982551171</v>
      </c>
      <c r="G31" s="25" t="n">
        <f aca="false">IF(AND(D31=1,A31&gt;=$R$2),F31,"")</f>
        <v>0.0378777982551171</v>
      </c>
      <c r="H31" s="27" t="n">
        <f aca="false">IF(G31="","",G31^2)</f>
        <v>0.00143472760065535</v>
      </c>
      <c r="I31" s="25" t="n">
        <f aca="false">IF(G31="","",C31/C30-1)</f>
        <v>0.0386043058648848</v>
      </c>
      <c r="K31" s="17" t="n">
        <f aca="false">MAX(K30,C31)</f>
        <v>378</v>
      </c>
      <c r="L31" s="25" t="n">
        <f aca="false">C31/K31-1</f>
        <v>-0.370820105820106</v>
      </c>
      <c r="M31" s="25" t="str">
        <f aca="false">IF(COUNT(G2:G31)&lt;20,"",_xlfn.STDEV.S(G2:G31)*SQRT($R$3))</f>
        <v/>
      </c>
      <c r="N31" s="25" t="n">
        <f aca="false">IF(A31-7&lt;$R$2,"",C31/INDEX(Clean_Data!$C$2:$C$4314,MATCH(A31-7,Clean_Data!$A$2:$A$4314,1))-1)</f>
        <v>-0.133525211308656</v>
      </c>
      <c r="O31" s="25" t="str">
        <f aca="false">IF(A31-30&lt;$R$2,"",C31/INDEX(Clean_Data!$C$2:$C$4314,MATCH(A31-30,Clean_Data!$A$2:$A$4314,1))-1)</f>
        <v/>
      </c>
    </row>
    <row r="32" customFormat="false" ht="15" hidden="false" customHeight="false" outlineLevel="0" collapsed="false">
      <c r="A32" s="16" t="n">
        <v>42038</v>
      </c>
      <c r="B32" s="23" t="n">
        <f aca="false">YEAR(A32)</f>
        <v>2015</v>
      </c>
      <c r="C32" s="17" t="n">
        <v>228.58</v>
      </c>
      <c r="D32" s="23" t="n">
        <f aca="false">A32-A31</f>
        <v>1</v>
      </c>
      <c r="E32" s="24" t="n">
        <f aca="false">LN(C32)</f>
        <v>5.43188625846945</v>
      </c>
      <c r="F32" s="25" t="n">
        <f aca="false">LN(C32/C31)</f>
        <v>-0.039669874264154</v>
      </c>
      <c r="G32" s="25" t="n">
        <f aca="false">IF(AND(D32=1,A32&gt;=$R$2),F32,"")</f>
        <v>-0.039669874264154</v>
      </c>
      <c r="H32" s="27" t="n">
        <f aca="false">IF(G32="","",G32^2)</f>
        <v>0.00157369892413379</v>
      </c>
      <c r="I32" s="25" t="n">
        <f aca="false">IF(G32="","",C32/C31-1)</f>
        <v>-0.0388933271664634</v>
      </c>
      <c r="K32" s="17" t="n">
        <f aca="false">MAX(K31,C32)</f>
        <v>378</v>
      </c>
      <c r="L32" s="25" t="n">
        <f aca="false">C32/K32-1</f>
        <v>-0.395291005291005</v>
      </c>
      <c r="M32" s="25" t="str">
        <f aca="false">IF(COUNT(G3:G32)&lt;20,"",_xlfn.STDEV.S(G3:G32)*SQRT($R$3))</f>
        <v/>
      </c>
      <c r="N32" s="25" t="n">
        <f aca="false">IF(A32-7&lt;$R$2,"",C32/INDEX(Clean_Data!$C$2:$C$4314,MATCH(A32-7,Clean_Data!$A$2:$A$4314,1))-1)</f>
        <v>-0.133017257728048</v>
      </c>
      <c r="O32" s="25" t="str">
        <f aca="false">IF(A32-30&lt;$R$2,"",C32/INDEX(Clean_Data!$C$2:$C$4314,MATCH(A32-30,Clean_Data!$A$2:$A$4314,1))-1)</f>
        <v/>
      </c>
    </row>
    <row r="33" customFormat="false" ht="15" hidden="false" customHeight="false" outlineLevel="0" collapsed="false">
      <c r="A33" s="16" t="n">
        <v>42039</v>
      </c>
      <c r="B33" s="23" t="n">
        <f aca="false">YEAR(A33)</f>
        <v>2015</v>
      </c>
      <c r="C33" s="17" t="n">
        <v>227.11</v>
      </c>
      <c r="D33" s="23" t="n">
        <f aca="false">A33-A32</f>
        <v>1</v>
      </c>
      <c r="E33" s="24" t="n">
        <f aca="false">LN(C33)</f>
        <v>5.4254344816075</v>
      </c>
      <c r="F33" s="25" t="n">
        <f aca="false">LN(C33/C32)</f>
        <v>-0.00645177686194997</v>
      </c>
      <c r="G33" s="25" t="n">
        <f aca="false">IF(AND(D33=1,A33&gt;=$R$2),F33,"")</f>
        <v>-0.00645177686194997</v>
      </c>
      <c r="H33" s="27" t="n">
        <f aca="false">IF(G33="","",G33^2)</f>
        <v>4.1625424676393E-005</v>
      </c>
      <c r="I33" s="25" t="n">
        <f aca="false">IF(G33="","",C33/C32-1)</f>
        <v>-0.00643100883716863</v>
      </c>
      <c r="K33" s="17" t="n">
        <f aca="false">MAX(K32,C33)</f>
        <v>378</v>
      </c>
      <c r="L33" s="25" t="n">
        <f aca="false">C33/K33-1</f>
        <v>-0.399179894179894</v>
      </c>
      <c r="M33" s="25" t="str">
        <f aca="false">IF(COUNT(G4:G33)&lt;20,"",_xlfn.STDEV.S(G4:G33)*SQRT($R$3))</f>
        <v/>
      </c>
      <c r="N33" s="25" t="n">
        <f aca="false">IF(A33-7&lt;$R$2,"",C33/INDEX(Clean_Data!$C$2:$C$4314,MATCH(A33-7,Clean_Data!$A$2:$A$4314,1))-1)</f>
        <v>-0.0380363420729383</v>
      </c>
      <c r="O33" s="25" t="str">
        <f aca="false">IF(A33-30&lt;$R$2,"",C33/INDEX(Clean_Data!$C$2:$C$4314,MATCH(A33-30,Clean_Data!$A$2:$A$4314,1))-1)</f>
        <v/>
      </c>
    </row>
    <row r="34" customFormat="false" ht="15" hidden="false" customHeight="false" outlineLevel="0" collapsed="false">
      <c r="A34" s="16" t="n">
        <v>42040</v>
      </c>
      <c r="B34" s="23" t="n">
        <f aca="false">YEAR(A34)</f>
        <v>2015</v>
      </c>
      <c r="C34" s="17" t="n">
        <v>216.76</v>
      </c>
      <c r="D34" s="23" t="n">
        <f aca="false">A34-A33</f>
        <v>1</v>
      </c>
      <c r="E34" s="24" t="n">
        <f aca="false">LN(C34)</f>
        <v>5.37879075069791</v>
      </c>
      <c r="F34" s="25" t="n">
        <f aca="false">LN(C34/C33)</f>
        <v>-0.0466437309095886</v>
      </c>
      <c r="G34" s="25" t="n">
        <f aca="false">IF(AND(D34=1,A34&gt;=$R$2),F34,"")</f>
        <v>-0.0466437309095886</v>
      </c>
      <c r="H34" s="27" t="n">
        <f aca="false">IF(G34="","",G34^2)</f>
        <v>0.00217563763316611</v>
      </c>
      <c r="I34" s="25" t="n">
        <f aca="false">IF(G34="","",C34/C33-1)</f>
        <v>-0.0455726300030823</v>
      </c>
      <c r="K34" s="17" t="n">
        <f aca="false">MAX(K33,C34)</f>
        <v>378</v>
      </c>
      <c r="L34" s="25" t="n">
        <f aca="false">C34/K34-1</f>
        <v>-0.426560846560847</v>
      </c>
      <c r="M34" s="25" t="str">
        <f aca="false">IF(COUNT(G5:G34)&lt;20,"",_xlfn.STDEV.S(G5:G34)*SQRT($R$3))</f>
        <v/>
      </c>
      <c r="N34" s="25" t="n">
        <f aca="false">IF(A34-7&lt;$R$2,"",C34/INDEX(Clean_Data!$C$2:$C$4314,MATCH(A34-7,Clean_Data!$A$2:$A$4314,1))-1)</f>
        <v>-0.07773475726503</v>
      </c>
      <c r="O34" s="25" t="str">
        <f aca="false">IF(A34-30&lt;$R$2,"",C34/INDEX(Clean_Data!$C$2:$C$4314,MATCH(A34-30,Clean_Data!$A$2:$A$4314,1))-1)</f>
        <v/>
      </c>
    </row>
    <row r="35" customFormat="false" ht="15" hidden="false" customHeight="false" outlineLevel="0" collapsed="false">
      <c r="A35" s="16" t="n">
        <v>42041</v>
      </c>
      <c r="B35" s="23" t="n">
        <f aca="false">YEAR(A35)</f>
        <v>2015</v>
      </c>
      <c r="C35" s="17" t="n">
        <v>223.2</v>
      </c>
      <c r="D35" s="23" t="n">
        <f aca="false">A35-A34</f>
        <v>1</v>
      </c>
      <c r="E35" s="24" t="n">
        <f aca="false">LN(C35)</f>
        <v>5.40806823050716</v>
      </c>
      <c r="F35" s="25" t="n">
        <f aca="false">LN(C35/C34)</f>
        <v>0.0292774798092423</v>
      </c>
      <c r="G35" s="25" t="n">
        <f aca="false">IF(AND(D35=1,A35&gt;=$R$2),F35,"")</f>
        <v>0.0292774798092423</v>
      </c>
      <c r="H35" s="27" t="n">
        <f aca="false">IF(G35="","",G35^2)</f>
        <v>0.000857170823980592</v>
      </c>
      <c r="I35" s="25" t="n">
        <f aca="false">IF(G35="","",C35/C34-1)</f>
        <v>0.0297102786491972</v>
      </c>
      <c r="K35" s="17" t="n">
        <f aca="false">MAX(K34,C35)</f>
        <v>378</v>
      </c>
      <c r="L35" s="25" t="n">
        <f aca="false">C35/K35-1</f>
        <v>-0.40952380952381</v>
      </c>
      <c r="M35" s="25" t="str">
        <f aca="false">IF(COUNT(G6:G35)&lt;20,"",_xlfn.STDEV.S(G6:G35)*SQRT($R$3))</f>
        <v/>
      </c>
      <c r="N35" s="25" t="n">
        <f aca="false">IF(A35-7&lt;$R$2,"",C35/INDEX(Clean_Data!$C$2:$C$4314,MATCH(A35-7,Clean_Data!$A$2:$A$4314,1))-1)</f>
        <v>-0.0256253546950714</v>
      </c>
      <c r="O35" s="25" t="str">
        <f aca="false">IF(A35-30&lt;$R$2,"",C35/INDEX(Clean_Data!$C$2:$C$4314,MATCH(A35-30,Clean_Data!$A$2:$A$4314,1))-1)</f>
        <v/>
      </c>
    </row>
    <row r="36" customFormat="false" ht="15" hidden="false" customHeight="false" outlineLevel="0" collapsed="false">
      <c r="A36" s="16" t="n">
        <v>42042</v>
      </c>
      <c r="B36" s="23" t="n">
        <f aca="false">YEAR(A36)</f>
        <v>2015</v>
      </c>
      <c r="C36" s="17" t="n">
        <v>229</v>
      </c>
      <c r="D36" s="23" t="n">
        <f aca="false">A36-A35</f>
        <v>1</v>
      </c>
      <c r="E36" s="24" t="n">
        <f aca="false">LN(C36)</f>
        <v>5.43372200355424</v>
      </c>
      <c r="F36" s="25" t="n">
        <f aca="false">LN(C36/C35)</f>
        <v>0.0256537730470838</v>
      </c>
      <c r="G36" s="25" t="n">
        <f aca="false">IF(AND(D36=1,A36&gt;=$R$2),F36,"")</f>
        <v>0.0256537730470838</v>
      </c>
      <c r="H36" s="27" t="n">
        <f aca="false">IF(G36="","",G36^2)</f>
        <v>0.000658116071551285</v>
      </c>
      <c r="I36" s="25" t="n">
        <f aca="false">IF(G36="","",C36/C35-1)</f>
        <v>0.0259856630824373</v>
      </c>
      <c r="K36" s="17" t="n">
        <f aca="false">MAX(K35,C36)</f>
        <v>378</v>
      </c>
      <c r="L36" s="25" t="n">
        <f aca="false">C36/K36-1</f>
        <v>-0.394179894179894</v>
      </c>
      <c r="M36" s="25" t="str">
        <f aca="false">IF(COUNT(G7:G36)&lt;20,"",_xlfn.STDEV.S(G7:G36)*SQRT($R$3))</f>
        <v/>
      </c>
      <c r="N36" s="25" t="n">
        <f aca="false">IF(A36-7&lt;$R$2,"",C36/INDEX(Clean_Data!$C$2:$C$4314,MATCH(A36-7,Clean_Data!$A$2:$A$4314,1))-1)</f>
        <v>0.0482948043030442</v>
      </c>
      <c r="O36" s="25" t="str">
        <f aca="false">IF(A36-30&lt;$R$2,"",C36/INDEX(Clean_Data!$C$2:$C$4314,MATCH(A36-30,Clean_Data!$A$2:$A$4314,1))-1)</f>
        <v/>
      </c>
    </row>
    <row r="37" customFormat="false" ht="15" hidden="false" customHeight="false" outlineLevel="0" collapsed="false">
      <c r="A37" s="16" t="n">
        <v>42043</v>
      </c>
      <c r="B37" s="23" t="n">
        <f aca="false">YEAR(A37)</f>
        <v>2015</v>
      </c>
      <c r="C37" s="17" t="n">
        <v>223.99</v>
      </c>
      <c r="D37" s="23" t="n">
        <f aca="false">A37-A36</f>
        <v>1</v>
      </c>
      <c r="E37" s="24" t="n">
        <f aca="false">LN(C37)</f>
        <v>5.41160140800138</v>
      </c>
      <c r="F37" s="25" t="n">
        <f aca="false">LN(C37/C36)</f>
        <v>-0.0221205955528646</v>
      </c>
      <c r="G37" s="25" t="n">
        <f aca="false">IF(AND(D37=1,A37&gt;=$R$2),F37,"")</f>
        <v>-0.0221205955528646</v>
      </c>
      <c r="H37" s="27" t="n">
        <f aca="false">IF(G37="","",G37^2)</f>
        <v>0.000489320747613413</v>
      </c>
      <c r="I37" s="25" t="n">
        <f aca="false">IF(G37="","",C37/C36-1)</f>
        <v>-0.0218777292576419</v>
      </c>
      <c r="K37" s="17" t="n">
        <f aca="false">MAX(K36,C37)</f>
        <v>378</v>
      </c>
      <c r="L37" s="25" t="n">
        <f aca="false">C37/K37-1</f>
        <v>-0.407433862433862</v>
      </c>
      <c r="M37" s="25" t="n">
        <f aca="false">IF(COUNT(G8:G37)&lt;20,"",_xlfn.STDEV.S(G8:G37)*SQRT($R$3))</f>
        <v>0.871195966790491</v>
      </c>
      <c r="N37" s="25" t="n">
        <f aca="false">IF(A37-7&lt;$R$2,"",C37/INDEX(Clean_Data!$C$2:$C$4314,MATCH(A37-7,Clean_Data!$A$2:$A$4314,1))-1)</f>
        <v>-0.0218350146294598</v>
      </c>
      <c r="O37" s="25" t="str">
        <f aca="false">IF(A37-30&lt;$R$2,"",C37/INDEX(Clean_Data!$C$2:$C$4314,MATCH(A37-30,Clean_Data!$A$2:$A$4314,1))-1)</f>
        <v/>
      </c>
    </row>
    <row r="38" customFormat="false" ht="15" hidden="false" customHeight="false" outlineLevel="0" collapsed="false">
      <c r="A38" s="16" t="n">
        <v>42044</v>
      </c>
      <c r="B38" s="23" t="n">
        <f aca="false">YEAR(A38)</f>
        <v>2015</v>
      </c>
      <c r="C38" s="17" t="n">
        <v>221.1</v>
      </c>
      <c r="D38" s="23" t="n">
        <f aca="false">A38-A37</f>
        <v>1</v>
      </c>
      <c r="E38" s="24" t="n">
        <f aca="false">LN(C38)</f>
        <v>5.3986150878634</v>
      </c>
      <c r="F38" s="25" t="n">
        <f aca="false">LN(C38/C37)</f>
        <v>-0.0129863201379745</v>
      </c>
      <c r="G38" s="25" t="n">
        <f aca="false">IF(AND(D38=1,A38&gt;=$R$2),F38,"")</f>
        <v>-0.0129863201379745</v>
      </c>
      <c r="H38" s="27" t="n">
        <f aca="false">IF(G38="","",G38^2)</f>
        <v>0.000168644510725961</v>
      </c>
      <c r="I38" s="25" t="n">
        <f aca="false">IF(G38="","",C38/C37-1)</f>
        <v>-0.0129023617125765</v>
      </c>
      <c r="K38" s="17" t="n">
        <f aca="false">MAX(K37,C38)</f>
        <v>378</v>
      </c>
      <c r="L38" s="25" t="n">
        <f aca="false">C38/K38-1</f>
        <v>-0.415079365079365</v>
      </c>
      <c r="M38" s="25" t="n">
        <f aca="false">IF(COUNT(G9:G38)&lt;20,"",_xlfn.STDEV.S(G9:G38)*SQRT($R$3))</f>
        <v>0.850772489369326</v>
      </c>
      <c r="N38" s="25" t="n">
        <f aca="false">IF(A38-7&lt;$R$2,"",C38/INDEX(Clean_Data!$C$2:$C$4314,MATCH(A38-7,Clean_Data!$A$2:$A$4314,1))-1)</f>
        <v>-0.070344363621074</v>
      </c>
      <c r="O38" s="25" t="str">
        <f aca="false">IF(A38-30&lt;$R$2,"",C38/INDEX(Clean_Data!$C$2:$C$4314,MATCH(A38-30,Clean_Data!$A$2:$A$4314,1))-1)</f>
        <v/>
      </c>
    </row>
    <row r="39" customFormat="false" ht="15" hidden="false" customHeight="false" outlineLevel="0" collapsed="false">
      <c r="A39" s="16" t="n">
        <v>42045</v>
      </c>
      <c r="B39" s="23" t="n">
        <f aca="false">YEAR(A39)</f>
        <v>2015</v>
      </c>
      <c r="C39" s="17" t="n">
        <v>220.87</v>
      </c>
      <c r="D39" s="23" t="n">
        <f aca="false">A39-A38</f>
        <v>1</v>
      </c>
      <c r="E39" s="24" t="n">
        <f aca="false">LN(C39)</f>
        <v>5.39757429314538</v>
      </c>
      <c r="F39" s="25" t="n">
        <f aca="false">LN(C39/C38)</f>
        <v>-0.00104079471802318</v>
      </c>
      <c r="G39" s="25" t="n">
        <f aca="false">IF(AND(D39=1,A39&gt;=$R$2),F39,"")</f>
        <v>-0.00104079471802318</v>
      </c>
      <c r="H39" s="27" t="n">
        <f aca="false">IF(G39="","",G39^2)</f>
        <v>1.08325364506495E-006</v>
      </c>
      <c r="I39" s="25" t="n">
        <f aca="false">IF(G39="","",C39/C38-1)</f>
        <v>-0.00104025327905921</v>
      </c>
      <c r="K39" s="17" t="n">
        <f aca="false">MAX(K38,C39)</f>
        <v>378</v>
      </c>
      <c r="L39" s="25" t="n">
        <f aca="false">C39/K39-1</f>
        <v>-0.415687830687831</v>
      </c>
      <c r="M39" s="25" t="n">
        <f aca="false">IF(COUNT(G10:G39)&lt;20,"",_xlfn.STDEV.S(G10:G39)*SQRT($R$3))</f>
        <v>0.830269035044256</v>
      </c>
      <c r="N39" s="25" t="n">
        <f aca="false">IF(A39-7&lt;$R$2,"",C39/INDEX(Clean_Data!$C$2:$C$4314,MATCH(A39-7,Clean_Data!$A$2:$A$4314,1))-1)</f>
        <v>-0.0337299851255578</v>
      </c>
      <c r="O39" s="25" t="str">
        <f aca="false">IF(A39-30&lt;$R$2,"",C39/INDEX(Clean_Data!$C$2:$C$4314,MATCH(A39-30,Clean_Data!$A$2:$A$4314,1))-1)</f>
        <v/>
      </c>
    </row>
    <row r="40" customFormat="false" ht="15" hidden="false" customHeight="false" outlineLevel="0" collapsed="false">
      <c r="A40" s="16" t="n">
        <v>42046</v>
      </c>
      <c r="B40" s="23" t="n">
        <f aca="false">YEAR(A40)</f>
        <v>2015</v>
      </c>
      <c r="C40" s="17" t="n">
        <v>219.81</v>
      </c>
      <c r="D40" s="23" t="n">
        <f aca="false">A40-A39</f>
        <v>1</v>
      </c>
      <c r="E40" s="24" t="n">
        <f aca="false">LN(C40)</f>
        <v>5.39276353683998</v>
      </c>
      <c r="F40" s="25" t="n">
        <f aca="false">LN(C40/C39)</f>
        <v>-0.00481075630539518</v>
      </c>
      <c r="G40" s="25" t="n">
        <f aca="false">IF(AND(D40=1,A40&gt;=$R$2),F40,"")</f>
        <v>-0.00481075630539518</v>
      </c>
      <c r="H40" s="27" t="n">
        <f aca="false">IF(G40="","",G40^2)</f>
        <v>2.31433762298995E-005</v>
      </c>
      <c r="I40" s="25" t="n">
        <f aca="false">IF(G40="","",C40/C39-1)</f>
        <v>-0.00479920315117488</v>
      </c>
      <c r="K40" s="17" t="n">
        <f aca="false">MAX(K39,C40)</f>
        <v>378</v>
      </c>
      <c r="L40" s="25" t="n">
        <f aca="false">C40/K40-1</f>
        <v>-0.418492063492063</v>
      </c>
      <c r="M40" s="25" t="n">
        <f aca="false">IF(COUNT(G11:G40)&lt;20,"",_xlfn.STDEV.S(G11:G40)*SQRT($R$3))</f>
        <v>0.811326004593593</v>
      </c>
      <c r="N40" s="25" t="n">
        <f aca="false">IF(A40-7&lt;$R$2,"",C40/INDEX(Clean_Data!$C$2:$C$4314,MATCH(A40-7,Clean_Data!$A$2:$A$4314,1))-1)</f>
        <v>-0.0321430143983092</v>
      </c>
      <c r="O40" s="25" t="str">
        <f aca="false">IF(A40-30&lt;$R$2,"",C40/INDEX(Clean_Data!$C$2:$C$4314,MATCH(A40-30,Clean_Data!$A$2:$A$4314,1))-1)</f>
        <v/>
      </c>
    </row>
    <row r="41" customFormat="false" ht="15" hidden="false" customHeight="false" outlineLevel="0" collapsed="false">
      <c r="A41" s="16" t="n">
        <v>42047</v>
      </c>
      <c r="B41" s="23" t="n">
        <f aca="false">YEAR(A41)</f>
        <v>2015</v>
      </c>
      <c r="C41" s="17" t="n">
        <v>223.21</v>
      </c>
      <c r="D41" s="23" t="n">
        <f aca="false">A41-A40</f>
        <v>1</v>
      </c>
      <c r="E41" s="24" t="n">
        <f aca="false">LN(C41)</f>
        <v>5.40811303237092</v>
      </c>
      <c r="F41" s="25" t="n">
        <f aca="false">LN(C41/C40)</f>
        <v>0.0153494955309388</v>
      </c>
      <c r="G41" s="25" t="n">
        <f aca="false">IF(AND(D41=1,A41&gt;=$R$2),F41,"")</f>
        <v>0.0153494955309388</v>
      </c>
      <c r="H41" s="27" t="n">
        <f aca="false">IF(G41="","",G41^2)</f>
        <v>0.00023560701305431</v>
      </c>
      <c r="I41" s="25" t="n">
        <f aca="false">IF(G41="","",C41/C40-1)</f>
        <v>0.0154679040989947</v>
      </c>
      <c r="K41" s="17" t="n">
        <f aca="false">MAX(K40,C41)</f>
        <v>378</v>
      </c>
      <c r="L41" s="25" t="n">
        <f aca="false">C41/K41-1</f>
        <v>-0.409497354497354</v>
      </c>
      <c r="M41" s="25" t="n">
        <f aca="false">IF(COUNT(G12:G41)&lt;20,"",_xlfn.STDEV.S(G12:G41)*SQRT($R$3))</f>
        <v>0.796085445094459</v>
      </c>
      <c r="N41" s="25" t="n">
        <f aca="false">IF(A41-7&lt;$R$2,"",C41/INDEX(Clean_Data!$C$2:$C$4314,MATCH(A41-7,Clean_Data!$A$2:$A$4314,1))-1)</f>
        <v>0.0297564126222551</v>
      </c>
      <c r="O41" s="25" t="str">
        <f aca="false">IF(A41-30&lt;$R$2,"",C41/INDEX(Clean_Data!$C$2:$C$4314,MATCH(A41-30,Clean_Data!$A$2:$A$4314,1))-1)</f>
        <v/>
      </c>
    </row>
    <row r="42" customFormat="false" ht="15" hidden="false" customHeight="false" outlineLevel="0" collapsed="false">
      <c r="A42" s="16" t="n">
        <v>42048</v>
      </c>
      <c r="B42" s="23" t="n">
        <f aca="false">YEAR(A42)</f>
        <v>2015</v>
      </c>
      <c r="C42" s="17" t="n">
        <v>236.49</v>
      </c>
      <c r="D42" s="23" t="n">
        <f aca="false">A42-A41</f>
        <v>1</v>
      </c>
      <c r="E42" s="24" t="n">
        <f aca="false">LN(C42)</f>
        <v>5.46590592373993</v>
      </c>
      <c r="F42" s="25" t="n">
        <f aca="false">LN(C42/C41)</f>
        <v>0.0577928913690056</v>
      </c>
      <c r="G42" s="25" t="n">
        <f aca="false">IF(AND(D42=1,A42&gt;=$R$2),F42,"")</f>
        <v>0.0577928913690056</v>
      </c>
      <c r="H42" s="27" t="n">
        <f aca="false">IF(G42="","",G42^2)</f>
        <v>0.00334001829278968</v>
      </c>
      <c r="I42" s="25" t="n">
        <f aca="false">IF(G42="","",C42/C41-1)</f>
        <v>0.0594955423144123</v>
      </c>
      <c r="K42" s="17" t="n">
        <f aca="false">MAX(K41,C42)</f>
        <v>378</v>
      </c>
      <c r="L42" s="25" t="n">
        <f aca="false">C42/K42-1</f>
        <v>-0.374365079365079</v>
      </c>
      <c r="M42" s="25" t="n">
        <f aca="false">IF(COUNT(G13:G42)&lt;20,"",_xlfn.STDEV.S(G13:G42)*SQRT($R$3))</f>
        <v>0.810452627195198</v>
      </c>
      <c r="N42" s="25" t="n">
        <f aca="false">IF(A42-7&lt;$R$2,"",C42/INDEX(Clean_Data!$C$2:$C$4314,MATCH(A42-7,Clean_Data!$A$2:$A$4314,1))-1)</f>
        <v>0.0595430107526882</v>
      </c>
      <c r="O42" s="25" t="str">
        <f aca="false">IF(A42-30&lt;$R$2,"",C42/INDEX(Clean_Data!$C$2:$C$4314,MATCH(A42-30,Clean_Data!$A$2:$A$4314,1))-1)</f>
        <v/>
      </c>
    </row>
    <row r="43" customFormat="false" ht="15" hidden="false" customHeight="false" outlineLevel="0" collapsed="false">
      <c r="A43" s="16" t="n">
        <v>42049</v>
      </c>
      <c r="B43" s="23" t="n">
        <f aca="false">YEAR(A43)</f>
        <v>2015</v>
      </c>
      <c r="C43" s="17" t="n">
        <v>256.66</v>
      </c>
      <c r="D43" s="23" t="n">
        <f aca="false">A43-A42</f>
        <v>1</v>
      </c>
      <c r="E43" s="24" t="n">
        <f aca="false">LN(C43)</f>
        <v>5.54775225181632</v>
      </c>
      <c r="F43" s="25" t="n">
        <f aca="false">LN(C43/C42)</f>
        <v>0.0818463280763884</v>
      </c>
      <c r="G43" s="25" t="n">
        <f aca="false">IF(AND(D43=1,A43&gt;=$R$2),F43,"")</f>
        <v>0.0818463280763884</v>
      </c>
      <c r="H43" s="27" t="n">
        <f aca="false">IF(G43="","",G43^2)</f>
        <v>0.0066988214195878</v>
      </c>
      <c r="I43" s="25" t="n">
        <f aca="false">IF(G43="","",C43/C42-1)</f>
        <v>0.0852890185631527</v>
      </c>
      <c r="K43" s="17" t="n">
        <f aca="false">MAX(K42,C43)</f>
        <v>378</v>
      </c>
      <c r="L43" s="25" t="n">
        <f aca="false">C43/K43-1</f>
        <v>-0.321005291005291</v>
      </c>
      <c r="M43" s="25" t="n">
        <f aca="false">IF(COUNT(G14:G43)&lt;20,"",_xlfn.STDEV.S(G14:G43)*SQRT($R$3))</f>
        <v>0.8486943162867</v>
      </c>
      <c r="N43" s="25" t="n">
        <f aca="false">IF(A43-7&lt;$R$2,"",C43/INDEX(Clean_Data!$C$2:$C$4314,MATCH(A43-7,Clean_Data!$A$2:$A$4314,1))-1)</f>
        <v>0.120786026200874</v>
      </c>
      <c r="O43" s="25" t="str">
        <f aca="false">IF(A43-30&lt;$R$2,"",C43/INDEX(Clean_Data!$C$2:$C$4314,MATCH(A43-30,Clean_Data!$A$2:$A$4314,1))-1)</f>
        <v/>
      </c>
    </row>
    <row r="44" customFormat="false" ht="15" hidden="false" customHeight="false" outlineLevel="0" collapsed="false">
      <c r="A44" s="16" t="n">
        <v>42050</v>
      </c>
      <c r="B44" s="23" t="n">
        <f aca="false">YEAR(A44)</f>
        <v>2015</v>
      </c>
      <c r="C44" s="17" t="n">
        <v>235.54</v>
      </c>
      <c r="D44" s="23" t="n">
        <f aca="false">A44-A43</f>
        <v>1</v>
      </c>
      <c r="E44" s="24" t="n">
        <f aca="false">LN(C44)</f>
        <v>5.4618807504134</v>
      </c>
      <c r="F44" s="25" t="n">
        <f aca="false">LN(C44/C43)</f>
        <v>-0.0858715014029127</v>
      </c>
      <c r="G44" s="25" t="n">
        <f aca="false">IF(AND(D44=1,A44&gt;=$R$2),F44,"")</f>
        <v>-0.0858715014029127</v>
      </c>
      <c r="H44" s="27" t="n">
        <f aca="false">IF(G44="","",G44^2)</f>
        <v>0.00737391475319044</v>
      </c>
      <c r="I44" s="25" t="n">
        <f aca="false">IF(G44="","",C44/C43-1)</f>
        <v>-0.0822878516325101</v>
      </c>
      <c r="K44" s="17" t="n">
        <f aca="false">MAX(K43,C44)</f>
        <v>378</v>
      </c>
      <c r="L44" s="25" t="n">
        <f aca="false">C44/K44-1</f>
        <v>-0.376878306878307</v>
      </c>
      <c r="M44" s="25" t="n">
        <f aca="false">IF(COUNT(G15:G44)&lt;20,"",_xlfn.STDEV.S(G15:G44)*SQRT($R$3))</f>
        <v>0.896745203537631</v>
      </c>
      <c r="N44" s="25" t="n">
        <f aca="false">IF(A44-7&lt;$R$2,"",C44/INDEX(Clean_Data!$C$2:$C$4314,MATCH(A44-7,Clean_Data!$A$2:$A$4314,1))-1)</f>
        <v>0.0515648020000892</v>
      </c>
      <c r="O44" s="25" t="str">
        <f aca="false">IF(A44-30&lt;$R$2,"",C44/INDEX(Clean_Data!$C$2:$C$4314,MATCH(A44-30,Clean_Data!$A$2:$A$4314,1))-1)</f>
        <v/>
      </c>
    </row>
    <row r="45" customFormat="false" ht="15" hidden="false" customHeight="false" outlineLevel="0" collapsed="false">
      <c r="A45" s="16" t="n">
        <v>42051</v>
      </c>
      <c r="B45" s="23" t="n">
        <f aca="false">YEAR(A45)</f>
        <v>2015</v>
      </c>
      <c r="C45" s="17" t="n">
        <v>234.68</v>
      </c>
      <c r="D45" s="23" t="n">
        <f aca="false">A45-A44</f>
        <v>1</v>
      </c>
      <c r="E45" s="24" t="n">
        <f aca="false">LN(C45)</f>
        <v>5.45822288405766</v>
      </c>
      <c r="F45" s="25" t="n">
        <f aca="false">LN(C45/C44)</f>
        <v>-0.00365786635574323</v>
      </c>
      <c r="G45" s="25" t="n">
        <f aca="false">IF(AND(D45=1,A45&gt;=$R$2),F45,"")</f>
        <v>-0.00365786635574323</v>
      </c>
      <c r="H45" s="27" t="n">
        <f aca="false">IF(G45="","",G45^2)</f>
        <v>1.33799862764782E-005</v>
      </c>
      <c r="I45" s="25" t="n">
        <f aca="false">IF(G45="","",C45/C44-1)</f>
        <v>-0.00365118451218471</v>
      </c>
      <c r="K45" s="17" t="n">
        <f aca="false">MAX(K44,C45)</f>
        <v>378</v>
      </c>
      <c r="L45" s="25" t="n">
        <f aca="false">C45/K45-1</f>
        <v>-0.379153439153439</v>
      </c>
      <c r="M45" s="25" t="n">
        <f aca="false">IF(COUNT(G16:G45)&lt;20,"",_xlfn.STDEV.S(G16:G45)*SQRT($R$3))</f>
        <v>0.88018778446038</v>
      </c>
      <c r="N45" s="25" t="n">
        <f aca="false">IF(A45-7&lt;$R$2,"",C45/INDEX(Clean_Data!$C$2:$C$4314,MATCH(A45-7,Clean_Data!$A$2:$A$4314,1))-1)</f>
        <v>0.061420171867933</v>
      </c>
      <c r="O45" s="25" t="str">
        <f aca="false">IF(A45-30&lt;$R$2,"",C45/INDEX(Clean_Data!$C$2:$C$4314,MATCH(A45-30,Clean_Data!$A$2:$A$4314,1))-1)</f>
        <v/>
      </c>
    </row>
    <row r="46" customFormat="false" ht="15" hidden="false" customHeight="false" outlineLevel="0" collapsed="false">
      <c r="A46" s="16" t="n">
        <v>42052</v>
      </c>
      <c r="B46" s="23" t="n">
        <f aca="false">YEAR(A46)</f>
        <v>2015</v>
      </c>
      <c r="C46" s="17" t="n">
        <v>244.82</v>
      </c>
      <c r="D46" s="23" t="n">
        <f aca="false">A46-A45</f>
        <v>1</v>
      </c>
      <c r="E46" s="24" t="n">
        <f aca="false">LN(C46)</f>
        <v>5.50052324664737</v>
      </c>
      <c r="F46" s="25" t="n">
        <f aca="false">LN(C46/C45)</f>
        <v>0.0423003625897073</v>
      </c>
      <c r="G46" s="25" t="n">
        <f aca="false">IF(AND(D46=1,A46&gt;=$R$2),F46,"")</f>
        <v>0.0423003625897073</v>
      </c>
      <c r="H46" s="27" t="n">
        <f aca="false">IF(G46="","",G46^2)</f>
        <v>0.00178932067522071</v>
      </c>
      <c r="I46" s="25" t="n">
        <f aca="false">IF(G46="","",C46/C45-1)</f>
        <v>0.0432077722856656</v>
      </c>
      <c r="K46" s="17" t="n">
        <f aca="false">MAX(K45,C46)</f>
        <v>378</v>
      </c>
      <c r="L46" s="25" t="n">
        <f aca="false">C46/K46-1</f>
        <v>-0.352328042328042</v>
      </c>
      <c r="M46" s="25" t="n">
        <f aca="false">IF(COUNT(G17:G46)&lt;20,"",_xlfn.STDEV.S(G17:G46)*SQRT($R$3))</f>
        <v>0.876408633324664</v>
      </c>
      <c r="N46" s="25" t="n">
        <f aca="false">IF(A46-7&lt;$R$2,"",C46/INDEX(Clean_Data!$C$2:$C$4314,MATCH(A46-7,Clean_Data!$A$2:$A$4314,1))-1)</f>
        <v>0.108434825915697</v>
      </c>
      <c r="O46" s="25" t="str">
        <f aca="false">IF(A46-30&lt;$R$2,"",C46/INDEX(Clean_Data!$C$2:$C$4314,MATCH(A46-30,Clean_Data!$A$2:$A$4314,1))-1)</f>
        <v/>
      </c>
    </row>
    <row r="47" customFormat="false" ht="15" hidden="false" customHeight="false" outlineLevel="0" collapsed="false">
      <c r="A47" s="16" t="n">
        <v>42053</v>
      </c>
      <c r="B47" s="23" t="n">
        <f aca="false">YEAR(A47)</f>
        <v>2015</v>
      </c>
      <c r="C47" s="17" t="n">
        <v>237.49</v>
      </c>
      <c r="D47" s="23" t="n">
        <f aca="false">A47-A46</f>
        <v>1</v>
      </c>
      <c r="E47" s="24" t="n">
        <f aca="false">LN(C47)</f>
        <v>5.47012551732509</v>
      </c>
      <c r="F47" s="25" t="n">
        <f aca="false">LN(C47/C46)</f>
        <v>-0.0303977293222798</v>
      </c>
      <c r="G47" s="25" t="n">
        <f aca="false">IF(AND(D47=1,A47&gt;=$R$2),F47,"")</f>
        <v>-0.0303977293222798</v>
      </c>
      <c r="H47" s="27" t="n">
        <f aca="false">IF(G47="","",G47^2)</f>
        <v>0.00092402194795059</v>
      </c>
      <c r="I47" s="25" t="n">
        <f aca="false">IF(G47="","",C47/C46-1)</f>
        <v>-0.0299403643493178</v>
      </c>
      <c r="K47" s="17" t="n">
        <f aca="false">MAX(K46,C47)</f>
        <v>378</v>
      </c>
      <c r="L47" s="25" t="n">
        <f aca="false">C47/K47-1</f>
        <v>-0.371719576719577</v>
      </c>
      <c r="M47" s="25" t="n">
        <f aca="false">IF(COUNT(G18:G47)&lt;20,"",_xlfn.STDEV.S(G18:G47)*SQRT($R$3))</f>
        <v>0.868931315056025</v>
      </c>
      <c r="N47" s="25" t="n">
        <f aca="false">IF(A47-7&lt;$R$2,"",C47/INDEX(Clean_Data!$C$2:$C$4314,MATCH(A47-7,Clean_Data!$A$2:$A$4314,1))-1)</f>
        <v>0.0804331013147719</v>
      </c>
      <c r="O47" s="25" t="str">
        <f aca="false">IF(A47-30&lt;$R$2,"",C47/INDEX(Clean_Data!$C$2:$C$4314,MATCH(A47-30,Clean_Data!$A$2:$A$4314,1))-1)</f>
        <v/>
      </c>
    </row>
    <row r="48" customFormat="false" ht="15" hidden="false" customHeight="false" outlineLevel="0" collapsed="false">
      <c r="A48" s="16" t="n">
        <v>42054</v>
      </c>
      <c r="B48" s="23" t="n">
        <f aca="false">YEAR(A48)</f>
        <v>2015</v>
      </c>
      <c r="C48" s="17" t="n">
        <v>240.9</v>
      </c>
      <c r="D48" s="23" t="n">
        <f aca="false">A48-A47</f>
        <v>1</v>
      </c>
      <c r="E48" s="24" t="n">
        <f aca="false">LN(C48)</f>
        <v>5.48438190962083</v>
      </c>
      <c r="F48" s="25" t="n">
        <f aca="false">LN(C48/C47)</f>
        <v>0.0142563922957392</v>
      </c>
      <c r="G48" s="25" t="n">
        <f aca="false">IF(AND(D48=1,A48&gt;=$R$2),F48,"")</f>
        <v>0.0142563922957392</v>
      </c>
      <c r="H48" s="27" t="n">
        <f aca="false">IF(G48="","",G48^2)</f>
        <v>0.000203244721290011</v>
      </c>
      <c r="I48" s="25" t="n">
        <f aca="false">IF(G48="","",C48/C47-1)</f>
        <v>0.0143584993052339</v>
      </c>
      <c r="K48" s="17" t="n">
        <f aca="false">MAX(K47,C48)</f>
        <v>378</v>
      </c>
      <c r="L48" s="25" t="n">
        <f aca="false">C48/K48-1</f>
        <v>-0.362698412698413</v>
      </c>
      <c r="M48" s="25" t="n">
        <f aca="false">IF(COUNT(G19:G48)&lt;20,"",_xlfn.STDEV.S(G19:G48)*SQRT($R$3))</f>
        <v>0.860290474870373</v>
      </c>
      <c r="N48" s="25" t="n">
        <f aca="false">IF(A48-7&lt;$R$2,"",C48/INDEX(Clean_Data!$C$2:$C$4314,MATCH(A48-7,Clean_Data!$A$2:$A$4314,1))-1)</f>
        <v>0.0792527216522556</v>
      </c>
      <c r="O48" s="25" t="n">
        <f aca="false">IF(A48-30&lt;$R$2,"",C48/INDEX(Clean_Data!$C$2:$C$4314,MATCH(A48-30,Clean_Data!$A$2:$A$4314,1))-1)</f>
        <v>0.105045871559633</v>
      </c>
    </row>
    <row r="49" customFormat="false" ht="15" hidden="false" customHeight="false" outlineLevel="0" collapsed="false">
      <c r="A49" s="16" t="n">
        <v>42055</v>
      </c>
      <c r="B49" s="23" t="n">
        <f aca="false">YEAR(A49)</f>
        <v>2015</v>
      </c>
      <c r="C49" s="17" t="n">
        <v>245.34</v>
      </c>
      <c r="D49" s="23" t="n">
        <f aca="false">A49-A48</f>
        <v>1</v>
      </c>
      <c r="E49" s="24" t="n">
        <f aca="false">LN(C49)</f>
        <v>5.50264500360461</v>
      </c>
      <c r="F49" s="25" t="n">
        <f aca="false">LN(C49/C48)</f>
        <v>0.0182630939837802</v>
      </c>
      <c r="G49" s="25" t="n">
        <f aca="false">IF(AND(D49=1,A49&gt;=$R$2),F49,"")</f>
        <v>0.0182630939837802</v>
      </c>
      <c r="H49" s="27" t="n">
        <f aca="false">IF(G49="","",G49^2)</f>
        <v>0.00033354060186039</v>
      </c>
      <c r="I49" s="25" t="n">
        <f aca="false">IF(G49="","",C49/C48-1)</f>
        <v>0.0184308841843088</v>
      </c>
      <c r="K49" s="17" t="n">
        <f aca="false">MAX(K48,C49)</f>
        <v>378</v>
      </c>
      <c r="L49" s="25" t="n">
        <f aca="false">C49/K49-1</f>
        <v>-0.350952380952381</v>
      </c>
      <c r="M49" s="25" t="n">
        <f aca="false">IF(COUNT(G20:G49)&lt;20,"",_xlfn.STDEV.S(G20:G49)*SQRT($R$3))</f>
        <v>0.855023635253945</v>
      </c>
      <c r="N49" s="25" t="n">
        <f aca="false">IF(A49-7&lt;$R$2,"",C49/INDEX(Clean_Data!$C$2:$C$4314,MATCH(A49-7,Clean_Data!$A$2:$A$4314,1))-1)</f>
        <v>0.0374223011543828</v>
      </c>
      <c r="O49" s="25" t="n">
        <f aca="false">IF(A49-30&lt;$R$2,"",C49/INDEX(Clean_Data!$C$2:$C$4314,MATCH(A49-30,Clean_Data!$A$2:$A$4314,1))-1)</f>
        <v>0.087934016229879</v>
      </c>
    </row>
    <row r="50" customFormat="false" ht="15" hidden="false" customHeight="false" outlineLevel="0" collapsed="false">
      <c r="A50" s="16" t="n">
        <v>42056</v>
      </c>
      <c r="B50" s="23" t="n">
        <f aca="false">YEAR(A50)</f>
        <v>2015</v>
      </c>
      <c r="C50" s="17" t="n">
        <v>245.99</v>
      </c>
      <c r="D50" s="23" t="n">
        <f aca="false">A50-A49</f>
        <v>1</v>
      </c>
      <c r="E50" s="24" t="n">
        <f aca="false">LN(C50)</f>
        <v>5.50529088469961</v>
      </c>
      <c r="F50" s="25" t="n">
        <f aca="false">LN(C50/C49)</f>
        <v>0.00264588109500261</v>
      </c>
      <c r="G50" s="25" t="n">
        <f aca="false">IF(AND(D50=1,A50&gt;=$R$2),F50,"")</f>
        <v>0.00264588109500261</v>
      </c>
      <c r="H50" s="27" t="n">
        <f aca="false">IF(G50="","",G50^2)</f>
        <v>7.00068676889221E-006</v>
      </c>
      <c r="I50" s="25" t="n">
        <f aca="false">IF(G50="","",C50/C49-1)</f>
        <v>0.00264938452759433</v>
      </c>
      <c r="K50" s="17" t="n">
        <f aca="false">MAX(K49,C50)</f>
        <v>378</v>
      </c>
      <c r="L50" s="25" t="n">
        <f aca="false">C50/K50-1</f>
        <v>-0.349232804232804</v>
      </c>
      <c r="M50" s="25" t="n">
        <f aca="false">IF(COUNT(G21:G50)&lt;20,"",_xlfn.STDEV.S(G21:G50)*SQRT($R$3))</f>
        <v>0.855019182408966</v>
      </c>
      <c r="N50" s="25" t="n">
        <f aca="false">IF(A50-7&lt;$R$2,"",C50/INDEX(Clean_Data!$C$2:$C$4314,MATCH(A50-7,Clean_Data!$A$2:$A$4314,1))-1)</f>
        <v>-0.041572508376841</v>
      </c>
      <c r="O50" s="25" t="n">
        <f aca="false">IF(A50-30&lt;$R$2,"",C50/INDEX(Clean_Data!$C$2:$C$4314,MATCH(A50-30,Clean_Data!$A$2:$A$4314,1))-1)</f>
        <v>0.0869123365146696</v>
      </c>
    </row>
    <row r="51" customFormat="false" ht="15" hidden="false" customHeight="false" outlineLevel="0" collapsed="false">
      <c r="A51" s="16" t="n">
        <v>42057</v>
      </c>
      <c r="B51" s="23" t="n">
        <f aca="false">YEAR(A51)</f>
        <v>2015</v>
      </c>
      <c r="C51" s="17" t="n">
        <v>236.83</v>
      </c>
      <c r="D51" s="23" t="n">
        <f aca="false">A51-A50</f>
        <v>1</v>
      </c>
      <c r="E51" s="24" t="n">
        <f aca="false">LN(C51)</f>
        <v>5.46734258417464</v>
      </c>
      <c r="F51" s="25" t="n">
        <f aca="false">LN(C51/C50)</f>
        <v>-0.0379483005249664</v>
      </c>
      <c r="G51" s="25" t="n">
        <f aca="false">IF(AND(D51=1,A51&gt;=$R$2),F51,"")</f>
        <v>-0.0379483005249664</v>
      </c>
      <c r="H51" s="27" t="n">
        <f aca="false">IF(G51="","",G51^2)</f>
        <v>0.00144007351273316</v>
      </c>
      <c r="I51" s="25" t="n">
        <f aca="false">IF(G51="","",C51/C50-1)</f>
        <v>-0.0372372860685394</v>
      </c>
      <c r="K51" s="17" t="n">
        <f aca="false">MAX(K50,C51)</f>
        <v>378</v>
      </c>
      <c r="L51" s="25" t="n">
        <f aca="false">C51/K51-1</f>
        <v>-0.373465608465608</v>
      </c>
      <c r="M51" s="25" t="n">
        <f aca="false">IF(COUNT(G22:G51)&lt;20,"",_xlfn.STDEV.S(G22:G51)*SQRT($R$3))</f>
        <v>0.856880419528676</v>
      </c>
      <c r="N51" s="25" t="n">
        <f aca="false">IF(A51-7&lt;$R$2,"",C51/INDEX(Clean_Data!$C$2:$C$4314,MATCH(A51-7,Clean_Data!$A$2:$A$4314,1))-1)</f>
        <v>0.00547677676827729</v>
      </c>
      <c r="O51" s="25" t="n">
        <f aca="false">IF(A51-30&lt;$R$2,"",C51/INDEX(Clean_Data!$C$2:$C$4314,MATCH(A51-30,Clean_Data!$A$2:$A$4314,1))-1)</f>
        <v>0.00778723404255333</v>
      </c>
    </row>
    <row r="52" customFormat="false" ht="15" hidden="false" customHeight="false" outlineLevel="0" collapsed="false">
      <c r="A52" s="16" t="n">
        <v>42058</v>
      </c>
      <c r="B52" s="23" t="n">
        <f aca="false">YEAR(A52)</f>
        <v>2015</v>
      </c>
      <c r="C52" s="17" t="n">
        <v>239.49</v>
      </c>
      <c r="D52" s="23" t="n">
        <f aca="false">A52-A51</f>
        <v>1</v>
      </c>
      <c r="E52" s="24" t="n">
        <f aca="false">LN(C52)</f>
        <v>5.47851166232582</v>
      </c>
      <c r="F52" s="25" t="n">
        <f aca="false">LN(C52/C51)</f>
        <v>0.011169078151175</v>
      </c>
      <c r="G52" s="25" t="n">
        <f aca="false">IF(AND(D52=1,A52&gt;=$R$2),F52,"")</f>
        <v>0.011169078151175</v>
      </c>
      <c r="H52" s="27" t="n">
        <f aca="false">IF(G52="","",G52^2)</f>
        <v>0.000124748306747054</v>
      </c>
      <c r="I52" s="25" t="n">
        <f aca="false">IF(G52="","",C52/C51-1)</f>
        <v>0.01123168517502</v>
      </c>
      <c r="K52" s="17" t="n">
        <f aca="false">MAX(K51,C52)</f>
        <v>378</v>
      </c>
      <c r="L52" s="25" t="n">
        <f aca="false">C52/K52-1</f>
        <v>-0.366428571428571</v>
      </c>
      <c r="M52" s="25" t="n">
        <f aca="false">IF(COUNT(G23:G52)&lt;20,"",_xlfn.STDEV.S(G23:G52)*SQRT($R$3))</f>
        <v>0.854551766208955</v>
      </c>
      <c r="N52" s="25" t="n">
        <f aca="false">IF(A52-7&lt;$R$2,"",C52/INDEX(Clean_Data!$C$2:$C$4314,MATCH(A52-7,Clean_Data!$A$2:$A$4314,1))-1)</f>
        <v>0.0204959945457646</v>
      </c>
      <c r="O52" s="25" t="n">
        <f aca="false">IF(A52-30&lt;$R$2,"",C52/INDEX(Clean_Data!$C$2:$C$4314,MATCH(A52-30,Clean_Data!$A$2:$A$4314,1))-1)</f>
        <v>-0.00212499999999993</v>
      </c>
    </row>
    <row r="53" customFormat="false" ht="15" hidden="false" customHeight="false" outlineLevel="0" collapsed="false">
      <c r="A53" s="16" t="n">
        <v>42059</v>
      </c>
      <c r="B53" s="23" t="n">
        <f aca="false">YEAR(A53)</f>
        <v>2015</v>
      </c>
      <c r="C53" s="17" t="n">
        <v>239.87</v>
      </c>
      <c r="D53" s="23" t="n">
        <f aca="false">A53-A52</f>
        <v>1</v>
      </c>
      <c r="E53" s="24" t="n">
        <f aca="false">LN(C53)</f>
        <v>5.48009710992094</v>
      </c>
      <c r="F53" s="25" t="n">
        <f aca="false">LN(C53/C52)</f>
        <v>0.00158544759512155</v>
      </c>
      <c r="G53" s="25" t="n">
        <f aca="false">IF(AND(D53=1,A53&gt;=$R$2),F53,"")</f>
        <v>0.00158544759512155</v>
      </c>
      <c r="H53" s="27" t="n">
        <f aca="false">IF(G53="","",G53^2)</f>
        <v>2.51364407687671E-006</v>
      </c>
      <c r="I53" s="25" t="n">
        <f aca="false">IF(G53="","",C53/C52-1)</f>
        <v>0.00158670508163183</v>
      </c>
      <c r="K53" s="17" t="n">
        <f aca="false">MAX(K52,C53)</f>
        <v>378</v>
      </c>
      <c r="L53" s="25" t="n">
        <f aca="false">C53/K53-1</f>
        <v>-0.36542328042328</v>
      </c>
      <c r="M53" s="25" t="n">
        <f aca="false">IF(COUNT(G24:G53)&lt;20,"",_xlfn.STDEV.S(G24:G53)*SQRT($R$3))</f>
        <v>0.827846444310637</v>
      </c>
      <c r="N53" s="25" t="n">
        <f aca="false">IF(A53-7&lt;$R$2,"",C53/INDEX(Clean_Data!$C$2:$C$4314,MATCH(A53-7,Clean_Data!$A$2:$A$4314,1))-1)</f>
        <v>-0.0202189363614084</v>
      </c>
      <c r="O53" s="25" t="n">
        <f aca="false">IF(A53-30&lt;$R$2,"",C53/INDEX(Clean_Data!$C$2:$C$4314,MATCH(A53-30,Clean_Data!$A$2:$A$4314,1))-1)</f>
        <v>-0.0575963540643539</v>
      </c>
    </row>
    <row r="54" customFormat="false" ht="15" hidden="false" customHeight="false" outlineLevel="0" collapsed="false">
      <c r="A54" s="16" t="n">
        <v>42060</v>
      </c>
      <c r="B54" s="23" t="n">
        <f aca="false">YEAR(A54)</f>
        <v>2015</v>
      </c>
      <c r="C54" s="17" t="n">
        <v>238.19</v>
      </c>
      <c r="D54" s="23" t="n">
        <f aca="false">A54-A53</f>
        <v>1</v>
      </c>
      <c r="E54" s="24" t="n">
        <f aca="false">LN(C54)</f>
        <v>5.47306867451182</v>
      </c>
      <c r="F54" s="25" t="n">
        <f aca="false">LN(C54/C53)</f>
        <v>-0.00702843540911563</v>
      </c>
      <c r="G54" s="25" t="n">
        <f aca="false">IF(AND(D54=1,A54&gt;=$R$2),F54,"")</f>
        <v>-0.00702843540911563</v>
      </c>
      <c r="H54" s="27" t="n">
        <f aca="false">IF(G54="","",G54^2)</f>
        <v>4.93989043001104E-005</v>
      </c>
      <c r="I54" s="25" t="n">
        <f aca="false">IF(G54="","",C54/C53-1)</f>
        <v>-0.00700379372159921</v>
      </c>
      <c r="K54" s="17" t="n">
        <f aca="false">MAX(K53,C54)</f>
        <v>378</v>
      </c>
      <c r="L54" s="25" t="n">
        <f aca="false">C54/K54-1</f>
        <v>-0.369867724867725</v>
      </c>
      <c r="M54" s="25" t="n">
        <f aca="false">IF(COUNT(G25:G54)&lt;20,"",_xlfn.STDEV.S(G25:G54)*SQRT($R$3))</f>
        <v>0.779309291591751</v>
      </c>
      <c r="N54" s="25" t="n">
        <f aca="false">IF(A54-7&lt;$R$2,"",C54/INDEX(Clean_Data!$C$2:$C$4314,MATCH(A54-7,Clean_Data!$A$2:$A$4314,1))-1)</f>
        <v>0.00294749252600113</v>
      </c>
      <c r="O54" s="25" t="n">
        <f aca="false">IF(A54-30&lt;$R$2,"",C54/INDEX(Clean_Data!$C$2:$C$4314,MATCH(A54-30,Clean_Data!$A$2:$A$4314,1))-1)</f>
        <v>-0.132213640338094</v>
      </c>
    </row>
    <row r="55" customFormat="false" ht="15" hidden="false" customHeight="false" outlineLevel="0" collapsed="false">
      <c r="A55" s="16" t="n">
        <v>42061</v>
      </c>
      <c r="B55" s="23" t="n">
        <f aca="false">YEAR(A55)</f>
        <v>2015</v>
      </c>
      <c r="C55" s="17" t="n">
        <v>237.11</v>
      </c>
      <c r="D55" s="23" t="n">
        <f aca="false">A55-A54</f>
        <v>1</v>
      </c>
      <c r="E55" s="24" t="n">
        <f aca="false">LN(C55)</f>
        <v>5.46852416847889</v>
      </c>
      <c r="F55" s="25" t="n">
        <f aca="false">LN(C55/C54)</f>
        <v>-0.00454450603293707</v>
      </c>
      <c r="G55" s="25" t="n">
        <f aca="false">IF(AND(D55=1,A55&gt;=$R$2),F55,"")</f>
        <v>-0.00454450603293707</v>
      </c>
      <c r="H55" s="27" t="n">
        <f aca="false">IF(G55="","",G55^2)</f>
        <v>2.06525350834014E-005</v>
      </c>
      <c r="I55" s="25" t="n">
        <f aca="false">IF(G55="","",C55/C54-1)</f>
        <v>-0.00453419539023459</v>
      </c>
      <c r="K55" s="17" t="n">
        <f aca="false">MAX(K54,C55)</f>
        <v>378</v>
      </c>
      <c r="L55" s="25" t="n">
        <f aca="false">C55/K55-1</f>
        <v>-0.372724867724868</v>
      </c>
      <c r="M55" s="25" t="n">
        <f aca="false">IF(COUNT(G26:G55)&lt;20,"",_xlfn.STDEV.S(G26:G55)*SQRT($R$3))</f>
        <v>0.768700662269584</v>
      </c>
      <c r="N55" s="25" t="n">
        <f aca="false">IF(A55-7&lt;$R$2,"",C55/INDEX(Clean_Data!$C$2:$C$4314,MATCH(A55-7,Clean_Data!$A$2:$A$4314,1))-1)</f>
        <v>-0.0157326691573266</v>
      </c>
      <c r="O55" s="25" t="n">
        <f aca="false">IF(A55-30&lt;$R$2,"",C55/INDEX(Clean_Data!$C$2:$C$4314,MATCH(A55-30,Clean_Data!$A$2:$A$4314,1))-1)</f>
        <v>-0.100663758771098</v>
      </c>
    </row>
    <row r="56" customFormat="false" ht="15" hidden="false" customHeight="false" outlineLevel="0" collapsed="false">
      <c r="A56" s="16" t="n">
        <v>42062</v>
      </c>
      <c r="B56" s="23" t="n">
        <f aca="false">YEAR(A56)</f>
        <v>2015</v>
      </c>
      <c r="C56" s="17" t="n">
        <v>254.42</v>
      </c>
      <c r="D56" s="23" t="n">
        <f aca="false">A56-A55</f>
        <v>1</v>
      </c>
      <c r="E56" s="24" t="n">
        <f aca="false">LN(C56)</f>
        <v>5.53898644472807</v>
      </c>
      <c r="F56" s="25" t="n">
        <f aca="false">LN(C56/C55)</f>
        <v>0.0704622762491788</v>
      </c>
      <c r="G56" s="25" t="n">
        <f aca="false">IF(AND(D56=1,A56&gt;=$R$2),F56,"")</f>
        <v>0.0704622762491788</v>
      </c>
      <c r="H56" s="27" t="n">
        <f aca="false">IF(G56="","",G56^2)</f>
        <v>0.00496493237421559</v>
      </c>
      <c r="I56" s="25" t="n">
        <f aca="false">IF(G56="","",C56/C55-1)</f>
        <v>0.073004090928261</v>
      </c>
      <c r="K56" s="17" t="n">
        <f aca="false">MAX(K55,C56)</f>
        <v>378</v>
      </c>
      <c r="L56" s="25" t="n">
        <f aca="false">C56/K56-1</f>
        <v>-0.326931216931217</v>
      </c>
      <c r="M56" s="25" t="n">
        <f aca="false">IF(COUNT(G27:G56)&lt;20,"",_xlfn.STDEV.S(G27:G56)*SQRT($R$3))</f>
        <v>0.708758518244155</v>
      </c>
      <c r="N56" s="25" t="n">
        <f aca="false">IF(A56-7&lt;$R$2,"",C56/INDEX(Clean_Data!$C$2:$C$4314,MATCH(A56-7,Clean_Data!$A$2:$A$4314,1))-1)</f>
        <v>0.037009863862395</v>
      </c>
      <c r="O56" s="25" t="n">
        <f aca="false">IF(A56-30&lt;$R$2,"",C56/INDEX(Clean_Data!$C$2:$C$4314,MATCH(A56-30,Clean_Data!$A$2:$A$4314,1))-1)</f>
        <v>0.0776398830954297</v>
      </c>
    </row>
    <row r="57" customFormat="false" ht="15" hidden="false" customHeight="false" outlineLevel="0" collapsed="false">
      <c r="A57" s="16" t="n">
        <v>42063</v>
      </c>
      <c r="B57" s="23" t="n">
        <f aca="false">YEAR(A57)</f>
        <v>2015</v>
      </c>
      <c r="C57" s="17" t="n">
        <v>255.59</v>
      </c>
      <c r="D57" s="23" t="n">
        <f aca="false">A57-A56</f>
        <v>1</v>
      </c>
      <c r="E57" s="24" t="n">
        <f aca="false">LN(C57)</f>
        <v>5.54357459810736</v>
      </c>
      <c r="F57" s="25" t="n">
        <f aca="false">LN(C57/C56)</f>
        <v>0.00458815337929283</v>
      </c>
      <c r="G57" s="25" t="n">
        <f aca="false">IF(AND(D57=1,A57&gt;=$R$2),F57,"")</f>
        <v>0.00458815337929283</v>
      </c>
      <c r="H57" s="27" t="n">
        <f aca="false">IF(G57="","",G57^2)</f>
        <v>2.10511514319162E-005</v>
      </c>
      <c r="I57" s="25" t="n">
        <f aca="false">IF(G57="","",C57/C56-1)</f>
        <v>0.0045986950711423</v>
      </c>
      <c r="K57" s="17" t="n">
        <f aca="false">MAX(K56,C57)</f>
        <v>378</v>
      </c>
      <c r="L57" s="25" t="n">
        <f aca="false">C57/K57-1</f>
        <v>-0.323835978835979</v>
      </c>
      <c r="M57" s="25" t="n">
        <f aca="false">IF(COUNT(G28:G57)&lt;20,"",_xlfn.STDEV.S(G28:G57)*SQRT($R$3))</f>
        <v>0.708338820431262</v>
      </c>
      <c r="N57" s="25" t="n">
        <f aca="false">IF(A57-7&lt;$R$2,"",C57/INDEX(Clean_Data!$C$2:$C$4314,MATCH(A57-7,Clean_Data!$A$2:$A$4314,1))-1)</f>
        <v>0.0390259766657182</v>
      </c>
      <c r="O57" s="25" t="n">
        <f aca="false">IF(A57-30&lt;$R$2,"",C57/INDEX(Clean_Data!$C$2:$C$4314,MATCH(A57-30,Clean_Data!$A$2:$A$4314,1))-1)</f>
        <v>0.0874781942730716</v>
      </c>
    </row>
    <row r="58" customFormat="false" ht="15" hidden="false" customHeight="false" outlineLevel="0" collapsed="false">
      <c r="A58" s="16" t="n">
        <v>42064</v>
      </c>
      <c r="B58" s="23" t="n">
        <f aca="false">YEAR(A58)</f>
        <v>2015</v>
      </c>
      <c r="C58" s="17" t="n">
        <v>260.24</v>
      </c>
      <c r="D58" s="23" t="n">
        <f aca="false">A58-A57</f>
        <v>1</v>
      </c>
      <c r="E58" s="24" t="n">
        <f aca="false">LN(C58)</f>
        <v>5.5616042821651</v>
      </c>
      <c r="F58" s="25" t="n">
        <f aca="false">LN(C58/C57)</f>
        <v>0.0180296840577385</v>
      </c>
      <c r="G58" s="25" t="n">
        <f aca="false">IF(AND(D58=1,A58&gt;=$R$2),F58,"")</f>
        <v>0.0180296840577385</v>
      </c>
      <c r="H58" s="27" t="n">
        <f aca="false">IF(G58="","",G58^2)</f>
        <v>0.000325069507221868</v>
      </c>
      <c r="I58" s="25" t="n">
        <f aca="false">IF(G58="","",C58/C57-1)</f>
        <v>0.0181932000469502</v>
      </c>
      <c r="K58" s="17" t="n">
        <f aca="false">MAX(K57,C58)</f>
        <v>378</v>
      </c>
      <c r="L58" s="25" t="n">
        <f aca="false">C58/K58-1</f>
        <v>-0.311534391534392</v>
      </c>
      <c r="M58" s="25" t="n">
        <f aca="false">IF(COUNT(G29:G58)&lt;20,"",_xlfn.STDEV.S(G29:G58)*SQRT($R$3))</f>
        <v>0.702604962953904</v>
      </c>
      <c r="N58" s="25" t="n">
        <f aca="false">IF(A58-7&lt;$R$2,"",C58/INDEX(Clean_Data!$C$2:$C$4314,MATCH(A58-7,Clean_Data!$A$2:$A$4314,1))-1)</f>
        <v>0.0988472744162479</v>
      </c>
      <c r="O58" s="25" t="n">
        <f aca="false">IF(A58-30&lt;$R$2,"",C58/INDEX(Clean_Data!$C$2:$C$4314,MATCH(A58-30,Clean_Data!$A$2:$A$4314,1))-1)</f>
        <v>0.136071943074169</v>
      </c>
    </row>
    <row r="59" customFormat="false" ht="15" hidden="false" customHeight="false" outlineLevel="0" collapsed="false">
      <c r="A59" s="16" t="n">
        <v>42065</v>
      </c>
      <c r="B59" s="23" t="n">
        <f aca="false">YEAR(A59)</f>
        <v>2015</v>
      </c>
      <c r="C59" s="17" t="n">
        <v>276.7</v>
      </c>
      <c r="D59" s="23" t="n">
        <f aca="false">A59-A58</f>
        <v>1</v>
      </c>
      <c r="E59" s="24" t="n">
        <f aca="false">LN(C59)</f>
        <v>5.62293388679288</v>
      </c>
      <c r="F59" s="25" t="n">
        <f aca="false">LN(C59/C58)</f>
        <v>0.0613296046277841</v>
      </c>
      <c r="G59" s="25" t="n">
        <f aca="false">IF(AND(D59=1,A59&gt;=$R$2),F59,"")</f>
        <v>0.0613296046277841</v>
      </c>
      <c r="H59" s="27" t="n">
        <f aca="false">IF(G59="","",G59^2)</f>
        <v>0.00376132040380032</v>
      </c>
      <c r="I59" s="25" t="n">
        <f aca="false">IF(G59="","",C59/C58-1)</f>
        <v>0.0632493083307715</v>
      </c>
      <c r="K59" s="17" t="n">
        <f aca="false">MAX(K58,C59)</f>
        <v>378</v>
      </c>
      <c r="L59" s="25" t="n">
        <f aca="false">C59/K59-1</f>
        <v>-0.267989417989418</v>
      </c>
      <c r="M59" s="25" t="n">
        <f aca="false">IF(COUNT(G30:G59)&lt;20,"",_xlfn.STDEV.S(G30:G59)*SQRT($R$3))</f>
        <v>0.704286255018973</v>
      </c>
      <c r="N59" s="25" t="n">
        <f aca="false">IF(A59-7&lt;$R$2,"",C59/INDEX(Clean_Data!$C$2:$C$4314,MATCH(A59-7,Clean_Data!$A$2:$A$4314,1))-1)</f>
        <v>0.155371831809261</v>
      </c>
      <c r="O59" s="25" t="n">
        <f aca="false">IF(A59-30&lt;$R$2,"",C59/INDEX(Clean_Data!$C$2:$C$4314,MATCH(A59-30,Clean_Data!$A$2:$A$4314,1))-1)</f>
        <v>0.26665140764477</v>
      </c>
    </row>
    <row r="60" customFormat="false" ht="15" hidden="false" customHeight="false" outlineLevel="0" collapsed="false">
      <c r="A60" s="16" t="n">
        <v>42066</v>
      </c>
      <c r="B60" s="23" t="n">
        <f aca="false">YEAR(A60)</f>
        <v>2015</v>
      </c>
      <c r="C60" s="17" t="n">
        <v>283.27</v>
      </c>
      <c r="D60" s="23" t="n">
        <f aca="false">A60-A59</f>
        <v>1</v>
      </c>
      <c r="E60" s="24" t="n">
        <f aca="false">LN(C60)</f>
        <v>5.64640050641807</v>
      </c>
      <c r="F60" s="25" t="n">
        <f aca="false">LN(C60/C59)</f>
        <v>0.0234666196251851</v>
      </c>
      <c r="G60" s="25" t="n">
        <f aca="false">IF(AND(D60=1,A60&gt;=$R$2),F60,"")</f>
        <v>0.0234666196251851</v>
      </c>
      <c r="H60" s="27" t="n">
        <f aca="false">IF(G60="","",G60^2)</f>
        <v>0.000550682236633121</v>
      </c>
      <c r="I60" s="25" t="n">
        <f aca="false">IF(G60="","",C60/C59-1)</f>
        <v>0.0237441272135888</v>
      </c>
      <c r="K60" s="17" t="n">
        <f aca="false">MAX(K59,C60)</f>
        <v>378</v>
      </c>
      <c r="L60" s="25" t="n">
        <f aca="false">C60/K60-1</f>
        <v>-0.250608465608466</v>
      </c>
      <c r="M60" s="25" t="n">
        <f aca="false">IF(COUNT(G31:G60)&lt;20,"",_xlfn.STDEV.S(G31:G60)*SQRT($R$3))</f>
        <v>0.692430878500646</v>
      </c>
      <c r="N60" s="25" t="n">
        <f aca="false">IF(A60-7&lt;$R$2,"",C60/INDEX(Clean_Data!$C$2:$C$4314,MATCH(A60-7,Clean_Data!$A$2:$A$4314,1))-1)</f>
        <v>0.180931337807979</v>
      </c>
      <c r="O60" s="25" t="n">
        <f aca="false">IF(A60-30&lt;$R$2,"",C60/INDEX(Clean_Data!$C$2:$C$4314,MATCH(A60-30,Clean_Data!$A$2:$A$4314,1))-1)</f>
        <v>0.237040918817415</v>
      </c>
    </row>
    <row r="61" customFormat="false" ht="15" hidden="false" customHeight="false" outlineLevel="0" collapsed="false">
      <c r="A61" s="16" t="n">
        <v>42067</v>
      </c>
      <c r="B61" s="23" t="n">
        <f aca="false">YEAR(A61)</f>
        <v>2015</v>
      </c>
      <c r="C61" s="17" t="n">
        <v>273.37</v>
      </c>
      <c r="D61" s="23" t="n">
        <f aca="false">A61-A60</f>
        <v>1</v>
      </c>
      <c r="E61" s="24" t="n">
        <f aca="false">LN(C61)</f>
        <v>5.61082618893484</v>
      </c>
      <c r="F61" s="25" t="n">
        <f aca="false">LN(C61/C60)</f>
        <v>-0.0355743174832285</v>
      </c>
      <c r="G61" s="25" t="n">
        <f aca="false">IF(AND(D61=1,A61&gt;=$R$2),F61,"")</f>
        <v>-0.0355743174832285</v>
      </c>
      <c r="H61" s="27" t="n">
        <f aca="false">IF(G61="","",G61^2)</f>
        <v>0.00126553206439754</v>
      </c>
      <c r="I61" s="25" t="n">
        <f aca="false">IF(G61="","",C61/C60-1)</f>
        <v>-0.0349489885974511</v>
      </c>
      <c r="K61" s="17" t="n">
        <f aca="false">MAX(K60,C61)</f>
        <v>378</v>
      </c>
      <c r="L61" s="25" t="n">
        <f aca="false">C61/K61-1</f>
        <v>-0.276798941798942</v>
      </c>
      <c r="M61" s="25" t="n">
        <f aca="false">IF(COUNT(G32:G61)&lt;20,"",_xlfn.STDEV.S(G32:G61)*SQRT($R$3))</f>
        <v>0.698697377514203</v>
      </c>
      <c r="N61" s="25" t="n">
        <f aca="false">IF(A61-7&lt;$R$2,"",C61/INDEX(Clean_Data!$C$2:$C$4314,MATCH(A61-7,Clean_Data!$A$2:$A$4314,1))-1)</f>
        <v>0.14769721650783</v>
      </c>
      <c r="O61" s="25" t="n">
        <f aca="false">IF(A61-30&lt;$R$2,"",C61/INDEX(Clean_Data!$C$2:$C$4314,MATCH(A61-30,Clean_Data!$A$2:$A$4314,1))-1)</f>
        <v>0.14943446999958</v>
      </c>
    </row>
    <row r="62" customFormat="false" ht="15" hidden="false" customHeight="false" outlineLevel="0" collapsed="false">
      <c r="A62" s="16" t="n">
        <v>42068</v>
      </c>
      <c r="B62" s="23" t="n">
        <f aca="false">YEAR(A62)</f>
        <v>2015</v>
      </c>
      <c r="C62" s="17" t="n">
        <v>276.86</v>
      </c>
      <c r="D62" s="23" t="n">
        <f aca="false">A62-A61</f>
        <v>1</v>
      </c>
      <c r="E62" s="24" t="n">
        <f aca="false">LN(C62)</f>
        <v>5.62351196325959</v>
      </c>
      <c r="F62" s="25" t="n">
        <f aca="false">LN(C62/C61)</f>
        <v>0.0126857743247523</v>
      </c>
      <c r="G62" s="25" t="n">
        <f aca="false">IF(AND(D62=1,A62&gt;=$R$2),F62,"")</f>
        <v>0.0126857743247523</v>
      </c>
      <c r="H62" s="27" t="n">
        <f aca="false">IF(G62="","",G62^2)</f>
        <v>0.000160928870218546</v>
      </c>
      <c r="I62" s="25" t="n">
        <f aca="false">IF(G62="","",C62/C61-1)</f>
        <v>0.0127665800929144</v>
      </c>
      <c r="K62" s="17" t="n">
        <f aca="false">MAX(K61,C62)</f>
        <v>378</v>
      </c>
      <c r="L62" s="25" t="n">
        <f aca="false">C62/K62-1</f>
        <v>-0.267566137566138</v>
      </c>
      <c r="M62" s="25" t="n">
        <f aca="false">IF(COUNT(G33:G62)&lt;20,"",_xlfn.STDEV.S(G33:G62)*SQRT($R$3))</f>
        <v>0.680535365878188</v>
      </c>
      <c r="N62" s="25" t="n">
        <f aca="false">IF(A62-7&lt;$R$2,"",C62/INDEX(Clean_Data!$C$2:$C$4314,MATCH(A62-7,Clean_Data!$A$2:$A$4314,1))-1)</f>
        <v>0.167643709670617</v>
      </c>
      <c r="O62" s="25" t="n">
        <f aca="false">IF(A62-30&lt;$R$2,"",C62/INDEX(Clean_Data!$C$2:$C$4314,MATCH(A62-30,Clean_Data!$A$2:$A$4314,1))-1)</f>
        <v>0.211217079359524</v>
      </c>
    </row>
    <row r="63" customFormat="false" ht="15" hidden="false" customHeight="false" outlineLevel="0" collapsed="false">
      <c r="A63" s="16" t="n">
        <v>42069</v>
      </c>
      <c r="B63" s="23" t="n">
        <f aca="false">YEAR(A63)</f>
        <v>2015</v>
      </c>
      <c r="C63" s="17" t="n">
        <v>273.23</v>
      </c>
      <c r="D63" s="23" t="n">
        <f aca="false">A63-A62</f>
        <v>1</v>
      </c>
      <c r="E63" s="24" t="n">
        <f aca="false">LN(C63)</f>
        <v>5.61031393133125</v>
      </c>
      <c r="F63" s="25" t="n">
        <f aca="false">LN(C63/C62)</f>
        <v>-0.0131980319283432</v>
      </c>
      <c r="G63" s="25" t="n">
        <f aca="false">IF(AND(D63=1,A63&gt;=$R$2),F63,"")</f>
        <v>-0.0131980319283432</v>
      </c>
      <c r="H63" s="27" t="n">
        <f aca="false">IF(G63="","",G63^2)</f>
        <v>0.000174188046781567</v>
      </c>
      <c r="I63" s="25" t="n">
        <f aca="false">IF(G63="","",C63/C62-1)</f>
        <v>-0.0131113198006212</v>
      </c>
      <c r="K63" s="17" t="n">
        <f aca="false">MAX(K62,C63)</f>
        <v>378</v>
      </c>
      <c r="L63" s="25" t="n">
        <f aca="false">C63/K63-1</f>
        <v>-0.277169312169312</v>
      </c>
      <c r="M63" s="25" t="n">
        <f aca="false">IF(COUNT(G34:G63)&lt;20,"",_xlfn.STDEV.S(G34:G63)*SQRT($R$3))</f>
        <v>0.682541190626698</v>
      </c>
      <c r="N63" s="25" t="n">
        <f aca="false">IF(A63-7&lt;$R$2,"",C63/INDEX(Clean_Data!$C$2:$C$4314,MATCH(A63-7,Clean_Data!$A$2:$A$4314,1))-1)</f>
        <v>0.0739328669129786</v>
      </c>
      <c r="O63" s="25" t="n">
        <f aca="false">IF(A63-30&lt;$R$2,"",C63/INDEX(Clean_Data!$C$2:$C$4314,MATCH(A63-30,Clean_Data!$A$2:$A$4314,1))-1)</f>
        <v>0.203073400554797</v>
      </c>
    </row>
    <row r="64" customFormat="false" ht="15" hidden="false" customHeight="false" outlineLevel="0" collapsed="false">
      <c r="A64" s="16" t="n">
        <v>42070</v>
      </c>
      <c r="B64" s="23" t="n">
        <f aca="false">YEAR(A64)</f>
        <v>2015</v>
      </c>
      <c r="C64" s="17" t="n">
        <v>276.89</v>
      </c>
      <c r="D64" s="23" t="n">
        <f aca="false">A64-A63</f>
        <v>1</v>
      </c>
      <c r="E64" s="24" t="n">
        <f aca="false">LN(C64)</f>
        <v>5.62362031540416</v>
      </c>
      <c r="F64" s="25" t="n">
        <f aca="false">LN(C64/C63)</f>
        <v>0.0133063840729188</v>
      </c>
      <c r="G64" s="25" t="n">
        <f aca="false">IF(AND(D64=1,A64&gt;=$R$2),F64,"")</f>
        <v>0.0133063840729188</v>
      </c>
      <c r="H64" s="27" t="n">
        <f aca="false">IF(G64="","",G64^2)</f>
        <v>0.000177059857096027</v>
      </c>
      <c r="I64" s="25" t="n">
        <f aca="false">IF(G64="","",C64/C63-1)</f>
        <v>0.0133953079822859</v>
      </c>
      <c r="K64" s="17" t="n">
        <f aca="false">MAX(K63,C64)</f>
        <v>378</v>
      </c>
      <c r="L64" s="25" t="n">
        <f aca="false">C64/K64-1</f>
        <v>-0.267486772486773</v>
      </c>
      <c r="M64" s="25" t="n">
        <f aca="false">IF(COUNT(G35:G64)&lt;20,"",_xlfn.STDEV.S(G35:G64)*SQRT($R$3))</f>
        <v>0.655667708274281</v>
      </c>
      <c r="N64" s="25" t="n">
        <f aca="false">IF(A64-7&lt;$R$2,"",C64/INDEX(Clean_Data!$C$2:$C$4314,MATCH(A64-7,Clean_Data!$A$2:$A$4314,1))-1)</f>
        <v>0.0833365937634492</v>
      </c>
      <c r="O64" s="25" t="n">
        <f aca="false">IF(A64-30&lt;$R$2,"",C64/INDEX(Clean_Data!$C$2:$C$4314,MATCH(A64-30,Clean_Data!$A$2:$A$4314,1))-1)</f>
        <v>0.277403579996309</v>
      </c>
    </row>
    <row r="65" customFormat="false" ht="15" hidden="false" customHeight="false" outlineLevel="0" collapsed="false">
      <c r="A65" s="16" t="n">
        <v>42071</v>
      </c>
      <c r="B65" s="23" t="n">
        <f aca="false">YEAR(A65)</f>
        <v>2015</v>
      </c>
      <c r="C65" s="17" t="n">
        <v>275.5</v>
      </c>
      <c r="D65" s="23" t="n">
        <f aca="false">A65-A64</f>
        <v>1</v>
      </c>
      <c r="E65" s="24" t="n">
        <f aca="false">LN(C65)</f>
        <v>5.61858762859297</v>
      </c>
      <c r="F65" s="25" t="n">
        <f aca="false">LN(C65/C64)</f>
        <v>-0.00503268681119525</v>
      </c>
      <c r="G65" s="25" t="n">
        <f aca="false">IF(AND(D65=1,A65&gt;=$R$2),F65,"")</f>
        <v>-0.00503268681119525</v>
      </c>
      <c r="H65" s="27" t="n">
        <f aca="false">IF(G65="","",G65^2)</f>
        <v>2.53279365395786E-005</v>
      </c>
      <c r="I65" s="25" t="n">
        <f aca="false">IF(G65="","",C65/C64-1)</f>
        <v>-0.00502004406081835</v>
      </c>
      <c r="K65" s="17" t="n">
        <f aca="false">MAX(K64,C65)</f>
        <v>378</v>
      </c>
      <c r="L65" s="25" t="n">
        <f aca="false">C65/K65-1</f>
        <v>-0.271164021164021</v>
      </c>
      <c r="M65" s="25" t="n">
        <f aca="false">IF(COUNT(G36:G65)&lt;20,"",_xlfn.STDEV.S(G36:G65)*SQRT($R$3))</f>
        <v>0.65267519904021</v>
      </c>
      <c r="N65" s="25" t="n">
        <f aca="false">IF(A65-7&lt;$R$2,"",C65/INDEX(Clean_Data!$C$2:$C$4314,MATCH(A65-7,Clean_Data!$A$2:$A$4314,1))-1)</f>
        <v>0.058638180141408</v>
      </c>
      <c r="O65" s="25" t="n">
        <f aca="false">IF(A65-30&lt;$R$2,"",C65/INDEX(Clean_Data!$C$2:$C$4314,MATCH(A65-30,Clean_Data!$A$2:$A$4314,1))-1)</f>
        <v>0.234318996415771</v>
      </c>
    </row>
    <row r="66" customFormat="false" ht="15" hidden="false" customHeight="false" outlineLevel="0" collapsed="false">
      <c r="A66" s="16" t="n">
        <v>42072</v>
      </c>
      <c r="B66" s="23" t="n">
        <f aca="false">YEAR(A66)</f>
        <v>2015</v>
      </c>
      <c r="C66" s="17" t="n">
        <v>290.19</v>
      </c>
      <c r="D66" s="23" t="n">
        <f aca="false">A66-A65</f>
        <v>1</v>
      </c>
      <c r="E66" s="24" t="n">
        <f aca="false">LN(C66)</f>
        <v>5.67053588086257</v>
      </c>
      <c r="F66" s="25" t="n">
        <f aca="false">LN(C66/C65)</f>
        <v>0.0519482522695961</v>
      </c>
      <c r="G66" s="25" t="n">
        <f aca="false">IF(AND(D66=1,A66&gt;=$R$2),F66,"")</f>
        <v>0.0519482522695961</v>
      </c>
      <c r="H66" s="27" t="n">
        <f aca="false">IF(G66="","",G66^2)</f>
        <v>0.0026986209138656</v>
      </c>
      <c r="I66" s="25" t="n">
        <f aca="false">IF(G66="","",C66/C65-1)</f>
        <v>0.0533212341197822</v>
      </c>
      <c r="K66" s="17" t="n">
        <f aca="false">MAX(K65,C66)</f>
        <v>378</v>
      </c>
      <c r="L66" s="25" t="n">
        <f aca="false">C66/K66-1</f>
        <v>-0.232301587301587</v>
      </c>
      <c r="M66" s="25" t="n">
        <f aca="false">IF(COUNT(G37:G66)&lt;20,"",_xlfn.STDEV.S(G37:G66)*SQRT($R$3))</f>
        <v>0.668380380803055</v>
      </c>
      <c r="N66" s="25" t="n">
        <f aca="false">IF(A66-7&lt;$R$2,"",C66/INDEX(Clean_Data!$C$2:$C$4314,MATCH(A66-7,Clean_Data!$A$2:$A$4314,1))-1)</f>
        <v>0.048753162269606</v>
      </c>
      <c r="O66" s="25" t="n">
        <f aca="false">IF(A66-30&lt;$R$2,"",C66/INDEX(Clean_Data!$C$2:$C$4314,MATCH(A66-30,Clean_Data!$A$2:$A$4314,1))-1)</f>
        <v>0.267205240174673</v>
      </c>
    </row>
    <row r="67" customFormat="false" ht="15" hidden="false" customHeight="false" outlineLevel="0" collapsed="false">
      <c r="A67" s="16" t="n">
        <v>42073</v>
      </c>
      <c r="B67" s="23" t="n">
        <f aca="false">YEAR(A67)</f>
        <v>2015</v>
      </c>
      <c r="C67" s="17" t="n">
        <v>293.47</v>
      </c>
      <c r="D67" s="23" t="n">
        <f aca="false">A67-A66</f>
        <v>1</v>
      </c>
      <c r="E67" s="24" t="n">
        <f aca="false">LN(C67)</f>
        <v>5.68177541939311</v>
      </c>
      <c r="F67" s="25" t="n">
        <f aca="false">LN(C67/C66)</f>
        <v>0.0112395385305459</v>
      </c>
      <c r="G67" s="25" t="n">
        <f aca="false">IF(AND(D67=1,A67&gt;=$R$2),F67,"")</f>
        <v>0.0112395385305459</v>
      </c>
      <c r="H67" s="27" t="n">
        <f aca="false">IF(G67="","",G67^2)</f>
        <v>0.000126327226379625</v>
      </c>
      <c r="I67" s="25" t="n">
        <f aca="false">IF(G67="","",C67/C66-1)</f>
        <v>0.0113029394534616</v>
      </c>
      <c r="K67" s="17" t="n">
        <f aca="false">MAX(K66,C67)</f>
        <v>378</v>
      </c>
      <c r="L67" s="25" t="n">
        <f aca="false">C67/K67-1</f>
        <v>-0.223624338624339</v>
      </c>
      <c r="M67" s="25" t="n">
        <f aca="false">IF(COUNT(G38:G67)&lt;20,"",_xlfn.STDEV.S(G38:G67)*SQRT($R$3))</f>
        <v>0.659596741048205</v>
      </c>
      <c r="N67" s="25" t="n">
        <f aca="false">IF(A67-7&lt;$R$2,"",C67/INDEX(Clean_Data!$C$2:$C$4314,MATCH(A67-7,Clean_Data!$A$2:$A$4314,1))-1)</f>
        <v>0.0360080488579801</v>
      </c>
      <c r="O67" s="25" t="n">
        <f aca="false">IF(A67-30&lt;$R$2,"",C67/INDEX(Clean_Data!$C$2:$C$4314,MATCH(A67-30,Clean_Data!$A$2:$A$4314,1))-1)</f>
        <v>0.310192419304433</v>
      </c>
    </row>
    <row r="68" customFormat="false" ht="15" hidden="false" customHeight="false" outlineLevel="0" collapsed="false">
      <c r="A68" s="16" t="n">
        <v>42074</v>
      </c>
      <c r="B68" s="23" t="n">
        <f aca="false">YEAR(A68)</f>
        <v>2015</v>
      </c>
      <c r="C68" s="17" t="n">
        <v>296.99</v>
      </c>
      <c r="D68" s="23" t="n">
        <f aca="false">A68-A67</f>
        <v>1</v>
      </c>
      <c r="E68" s="24" t="n">
        <f aca="false">LN(C68)</f>
        <v>5.69369846820218</v>
      </c>
      <c r="F68" s="25" t="n">
        <f aca="false">LN(C68/C67)</f>
        <v>0.0119230488090702</v>
      </c>
      <c r="G68" s="25" t="n">
        <f aca="false">IF(AND(D68=1,A68&gt;=$R$2),F68,"")</f>
        <v>0.0119230488090702</v>
      </c>
      <c r="H68" s="27" t="n">
        <f aca="false">IF(G68="","",G68^2)</f>
        <v>0.000142159092903469</v>
      </c>
      <c r="I68" s="25" t="n">
        <f aca="false">IF(G68="","",C68/C67-1)</f>
        <v>0.0119944116945514</v>
      </c>
      <c r="K68" s="17" t="n">
        <f aca="false">MAX(K67,C68)</f>
        <v>378</v>
      </c>
      <c r="L68" s="25" t="n">
        <f aca="false">C68/K68-1</f>
        <v>-0.214312169312169</v>
      </c>
      <c r="M68" s="25" t="n">
        <f aca="false">IF(COUNT(G39:G68)&lt;20,"",_xlfn.STDEV.S(G39:G68)*SQRT($R$3))</f>
        <v>0.654849064627656</v>
      </c>
      <c r="N68" s="25" t="n">
        <f aca="false">IF(A68-7&lt;$R$2,"",C68/INDEX(Clean_Data!$C$2:$C$4314,MATCH(A68-7,Clean_Data!$A$2:$A$4314,1))-1)</f>
        <v>0.0864030434941654</v>
      </c>
      <c r="O68" s="25" t="n">
        <f aca="false">IF(A68-30&lt;$R$2,"",C68/INDEX(Clean_Data!$C$2:$C$4314,MATCH(A68-30,Clean_Data!$A$2:$A$4314,1))-1)</f>
        <v>0.343238353686115</v>
      </c>
    </row>
    <row r="69" customFormat="false" ht="15" hidden="false" customHeight="false" outlineLevel="0" collapsed="false">
      <c r="A69" s="16" t="n">
        <v>42075</v>
      </c>
      <c r="B69" s="23" t="n">
        <f aca="false">YEAR(A69)</f>
        <v>2015</v>
      </c>
      <c r="C69" s="17" t="n">
        <v>296.05</v>
      </c>
      <c r="D69" s="23" t="n">
        <f aca="false">A69-A68</f>
        <v>1</v>
      </c>
      <c r="E69" s="24" t="n">
        <f aca="false">LN(C69)</f>
        <v>5.69052835897779</v>
      </c>
      <c r="F69" s="25" t="n">
        <f aca="false">LN(C69/C68)</f>
        <v>-0.00317010922439612</v>
      </c>
      <c r="G69" s="25" t="n">
        <f aca="false">IF(AND(D69=1,A69&gt;=$R$2),F69,"")</f>
        <v>-0.00317010922439612</v>
      </c>
      <c r="H69" s="27" t="n">
        <f aca="false">IF(G69="","",G69^2)</f>
        <v>1.00495924946013E-005</v>
      </c>
      <c r="I69" s="25" t="n">
        <f aca="false">IF(G69="","",C69/C68-1)</f>
        <v>-0.00316508973366103</v>
      </c>
      <c r="K69" s="17" t="n">
        <f aca="false">MAX(K68,C69)</f>
        <v>378</v>
      </c>
      <c r="L69" s="25" t="n">
        <f aca="false">C69/K69-1</f>
        <v>-0.216798941798942</v>
      </c>
      <c r="M69" s="25" t="n">
        <f aca="false">IF(COUNT(G40:G69)&lt;20,"",_xlfn.STDEV.S(G40:G69)*SQRT($R$3))</f>
        <v>0.655336145007137</v>
      </c>
      <c r="N69" s="25" t="n">
        <f aca="false">IF(A69-7&lt;$R$2,"",C69/INDEX(Clean_Data!$C$2:$C$4314,MATCH(A69-7,Clean_Data!$A$2:$A$4314,1))-1)</f>
        <v>0.0693130101856534</v>
      </c>
      <c r="O69" s="25" t="n">
        <f aca="false">IF(A69-30&lt;$R$2,"",C69/INDEX(Clean_Data!$C$2:$C$4314,MATCH(A69-30,Clean_Data!$A$2:$A$4314,1))-1)</f>
        <v>0.340381219722008</v>
      </c>
    </row>
    <row r="70" customFormat="false" ht="15" hidden="false" customHeight="false" outlineLevel="0" collapsed="false">
      <c r="A70" s="16" t="n">
        <v>42076</v>
      </c>
      <c r="B70" s="23" t="n">
        <f aca="false">YEAR(A70)</f>
        <v>2015</v>
      </c>
      <c r="C70" s="17" t="n">
        <v>284</v>
      </c>
      <c r="D70" s="23" t="n">
        <f aca="false">A70-A69</f>
        <v>1</v>
      </c>
      <c r="E70" s="24" t="n">
        <f aca="false">LN(C70)</f>
        <v>5.64897423816121</v>
      </c>
      <c r="F70" s="25" t="n">
        <f aca="false">LN(C70/C69)</f>
        <v>-0.0415541208165791</v>
      </c>
      <c r="G70" s="25" t="n">
        <f aca="false">IF(AND(D70=1,A70&gt;=$R$2),F70,"")</f>
        <v>-0.0415541208165791</v>
      </c>
      <c r="H70" s="27" t="n">
        <f aca="false">IF(G70="","",G70^2)</f>
        <v>0.00172674495683885</v>
      </c>
      <c r="I70" s="25" t="n">
        <f aca="false">IF(G70="","",C70/C69-1)</f>
        <v>-0.0407025840229691</v>
      </c>
      <c r="K70" s="17" t="n">
        <f aca="false">MAX(K69,C70)</f>
        <v>378</v>
      </c>
      <c r="L70" s="25" t="n">
        <f aca="false">C70/K70-1</f>
        <v>-0.248677248677249</v>
      </c>
      <c r="M70" s="25" t="n">
        <f aca="false">IF(COUNT(G41:G70)&lt;20,"",_xlfn.STDEV.S(G41:G70)*SQRT($R$3))</f>
        <v>0.677770532932028</v>
      </c>
      <c r="N70" s="25" t="n">
        <f aca="false">IF(A70-7&lt;$R$2,"",C70/INDEX(Clean_Data!$C$2:$C$4314,MATCH(A70-7,Clean_Data!$A$2:$A$4314,1))-1)</f>
        <v>0.0394173407019727</v>
      </c>
      <c r="O70" s="25" t="n">
        <f aca="false">IF(A70-30&lt;$R$2,"",C70/INDEX(Clean_Data!$C$2:$C$4314,MATCH(A70-30,Clean_Data!$A$2:$A$4314,1))-1)</f>
        <v>0.292024930621901</v>
      </c>
    </row>
    <row r="71" customFormat="false" ht="15" hidden="false" customHeight="false" outlineLevel="0" collapsed="false">
      <c r="A71" s="16" t="n">
        <v>42077</v>
      </c>
      <c r="B71" s="23" t="n">
        <f aca="false">YEAR(A71)</f>
        <v>2015</v>
      </c>
      <c r="C71" s="17" t="n">
        <v>283.95</v>
      </c>
      <c r="D71" s="23" t="n">
        <f aca="false">A71-A70</f>
        <v>1</v>
      </c>
      <c r="E71" s="24" t="n">
        <f aca="false">LN(C71)</f>
        <v>5.64879816632344</v>
      </c>
      <c r="F71" s="25" t="n">
        <f aca="false">LN(C71/C70)</f>
        <v>-0.000176071837764521</v>
      </c>
      <c r="G71" s="25" t="n">
        <f aca="false">IF(AND(D71=1,A71&gt;=$R$2),F71,"")</f>
        <v>-0.000176071837764521</v>
      </c>
      <c r="H71" s="27" t="n">
        <f aca="false">IF(G71="","",G71^2)</f>
        <v>3.10012920537758E-008</v>
      </c>
      <c r="I71" s="25" t="n">
        <f aca="false">IF(G71="","",C71/C70-1)</f>
        <v>-0.000176056338028197</v>
      </c>
      <c r="K71" s="17" t="n">
        <f aca="false">MAX(K70,C71)</f>
        <v>378</v>
      </c>
      <c r="L71" s="25" t="n">
        <f aca="false">C71/K71-1</f>
        <v>-0.248809523809524</v>
      </c>
      <c r="M71" s="25" t="n">
        <f aca="false">IF(COUNT(G42:G71)&lt;20,"",_xlfn.STDEV.S(G42:G71)*SQRT($R$3))</f>
        <v>0.67797084572337</v>
      </c>
      <c r="N71" s="25" t="n">
        <f aca="false">IF(A71-7&lt;$R$2,"",C71/INDEX(Clean_Data!$C$2:$C$4314,MATCH(A71-7,Clean_Data!$A$2:$A$4314,1))-1)</f>
        <v>0.0254974899779696</v>
      </c>
      <c r="O71" s="25" t="n">
        <f aca="false">IF(A71-30&lt;$R$2,"",C71/INDEX(Clean_Data!$C$2:$C$4314,MATCH(A71-30,Clean_Data!$A$2:$A$4314,1))-1)</f>
        <v>0.272120424712155</v>
      </c>
    </row>
    <row r="72" customFormat="false" ht="15" hidden="false" customHeight="false" outlineLevel="0" collapsed="false">
      <c r="A72" s="16" t="n">
        <v>42078</v>
      </c>
      <c r="B72" s="23" t="n">
        <f aca="false">YEAR(A72)</f>
        <v>2015</v>
      </c>
      <c r="C72" s="17" t="n">
        <v>288</v>
      </c>
      <c r="D72" s="23" t="n">
        <f aca="false">A72-A71</f>
        <v>1</v>
      </c>
      <c r="E72" s="24" t="n">
        <f aca="false">LN(C72)</f>
        <v>5.66296048013595</v>
      </c>
      <c r="F72" s="25" t="n">
        <f aca="false">LN(C72/C71)</f>
        <v>0.0141623138125044</v>
      </c>
      <c r="G72" s="25" t="n">
        <f aca="false">IF(AND(D72=1,A72&gt;=$R$2),F72,"")</f>
        <v>0.0141623138125044</v>
      </c>
      <c r="H72" s="27" t="n">
        <f aca="false">IF(G72="","",G72^2)</f>
        <v>0.000200571132523854</v>
      </c>
      <c r="I72" s="25" t="n">
        <f aca="false">IF(G72="","",C72/C71-1)</f>
        <v>0.0142630744849446</v>
      </c>
      <c r="K72" s="17" t="n">
        <f aca="false">MAX(K71,C72)</f>
        <v>378</v>
      </c>
      <c r="L72" s="25" t="n">
        <f aca="false">C72/K72-1</f>
        <v>-0.238095238095238</v>
      </c>
      <c r="M72" s="25" t="n">
        <f aca="false">IF(COUNT(G43:G72)&lt;20,"",_xlfn.STDEV.S(G43:G72)*SQRT($R$3))</f>
        <v>0.654326727247999</v>
      </c>
      <c r="N72" s="25" t="n">
        <f aca="false">IF(A72-7&lt;$R$2,"",C72/INDEX(Clean_Data!$C$2:$C$4314,MATCH(A72-7,Clean_Data!$A$2:$A$4314,1))-1)</f>
        <v>0.0453720508166968</v>
      </c>
      <c r="O72" s="25" t="n">
        <f aca="false">IF(A72-30&lt;$R$2,"",C72/INDEX(Clean_Data!$C$2:$C$4314,MATCH(A72-30,Clean_Data!$A$2:$A$4314,1))-1)</f>
        <v>0.217810478244323</v>
      </c>
    </row>
    <row r="73" customFormat="false" ht="15" hidden="false" customHeight="false" outlineLevel="0" collapsed="false">
      <c r="A73" s="16" t="n">
        <v>42079</v>
      </c>
      <c r="B73" s="23" t="n">
        <f aca="false">YEAR(A73)</f>
        <v>2015</v>
      </c>
      <c r="C73" s="17" t="n">
        <v>292.37</v>
      </c>
      <c r="D73" s="23" t="n">
        <f aca="false">A73-A72</f>
        <v>1</v>
      </c>
      <c r="E73" s="24" t="n">
        <f aca="false">LN(C73)</f>
        <v>5.67802012343276</v>
      </c>
      <c r="F73" s="25" t="n">
        <f aca="false">LN(C73/C72)</f>
        <v>0.0150596432968152</v>
      </c>
      <c r="G73" s="25" t="n">
        <f aca="false">IF(AND(D73=1,A73&gt;=$R$2),F73,"")</f>
        <v>0.0150596432968152</v>
      </c>
      <c r="H73" s="27" t="n">
        <f aca="false">IF(G73="","",G73^2)</f>
        <v>0.00022679285622731</v>
      </c>
      <c r="I73" s="25" t="n">
        <f aca="false">IF(G73="","",C73/C72-1)</f>
        <v>0.0151736111111112</v>
      </c>
      <c r="K73" s="17" t="n">
        <f aca="false">MAX(K72,C73)</f>
        <v>378</v>
      </c>
      <c r="L73" s="25" t="n">
        <f aca="false">C73/K73-1</f>
        <v>-0.226534391534391</v>
      </c>
      <c r="M73" s="25" t="n">
        <f aca="false">IF(COUNT(G44:G73)&lt;20,"",_xlfn.STDEV.S(G44:G73)*SQRT($R$3))</f>
        <v>0.596537217651823</v>
      </c>
      <c r="N73" s="25" t="n">
        <f aca="false">IF(A73-7&lt;$R$2,"",C73/INDEX(Clean_Data!$C$2:$C$4314,MATCH(A73-7,Clean_Data!$A$2:$A$4314,1))-1)</f>
        <v>0.00751231951480058</v>
      </c>
      <c r="O73" s="25" t="n">
        <f aca="false">IF(A73-30&lt;$R$2,"",C73/INDEX(Clean_Data!$C$2:$C$4314,MATCH(A73-30,Clean_Data!$A$2:$A$4314,1))-1)</f>
        <v>0.139133483986597</v>
      </c>
    </row>
    <row r="74" customFormat="false" ht="15" hidden="false" customHeight="false" outlineLevel="0" collapsed="false">
      <c r="A74" s="16" t="n">
        <v>42080</v>
      </c>
      <c r="B74" s="23" t="n">
        <f aca="false">YEAR(A74)</f>
        <v>2015</v>
      </c>
      <c r="C74" s="17" t="n">
        <v>286.74</v>
      </c>
      <c r="D74" s="23" t="n">
        <f aca="false">A74-A73</f>
        <v>1</v>
      </c>
      <c r="E74" s="24" t="n">
        <f aca="false">LN(C74)</f>
        <v>5.65857588181812</v>
      </c>
      <c r="F74" s="25" t="n">
        <f aca="false">LN(C74/C73)</f>
        <v>-0.0194442416146392</v>
      </c>
      <c r="G74" s="25" t="n">
        <f aca="false">IF(AND(D74=1,A74&gt;=$R$2),F74,"")</f>
        <v>-0.0194442416146392</v>
      </c>
      <c r="H74" s="27" t="n">
        <f aca="false">IF(G74="","",G74^2)</f>
        <v>0.000378078531968465</v>
      </c>
      <c r="I74" s="25" t="n">
        <f aca="false">IF(G74="","",C74/C73-1)</f>
        <v>-0.0192564216574888</v>
      </c>
      <c r="K74" s="17" t="n">
        <f aca="false">MAX(K73,C74)</f>
        <v>378</v>
      </c>
      <c r="L74" s="25" t="n">
        <f aca="false">C74/K74-1</f>
        <v>-0.241428571428571</v>
      </c>
      <c r="M74" s="25" t="n">
        <f aca="false">IF(COUNT(G45:G74)&lt;20,"",_xlfn.STDEV.S(G45:G74)*SQRT($R$3))</f>
        <v>0.508619217244178</v>
      </c>
      <c r="N74" s="25" t="n">
        <f aca="false">IF(A74-7&lt;$R$2,"",C74/INDEX(Clean_Data!$C$2:$C$4314,MATCH(A74-7,Clean_Data!$A$2:$A$4314,1))-1)</f>
        <v>-0.022932497359185</v>
      </c>
      <c r="O74" s="25" t="n">
        <f aca="false">IF(A74-30&lt;$R$2,"",C74/INDEX(Clean_Data!$C$2:$C$4314,MATCH(A74-30,Clean_Data!$A$2:$A$4314,1))-1)</f>
        <v>0.217372845376582</v>
      </c>
    </row>
    <row r="75" customFormat="false" ht="15" hidden="false" customHeight="false" outlineLevel="0" collapsed="false">
      <c r="A75" s="16" t="n">
        <v>42081</v>
      </c>
      <c r="B75" s="23" t="n">
        <f aca="false">YEAR(A75)</f>
        <v>2015</v>
      </c>
      <c r="C75" s="17" t="n">
        <v>258.5</v>
      </c>
      <c r="D75" s="23" t="n">
        <f aca="false">A75-A74</f>
        <v>1</v>
      </c>
      <c r="E75" s="24" t="n">
        <f aca="false">LN(C75)</f>
        <v>5.55489569394848</v>
      </c>
      <c r="F75" s="25" t="n">
        <f aca="false">LN(C75/C74)</f>
        <v>-0.103680187869638</v>
      </c>
      <c r="G75" s="25" t="n">
        <f aca="false">IF(AND(D75=1,A75&gt;=$R$2),F75,"")</f>
        <v>-0.103680187869638</v>
      </c>
      <c r="H75" s="27" t="n">
        <f aca="false">IF(G75="","",G75^2)</f>
        <v>0.0107495813566834</v>
      </c>
      <c r="I75" s="25" t="n">
        <f aca="false">IF(G75="","",C75/C74-1)</f>
        <v>-0.0984864337030063</v>
      </c>
      <c r="K75" s="17" t="n">
        <f aca="false">MAX(K74,C75)</f>
        <v>378</v>
      </c>
      <c r="L75" s="25" t="n">
        <f aca="false">C75/K75-1</f>
        <v>-0.316137566137566</v>
      </c>
      <c r="M75" s="25" t="n">
        <f aca="false">IF(COUNT(G46:G75)&lt;20,"",_xlfn.STDEV.S(G46:G75)*SQRT($R$3))</f>
        <v>0.637285079504035</v>
      </c>
      <c r="N75" s="25" t="n">
        <f aca="false">IF(A75-7&lt;$R$2,"",C75/INDEX(Clean_Data!$C$2:$C$4314,MATCH(A75-7,Clean_Data!$A$2:$A$4314,1))-1)</f>
        <v>-0.129600323243207</v>
      </c>
      <c r="O75" s="25" t="n">
        <f aca="false">IF(A75-30&lt;$R$2,"",C75/INDEX(Clean_Data!$C$2:$C$4314,MATCH(A75-30,Clean_Data!$A$2:$A$4314,1))-1)</f>
        <v>0.101499914777569</v>
      </c>
    </row>
    <row r="76" customFormat="false" ht="15" hidden="false" customHeight="false" outlineLevel="0" collapsed="false">
      <c r="A76" s="16" t="n">
        <v>42082</v>
      </c>
      <c r="B76" s="23" t="n">
        <f aca="false">YEAR(A76)</f>
        <v>2015</v>
      </c>
      <c r="C76" s="17" t="n">
        <v>263.05</v>
      </c>
      <c r="D76" s="23" t="n">
        <f aca="false">A76-A75</f>
        <v>1</v>
      </c>
      <c r="E76" s="24" t="n">
        <f aca="false">LN(C76)</f>
        <v>5.57234412817682</v>
      </c>
      <c r="F76" s="25" t="n">
        <f aca="false">LN(C76/C75)</f>
        <v>0.0174484342283324</v>
      </c>
      <c r="G76" s="25" t="n">
        <f aca="false">IF(AND(D76=1,A76&gt;=$R$2),F76,"")</f>
        <v>0.0174484342283324</v>
      </c>
      <c r="H76" s="27" t="n">
        <f aca="false">IF(G76="","",G76^2)</f>
        <v>0.000304447857020441</v>
      </c>
      <c r="I76" s="25" t="n">
        <f aca="false">IF(G76="","",C76/C75-1)</f>
        <v>0.0176015473887814</v>
      </c>
      <c r="K76" s="17" t="n">
        <f aca="false">MAX(K75,C76)</f>
        <v>378</v>
      </c>
      <c r="L76" s="25" t="n">
        <f aca="false">C76/K76-1</f>
        <v>-0.304100529100529</v>
      </c>
      <c r="M76" s="25" t="n">
        <f aca="false">IF(COUNT(G47:G76)&lt;20,"",_xlfn.STDEV.S(G47:G76)*SQRT($R$3))</f>
        <v>0.623859067368328</v>
      </c>
      <c r="N76" s="25" t="n">
        <f aca="false">IF(A76-7&lt;$R$2,"",C76/INDEX(Clean_Data!$C$2:$C$4314,MATCH(A76-7,Clean_Data!$A$2:$A$4314,1))-1)</f>
        <v>-0.111467657490289</v>
      </c>
      <c r="O76" s="25" t="n">
        <f aca="false">IF(A76-30&lt;$R$2,"",C76/INDEX(Clean_Data!$C$2:$C$4314,MATCH(A76-30,Clean_Data!$A$2:$A$4314,1))-1)</f>
        <v>0.0744628706805</v>
      </c>
    </row>
    <row r="77" customFormat="false" ht="15" hidden="false" customHeight="false" outlineLevel="0" collapsed="false">
      <c r="A77" s="16" t="n">
        <v>42083</v>
      </c>
      <c r="B77" s="23" t="n">
        <f aca="false">YEAR(A77)</f>
        <v>2015</v>
      </c>
      <c r="C77" s="17" t="n">
        <v>263.31</v>
      </c>
      <c r="D77" s="23" t="n">
        <f aca="false">A77-A76</f>
        <v>1</v>
      </c>
      <c r="E77" s="24" t="n">
        <f aca="false">LN(C77)</f>
        <v>5.57333204527214</v>
      </c>
      <c r="F77" s="25" t="n">
        <f aca="false">LN(C77/C76)</f>
        <v>0.00098791709531962</v>
      </c>
      <c r="G77" s="25" t="n">
        <f aca="false">IF(AND(D77=1,A77&gt;=$R$2),F77,"")</f>
        <v>0.00098791709531962</v>
      </c>
      <c r="H77" s="27" t="n">
        <f aca="false">IF(G77="","",G77^2)</f>
        <v>9.75980187224755E-007</v>
      </c>
      <c r="I77" s="25" t="n">
        <f aca="false">IF(G77="","",C77/C76-1)</f>
        <v>0.000988405246150848</v>
      </c>
      <c r="K77" s="17" t="n">
        <f aca="false">MAX(K76,C77)</f>
        <v>378</v>
      </c>
      <c r="L77" s="25" t="n">
        <f aca="false">C77/K77-1</f>
        <v>-0.303412698412698</v>
      </c>
      <c r="M77" s="25" t="n">
        <f aca="false">IF(COUNT(G48:G77)&lt;20,"",_xlfn.STDEV.S(G48:G77)*SQRT($R$3))</f>
        <v>0.612599222793475</v>
      </c>
      <c r="N77" s="25" t="n">
        <f aca="false">IF(A77-7&lt;$R$2,"",C77/INDEX(Clean_Data!$C$2:$C$4314,MATCH(A77-7,Clean_Data!$A$2:$A$4314,1))-1)</f>
        <v>-0.0728521126760563</v>
      </c>
      <c r="O77" s="25" t="n">
        <f aca="false">IF(A77-30&lt;$R$2,"",C77/INDEX(Clean_Data!$C$2:$C$4314,MATCH(A77-30,Clean_Data!$A$2:$A$4314,1))-1)</f>
        <v>0.108720367173355</v>
      </c>
    </row>
    <row r="78" customFormat="false" ht="15" hidden="false" customHeight="false" outlineLevel="0" collapsed="false">
      <c r="A78" s="16" t="n">
        <v>42084</v>
      </c>
      <c r="B78" s="23" t="n">
        <f aca="false">YEAR(A78)</f>
        <v>2015</v>
      </c>
      <c r="C78" s="17" t="n">
        <v>261.9</v>
      </c>
      <c r="D78" s="23" t="n">
        <f aca="false">A78-A77</f>
        <v>1</v>
      </c>
      <c r="E78" s="24" t="n">
        <f aca="false">LN(C78)</f>
        <v>5.56796275151367</v>
      </c>
      <c r="F78" s="25" t="n">
        <f aca="false">LN(C78/C77)</f>
        <v>-0.00536929375846981</v>
      </c>
      <c r="G78" s="25" t="n">
        <f aca="false">IF(AND(D78=1,A78&gt;=$R$2),F78,"")</f>
        <v>-0.00536929375846981</v>
      </c>
      <c r="H78" s="27" t="n">
        <f aca="false">IF(G78="","",G78^2)</f>
        <v>2.88293154647428E-005</v>
      </c>
      <c r="I78" s="25" t="n">
        <f aca="false">IF(G78="","",C78/C77-1)</f>
        <v>-0.00535490486498813</v>
      </c>
      <c r="K78" s="17" t="n">
        <f aca="false">MAX(K77,C78)</f>
        <v>378</v>
      </c>
      <c r="L78" s="25" t="n">
        <f aca="false">C78/K78-1</f>
        <v>-0.307142857142857</v>
      </c>
      <c r="M78" s="25" t="n">
        <f aca="false">IF(COUNT(G49:G78)&lt;20,"",_xlfn.STDEV.S(G49:G78)*SQRT($R$3))</f>
        <v>0.612062531659661</v>
      </c>
      <c r="N78" s="25" t="n">
        <f aca="false">IF(A78-7&lt;$R$2,"",C78/INDEX(Clean_Data!$C$2:$C$4314,MATCH(A78-7,Clean_Data!$A$2:$A$4314,1))-1)</f>
        <v>-0.0776545166402536</v>
      </c>
      <c r="O78" s="25" t="n">
        <f aca="false">IF(A78-30&lt;$R$2,"",C78/INDEX(Clean_Data!$C$2:$C$4314,MATCH(A78-30,Clean_Data!$A$2:$A$4314,1))-1)</f>
        <v>0.0871731008717309</v>
      </c>
    </row>
    <row r="79" customFormat="false" ht="15" hidden="false" customHeight="false" outlineLevel="0" collapsed="false">
      <c r="A79" s="16" t="n">
        <v>42085</v>
      </c>
      <c r="B79" s="23" t="n">
        <f aca="false">YEAR(A79)</f>
        <v>2015</v>
      </c>
      <c r="C79" s="17" t="n">
        <v>269.45</v>
      </c>
      <c r="D79" s="23" t="n">
        <f aca="false">A79-A78</f>
        <v>1</v>
      </c>
      <c r="E79" s="24" t="n">
        <f aca="false">LN(C79)</f>
        <v>5.59638284437951</v>
      </c>
      <c r="F79" s="25" t="n">
        <f aca="false">LN(C79/C78)</f>
        <v>0.0284200928658395</v>
      </c>
      <c r="G79" s="25" t="n">
        <f aca="false">IF(AND(D79=1,A79&gt;=$R$2),F79,"")</f>
        <v>0.0284200928658395</v>
      </c>
      <c r="H79" s="27" t="n">
        <f aca="false">IF(G79="","",G79^2)</f>
        <v>0.000807701678502943</v>
      </c>
      <c r="I79" s="25" t="n">
        <f aca="false">IF(G79="","",C79/C78-1)</f>
        <v>0.028827796869034</v>
      </c>
      <c r="K79" s="17" t="n">
        <f aca="false">MAX(K78,C79)</f>
        <v>378</v>
      </c>
      <c r="L79" s="25" t="n">
        <f aca="false">C79/K79-1</f>
        <v>-0.287169312169312</v>
      </c>
      <c r="M79" s="25" t="n">
        <f aca="false">IF(COUNT(G50:G79)&lt;20,"",_xlfn.STDEV.S(G50:G79)*SQRT($R$3))</f>
        <v>0.616305792082503</v>
      </c>
      <c r="N79" s="25" t="n">
        <f aca="false">IF(A79-7&lt;$R$2,"",C79/INDEX(Clean_Data!$C$2:$C$4314,MATCH(A79-7,Clean_Data!$A$2:$A$4314,1))-1)</f>
        <v>-0.0644097222222223</v>
      </c>
      <c r="O79" s="25" t="n">
        <f aca="false">IF(A79-30&lt;$R$2,"",C79/INDEX(Clean_Data!$C$2:$C$4314,MATCH(A79-30,Clean_Data!$A$2:$A$4314,1))-1)</f>
        <v>0.0982717860927691</v>
      </c>
    </row>
    <row r="80" customFormat="false" ht="15" hidden="false" customHeight="false" outlineLevel="0" collapsed="false">
      <c r="A80" s="16" t="n">
        <v>42086</v>
      </c>
      <c r="B80" s="23" t="n">
        <f aca="false">YEAR(A80)</f>
        <v>2015</v>
      </c>
      <c r="C80" s="17" t="n">
        <v>267.53</v>
      </c>
      <c r="D80" s="23" t="n">
        <f aca="false">A80-A79</f>
        <v>1</v>
      </c>
      <c r="E80" s="24" t="n">
        <f aca="false">LN(C80)</f>
        <v>5.58923170958048</v>
      </c>
      <c r="F80" s="25" t="n">
        <f aca="false">LN(C80/C79)</f>
        <v>-0.00715113479902296</v>
      </c>
      <c r="G80" s="25" t="n">
        <f aca="false">IF(AND(D80=1,A80&gt;=$R$2),F80,"")</f>
        <v>-0.00715113479902296</v>
      </c>
      <c r="H80" s="27" t="n">
        <f aca="false">IF(G80="","",G80^2)</f>
        <v>5.11387289137972E-005</v>
      </c>
      <c r="I80" s="25" t="n">
        <f aca="false">IF(G80="","",C80/C79-1)</f>
        <v>-0.00712562627574698</v>
      </c>
      <c r="K80" s="17" t="n">
        <f aca="false">MAX(K79,C80)</f>
        <v>378</v>
      </c>
      <c r="L80" s="25" t="n">
        <f aca="false">C80/K80-1</f>
        <v>-0.292248677248677</v>
      </c>
      <c r="M80" s="25" t="n">
        <f aca="false">IF(COUNT(G51:G80)&lt;20,"",_xlfn.STDEV.S(G51:G80)*SQRT($R$3))</f>
        <v>0.617348088400974</v>
      </c>
      <c r="N80" s="25" t="n">
        <f aca="false">IF(A80-7&lt;$R$2,"",C80/INDEX(Clean_Data!$C$2:$C$4314,MATCH(A80-7,Clean_Data!$A$2:$A$4314,1))-1)</f>
        <v>-0.0849608372952082</v>
      </c>
      <c r="O80" s="25" t="n">
        <f aca="false">IF(A80-30&lt;$R$2,"",C80/INDEX(Clean_Data!$C$2:$C$4314,MATCH(A80-30,Clean_Data!$A$2:$A$4314,1))-1)</f>
        <v>0.0875645351437049</v>
      </c>
    </row>
    <row r="81" customFormat="false" ht="15" hidden="false" customHeight="false" outlineLevel="0" collapsed="false">
      <c r="A81" s="16" t="n">
        <v>42087</v>
      </c>
      <c r="B81" s="23" t="n">
        <f aca="false">YEAR(A81)</f>
        <v>2015</v>
      </c>
      <c r="C81" s="17" t="n">
        <v>246.15</v>
      </c>
      <c r="D81" s="23" t="n">
        <f aca="false">A81-A80</f>
        <v>1</v>
      </c>
      <c r="E81" s="24" t="n">
        <f aca="false">LN(C81)</f>
        <v>5.50594110620421</v>
      </c>
      <c r="F81" s="25" t="n">
        <f aca="false">LN(C81/C80)</f>
        <v>-0.0832906033762731</v>
      </c>
      <c r="G81" s="25" t="n">
        <f aca="false">IF(AND(D81=1,A81&gt;=$R$2),F81,"")</f>
        <v>-0.0832906033762731</v>
      </c>
      <c r="H81" s="27" t="n">
        <f aca="false">IF(G81="","",G81^2)</f>
        <v>0.00693732461078363</v>
      </c>
      <c r="I81" s="25" t="n">
        <f aca="false">IF(G81="","",C81/C80-1)</f>
        <v>-0.079916271072403</v>
      </c>
      <c r="K81" s="17" t="n">
        <f aca="false">MAX(K80,C81)</f>
        <v>378</v>
      </c>
      <c r="L81" s="25" t="n">
        <f aca="false">C81/K81-1</f>
        <v>-0.348809523809524</v>
      </c>
      <c r="M81" s="25" t="n">
        <f aca="false">IF(COUNT(G52:G81)&lt;20,"",_xlfn.STDEV.S(G52:G81)*SQRT($R$3))</f>
        <v>0.672784704157019</v>
      </c>
      <c r="N81" s="25" t="n">
        <f aca="false">IF(A81-7&lt;$R$2,"",C81/INDEX(Clean_Data!$C$2:$C$4314,MATCH(A81-7,Clean_Data!$A$2:$A$4314,1))-1)</f>
        <v>-0.141556811048337</v>
      </c>
      <c r="O81" s="25" t="n">
        <f aca="false">IF(A81-30&lt;$R$2,"",C81/INDEX(Clean_Data!$C$2:$C$4314,MATCH(A81-30,Clean_Data!$A$2:$A$4314,1))-1)</f>
        <v>0.0393531224929273</v>
      </c>
    </row>
    <row r="82" customFormat="false" ht="15" hidden="false" customHeight="false" outlineLevel="0" collapsed="false">
      <c r="A82" s="16" t="n">
        <v>42088</v>
      </c>
      <c r="B82" s="23" t="n">
        <f aca="false">YEAR(A82)</f>
        <v>2015</v>
      </c>
      <c r="C82" s="17" t="n">
        <v>246.88</v>
      </c>
      <c r="D82" s="23" t="n">
        <f aca="false">A82-A81</f>
        <v>1</v>
      </c>
      <c r="E82" s="24" t="n">
        <f aca="false">LN(C82)</f>
        <v>5.50890238861485</v>
      </c>
      <c r="F82" s="25" t="n">
        <f aca="false">LN(C82/C81)</f>
        <v>0.00296128241064103</v>
      </c>
      <c r="G82" s="25" t="n">
        <f aca="false">IF(AND(D82=1,A82&gt;=$R$2),F82,"")</f>
        <v>0.00296128241064103</v>
      </c>
      <c r="H82" s="27" t="n">
        <f aca="false">IF(G82="","",G82^2)</f>
        <v>8.76919351557197E-006</v>
      </c>
      <c r="I82" s="25" t="n">
        <f aca="false">IF(G82="","",C82/C81-1)</f>
        <v>0.00296567133861458</v>
      </c>
      <c r="K82" s="17" t="n">
        <f aca="false">MAX(K81,C82)</f>
        <v>378</v>
      </c>
      <c r="L82" s="25" t="n">
        <f aca="false">C82/K82-1</f>
        <v>-0.346878306878307</v>
      </c>
      <c r="M82" s="25" t="n">
        <f aca="false">IF(COUNT(G53:G82)&lt;20,"",_xlfn.STDEV.S(G53:G82)*SQRT($R$3))</f>
        <v>0.671875796218865</v>
      </c>
      <c r="N82" s="25" t="n">
        <f aca="false">IF(A82-7&lt;$R$2,"",C82/INDEX(Clean_Data!$C$2:$C$4314,MATCH(A82-7,Clean_Data!$A$2:$A$4314,1))-1)</f>
        <v>-0.0449516441005803</v>
      </c>
      <c r="O82" s="25" t="n">
        <f aca="false">IF(A82-30&lt;$R$2,"",C82/INDEX(Clean_Data!$C$2:$C$4314,MATCH(A82-30,Clean_Data!$A$2:$A$4314,1))-1)</f>
        <v>0.0308572382980499</v>
      </c>
    </row>
    <row r="83" customFormat="false" ht="15" hidden="false" customHeight="false" outlineLevel="0" collapsed="false">
      <c r="A83" s="16" t="n">
        <v>42089</v>
      </c>
      <c r="B83" s="23" t="n">
        <f aca="false">YEAR(A83)</f>
        <v>2015</v>
      </c>
      <c r="C83" s="17" t="n">
        <v>249.88</v>
      </c>
      <c r="D83" s="23" t="n">
        <f aca="false">A83-A82</f>
        <v>1</v>
      </c>
      <c r="E83" s="24" t="n">
        <f aca="false">LN(C83)</f>
        <v>5.52098080262537</v>
      </c>
      <c r="F83" s="25" t="n">
        <f aca="false">LN(C83/C82)</f>
        <v>0.0120784140105184</v>
      </c>
      <c r="G83" s="25" t="n">
        <f aca="false">IF(AND(D83=1,A83&gt;=$R$2),F83,"")</f>
        <v>0.0120784140105184</v>
      </c>
      <c r="H83" s="27" t="n">
        <f aca="false">IF(G83="","",G83^2)</f>
        <v>0.000145888085009487</v>
      </c>
      <c r="I83" s="25" t="n">
        <f aca="false">IF(G83="","",C83/C82-1)</f>
        <v>0.0121516526247569</v>
      </c>
      <c r="K83" s="17" t="n">
        <f aca="false">MAX(K82,C83)</f>
        <v>378</v>
      </c>
      <c r="L83" s="25" t="n">
        <f aca="false">C83/K83-1</f>
        <v>-0.338941798941799</v>
      </c>
      <c r="M83" s="25" t="n">
        <f aca="false">IF(COUNT(G54:G83)&lt;20,"",_xlfn.STDEV.S(G54:G83)*SQRT($R$3))</f>
        <v>0.672984294125276</v>
      </c>
      <c r="N83" s="25" t="n">
        <f aca="false">IF(A83-7&lt;$R$2,"",C83/INDEX(Clean_Data!$C$2:$C$4314,MATCH(A83-7,Clean_Data!$A$2:$A$4314,1))-1)</f>
        <v>-0.0500665272761833</v>
      </c>
      <c r="O83" s="25" t="n">
        <f aca="false">IF(A83-30&lt;$R$2,"",C83/INDEX(Clean_Data!$C$2:$C$4314,MATCH(A83-30,Clean_Data!$A$2:$A$4314,1))-1)</f>
        <v>0.0417309375911952</v>
      </c>
    </row>
    <row r="84" customFormat="false" ht="15" hidden="false" customHeight="false" outlineLevel="0" collapsed="false">
      <c r="A84" s="16" t="n">
        <v>42090</v>
      </c>
      <c r="B84" s="23" t="n">
        <f aca="false">YEAR(A84)</f>
        <v>2015</v>
      </c>
      <c r="C84" s="17" t="n">
        <v>247.81</v>
      </c>
      <c r="D84" s="23" t="n">
        <f aca="false">A84-A83</f>
        <v>1</v>
      </c>
      <c r="E84" s="24" t="n">
        <f aca="false">LN(C84)</f>
        <v>5.5126623235059</v>
      </c>
      <c r="F84" s="25" t="n">
        <f aca="false">LN(C84/C83)</f>
        <v>-0.0083184791194723</v>
      </c>
      <c r="G84" s="25" t="n">
        <f aca="false">IF(AND(D84=1,A84&gt;=$R$2),F84,"")</f>
        <v>-0.0083184791194723</v>
      </c>
      <c r="H84" s="27" t="n">
        <f aca="false">IF(G84="","",G84^2)</f>
        <v>6.91970948610967E-005</v>
      </c>
      <c r="I84" s="25" t="n">
        <f aca="false">IF(G84="","",C84/C83-1)</f>
        <v>-0.00828397630862809</v>
      </c>
      <c r="K84" s="17" t="n">
        <f aca="false">MAX(K83,C84)</f>
        <v>378</v>
      </c>
      <c r="L84" s="25" t="n">
        <f aca="false">C84/K84-1</f>
        <v>-0.344417989417989</v>
      </c>
      <c r="M84" s="25" t="n">
        <f aca="false">IF(COUNT(G55:G84)&lt;20,"",_xlfn.STDEV.S(G55:G84)*SQRT($R$3))</f>
        <v>0.673201753287995</v>
      </c>
      <c r="N84" s="25" t="n">
        <f aca="false">IF(A84-7&lt;$R$2,"",C84/INDEX(Clean_Data!$C$2:$C$4314,MATCH(A84-7,Clean_Data!$A$2:$A$4314,1))-1)</f>
        <v>-0.0588659754661806</v>
      </c>
      <c r="O84" s="25" t="n">
        <f aca="false">IF(A84-30&lt;$R$2,"",C84/INDEX(Clean_Data!$C$2:$C$4314,MATCH(A84-30,Clean_Data!$A$2:$A$4314,1))-1)</f>
        <v>0.040387925605609</v>
      </c>
    </row>
    <row r="85" customFormat="false" ht="15" hidden="false" customHeight="false" outlineLevel="0" collapsed="false">
      <c r="A85" s="16" t="n">
        <v>42091</v>
      </c>
      <c r="B85" s="23" t="n">
        <f aca="false">YEAR(A85)</f>
        <v>2015</v>
      </c>
      <c r="C85" s="17" t="n">
        <v>253.52</v>
      </c>
      <c r="D85" s="23" t="n">
        <f aca="false">A85-A84</f>
        <v>1</v>
      </c>
      <c r="E85" s="24" t="n">
        <f aca="false">LN(C85)</f>
        <v>5.53544271538267</v>
      </c>
      <c r="F85" s="25" t="n">
        <f aca="false">LN(C85/C84)</f>
        <v>0.0227803918767685</v>
      </c>
      <c r="G85" s="25" t="n">
        <f aca="false">IF(AND(D85=1,A85&gt;=$R$2),F85,"")</f>
        <v>0.0227803918767685</v>
      </c>
      <c r="H85" s="27" t="n">
        <f aca="false">IF(G85="","",G85^2)</f>
        <v>0.000518946254059141</v>
      </c>
      <c r="I85" s="25" t="n">
        <f aca="false">IF(G85="","",C85/C84-1)</f>
        <v>0.0230418465760058</v>
      </c>
      <c r="K85" s="17" t="n">
        <f aca="false">MAX(K84,C85)</f>
        <v>378</v>
      </c>
      <c r="L85" s="25" t="n">
        <f aca="false">C85/K85-1</f>
        <v>-0.329312169312169</v>
      </c>
      <c r="M85" s="25" t="n">
        <f aca="false">IF(COUNT(G56:G85)&lt;20,"",_xlfn.STDEV.S(G56:G85)*SQRT($R$3))</f>
        <v>0.676942526330035</v>
      </c>
      <c r="N85" s="25" t="n">
        <f aca="false">IF(A85-7&lt;$R$2,"",C85/INDEX(Clean_Data!$C$2:$C$4314,MATCH(A85-7,Clean_Data!$A$2:$A$4314,1))-1)</f>
        <v>-0.0319969453990071</v>
      </c>
      <c r="O85" s="25" t="n">
        <f aca="false">IF(A85-30&lt;$R$2,"",C85/INDEX(Clean_Data!$C$2:$C$4314,MATCH(A85-30,Clean_Data!$A$2:$A$4314,1))-1)</f>
        <v>0.0692083842942095</v>
      </c>
    </row>
    <row r="86" customFormat="false" ht="15" hidden="false" customHeight="false" outlineLevel="0" collapsed="false">
      <c r="A86" s="16" t="n">
        <v>42092</v>
      </c>
      <c r="B86" s="23" t="n">
        <f aca="false">YEAR(A86)</f>
        <v>2015</v>
      </c>
      <c r="C86" s="17" t="n">
        <v>243.69</v>
      </c>
      <c r="D86" s="23" t="n">
        <f aca="false">A86-A85</f>
        <v>1</v>
      </c>
      <c r="E86" s="24" t="n">
        <f aca="false">LN(C86)</f>
        <v>5.49589692573097</v>
      </c>
      <c r="F86" s="25" t="n">
        <f aca="false">LN(C86/C85)</f>
        <v>-0.0395457896516932</v>
      </c>
      <c r="G86" s="25" t="n">
        <f aca="false">IF(AND(D86=1,A86&gt;=$R$2),F86,"")</f>
        <v>-0.0395457896516932</v>
      </c>
      <c r="H86" s="27" t="n">
        <f aca="false">IF(G86="","",G86^2)</f>
        <v>0.00156386947917597</v>
      </c>
      <c r="I86" s="25" t="n">
        <f aca="false">IF(G86="","",C86/C85-1)</f>
        <v>-0.0387740612180499</v>
      </c>
      <c r="K86" s="17" t="n">
        <f aca="false">MAX(K85,C86)</f>
        <v>378</v>
      </c>
      <c r="L86" s="25" t="n">
        <f aca="false">C86/K86-1</f>
        <v>-0.35531746031746</v>
      </c>
      <c r="M86" s="25" t="n">
        <f aca="false">IF(COUNT(G57:G86)&lt;20,"",_xlfn.STDEV.S(G57:G86)*SQRT($R$3))</f>
        <v>0.645402571476671</v>
      </c>
      <c r="N86" s="25" t="n">
        <f aca="false">IF(A86-7&lt;$R$2,"",C86/INDEX(Clean_Data!$C$2:$C$4314,MATCH(A86-7,Clean_Data!$A$2:$A$4314,1))-1)</f>
        <v>-0.0956021525329375</v>
      </c>
      <c r="O86" s="25" t="n">
        <f aca="false">IF(A86-30&lt;$R$2,"",C86/INDEX(Clean_Data!$C$2:$C$4314,MATCH(A86-30,Clean_Data!$A$2:$A$4314,1))-1)</f>
        <v>-0.0421743573618426</v>
      </c>
    </row>
    <row r="87" customFormat="false" ht="15" hidden="false" customHeight="false" outlineLevel="0" collapsed="false">
      <c r="A87" s="16" t="n">
        <v>42093</v>
      </c>
      <c r="B87" s="23" t="n">
        <f aca="false">YEAR(A87)</f>
        <v>2015</v>
      </c>
      <c r="C87" s="17" t="n">
        <v>248.78</v>
      </c>
      <c r="D87" s="23" t="n">
        <f aca="false">A87-A86</f>
        <v>1</v>
      </c>
      <c r="E87" s="24" t="n">
        <f aca="false">LN(C87)</f>
        <v>5.51656897178182</v>
      </c>
      <c r="F87" s="25" t="n">
        <f aca="false">LN(C87/C86)</f>
        <v>0.0206720460508464</v>
      </c>
      <c r="G87" s="25" t="n">
        <f aca="false">IF(AND(D87=1,A87&gt;=$R$2),F87,"")</f>
        <v>0.0206720460508464</v>
      </c>
      <c r="H87" s="27" t="n">
        <f aca="false">IF(G87="","",G87^2)</f>
        <v>0.000427333487928316</v>
      </c>
      <c r="I87" s="25" t="n">
        <f aca="false">IF(G87="","",C87/C86-1)</f>
        <v>0.0208871927448808</v>
      </c>
      <c r="K87" s="17" t="n">
        <f aca="false">MAX(K86,C87)</f>
        <v>378</v>
      </c>
      <c r="L87" s="25" t="n">
        <f aca="false">C87/K87-1</f>
        <v>-0.341851851851852</v>
      </c>
      <c r="M87" s="25" t="n">
        <f aca="false">IF(COUNT(G58:G87)&lt;20,"",_xlfn.STDEV.S(G58:G87)*SQRT($R$3))</f>
        <v>0.649716110037065</v>
      </c>
      <c r="N87" s="25" t="n">
        <f aca="false">IF(A87-7&lt;$R$2,"",C87/INDEX(Clean_Data!$C$2:$C$4314,MATCH(A87-7,Clean_Data!$A$2:$A$4314,1))-1)</f>
        <v>-0.0700855978768735</v>
      </c>
      <c r="O87" s="25" t="n">
        <f aca="false">IF(A87-30&lt;$R$2,"",C87/INDEX(Clean_Data!$C$2:$C$4314,MATCH(A87-30,Clean_Data!$A$2:$A$4314,1))-1)</f>
        <v>-0.026644234907469</v>
      </c>
    </row>
    <row r="88" customFormat="false" ht="15" hidden="false" customHeight="false" outlineLevel="0" collapsed="false">
      <c r="A88" s="16" t="n">
        <v>42094</v>
      </c>
      <c r="B88" s="23" t="n">
        <f aca="false">YEAR(A88)</f>
        <v>2015</v>
      </c>
      <c r="C88" s="17" t="n">
        <v>245.5</v>
      </c>
      <c r="D88" s="23" t="n">
        <f aca="false">A88-A87</f>
        <v>1</v>
      </c>
      <c r="E88" s="24" t="n">
        <f aca="false">LN(C88)</f>
        <v>5.50329694723458</v>
      </c>
      <c r="F88" s="25" t="n">
        <f aca="false">LN(C88/C87)</f>
        <v>-0.0132720245472433</v>
      </c>
      <c r="G88" s="25" t="n">
        <f aca="false">IF(AND(D88=1,A88&gt;=$R$2),F88,"")</f>
        <v>-0.0132720245472433</v>
      </c>
      <c r="H88" s="27" t="n">
        <f aca="false">IF(G88="","",G88^2)</f>
        <v>0.000176146635582628</v>
      </c>
      <c r="I88" s="25" t="n">
        <f aca="false">IF(G88="","",C88/C87-1)</f>
        <v>-0.0131843395771364</v>
      </c>
      <c r="K88" s="17" t="n">
        <f aca="false">MAX(K87,C88)</f>
        <v>378</v>
      </c>
      <c r="L88" s="25" t="n">
        <f aca="false">C88/K88-1</f>
        <v>-0.350529100529101</v>
      </c>
      <c r="M88" s="25" t="n">
        <f aca="false">IF(COUNT(G59:G88)&lt;20,"",_xlfn.STDEV.S(G59:G88)*SQRT($R$3))</f>
        <v>0.647407361671408</v>
      </c>
      <c r="N88" s="25" t="n">
        <f aca="false">IF(A88-7&lt;$R$2,"",C88/INDEX(Clean_Data!$C$2:$C$4314,MATCH(A88-7,Clean_Data!$A$2:$A$4314,1))-1)</f>
        <v>-0.00264066626041037</v>
      </c>
      <c r="O88" s="25" t="n">
        <f aca="false">IF(A88-30&lt;$R$2,"",C88/INDEX(Clean_Data!$C$2:$C$4314,MATCH(A88-30,Clean_Data!$A$2:$A$4314,1))-1)</f>
        <v>-0.0566400245926837</v>
      </c>
    </row>
    <row r="89" customFormat="false" ht="15" hidden="false" customHeight="false" outlineLevel="0" collapsed="false">
      <c r="A89" s="16" t="n">
        <v>42095</v>
      </c>
      <c r="B89" s="23" t="n">
        <f aca="false">YEAR(A89)</f>
        <v>2015</v>
      </c>
      <c r="C89" s="17" t="n">
        <v>247.87</v>
      </c>
      <c r="D89" s="23" t="n">
        <f aca="false">A89-A88</f>
        <v>1</v>
      </c>
      <c r="E89" s="24" t="n">
        <f aca="false">LN(C89)</f>
        <v>5.51290441517913</v>
      </c>
      <c r="F89" s="25" t="n">
        <f aca="false">LN(C89/C88)</f>
        <v>0.00960746794455045</v>
      </c>
      <c r="G89" s="25" t="n">
        <f aca="false">IF(AND(D89=1,A89&gt;=$R$2),F89,"")</f>
        <v>0.00960746794455045</v>
      </c>
      <c r="H89" s="27" t="n">
        <f aca="false">IF(G89="","",G89^2)</f>
        <v>9.23034403055645E-005</v>
      </c>
      <c r="I89" s="25" t="n">
        <f aca="false">IF(G89="","",C89/C88-1)</f>
        <v>0.00965376782077398</v>
      </c>
      <c r="K89" s="17" t="n">
        <f aca="false">MAX(K88,C89)</f>
        <v>378</v>
      </c>
      <c r="L89" s="25" t="n">
        <f aca="false">C89/K89-1</f>
        <v>-0.344259259259259</v>
      </c>
      <c r="M89" s="25" t="n">
        <f aca="false">IF(COUNT(G60:G89)&lt;20,"",_xlfn.STDEV.S(G60:G89)*SQRT($R$3))</f>
        <v>0.607704252019244</v>
      </c>
      <c r="N89" s="25" t="n">
        <f aca="false">IF(A89-7&lt;$R$2,"",C89/INDEX(Clean_Data!$C$2:$C$4314,MATCH(A89-7,Clean_Data!$A$2:$A$4314,1))-1)</f>
        <v>0.00401004536616978</v>
      </c>
      <c r="O89" s="25" t="n">
        <f aca="false">IF(A89-30&lt;$R$2,"",C89/INDEX(Clean_Data!$C$2:$C$4314,MATCH(A89-30,Clean_Data!$A$2:$A$4314,1))-1)</f>
        <v>-0.104192265992049</v>
      </c>
    </row>
    <row r="90" customFormat="false" ht="15" hidden="false" customHeight="false" outlineLevel="0" collapsed="false">
      <c r="A90" s="16" t="n">
        <v>42096</v>
      </c>
      <c r="B90" s="23" t="n">
        <f aca="false">YEAR(A90)</f>
        <v>2015</v>
      </c>
      <c r="C90" s="17" t="n">
        <v>254.39</v>
      </c>
      <c r="D90" s="23" t="n">
        <f aca="false">A90-A89</f>
        <v>1</v>
      </c>
      <c r="E90" s="24" t="n">
        <f aca="false">LN(C90)</f>
        <v>5.53886852251728</v>
      </c>
      <c r="F90" s="25" t="n">
        <f aca="false">LN(C90/C89)</f>
        <v>0.0259641073381542</v>
      </c>
      <c r="G90" s="25" t="n">
        <f aca="false">IF(AND(D90=1,A90&gt;=$R$2),F90,"")</f>
        <v>0.0259641073381542</v>
      </c>
      <c r="H90" s="27" t="n">
        <f aca="false">IF(G90="","",G90^2)</f>
        <v>0.00067413486986719</v>
      </c>
      <c r="I90" s="25" t="n">
        <f aca="false">IF(G90="","",C90/C89-1)</f>
        <v>0.026304111025941</v>
      </c>
      <c r="K90" s="17" t="n">
        <f aca="false">MAX(K89,C90)</f>
        <v>378</v>
      </c>
      <c r="L90" s="25" t="n">
        <f aca="false">C90/K90-1</f>
        <v>-0.327010582010582</v>
      </c>
      <c r="M90" s="25" t="n">
        <f aca="false">IF(COUNT(G61:G90)&lt;20,"",_xlfn.STDEV.S(G61:G90)*SQRT($R$3))</f>
        <v>0.609168464755656</v>
      </c>
      <c r="N90" s="25" t="n">
        <f aca="false">IF(A90-7&lt;$R$2,"",C90/INDEX(Clean_Data!$C$2:$C$4314,MATCH(A90-7,Clean_Data!$A$2:$A$4314,1))-1)</f>
        <v>0.018048663358412</v>
      </c>
      <c r="O90" s="25" t="n">
        <f aca="false">IF(A90-30&lt;$R$2,"",C90/INDEX(Clean_Data!$C$2:$C$4314,MATCH(A90-30,Clean_Data!$A$2:$A$4314,1))-1)</f>
        <v>-0.101952201080242</v>
      </c>
    </row>
    <row r="91" customFormat="false" ht="15" hidden="false" customHeight="false" outlineLevel="0" collapsed="false">
      <c r="A91" s="16" t="n">
        <v>42097</v>
      </c>
      <c r="B91" s="23" t="n">
        <f aca="false">YEAR(A91)</f>
        <v>2015</v>
      </c>
      <c r="C91" s="17" t="n">
        <v>254.84</v>
      </c>
      <c r="D91" s="23" t="n">
        <f aca="false">A91-A90</f>
        <v>1</v>
      </c>
      <c r="E91" s="24" t="n">
        <f aca="false">LN(C91)</f>
        <v>5.54063589724829</v>
      </c>
      <c r="F91" s="25" t="n">
        <f aca="false">LN(C91/C90)</f>
        <v>0.00176737473100765</v>
      </c>
      <c r="G91" s="25" t="n">
        <f aca="false">IF(AND(D91=1,A91&gt;=$R$2),F91,"")</f>
        <v>0.00176737473100765</v>
      </c>
      <c r="H91" s="27" t="n">
        <f aca="false">IF(G91="","",G91^2)</f>
        <v>3.12361343980435E-006</v>
      </c>
      <c r="I91" s="25" t="n">
        <f aca="false">IF(G91="","",C91/C90-1)</f>
        <v>0.00176893745823348</v>
      </c>
      <c r="K91" s="17" t="n">
        <f aca="false">MAX(K90,C91)</f>
        <v>378</v>
      </c>
      <c r="L91" s="25" t="n">
        <f aca="false">C91/K91-1</f>
        <v>-0.325820105820106</v>
      </c>
      <c r="M91" s="25" t="n">
        <f aca="false">IF(COUNT(G62:G91)&lt;20,"",_xlfn.STDEV.S(G62:G91)*SQRT($R$3))</f>
        <v>0.598315587692288</v>
      </c>
      <c r="N91" s="25" t="n">
        <f aca="false">IF(A91-7&lt;$R$2,"",C91/INDEX(Clean_Data!$C$2:$C$4314,MATCH(A91-7,Clean_Data!$A$2:$A$4314,1))-1)</f>
        <v>0.0283685081312295</v>
      </c>
      <c r="O91" s="25" t="n">
        <f aca="false">IF(A91-30&lt;$R$2,"",C91/INDEX(Clean_Data!$C$2:$C$4314,MATCH(A91-30,Clean_Data!$A$2:$A$4314,1))-1)</f>
        <v>-0.0677835900062187</v>
      </c>
    </row>
    <row r="92" customFormat="false" ht="15" hidden="false" customHeight="false" outlineLevel="0" collapsed="false">
      <c r="A92" s="16" t="n">
        <v>42098</v>
      </c>
      <c r="B92" s="23" t="n">
        <f aca="false">YEAR(A92)</f>
        <v>2015</v>
      </c>
      <c r="C92" s="17" t="n">
        <v>254.36</v>
      </c>
      <c r="D92" s="23" t="n">
        <f aca="false">A92-A91</f>
        <v>1</v>
      </c>
      <c r="E92" s="24" t="n">
        <f aca="false">LN(C92)</f>
        <v>5.53875058639921</v>
      </c>
      <c r="F92" s="25" t="n">
        <f aca="false">LN(C92/C91)</f>
        <v>-0.00188531084908033</v>
      </c>
      <c r="G92" s="25" t="n">
        <f aca="false">IF(AND(D92=1,A92&gt;=$R$2),F92,"")</f>
        <v>-0.00188531084908033</v>
      </c>
      <c r="H92" s="27" t="n">
        <f aca="false">IF(G92="","",G92^2)</f>
        <v>3.55439699766E-006</v>
      </c>
      <c r="I92" s="25" t="n">
        <f aca="false">IF(G92="","",C92/C91-1)</f>
        <v>-0.0018835347669125</v>
      </c>
      <c r="K92" s="17" t="n">
        <f aca="false">MAX(K91,C92)</f>
        <v>378</v>
      </c>
      <c r="L92" s="25" t="n">
        <f aca="false">C92/K92-1</f>
        <v>-0.327089947089947</v>
      </c>
      <c r="M92" s="25" t="n">
        <f aca="false">IF(COUNT(G63:G92)&lt;20,"",_xlfn.STDEV.S(G63:G92)*SQRT($R$3))</f>
        <v>0.59586370170322</v>
      </c>
      <c r="N92" s="25" t="n">
        <f aca="false">IF(A92-7&lt;$R$2,"",C92/INDEX(Clean_Data!$C$2:$C$4314,MATCH(A92-7,Clean_Data!$A$2:$A$4314,1))-1)</f>
        <v>0.00331334805932482</v>
      </c>
      <c r="O92" s="25" t="n">
        <f aca="false">IF(A92-30&lt;$R$2,"",C92/INDEX(Clean_Data!$C$2:$C$4314,MATCH(A92-30,Clean_Data!$A$2:$A$4314,1))-1)</f>
        <v>-0.0812685111608755</v>
      </c>
    </row>
    <row r="93" customFormat="false" ht="15" hidden="false" customHeight="false" outlineLevel="0" collapsed="false">
      <c r="A93" s="16" t="n">
        <v>42099</v>
      </c>
      <c r="B93" s="23" t="n">
        <f aca="false">YEAR(A93)</f>
        <v>2015</v>
      </c>
      <c r="C93" s="17" t="n">
        <v>261.47</v>
      </c>
      <c r="D93" s="23" t="n">
        <f aca="false">A93-A92</f>
        <v>1</v>
      </c>
      <c r="E93" s="24" t="n">
        <f aca="false">LN(C93)</f>
        <v>5.56631955417047</v>
      </c>
      <c r="F93" s="25" t="n">
        <f aca="false">LN(C93/C92)</f>
        <v>0.0275689677712662</v>
      </c>
      <c r="G93" s="25" t="n">
        <f aca="false">IF(AND(D93=1,A93&gt;=$R$2),F93,"")</f>
        <v>0.0275689677712662</v>
      </c>
      <c r="H93" s="27" t="n">
        <f aca="false">IF(G93="","",G93^2)</f>
        <v>0.000760047983973115</v>
      </c>
      <c r="I93" s="25" t="n">
        <f aca="false">IF(G93="","",C93/C92-1)</f>
        <v>0.0279525082560153</v>
      </c>
      <c r="K93" s="17" t="n">
        <f aca="false">MAX(K92,C93)</f>
        <v>378</v>
      </c>
      <c r="L93" s="25" t="n">
        <f aca="false">C93/K93-1</f>
        <v>-0.308280423280423</v>
      </c>
      <c r="M93" s="25" t="n">
        <f aca="false">IF(COUNT(G64:G93)&lt;20,"",_xlfn.STDEV.S(G64:G93)*SQRT($R$3))</f>
        <v>0.603845564770058</v>
      </c>
      <c r="N93" s="25" t="n">
        <f aca="false">IF(A93-7&lt;$R$2,"",C93/INDEX(Clean_Data!$C$2:$C$4314,MATCH(A93-7,Clean_Data!$A$2:$A$4314,1))-1)</f>
        <v>0.072961549509623</v>
      </c>
      <c r="O93" s="25" t="n">
        <f aca="false">IF(A93-30&lt;$R$2,"",C93/INDEX(Clean_Data!$C$2:$C$4314,MATCH(A93-30,Clean_Data!$A$2:$A$4314,1))-1)</f>
        <v>-0.0430406617135746</v>
      </c>
    </row>
    <row r="94" customFormat="false" ht="15" hidden="false" customHeight="false" outlineLevel="0" collapsed="false">
      <c r="A94" s="16" t="n">
        <v>42100</v>
      </c>
      <c r="B94" s="23" t="n">
        <f aca="false">YEAR(A94)</f>
        <v>2015</v>
      </c>
      <c r="C94" s="17" t="n">
        <v>256.85</v>
      </c>
      <c r="D94" s="23" t="n">
        <f aca="false">A94-A93</f>
        <v>1</v>
      </c>
      <c r="E94" s="24" t="n">
        <f aca="false">LN(C94)</f>
        <v>5.54849225691328</v>
      </c>
      <c r="F94" s="25" t="n">
        <f aca="false">LN(C94/C93)</f>
        <v>-0.0178272972571963</v>
      </c>
      <c r="G94" s="25" t="n">
        <f aca="false">IF(AND(D94=1,A94&gt;=$R$2),F94,"")</f>
        <v>-0.0178272972571963</v>
      </c>
      <c r="H94" s="27" t="n">
        <f aca="false">IF(G94="","",G94^2)</f>
        <v>0.000317812527496437</v>
      </c>
      <c r="I94" s="25" t="n">
        <f aca="false">IF(G94="","",C94/C93-1)</f>
        <v>-0.0176693310896088</v>
      </c>
      <c r="K94" s="17" t="n">
        <f aca="false">MAX(K93,C94)</f>
        <v>378</v>
      </c>
      <c r="L94" s="25" t="n">
        <f aca="false">C94/K94-1</f>
        <v>-0.320502645502645</v>
      </c>
      <c r="M94" s="25" t="n">
        <f aca="false">IF(COUNT(G65:G94)&lt;20,"",_xlfn.STDEV.S(G65:G94)*SQRT($R$3))</f>
        <v>0.604024048447257</v>
      </c>
      <c r="N94" s="25" t="n">
        <f aca="false">IF(A94-7&lt;$R$2,"",C94/INDEX(Clean_Data!$C$2:$C$4314,MATCH(A94-7,Clean_Data!$A$2:$A$4314,1))-1)</f>
        <v>0.0324382988986254</v>
      </c>
      <c r="O94" s="25" t="n">
        <f aca="false">IF(A94-30&lt;$R$2,"",C94/INDEX(Clean_Data!$C$2:$C$4314,MATCH(A94-30,Clean_Data!$A$2:$A$4314,1))-1)</f>
        <v>-0.0723753114955397</v>
      </c>
    </row>
    <row r="95" customFormat="false" ht="15" hidden="false" customHeight="false" outlineLevel="0" collapsed="false">
      <c r="A95" s="16" t="n">
        <v>42101</v>
      </c>
      <c r="B95" s="23" t="n">
        <f aca="false">YEAR(A95)</f>
        <v>2015</v>
      </c>
      <c r="C95" s="17" t="n">
        <v>254.27</v>
      </c>
      <c r="D95" s="23" t="n">
        <f aca="false">A95-A94</f>
        <v>1</v>
      </c>
      <c r="E95" s="24" t="n">
        <f aca="false">LN(C95)</f>
        <v>5.53839669456845</v>
      </c>
      <c r="F95" s="25" t="n">
        <f aca="false">LN(C95/C94)</f>
        <v>-0.0100955623448282</v>
      </c>
      <c r="G95" s="25" t="n">
        <f aca="false">IF(AND(D95=1,A95&gt;=$R$2),F95,"")</f>
        <v>-0.0100955623448282</v>
      </c>
      <c r="H95" s="27" t="n">
        <f aca="false">IF(G95="","",G95^2)</f>
        <v>0.000101920379058313</v>
      </c>
      <c r="I95" s="25" t="n">
        <f aca="false">IF(G95="","",C95/C94-1)</f>
        <v>-0.0100447732139382</v>
      </c>
      <c r="K95" s="17" t="n">
        <f aca="false">MAX(K94,C95)</f>
        <v>378</v>
      </c>
      <c r="L95" s="25" t="n">
        <f aca="false">C95/K95-1</f>
        <v>-0.327328042328042</v>
      </c>
      <c r="M95" s="25" t="n">
        <f aca="false">IF(COUNT(G66:G95)&lt;20,"",_xlfn.STDEV.S(G66:G95)*SQRT($R$3))</f>
        <v>0.604548715547921</v>
      </c>
      <c r="N95" s="25" t="n">
        <f aca="false">IF(A95-7&lt;$R$2,"",C95/INDEX(Clean_Data!$C$2:$C$4314,MATCH(A95-7,Clean_Data!$A$2:$A$4314,1))-1)</f>
        <v>0.0357230142566192</v>
      </c>
      <c r="O95" s="25" t="n">
        <f aca="false">IF(A95-30&lt;$R$2,"",C95/INDEX(Clean_Data!$C$2:$C$4314,MATCH(A95-30,Clean_Data!$A$2:$A$4314,1))-1)</f>
        <v>-0.077059891107078</v>
      </c>
    </row>
    <row r="96" customFormat="false" ht="15" hidden="false" customHeight="false" outlineLevel="0" collapsed="false">
      <c r="A96" s="16" t="n">
        <v>42102</v>
      </c>
      <c r="B96" s="23" t="n">
        <f aca="false">YEAR(A96)</f>
        <v>2015</v>
      </c>
      <c r="C96" s="17" t="n">
        <v>246.58</v>
      </c>
      <c r="D96" s="23" t="n">
        <f aca="false">A96-A95</f>
        <v>1</v>
      </c>
      <c r="E96" s="24" t="n">
        <f aca="false">LN(C96)</f>
        <v>5.50768648444041</v>
      </c>
      <c r="F96" s="25" t="n">
        <f aca="false">LN(C96/C95)</f>
        <v>-0.0307102101280421</v>
      </c>
      <c r="G96" s="25" t="n">
        <f aca="false">IF(AND(D96=1,A96&gt;=$R$2),F96,"")</f>
        <v>-0.0307102101280421</v>
      </c>
      <c r="H96" s="27" t="n">
        <f aca="false">IF(G96="","",G96^2)</f>
        <v>0.000943117006108499</v>
      </c>
      <c r="I96" s="25" t="n">
        <f aca="false">IF(G96="","",C96/C95-1)</f>
        <v>-0.0302434420104614</v>
      </c>
      <c r="K96" s="17" t="n">
        <f aca="false">MAX(K95,C96)</f>
        <v>378</v>
      </c>
      <c r="L96" s="25" t="n">
        <f aca="false">C96/K96-1</f>
        <v>-0.347671957671958</v>
      </c>
      <c r="M96" s="25" t="n">
        <f aca="false">IF(COUNT(G67:G96)&lt;20,"",_xlfn.STDEV.S(G67:G96)*SQRT($R$3))</f>
        <v>0.578753598478344</v>
      </c>
      <c r="N96" s="25" t="n">
        <f aca="false">IF(A96-7&lt;$R$2,"",C96/INDEX(Clean_Data!$C$2:$C$4314,MATCH(A96-7,Clean_Data!$A$2:$A$4314,1))-1)</f>
        <v>-0.00520434098519385</v>
      </c>
      <c r="O96" s="25" t="n">
        <f aca="false">IF(A96-30&lt;$R$2,"",C96/INDEX(Clean_Data!$C$2:$C$4314,MATCH(A96-30,Clean_Data!$A$2:$A$4314,1))-1)</f>
        <v>-0.150280850477273</v>
      </c>
    </row>
    <row r="97" customFormat="false" ht="15" hidden="false" customHeight="false" outlineLevel="0" collapsed="false">
      <c r="A97" s="16" t="n">
        <v>42103</v>
      </c>
      <c r="B97" s="23" t="n">
        <f aca="false">YEAR(A97)</f>
        <v>2015</v>
      </c>
      <c r="C97" s="17" t="n">
        <v>244.74</v>
      </c>
      <c r="D97" s="23" t="n">
        <f aca="false">A97-A96</f>
        <v>1</v>
      </c>
      <c r="E97" s="24" t="n">
        <f aca="false">LN(C97)</f>
        <v>5.50019642255752</v>
      </c>
      <c r="F97" s="25" t="n">
        <f aca="false">LN(C97/C96)</f>
        <v>-0.00749006188288466</v>
      </c>
      <c r="G97" s="25" t="n">
        <f aca="false">IF(AND(D97=1,A97&gt;=$R$2),F97,"")</f>
        <v>-0.00749006188288466</v>
      </c>
      <c r="H97" s="27" t="n">
        <f aca="false">IF(G97="","",G97^2)</f>
        <v>5.61010270094418E-005</v>
      </c>
      <c r="I97" s="25" t="n">
        <f aca="false">IF(G97="","",C97/C96-1)</f>
        <v>-0.00746208127179826</v>
      </c>
      <c r="K97" s="17" t="n">
        <f aca="false">MAX(K96,C97)</f>
        <v>378</v>
      </c>
      <c r="L97" s="25" t="n">
        <f aca="false">C97/K97-1</f>
        <v>-0.352539682539683</v>
      </c>
      <c r="M97" s="25" t="n">
        <f aca="false">IF(COUNT(G68:G97)&lt;20,"",_xlfn.STDEV.S(G68:G97)*SQRT($R$3))</f>
        <v>0.575643457065582</v>
      </c>
      <c r="N97" s="25" t="n">
        <f aca="false">IF(A97-7&lt;$R$2,"",C97/INDEX(Clean_Data!$C$2:$C$4314,MATCH(A97-7,Clean_Data!$A$2:$A$4314,1))-1)</f>
        <v>-0.0379338810487833</v>
      </c>
      <c r="O97" s="25" t="n">
        <f aca="false">IF(A97-30&lt;$R$2,"",C97/INDEX(Clean_Data!$C$2:$C$4314,MATCH(A97-30,Clean_Data!$A$2:$A$4314,1))-1)</f>
        <v>-0.166047636896446</v>
      </c>
    </row>
    <row r="98" customFormat="false" ht="15" hidden="false" customHeight="false" outlineLevel="0" collapsed="false">
      <c r="A98" s="16" t="n">
        <v>42104</v>
      </c>
      <c r="B98" s="23" t="n">
        <f aca="false">YEAR(A98)</f>
        <v>2015</v>
      </c>
      <c r="C98" s="17" t="n">
        <v>236.78</v>
      </c>
      <c r="D98" s="23" t="n">
        <f aca="false">A98-A97</f>
        <v>1</v>
      </c>
      <c r="E98" s="24" t="n">
        <f aca="false">LN(C98)</f>
        <v>5.46713143998349</v>
      </c>
      <c r="F98" s="25" t="n">
        <f aca="false">LN(C98/C97)</f>
        <v>-0.0330649825740319</v>
      </c>
      <c r="G98" s="25" t="n">
        <f aca="false">IF(AND(D98=1,A98&gt;=$R$2),F98,"")</f>
        <v>-0.0330649825740319</v>
      </c>
      <c r="H98" s="27" t="n">
        <f aca="false">IF(G98="","",G98^2)</f>
        <v>0.00109329307262104</v>
      </c>
      <c r="I98" s="25" t="n">
        <f aca="false">IF(G98="","",C98/C97-1)</f>
        <v>-0.0325243115142601</v>
      </c>
      <c r="K98" s="17" t="n">
        <f aca="false">MAX(K97,C98)</f>
        <v>378</v>
      </c>
      <c r="L98" s="25" t="n">
        <f aca="false">C98/K98-1</f>
        <v>-0.373597883597884</v>
      </c>
      <c r="M98" s="25" t="n">
        <f aca="false">IF(COUNT(G69:G98)&lt;20,"",_xlfn.STDEV.S(G69:G98)*SQRT($R$3))</f>
        <v>0.57933849576457</v>
      </c>
      <c r="N98" s="25" t="n">
        <f aca="false">IF(A98-7&lt;$R$2,"",C98/INDEX(Clean_Data!$C$2:$C$4314,MATCH(A98-7,Clean_Data!$A$2:$A$4314,1))-1)</f>
        <v>-0.0708679956050855</v>
      </c>
      <c r="O98" s="25" t="n">
        <f aca="false">IF(A98-30&lt;$R$2,"",C98/INDEX(Clean_Data!$C$2:$C$4314,MATCH(A98-30,Clean_Data!$A$2:$A$4314,1))-1)</f>
        <v>-0.202734098791205</v>
      </c>
    </row>
    <row r="99" customFormat="false" ht="15" hidden="false" customHeight="false" outlineLevel="0" collapsed="false">
      <c r="A99" s="16" t="n">
        <v>42105</v>
      </c>
      <c r="B99" s="23" t="n">
        <f aca="false">YEAR(A99)</f>
        <v>2015</v>
      </c>
      <c r="C99" s="17" t="n">
        <v>237.91</v>
      </c>
      <c r="D99" s="23" t="n">
        <f aca="false">A99-A98</f>
        <v>1</v>
      </c>
      <c r="E99" s="24" t="n">
        <f aca="false">LN(C99)</f>
        <v>5.47189245089375</v>
      </c>
      <c r="F99" s="25" t="n">
        <f aca="false">LN(C99/C98)</f>
        <v>0.00476101091026223</v>
      </c>
      <c r="G99" s="25" t="n">
        <f aca="false">IF(AND(D99=1,A99&gt;=$R$2),F99,"")</f>
        <v>0.00476101091026223</v>
      </c>
      <c r="H99" s="27" t="n">
        <f aca="false">IF(G99="","",G99^2)</f>
        <v>2.2667224887636E-005</v>
      </c>
      <c r="I99" s="25" t="n">
        <f aca="false">IF(G99="","",C99/C98-1)</f>
        <v>0.00477236253061908</v>
      </c>
      <c r="K99" s="17" t="n">
        <f aca="false">MAX(K98,C99)</f>
        <v>378</v>
      </c>
      <c r="L99" s="25" t="n">
        <f aca="false">C99/K99-1</f>
        <v>-0.370608465608466</v>
      </c>
      <c r="M99" s="25" t="n">
        <f aca="false">IF(COUNT(G70:G99)&lt;20,"",_xlfn.STDEV.S(G70:G99)*SQRT($R$3))</f>
        <v>0.580752339406339</v>
      </c>
      <c r="N99" s="25" t="n">
        <f aca="false">IF(A99-7&lt;$R$2,"",C99/INDEX(Clean_Data!$C$2:$C$4314,MATCH(A99-7,Clean_Data!$A$2:$A$4314,1))-1)</f>
        <v>-0.0646721182575878</v>
      </c>
      <c r="O99" s="25" t="n">
        <f aca="false">IF(A99-30&lt;$R$2,"",C99/INDEX(Clean_Data!$C$2:$C$4314,MATCH(A99-30,Clean_Data!$A$2:$A$4314,1))-1)</f>
        <v>-0.196385745651072</v>
      </c>
    </row>
    <row r="100" customFormat="false" ht="15" hidden="false" customHeight="false" outlineLevel="0" collapsed="false">
      <c r="A100" s="16" t="n">
        <v>42106</v>
      </c>
      <c r="B100" s="23" t="n">
        <f aca="false">YEAR(A100)</f>
        <v>2015</v>
      </c>
      <c r="C100" s="17" t="n">
        <v>237.55</v>
      </c>
      <c r="D100" s="23" t="n">
        <f aca="false">A100-A99</f>
        <v>1</v>
      </c>
      <c r="E100" s="24" t="n">
        <f aca="false">LN(C100)</f>
        <v>5.47037812763293</v>
      </c>
      <c r="F100" s="25" t="n">
        <f aca="false">LN(C100/C99)</f>
        <v>-0.00151432326082207</v>
      </c>
      <c r="G100" s="25" t="n">
        <f aca="false">IF(AND(D100=1,A100&gt;=$R$2),F100,"")</f>
        <v>-0.00151432326082207</v>
      </c>
      <c r="H100" s="27" t="n">
        <f aca="false">IF(G100="","",G100^2)</f>
        <v>2.2931749382668E-006</v>
      </c>
      <c r="I100" s="25" t="n">
        <f aca="false">IF(G100="","",C100/C99-1)</f>
        <v>-0.00151317725190192</v>
      </c>
      <c r="K100" s="17" t="n">
        <f aca="false">MAX(K99,C100)</f>
        <v>378</v>
      </c>
      <c r="L100" s="25" t="n">
        <f aca="false">C100/K100-1</f>
        <v>-0.371560846560847</v>
      </c>
      <c r="M100" s="25" t="n">
        <f aca="false">IF(COUNT(G71:G100)&lt;20,"",_xlfn.STDEV.S(G71:G100)*SQRT($R$3))</f>
        <v>0.567663454668564</v>
      </c>
      <c r="N100" s="25" t="n">
        <f aca="false">IF(A100-7&lt;$R$2,"",C100/INDEX(Clean_Data!$C$2:$C$4314,MATCH(A100-7,Clean_Data!$A$2:$A$4314,1))-1)</f>
        <v>-0.0914827704899224</v>
      </c>
      <c r="O100" s="25" t="n">
        <f aca="false">IF(A100-30&lt;$R$2,"",C100/INDEX(Clean_Data!$C$2:$C$4314,MATCH(A100-30,Clean_Data!$A$2:$A$4314,1))-1)</f>
        <v>-0.163556338028169</v>
      </c>
    </row>
    <row r="101" customFormat="false" ht="15" hidden="false" customHeight="false" outlineLevel="0" collapsed="false">
      <c r="A101" s="16" t="n">
        <v>42107</v>
      </c>
      <c r="B101" s="23" t="n">
        <f aca="false">YEAR(A101)</f>
        <v>2015</v>
      </c>
      <c r="C101" s="17" t="n">
        <v>225.73</v>
      </c>
      <c r="D101" s="23" t="n">
        <f aca="false">A101-A100</f>
        <v>1</v>
      </c>
      <c r="E101" s="24" t="n">
        <f aca="false">LN(C101)</f>
        <v>5.41933959479549</v>
      </c>
      <c r="F101" s="25" t="n">
        <f aca="false">LN(C101/C100)</f>
        <v>-0.051038532837444</v>
      </c>
      <c r="G101" s="25" t="n">
        <f aca="false">IF(AND(D101=1,A101&gt;=$R$2),F101,"")</f>
        <v>-0.051038532837444</v>
      </c>
      <c r="H101" s="27" t="n">
        <f aca="false">IF(G101="","",G101^2)</f>
        <v>0.00260493183419885</v>
      </c>
      <c r="I101" s="25" t="n">
        <f aca="false">IF(G101="","",C101/C100-1)</f>
        <v>-0.0497579456956431</v>
      </c>
      <c r="K101" s="17" t="n">
        <f aca="false">MAX(K100,C101)</f>
        <v>378</v>
      </c>
      <c r="L101" s="25" t="n">
        <f aca="false">C101/K101-1</f>
        <v>-0.402830687830688</v>
      </c>
      <c r="M101" s="25" t="n">
        <f aca="false">IF(COUNT(G72:G101)&lt;20,"",_xlfn.STDEV.S(G72:G101)*SQRT($R$3))</f>
        <v>0.588489763310563</v>
      </c>
      <c r="N101" s="25" t="n">
        <f aca="false">IF(A101-7&lt;$R$2,"",C101/INDEX(Clean_Data!$C$2:$C$4314,MATCH(A101-7,Clean_Data!$A$2:$A$4314,1))-1)</f>
        <v>-0.121160210239439</v>
      </c>
      <c r="O101" s="25" t="n">
        <f aca="false">IF(A101-30&lt;$R$2,"",C101/INDEX(Clean_Data!$C$2:$C$4314,MATCH(A101-30,Clean_Data!$A$2:$A$4314,1))-1)</f>
        <v>-0.205036097904561</v>
      </c>
    </row>
    <row r="102" customFormat="false" ht="15" hidden="false" customHeight="false" outlineLevel="0" collapsed="false">
      <c r="A102" s="16" t="n">
        <v>42108</v>
      </c>
      <c r="B102" s="23" t="n">
        <f aca="false">YEAR(A102)</f>
        <v>2015</v>
      </c>
      <c r="C102" s="17" t="n">
        <v>221.05</v>
      </c>
      <c r="D102" s="23" t="n">
        <f aca="false">A102-A101</f>
        <v>1</v>
      </c>
      <c r="E102" s="24" t="n">
        <f aca="false">LN(C102)</f>
        <v>5.39838892027225</v>
      </c>
      <c r="F102" s="25" t="n">
        <f aca="false">LN(C102/C101)</f>
        <v>-0.0209506745232341</v>
      </c>
      <c r="G102" s="25" t="n">
        <f aca="false">IF(AND(D102=1,A102&gt;=$R$2),F102,"")</f>
        <v>-0.0209506745232341</v>
      </c>
      <c r="H102" s="27" t="n">
        <f aca="false">IF(G102="","",G102^2)</f>
        <v>0.000438930762978489</v>
      </c>
      <c r="I102" s="25" t="n">
        <f aca="false">IF(G102="","",C102/C101-1)</f>
        <v>-0.020732733797014</v>
      </c>
      <c r="K102" s="17" t="n">
        <f aca="false">MAX(K101,C102)</f>
        <v>378</v>
      </c>
      <c r="L102" s="25" t="n">
        <f aca="false">C102/K102-1</f>
        <v>-0.41521164021164</v>
      </c>
      <c r="M102" s="25" t="n">
        <f aca="false">IF(COUNT(G73:G102)&lt;20,"",_xlfn.STDEV.S(G73:G102)*SQRT($R$3))</f>
        <v>0.584844024966597</v>
      </c>
      <c r="N102" s="25" t="n">
        <f aca="false">IF(A102-7&lt;$R$2,"",C102/INDEX(Clean_Data!$C$2:$C$4314,MATCH(A102-7,Clean_Data!$A$2:$A$4314,1))-1)</f>
        <v>-0.130648523223345</v>
      </c>
      <c r="O102" s="25" t="n">
        <f aca="false">IF(A102-30&lt;$R$2,"",C102/INDEX(Clean_Data!$C$2:$C$4314,MATCH(A102-30,Clean_Data!$A$2:$A$4314,1))-1)</f>
        <v>-0.232465277777778</v>
      </c>
    </row>
    <row r="103" customFormat="false" ht="15" hidden="false" customHeight="false" outlineLevel="0" collapsed="false">
      <c r="A103" s="16" t="n">
        <v>42109</v>
      </c>
      <c r="B103" s="23" t="n">
        <f aca="false">YEAR(A103)</f>
        <v>2015</v>
      </c>
      <c r="C103" s="17" t="n">
        <v>224.35</v>
      </c>
      <c r="D103" s="23" t="n">
        <f aca="false">A103-A102</f>
        <v>1</v>
      </c>
      <c r="E103" s="24" t="n">
        <f aca="false">LN(C103)</f>
        <v>5.41320733242199</v>
      </c>
      <c r="F103" s="25" t="n">
        <f aca="false">LN(C103/C102)</f>
        <v>0.0148184121497401</v>
      </c>
      <c r="G103" s="25" t="n">
        <f aca="false">IF(AND(D103=1,A103&gt;=$R$2),F103,"")</f>
        <v>0.0148184121497401</v>
      </c>
      <c r="H103" s="27" t="n">
        <f aca="false">IF(G103="","",G103^2)</f>
        <v>0.000219585338639564</v>
      </c>
      <c r="I103" s="25" t="n">
        <f aca="false">IF(G103="","",C103/C102-1)</f>
        <v>0.0149287491517756</v>
      </c>
      <c r="K103" s="17" t="n">
        <f aca="false">MAX(K102,C103)</f>
        <v>378</v>
      </c>
      <c r="L103" s="25" t="n">
        <f aca="false">C103/K103-1</f>
        <v>-0.406481481481481</v>
      </c>
      <c r="M103" s="25" t="n">
        <f aca="false">IF(COUNT(G74:G103)&lt;20,"",_xlfn.STDEV.S(G74:G103)*SQRT($R$3))</f>
        <v>0.584720652336202</v>
      </c>
      <c r="N103" s="25" t="n">
        <f aca="false">IF(A103-7&lt;$R$2,"",C103/INDEX(Clean_Data!$C$2:$C$4314,MATCH(A103-7,Clean_Data!$A$2:$A$4314,1))-1)</f>
        <v>-0.0901532971043881</v>
      </c>
      <c r="O103" s="25" t="n">
        <f aca="false">IF(A103-30&lt;$R$2,"",C103/INDEX(Clean_Data!$C$2:$C$4314,MATCH(A103-30,Clean_Data!$A$2:$A$4314,1))-1)</f>
        <v>-0.232650408728666</v>
      </c>
    </row>
    <row r="104" customFormat="false" ht="15" hidden="false" customHeight="false" outlineLevel="0" collapsed="false">
      <c r="A104" s="16" t="n">
        <v>42110</v>
      </c>
      <c r="B104" s="23" t="n">
        <f aca="false">YEAR(A104)</f>
        <v>2015</v>
      </c>
      <c r="C104" s="17" t="n">
        <v>229.45</v>
      </c>
      <c r="D104" s="23" t="n">
        <f aca="false">A104-A103</f>
        <v>1</v>
      </c>
      <c r="E104" s="24" t="n">
        <f aca="false">LN(C104)</f>
        <v>5.43568514084084</v>
      </c>
      <c r="F104" s="25" t="n">
        <f aca="false">LN(C104/C103)</f>
        <v>0.0224778084188501</v>
      </c>
      <c r="G104" s="25" t="n">
        <f aca="false">IF(AND(D104=1,A104&gt;=$R$2),F104,"")</f>
        <v>0.0224778084188501</v>
      </c>
      <c r="H104" s="27" t="n">
        <f aca="false">IF(G104="","",G104^2)</f>
        <v>0.000505251871314528</v>
      </c>
      <c r="I104" s="25" t="n">
        <f aca="false">IF(G104="","",C104/C103-1)</f>
        <v>0.0227323378649431</v>
      </c>
      <c r="K104" s="17" t="n">
        <f aca="false">MAX(K103,C104)</f>
        <v>378</v>
      </c>
      <c r="L104" s="25" t="n">
        <f aca="false">C104/K104-1</f>
        <v>-0.392989417989418</v>
      </c>
      <c r="M104" s="25" t="n">
        <f aca="false">IF(COUNT(G75:G104)&lt;20,"",_xlfn.STDEV.S(G75:G104)*SQRT($R$3))</f>
        <v>0.593360425348596</v>
      </c>
      <c r="N104" s="25" t="n">
        <f aca="false">IF(A104-7&lt;$R$2,"",C104/INDEX(Clean_Data!$C$2:$C$4314,MATCH(A104-7,Clean_Data!$A$2:$A$4314,1))-1)</f>
        <v>-0.062474462695105</v>
      </c>
      <c r="O104" s="25" t="n">
        <f aca="false">IF(A104-30&lt;$R$2,"",C104/INDEX(Clean_Data!$C$2:$C$4314,MATCH(A104-30,Clean_Data!$A$2:$A$4314,1))-1)</f>
        <v>-0.199797726163075</v>
      </c>
    </row>
    <row r="105" customFormat="false" ht="15" hidden="false" customHeight="false" outlineLevel="0" collapsed="false">
      <c r="A105" s="16" t="n">
        <v>42111</v>
      </c>
      <c r="B105" s="23" t="n">
        <f aca="false">YEAR(A105)</f>
        <v>2015</v>
      </c>
      <c r="C105" s="17" t="n">
        <v>223.62</v>
      </c>
      <c r="D105" s="23" t="n">
        <f aca="false">A105-A104</f>
        <v>1</v>
      </c>
      <c r="E105" s="24" t="n">
        <f aca="false">LN(C105)</f>
        <v>5.40994818271922</v>
      </c>
      <c r="F105" s="25" t="n">
        <f aca="false">LN(C105/C104)</f>
        <v>-0.0257369581216204</v>
      </c>
      <c r="G105" s="25" t="n">
        <f aca="false">IF(AND(D105=1,A105&gt;=$R$2),F105,"")</f>
        <v>-0.0257369581216204</v>
      </c>
      <c r="H105" s="27" t="n">
        <f aca="false">IF(G105="","",G105^2)</f>
        <v>0.000662391013354041</v>
      </c>
      <c r="I105" s="25" t="n">
        <f aca="false">IF(G105="","",C105/C104-1)</f>
        <v>-0.025408585748529</v>
      </c>
      <c r="K105" s="17" t="n">
        <f aca="false">MAX(K104,C105)</f>
        <v>378</v>
      </c>
      <c r="L105" s="25" t="n">
        <f aca="false">C105/K105-1</f>
        <v>-0.408412698412698</v>
      </c>
      <c r="M105" s="25" t="n">
        <f aca="false">IF(COUNT(G76:G105)&lt;20,"",_xlfn.STDEV.S(G76:G105)*SQRT($R$3))</f>
        <v>0.486975932108429</v>
      </c>
      <c r="N105" s="25" t="n">
        <f aca="false">IF(A105-7&lt;$R$2,"",C105/INDEX(Clean_Data!$C$2:$C$4314,MATCH(A105-7,Clean_Data!$A$2:$A$4314,1))-1)</f>
        <v>-0.0555790184981839</v>
      </c>
      <c r="O105" s="25" t="n">
        <f aca="false">IF(A105-30&lt;$R$2,"",C105/INDEX(Clean_Data!$C$2:$C$4314,MATCH(A105-30,Clean_Data!$A$2:$A$4314,1))-1)</f>
        <v>-0.134932301740812</v>
      </c>
    </row>
    <row r="106" customFormat="false" ht="15" hidden="false" customHeight="false" outlineLevel="0" collapsed="false">
      <c r="A106" s="16" t="n">
        <v>42112</v>
      </c>
      <c r="B106" s="23" t="n">
        <f aca="false">YEAR(A106)</f>
        <v>2015</v>
      </c>
      <c r="C106" s="17" t="n">
        <v>224.02</v>
      </c>
      <c r="D106" s="23" t="n">
        <f aca="false">A106-A105</f>
        <v>1</v>
      </c>
      <c r="E106" s="24" t="n">
        <f aca="false">LN(C106)</f>
        <v>5.41173533358359</v>
      </c>
      <c r="F106" s="25" t="n">
        <f aca="false">LN(C106/C105)</f>
        <v>0.00178715086437143</v>
      </c>
      <c r="G106" s="25" t="n">
        <f aca="false">IF(AND(D106=1,A106&gt;=$R$2),F106,"")</f>
        <v>0.00178715086437143</v>
      </c>
      <c r="H106" s="27" t="n">
        <f aca="false">IF(G106="","",G106^2)</f>
        <v>3.19390821202354E-006</v>
      </c>
      <c r="I106" s="25" t="n">
        <f aca="false">IF(G106="","",C106/C105-1)</f>
        <v>0.00178874877023527</v>
      </c>
      <c r="K106" s="17" t="n">
        <f aca="false">MAX(K105,C106)</f>
        <v>378</v>
      </c>
      <c r="L106" s="25" t="n">
        <f aca="false">C106/K106-1</f>
        <v>-0.407354497354497</v>
      </c>
      <c r="M106" s="25" t="n">
        <f aca="false">IF(COUNT(G77:G106)&lt;20,"",_xlfn.STDEV.S(G77:G106)*SQRT($R$3))</f>
        <v>0.480984661373966</v>
      </c>
      <c r="N106" s="25" t="n">
        <f aca="false">IF(A106-7&lt;$R$2,"",C106/INDEX(Clean_Data!$C$2:$C$4314,MATCH(A106-7,Clean_Data!$A$2:$A$4314,1))-1)</f>
        <v>-0.0583834223025513</v>
      </c>
      <c r="O106" s="25" t="n">
        <f aca="false">IF(A106-30&lt;$R$2,"",C106/INDEX(Clean_Data!$C$2:$C$4314,MATCH(A106-30,Clean_Data!$A$2:$A$4314,1))-1)</f>
        <v>-0.14837483368181</v>
      </c>
    </row>
    <row r="107" customFormat="false" ht="15" hidden="false" customHeight="false" outlineLevel="0" collapsed="false">
      <c r="A107" s="16" t="n">
        <v>42113</v>
      </c>
      <c r="B107" s="23" t="n">
        <f aca="false">YEAR(A107)</f>
        <v>2015</v>
      </c>
      <c r="C107" s="17" t="n">
        <v>224.03</v>
      </c>
      <c r="D107" s="23" t="n">
        <f aca="false">A107-A106</f>
        <v>1</v>
      </c>
      <c r="E107" s="24" t="n">
        <f aca="false">LN(C107)</f>
        <v>5.41177997145884</v>
      </c>
      <c r="F107" s="25" t="n">
        <f aca="false">LN(C107/C106)</f>
        <v>4.46378752446128E-005</v>
      </c>
      <c r="G107" s="25" t="n">
        <f aca="false">IF(AND(D107=1,A107&gt;=$R$2),F107,"")</f>
        <v>4.46378752446128E-005</v>
      </c>
      <c r="H107" s="27" t="n">
        <f aca="false">IF(G107="","",G107^2)</f>
        <v>1.99253990635362E-009</v>
      </c>
      <c r="I107" s="25" t="n">
        <f aca="false">IF(G107="","",C107/C106-1)</f>
        <v>4.46388715293899E-005</v>
      </c>
      <c r="K107" s="17" t="n">
        <f aca="false">MAX(K106,C107)</f>
        <v>378</v>
      </c>
      <c r="L107" s="25" t="n">
        <f aca="false">C107/K107-1</f>
        <v>-0.407328042328042</v>
      </c>
      <c r="M107" s="25" t="n">
        <f aca="false">IF(COUNT(G78:G107)&lt;20,"",_xlfn.STDEV.S(G78:G107)*SQRT($R$3))</f>
        <v>0.48083936254358</v>
      </c>
      <c r="N107" s="25" t="n">
        <f aca="false">IF(A107-7&lt;$R$2,"",C107/INDEX(Clean_Data!$C$2:$C$4314,MATCH(A107-7,Clean_Data!$A$2:$A$4314,1))-1)</f>
        <v>-0.0569143338244581</v>
      </c>
      <c r="O107" s="25" t="n">
        <f aca="false">IF(A107-30&lt;$R$2,"",C107/INDEX(Clean_Data!$C$2:$C$4314,MATCH(A107-30,Clean_Data!$A$2:$A$4314,1))-1)</f>
        <v>-0.149177775245908</v>
      </c>
    </row>
    <row r="108" customFormat="false" ht="15" hidden="false" customHeight="false" outlineLevel="0" collapsed="false">
      <c r="A108" s="16" t="n">
        <v>42114</v>
      </c>
      <c r="B108" s="23" t="n">
        <f aca="false">YEAR(A108)</f>
        <v>2015</v>
      </c>
      <c r="C108" s="17" t="n">
        <v>225.37</v>
      </c>
      <c r="D108" s="23" t="n">
        <f aca="false">A108-A107</f>
        <v>1</v>
      </c>
      <c r="E108" s="24" t="n">
        <f aca="false">LN(C108)</f>
        <v>5.41774349603058</v>
      </c>
      <c r="F108" s="25" t="n">
        <f aca="false">LN(C108/C107)</f>
        <v>0.00596352457173628</v>
      </c>
      <c r="G108" s="25" t="n">
        <f aca="false">IF(AND(D108=1,A108&gt;=$R$2),F108,"")</f>
        <v>0.00596352457173628</v>
      </c>
      <c r="H108" s="27" t="n">
        <f aca="false">IF(G108="","",G108^2)</f>
        <v>3.55636253177023E-005</v>
      </c>
      <c r="I108" s="25" t="n">
        <f aca="false">IF(G108="","",C108/C107-1)</f>
        <v>0.00598134178458243</v>
      </c>
      <c r="K108" s="17" t="n">
        <f aca="false">MAX(K107,C108)</f>
        <v>378</v>
      </c>
      <c r="L108" s="25" t="n">
        <f aca="false">C108/K108-1</f>
        <v>-0.403783068783069</v>
      </c>
      <c r="M108" s="25" t="n">
        <f aca="false">IF(COUNT(G79:G108)&lt;20,"",_xlfn.STDEV.S(G79:G108)*SQRT($R$3))</f>
        <v>0.482466155908961</v>
      </c>
      <c r="N108" s="25" t="n">
        <f aca="false">IF(A108-7&lt;$R$2,"",C108/INDEX(Clean_Data!$C$2:$C$4314,MATCH(A108-7,Clean_Data!$A$2:$A$4314,1))-1)</f>
        <v>-0.00159482567669333</v>
      </c>
      <c r="O108" s="25" t="n">
        <f aca="false">IF(A108-30&lt;$R$2,"",C108/INDEX(Clean_Data!$C$2:$C$4314,MATCH(A108-30,Clean_Data!$A$2:$A$4314,1))-1)</f>
        <v>-0.139480717831233</v>
      </c>
    </row>
    <row r="109" customFormat="false" ht="15" hidden="false" customHeight="false" outlineLevel="0" collapsed="false">
      <c r="A109" s="16" t="n">
        <v>42115</v>
      </c>
      <c r="B109" s="23" t="n">
        <f aca="false">YEAR(A109)</f>
        <v>2015</v>
      </c>
      <c r="C109" s="17" t="n">
        <v>235.89</v>
      </c>
      <c r="D109" s="23" t="n">
        <f aca="false">A109-A108</f>
        <v>1</v>
      </c>
      <c r="E109" s="24" t="n">
        <f aca="false">LN(C109)</f>
        <v>5.46336559467154</v>
      </c>
      <c r="F109" s="25" t="n">
        <f aca="false">LN(C109/C108)</f>
        <v>0.04562209864096</v>
      </c>
      <c r="G109" s="25" t="n">
        <f aca="false">IF(AND(D109=1,A109&gt;=$R$2),F109,"")</f>
        <v>0.04562209864096</v>
      </c>
      <c r="H109" s="27" t="n">
        <f aca="false">IF(G109="","",G109^2)</f>
        <v>0.00208137588440549</v>
      </c>
      <c r="I109" s="25" t="n">
        <f aca="false">IF(G109="","",C109/C108-1)</f>
        <v>0.0466787948706571</v>
      </c>
      <c r="K109" s="17" t="n">
        <f aca="false">MAX(K108,C109)</f>
        <v>378</v>
      </c>
      <c r="L109" s="25" t="n">
        <f aca="false">C109/K109-1</f>
        <v>-0.375952380952381</v>
      </c>
      <c r="M109" s="25" t="n">
        <f aca="false">IF(COUNT(G80:G109)&lt;20,"",_xlfn.STDEV.S(G80:G109)*SQRT($R$3))</f>
        <v>0.50084769908878</v>
      </c>
      <c r="N109" s="25" t="n">
        <f aca="false">IF(A109-7&lt;$R$2,"",C109/INDEX(Clean_Data!$C$2:$C$4314,MATCH(A109-7,Clean_Data!$A$2:$A$4314,1))-1)</f>
        <v>0.067134132549197</v>
      </c>
      <c r="O109" s="25" t="n">
        <f aca="false">IF(A109-30&lt;$R$2,"",C109/INDEX(Clean_Data!$C$2:$C$4314,MATCH(A109-30,Clean_Data!$A$2:$A$4314,1))-1)</f>
        <v>-0.124550009278159</v>
      </c>
    </row>
    <row r="110" customFormat="false" ht="15" hidden="false" customHeight="false" outlineLevel="0" collapsed="false">
      <c r="A110" s="16" t="n">
        <v>42116</v>
      </c>
      <c r="B110" s="23" t="n">
        <f aca="false">YEAR(A110)</f>
        <v>2015</v>
      </c>
      <c r="C110" s="17" t="n">
        <v>233.98</v>
      </c>
      <c r="D110" s="23" t="n">
        <f aca="false">A110-A109</f>
        <v>1</v>
      </c>
      <c r="E110" s="24" t="n">
        <f aca="false">LN(C110)</f>
        <v>5.45523564161946</v>
      </c>
      <c r="F110" s="25" t="n">
        <f aca="false">LN(C110/C109)</f>
        <v>-0.00812995305207891</v>
      </c>
      <c r="G110" s="25" t="n">
        <f aca="false">IF(AND(D110=1,A110&gt;=$R$2),F110,"")</f>
        <v>-0.00812995305207891</v>
      </c>
      <c r="H110" s="27" t="n">
        <f aca="false">IF(G110="","",G110^2)</f>
        <v>6.60961366290072E-005</v>
      </c>
      <c r="I110" s="25" t="n">
        <f aca="false">IF(G110="","",C110/C109-1)</f>
        <v>-0.0080969943617788</v>
      </c>
      <c r="K110" s="17" t="n">
        <f aca="false">MAX(K109,C110)</f>
        <v>378</v>
      </c>
      <c r="L110" s="25" t="n">
        <f aca="false">C110/K110-1</f>
        <v>-0.381005291005291</v>
      </c>
      <c r="M110" s="25" t="n">
        <f aca="false">IF(COUNT(G81:G110)&lt;20,"",_xlfn.STDEV.S(G81:G110)*SQRT($R$3))</f>
        <v>0.500926166936003</v>
      </c>
      <c r="N110" s="25" t="n">
        <f aca="false">IF(A110-7&lt;$R$2,"",C110/INDEX(Clean_Data!$C$2:$C$4314,MATCH(A110-7,Clean_Data!$A$2:$A$4314,1))-1)</f>
        <v>0.0429240026743927</v>
      </c>
      <c r="O110" s="25" t="n">
        <f aca="false">IF(A110-30&lt;$R$2,"",C110/INDEX(Clean_Data!$C$2:$C$4314,MATCH(A110-30,Clean_Data!$A$2:$A$4314,1))-1)</f>
        <v>-0.125406496467686</v>
      </c>
    </row>
    <row r="111" customFormat="false" ht="15" hidden="false" customHeight="false" outlineLevel="0" collapsed="false">
      <c r="A111" s="16" t="n">
        <v>42117</v>
      </c>
      <c r="B111" s="23" t="n">
        <f aca="false">YEAR(A111)</f>
        <v>2015</v>
      </c>
      <c r="C111" s="17" t="n">
        <v>235.99</v>
      </c>
      <c r="D111" s="23" t="n">
        <f aca="false">A111-A110</f>
        <v>1</v>
      </c>
      <c r="E111" s="24" t="n">
        <f aca="false">LN(C111)</f>
        <v>5.4637894312465</v>
      </c>
      <c r="F111" s="25" t="n">
        <f aca="false">LN(C111/C110)</f>
        <v>0.00855378962704281</v>
      </c>
      <c r="G111" s="25" t="n">
        <f aca="false">IF(AND(D111=1,A111&gt;=$R$2),F111,"")</f>
        <v>0.00855378962704281</v>
      </c>
      <c r="H111" s="27" t="n">
        <f aca="false">IF(G111="","",G111^2)</f>
        <v>7.31673169837051E-005</v>
      </c>
      <c r="I111" s="25" t="n">
        <f aca="false">IF(G111="","",C111/C110-1)</f>
        <v>0.00859047781861699</v>
      </c>
      <c r="K111" s="17" t="n">
        <f aca="false">MAX(K110,C111)</f>
        <v>378</v>
      </c>
      <c r="L111" s="25" t="n">
        <f aca="false">C111/K111-1</f>
        <v>-0.375687830687831</v>
      </c>
      <c r="M111" s="25" t="n">
        <f aca="false">IF(COUNT(G82:G111)&lt;20,"",_xlfn.STDEV.S(G82:G111)*SQRT($R$3))</f>
        <v>0.413909071255477</v>
      </c>
      <c r="N111" s="25" t="n">
        <f aca="false">IF(A111-7&lt;$R$2,"",C111/INDEX(Clean_Data!$C$2:$C$4314,MATCH(A111-7,Clean_Data!$A$2:$A$4314,1))-1)</f>
        <v>0.0285029418173894</v>
      </c>
      <c r="O111" s="25" t="n">
        <f aca="false">IF(A111-30&lt;$R$2,"",C111/INDEX(Clean_Data!$C$2:$C$4314,MATCH(A111-30,Clean_Data!$A$2:$A$4314,1))-1)</f>
        <v>-0.041275644931952</v>
      </c>
    </row>
    <row r="112" customFormat="false" ht="15" hidden="false" customHeight="false" outlineLevel="0" collapsed="false">
      <c r="A112" s="16" t="n">
        <v>42118</v>
      </c>
      <c r="B112" s="23" t="n">
        <f aca="false">YEAR(A112)</f>
        <v>2015</v>
      </c>
      <c r="C112" s="17" t="n">
        <v>231.51</v>
      </c>
      <c r="D112" s="23" t="n">
        <f aca="false">A112-A111</f>
        <v>1</v>
      </c>
      <c r="E112" s="24" t="n">
        <f aca="false">LN(C112)</f>
        <v>5.44462306913762</v>
      </c>
      <c r="F112" s="25" t="n">
        <f aca="false">LN(C112/C111)</f>
        <v>-0.019166362108877</v>
      </c>
      <c r="G112" s="25" t="n">
        <f aca="false">IF(AND(D112=1,A112&gt;=$R$2),F112,"")</f>
        <v>-0.019166362108877</v>
      </c>
      <c r="H112" s="27" t="n">
        <f aca="false">IF(G112="","",G112^2)</f>
        <v>0.000367349436488596</v>
      </c>
      <c r="I112" s="25" t="n">
        <f aca="false">IF(G112="","",C112/C111-1)</f>
        <v>-0.0189838552481039</v>
      </c>
      <c r="K112" s="17" t="n">
        <f aca="false">MAX(K111,C112)</f>
        <v>378</v>
      </c>
      <c r="L112" s="25" t="n">
        <f aca="false">C112/K112-1</f>
        <v>-0.387539682539683</v>
      </c>
      <c r="M112" s="25" t="n">
        <f aca="false">IF(COUNT(G83:G112)&lt;20,"",_xlfn.STDEV.S(G83:G112)*SQRT($R$3))</f>
        <v>0.418145714979441</v>
      </c>
      <c r="N112" s="25" t="n">
        <f aca="false">IF(A112-7&lt;$R$2,"",C112/INDEX(Clean_Data!$C$2:$C$4314,MATCH(A112-7,Clean_Data!$A$2:$A$4314,1))-1)</f>
        <v>0.0352830694928896</v>
      </c>
      <c r="O112" s="25" t="n">
        <f aca="false">IF(A112-30&lt;$R$2,"",C112/INDEX(Clean_Data!$C$2:$C$4314,MATCH(A112-30,Clean_Data!$A$2:$A$4314,1))-1)</f>
        <v>-0.0622569669475049</v>
      </c>
    </row>
    <row r="113" customFormat="false" ht="15" hidden="false" customHeight="false" outlineLevel="0" collapsed="false">
      <c r="A113" s="16" t="n">
        <v>42119</v>
      </c>
      <c r="B113" s="23" t="n">
        <f aca="false">YEAR(A113)</f>
        <v>2015</v>
      </c>
      <c r="C113" s="17" t="n">
        <v>227.05</v>
      </c>
      <c r="D113" s="23" t="n">
        <f aca="false">A113-A112</f>
        <v>1</v>
      </c>
      <c r="E113" s="24" t="n">
        <f aca="false">LN(C113)</f>
        <v>5.42517025754396</v>
      </c>
      <c r="F113" s="25" t="n">
        <f aca="false">LN(C113/C112)</f>
        <v>-0.0194528115936611</v>
      </c>
      <c r="G113" s="25" t="n">
        <f aca="false">IF(AND(D113=1,A113&gt;=$R$2),F113,"")</f>
        <v>-0.0194528115936611</v>
      </c>
      <c r="H113" s="27" t="n">
        <f aca="false">IF(G113="","",G113^2)</f>
        <v>0.000378411878898476</v>
      </c>
      <c r="I113" s="25" t="n">
        <f aca="false">IF(G113="","",C113/C112-1)</f>
        <v>-0.019264826573366</v>
      </c>
      <c r="K113" s="17" t="n">
        <f aca="false">MAX(K112,C113)</f>
        <v>378</v>
      </c>
      <c r="L113" s="25" t="n">
        <f aca="false">C113/K113-1</f>
        <v>-0.399338624338624</v>
      </c>
      <c r="M113" s="25" t="n">
        <f aca="false">IF(COUNT(G84:G113)&lt;20,"",_xlfn.STDEV.S(G84:G113)*SQRT($R$3))</f>
        <v>0.419111755893192</v>
      </c>
      <c r="N113" s="25" t="n">
        <f aca="false">IF(A113-7&lt;$R$2,"",C113/INDEX(Clean_Data!$C$2:$C$4314,MATCH(A113-7,Clean_Data!$A$2:$A$4314,1))-1)</f>
        <v>0.0135255780733863</v>
      </c>
      <c r="O113" s="25" t="n">
        <f aca="false">IF(A113-30&lt;$R$2,"",C113/INDEX(Clean_Data!$C$2:$C$4314,MATCH(A113-30,Clean_Data!$A$2:$A$4314,1))-1)</f>
        <v>-0.091363854650232</v>
      </c>
    </row>
    <row r="114" customFormat="false" ht="15" hidden="false" customHeight="false" outlineLevel="0" collapsed="false">
      <c r="A114" s="16" t="n">
        <v>42120</v>
      </c>
      <c r="B114" s="23" t="n">
        <f aca="false">YEAR(A114)</f>
        <v>2015</v>
      </c>
      <c r="C114" s="17" t="n">
        <v>221.27</v>
      </c>
      <c r="D114" s="23" t="n">
        <f aca="false">A114-A113</f>
        <v>1</v>
      </c>
      <c r="E114" s="24" t="n">
        <f aca="false">LN(C114)</f>
        <v>5.39938367528284</v>
      </c>
      <c r="F114" s="25" t="n">
        <f aca="false">LN(C114/C113)</f>
        <v>-0.0257865822611205</v>
      </c>
      <c r="G114" s="25" t="n">
        <f aca="false">IF(AND(D114=1,A114&gt;=$R$2),F114,"")</f>
        <v>-0.0257865822611205</v>
      </c>
      <c r="H114" s="27" t="n">
        <f aca="false">IF(G114="","",G114^2)</f>
        <v>0.000664947824709532</v>
      </c>
      <c r="I114" s="25" t="n">
        <f aca="false">IF(G114="","",C114/C113-1)</f>
        <v>-0.0254569478088527</v>
      </c>
      <c r="K114" s="17" t="n">
        <f aca="false">MAX(K113,C114)</f>
        <v>378</v>
      </c>
      <c r="L114" s="25" t="n">
        <f aca="false">C114/K114-1</f>
        <v>-0.41462962962963</v>
      </c>
      <c r="M114" s="25" t="n">
        <f aca="false">IF(COUNT(G85:G114)&lt;20,"",_xlfn.STDEV.S(G85:G114)*SQRT($R$3))</f>
        <v>0.426169661828895</v>
      </c>
      <c r="N114" s="25" t="n">
        <f aca="false">IF(A114-7&lt;$R$2,"",C114/INDEX(Clean_Data!$C$2:$C$4314,MATCH(A114-7,Clean_Data!$A$2:$A$4314,1))-1)</f>
        <v>-0.0123197786010801</v>
      </c>
      <c r="O114" s="25" t="n">
        <f aca="false">IF(A114-30&lt;$R$2,"",C114/INDEX(Clean_Data!$C$2:$C$4314,MATCH(A114-30,Clean_Data!$A$2:$A$4314,1))-1)</f>
        <v>-0.107098180057302</v>
      </c>
    </row>
    <row r="115" customFormat="false" ht="15" hidden="false" customHeight="false" outlineLevel="0" collapsed="false">
      <c r="A115" s="16" t="n">
        <v>42121</v>
      </c>
      <c r="B115" s="23" t="n">
        <f aca="false">YEAR(A115)</f>
        <v>2015</v>
      </c>
      <c r="C115" s="17" t="n">
        <v>227.58</v>
      </c>
      <c r="D115" s="23" t="n">
        <f aca="false">A115-A114</f>
        <v>1</v>
      </c>
      <c r="E115" s="24" t="n">
        <f aca="false">LN(C115)</f>
        <v>5.42750182492886</v>
      </c>
      <c r="F115" s="25" t="n">
        <f aca="false">LN(C115/C114)</f>
        <v>0.028118149646023</v>
      </c>
      <c r="G115" s="25" t="n">
        <f aca="false">IF(AND(D115=1,A115&gt;=$R$2),F115,"")</f>
        <v>0.028118149646023</v>
      </c>
      <c r="H115" s="27" t="n">
        <f aca="false">IF(G115="","",G115^2)</f>
        <v>0.000790630339516143</v>
      </c>
      <c r="I115" s="25" t="n">
        <f aca="false">IF(G115="","",C115/C114-1)</f>
        <v>0.0285171961856556</v>
      </c>
      <c r="K115" s="17" t="n">
        <f aca="false">MAX(K114,C115)</f>
        <v>378</v>
      </c>
      <c r="L115" s="25" t="n">
        <f aca="false">C115/K115-1</f>
        <v>-0.397936507936508</v>
      </c>
      <c r="M115" s="25" t="n">
        <f aca="false">IF(COUNT(G86:G115)&lt;20,"",_xlfn.STDEV.S(G86:G115)*SQRT($R$3))</f>
        <v>0.430738264750306</v>
      </c>
      <c r="N115" s="25" t="n">
        <f aca="false">IF(A115-7&lt;$R$2,"",C115/INDEX(Clean_Data!$C$2:$C$4314,MATCH(A115-7,Clean_Data!$A$2:$A$4314,1))-1)</f>
        <v>0.00980609664107912</v>
      </c>
      <c r="O115" s="25" t="n">
        <f aca="false">IF(A115-30&lt;$R$2,"",C115/INDEX(Clean_Data!$C$2:$C$4314,MATCH(A115-30,Clean_Data!$A$2:$A$4314,1))-1)</f>
        <v>-0.102319343641527</v>
      </c>
    </row>
    <row r="116" customFormat="false" ht="15" hidden="false" customHeight="false" outlineLevel="0" collapsed="false">
      <c r="A116" s="16" t="n">
        <v>42122</v>
      </c>
      <c r="B116" s="23" t="n">
        <f aca="false">YEAR(A116)</f>
        <v>2015</v>
      </c>
      <c r="C116" s="17" t="n">
        <v>225.64</v>
      </c>
      <c r="D116" s="23" t="n">
        <f aca="false">A116-A115</f>
        <v>1</v>
      </c>
      <c r="E116" s="24" t="n">
        <f aca="false">LN(C116)</f>
        <v>5.41894080887178</v>
      </c>
      <c r="F116" s="25" t="n">
        <f aca="false">LN(C116/C115)</f>
        <v>-0.00856101605708736</v>
      </c>
      <c r="G116" s="25" t="n">
        <f aca="false">IF(AND(D116=1,A116&gt;=$R$2),F116,"")</f>
        <v>-0.00856101605708736</v>
      </c>
      <c r="H116" s="27" t="n">
        <f aca="false">IF(G116="","",G116^2)</f>
        <v>7.32909959297076E-005</v>
      </c>
      <c r="I116" s="25" t="n">
        <f aca="false">IF(G116="","",C116/C115-1)</f>
        <v>-0.00852447490992192</v>
      </c>
      <c r="K116" s="17" t="n">
        <f aca="false">MAX(K115,C116)</f>
        <v>378</v>
      </c>
      <c r="L116" s="25" t="n">
        <f aca="false">C116/K116-1</f>
        <v>-0.403068783068783</v>
      </c>
      <c r="M116" s="25" t="n">
        <f aca="false">IF(COUNT(G87:G116)&lt;20,"",_xlfn.STDEV.S(G87:G116)*SQRT($R$3))</f>
        <v>0.411312856737197</v>
      </c>
      <c r="N116" s="25" t="n">
        <f aca="false">IF(A116-7&lt;$R$2,"",C116/INDEX(Clean_Data!$C$2:$C$4314,MATCH(A116-7,Clean_Data!$A$2:$A$4314,1))-1)</f>
        <v>-0.0434524566535249</v>
      </c>
      <c r="O116" s="25" t="n">
        <f aca="false">IF(A116-30&lt;$R$2,"",C116/INDEX(Clean_Data!$C$2:$C$4314,MATCH(A116-30,Clean_Data!$A$2:$A$4314,1))-1)</f>
        <v>-0.0740695145471706</v>
      </c>
    </row>
    <row r="117" customFormat="false" ht="15" hidden="false" customHeight="false" outlineLevel="0" collapsed="false">
      <c r="A117" s="16" t="n">
        <v>42123</v>
      </c>
      <c r="B117" s="23" t="n">
        <f aca="false">YEAR(A117)</f>
        <v>2015</v>
      </c>
      <c r="C117" s="17" t="n">
        <v>225.6</v>
      </c>
      <c r="D117" s="23" t="n">
        <f aca="false">A117-A116</f>
        <v>1</v>
      </c>
      <c r="E117" s="24" t="n">
        <f aca="false">LN(C117)</f>
        <v>5.4187635196239</v>
      </c>
      <c r="F117" s="25" t="n">
        <f aca="false">LN(C117/C116)</f>
        <v>-0.00017728924787152</v>
      </c>
      <c r="G117" s="25" t="n">
        <f aca="false">IF(AND(D117=1,A117&gt;=$R$2),F117,"")</f>
        <v>-0.00017728924787152</v>
      </c>
      <c r="H117" s="27" t="n">
        <f aca="false">IF(G117="","",G117^2)</f>
        <v>3.14314774108492E-008</v>
      </c>
      <c r="I117" s="25" t="n">
        <f aca="false">IF(G117="","",C117/C116-1)</f>
        <v>-0.000177273533061517</v>
      </c>
      <c r="K117" s="17" t="n">
        <f aca="false">MAX(K116,C117)</f>
        <v>378</v>
      </c>
      <c r="L117" s="25" t="n">
        <f aca="false">C117/K117-1</f>
        <v>-0.403174603174603</v>
      </c>
      <c r="M117" s="25" t="n">
        <f aca="false">IF(COUNT(G88:G117)&lt;20,"",_xlfn.STDEV.S(G88:G117)*SQRT($R$3))</f>
        <v>0.402829357177139</v>
      </c>
      <c r="N117" s="25" t="n">
        <f aca="false">IF(A117-7&lt;$R$2,"",C117/INDEX(Clean_Data!$C$2:$C$4314,MATCH(A117-7,Clean_Data!$A$2:$A$4314,1))-1)</f>
        <v>-0.0358150269253782</v>
      </c>
      <c r="O117" s="25" t="n">
        <f aca="false">IF(A117-30&lt;$R$2,"",C117/INDEX(Clean_Data!$C$2:$C$4314,MATCH(A117-30,Clean_Data!$A$2:$A$4314,1))-1)</f>
        <v>-0.0931746924993971</v>
      </c>
    </row>
    <row r="118" customFormat="false" ht="15" hidden="false" customHeight="false" outlineLevel="0" collapsed="false">
      <c r="A118" s="16" t="n">
        <v>42124</v>
      </c>
      <c r="B118" s="23" t="n">
        <f aca="false">YEAR(A118)</f>
        <v>2015</v>
      </c>
      <c r="C118" s="17" t="n">
        <v>236.81</v>
      </c>
      <c r="D118" s="23" t="n">
        <f aca="false">A118-A117</f>
        <v>1</v>
      </c>
      <c r="E118" s="24" t="n">
        <f aca="false">LN(C118)</f>
        <v>5.46725813184793</v>
      </c>
      <c r="F118" s="25" t="n">
        <f aca="false">LN(C118/C117)</f>
        <v>0.0484946122240267</v>
      </c>
      <c r="G118" s="25" t="n">
        <f aca="false">IF(AND(D118=1,A118&gt;=$R$2),F118,"")</f>
        <v>0.0484946122240267</v>
      </c>
      <c r="H118" s="27" t="n">
        <f aca="false">IF(G118="","",G118^2)</f>
        <v>0.00235172741475872</v>
      </c>
      <c r="I118" s="25" t="n">
        <f aca="false">IF(G118="","",C118/C117-1)</f>
        <v>0.0496897163120569</v>
      </c>
      <c r="K118" s="17" t="n">
        <f aca="false">MAX(K117,C118)</f>
        <v>378</v>
      </c>
      <c r="L118" s="25" t="n">
        <f aca="false">C118/K118-1</f>
        <v>-0.373518518518518</v>
      </c>
      <c r="M118" s="25" t="n">
        <f aca="false">IF(COUNT(G89:G118)&lt;20,"",_xlfn.STDEV.S(G89:G118)*SQRT($R$3))</f>
        <v>0.439456694281096</v>
      </c>
      <c r="N118" s="25" t="n">
        <f aca="false">IF(A118-7&lt;$R$2,"",C118/INDEX(Clean_Data!$C$2:$C$4314,MATCH(A118-7,Clean_Data!$A$2:$A$4314,1))-1)</f>
        <v>0.00347472350523326</v>
      </c>
      <c r="O118" s="25" t="n">
        <f aca="false">IF(A118-30&lt;$R$2,"",C118/INDEX(Clean_Data!$C$2:$C$4314,MATCH(A118-30,Clean_Data!$A$2:$A$4314,1))-1)</f>
        <v>-0.0353971486761711</v>
      </c>
    </row>
    <row r="119" customFormat="false" ht="15" hidden="false" customHeight="false" outlineLevel="0" collapsed="false">
      <c r="A119" s="16" t="n">
        <v>42125</v>
      </c>
      <c r="B119" s="23" t="n">
        <f aca="false">YEAR(A119)</f>
        <v>2015</v>
      </c>
      <c r="C119" s="17" t="n">
        <v>233.14</v>
      </c>
      <c r="D119" s="23" t="n">
        <f aca="false">A119-A118</f>
        <v>1</v>
      </c>
      <c r="E119" s="24" t="n">
        <f aca="false">LN(C119)</f>
        <v>5.45163913149169</v>
      </c>
      <c r="F119" s="25" t="n">
        <f aca="false">LN(C119/C118)</f>
        <v>-0.0156190003562442</v>
      </c>
      <c r="G119" s="25" t="n">
        <f aca="false">IF(AND(D119=1,A119&gt;=$R$2),F119,"")</f>
        <v>-0.0156190003562442</v>
      </c>
      <c r="H119" s="27" t="n">
        <f aca="false">IF(G119="","",G119^2)</f>
        <v>0.000243953172128356</v>
      </c>
      <c r="I119" s="25" t="n">
        <f aca="false">IF(G119="","",C119/C118-1)</f>
        <v>-0.0154976563489718</v>
      </c>
      <c r="K119" s="17" t="n">
        <f aca="false">MAX(K118,C119)</f>
        <v>378</v>
      </c>
      <c r="L119" s="25" t="n">
        <f aca="false">C119/K119-1</f>
        <v>-0.383227513227513</v>
      </c>
      <c r="M119" s="25" t="n">
        <f aca="false">IF(COUNT(G90:G119)&lt;20,"",_xlfn.STDEV.S(G90:G119)*SQRT($R$3))</f>
        <v>0.440455515727524</v>
      </c>
      <c r="N119" s="25" t="n">
        <f aca="false">IF(A119-7&lt;$R$2,"",C119/INDEX(Clean_Data!$C$2:$C$4314,MATCH(A119-7,Clean_Data!$A$2:$A$4314,1))-1)</f>
        <v>0.00704073258174587</v>
      </c>
      <c r="O119" s="25" t="n">
        <f aca="false">IF(A119-30&lt;$R$2,"",C119/INDEX(Clean_Data!$C$2:$C$4314,MATCH(A119-30,Clean_Data!$A$2:$A$4314,1))-1)</f>
        <v>-0.0594263121797717</v>
      </c>
    </row>
    <row r="120" customFormat="false" ht="15" hidden="false" customHeight="false" outlineLevel="0" collapsed="false">
      <c r="A120" s="16" t="n">
        <v>42126</v>
      </c>
      <c r="B120" s="23" t="n">
        <f aca="false">YEAR(A120)</f>
        <v>2015</v>
      </c>
      <c r="C120" s="17" t="n">
        <v>235.94</v>
      </c>
      <c r="D120" s="23" t="n">
        <f aca="false">A120-A119</f>
        <v>1</v>
      </c>
      <c r="E120" s="24" t="n">
        <f aca="false">LN(C120)</f>
        <v>5.4635775354137</v>
      </c>
      <c r="F120" s="25" t="n">
        <f aca="false">LN(C120/C119)</f>
        <v>0.0119384039220101</v>
      </c>
      <c r="G120" s="25" t="n">
        <f aca="false">IF(AND(D120=1,A120&gt;=$R$2),F120,"")</f>
        <v>0.0119384039220101</v>
      </c>
      <c r="H120" s="27" t="n">
        <f aca="false">IF(G120="","",G120^2)</f>
        <v>0.000142525488205066</v>
      </c>
      <c r="I120" s="25" t="n">
        <f aca="false">IF(G120="","",C120/C119-1)</f>
        <v>0.0120099511023419</v>
      </c>
      <c r="K120" s="17" t="n">
        <f aca="false">MAX(K119,C120)</f>
        <v>378</v>
      </c>
      <c r="L120" s="25" t="n">
        <f aca="false">C120/K120-1</f>
        <v>-0.375820105820106</v>
      </c>
      <c r="M120" s="25" t="n">
        <f aca="false">IF(COUNT(G91:G120)&lt;20,"",_xlfn.STDEV.S(G91:G120)*SQRT($R$3))</f>
        <v>0.43186406566089</v>
      </c>
      <c r="N120" s="25" t="n">
        <f aca="false">IF(A120-7&lt;$R$2,"",C120/INDEX(Clean_Data!$C$2:$C$4314,MATCH(A120-7,Clean_Data!$A$2:$A$4314,1))-1)</f>
        <v>0.039154371283858</v>
      </c>
      <c r="O120" s="25" t="n">
        <f aca="false">IF(A120-30&lt;$R$2,"",C120/INDEX(Clean_Data!$C$2:$C$4314,MATCH(A120-30,Clean_Data!$A$2:$A$4314,1))-1)</f>
        <v>-0.0725264357875702</v>
      </c>
    </row>
    <row r="121" customFormat="false" ht="15" hidden="false" customHeight="false" outlineLevel="0" collapsed="false">
      <c r="A121" s="16" t="n">
        <v>42127</v>
      </c>
      <c r="B121" s="23" t="n">
        <f aca="false">YEAR(A121)</f>
        <v>2015</v>
      </c>
      <c r="C121" s="17" t="n">
        <v>240.78</v>
      </c>
      <c r="D121" s="23" t="n">
        <f aca="false">A121-A120</f>
        <v>1</v>
      </c>
      <c r="E121" s="24" t="n">
        <f aca="false">LN(C121)</f>
        <v>5.48388365350688</v>
      </c>
      <c r="F121" s="25" t="n">
        <f aca="false">LN(C121/C120)</f>
        <v>0.020306118093184</v>
      </c>
      <c r="G121" s="25" t="n">
        <f aca="false">IF(AND(D121=1,A121&gt;=$R$2),F121,"")</f>
        <v>0.020306118093184</v>
      </c>
      <c r="H121" s="27" t="n">
        <f aca="false">IF(G121="","",G121^2)</f>
        <v>0.000412338432014333</v>
      </c>
      <c r="I121" s="25" t="n">
        <f aca="false">IF(G121="","",C121/C120-1)</f>
        <v>0.0205136899211664</v>
      </c>
      <c r="K121" s="17" t="n">
        <f aca="false">MAX(K120,C121)</f>
        <v>378</v>
      </c>
      <c r="L121" s="25" t="n">
        <f aca="false">C121/K121-1</f>
        <v>-0.363015873015873</v>
      </c>
      <c r="M121" s="25" t="n">
        <f aca="false">IF(COUNT(G92:G121)&lt;20,"",_xlfn.STDEV.S(G92:G121)*SQRT($R$3))</f>
        <v>0.438957893927846</v>
      </c>
      <c r="N121" s="25" t="n">
        <f aca="false">IF(A121-7&lt;$R$2,"",C121/INDEX(Clean_Data!$C$2:$C$4314,MATCH(A121-7,Clean_Data!$A$2:$A$4314,1))-1)</f>
        <v>0.0881728205359966</v>
      </c>
      <c r="O121" s="25" t="n">
        <f aca="false">IF(A121-30&lt;$R$2,"",C121/INDEX(Clean_Data!$C$2:$C$4314,MATCH(A121-30,Clean_Data!$A$2:$A$4314,1))-1)</f>
        <v>-0.0551718725474808</v>
      </c>
    </row>
    <row r="122" customFormat="false" ht="15" hidden="false" customHeight="false" outlineLevel="0" collapsed="false">
      <c r="A122" s="16" t="n">
        <v>42128</v>
      </c>
      <c r="B122" s="23" t="n">
        <f aca="false">YEAR(A122)</f>
        <v>2015</v>
      </c>
      <c r="C122" s="17" t="n">
        <v>239.75</v>
      </c>
      <c r="D122" s="23" t="n">
        <f aca="false">A122-A121</f>
        <v>1</v>
      </c>
      <c r="E122" s="24" t="n">
        <f aca="false">LN(C122)</f>
        <v>5.47959671376355</v>
      </c>
      <c r="F122" s="25" t="n">
        <f aca="false">LN(C122/C121)</f>
        <v>-0.00428693974333278</v>
      </c>
      <c r="G122" s="25" t="n">
        <f aca="false">IF(AND(D122=1,A122&gt;=$R$2),F122,"")</f>
        <v>-0.00428693974333278</v>
      </c>
      <c r="H122" s="27" t="n">
        <f aca="false">IF(G122="","",G122^2)</f>
        <v>1.83778523629661E-005</v>
      </c>
      <c r="I122" s="25" t="n">
        <f aca="false">IF(G122="","",C122/C121-1)</f>
        <v>-0.00427776393388157</v>
      </c>
      <c r="K122" s="17" t="n">
        <f aca="false">MAX(K121,C122)</f>
        <v>378</v>
      </c>
      <c r="L122" s="25" t="n">
        <f aca="false">C122/K122-1</f>
        <v>-0.365740740740741</v>
      </c>
      <c r="M122" s="25" t="n">
        <f aca="false">IF(COUNT(G93:G122)&lt;20,"",_xlfn.STDEV.S(G93:G122)*SQRT($R$3))</f>
        <v>0.439037377725543</v>
      </c>
      <c r="N122" s="25" t="n">
        <f aca="false">IF(A122-7&lt;$R$2,"",C122/INDEX(Clean_Data!$C$2:$C$4314,MATCH(A122-7,Clean_Data!$A$2:$A$4314,1))-1)</f>
        <v>0.0534757008524474</v>
      </c>
      <c r="O122" s="25" t="n">
        <f aca="false">IF(A122-30&lt;$R$2,"",C122/INDEX(Clean_Data!$C$2:$C$4314,MATCH(A122-30,Clean_Data!$A$2:$A$4314,1))-1)</f>
        <v>-0.0574382764585627</v>
      </c>
    </row>
    <row r="123" customFormat="false" ht="15" hidden="false" customHeight="false" outlineLevel="0" collapsed="false">
      <c r="A123" s="16" t="n">
        <v>42129</v>
      </c>
      <c r="B123" s="23" t="n">
        <f aca="false">YEAR(A123)</f>
        <v>2015</v>
      </c>
      <c r="C123" s="17" t="n">
        <v>236.76</v>
      </c>
      <c r="D123" s="23" t="n">
        <f aca="false">A123-A122</f>
        <v>1</v>
      </c>
      <c r="E123" s="24" t="n">
        <f aca="false">LN(C123)</f>
        <v>5.46704696982252</v>
      </c>
      <c r="F123" s="25" t="n">
        <f aca="false">LN(C123/C122)</f>
        <v>-0.0125497439410233</v>
      </c>
      <c r="G123" s="25" t="n">
        <f aca="false">IF(AND(D123=1,A123&gt;=$R$2),F123,"")</f>
        <v>-0.0125497439410233</v>
      </c>
      <c r="H123" s="27" t="n">
        <f aca="false">IF(G123="","",G123^2)</f>
        <v>0.000157496072985252</v>
      </c>
      <c r="I123" s="25" t="n">
        <f aca="false">IF(G123="","",C123/C122-1)</f>
        <v>-0.0124713242961418</v>
      </c>
      <c r="K123" s="17" t="n">
        <f aca="false">MAX(K122,C123)</f>
        <v>378</v>
      </c>
      <c r="L123" s="25" t="n">
        <f aca="false">C123/K123-1</f>
        <v>-0.373650793650794</v>
      </c>
      <c r="M123" s="25" t="n">
        <f aca="false">IF(COUNT(G94:G123)&lt;20,"",_xlfn.STDEV.S(G94:G123)*SQRT($R$3))</f>
        <v>0.427204207388251</v>
      </c>
      <c r="N123" s="25" t="n">
        <f aca="false">IF(A123-7&lt;$R$2,"",C123/INDEX(Clean_Data!$C$2:$C$4314,MATCH(A123-7,Clean_Data!$A$2:$A$4314,1))-1)</f>
        <v>0.0492820421911009</v>
      </c>
      <c r="O123" s="25" t="n">
        <f aca="false">IF(A123-30&lt;$R$2,"",C123/INDEX(Clean_Data!$C$2:$C$4314,MATCH(A123-30,Clean_Data!$A$2:$A$4314,1))-1)</f>
        <v>-0.0945041496156348</v>
      </c>
    </row>
    <row r="124" customFormat="false" ht="15" hidden="false" customHeight="false" outlineLevel="0" collapsed="false">
      <c r="A124" s="16" t="n">
        <v>42130</v>
      </c>
      <c r="B124" s="23" t="n">
        <f aca="false">YEAR(A124)</f>
        <v>2015</v>
      </c>
      <c r="C124" s="17" t="n">
        <v>230</v>
      </c>
      <c r="D124" s="23" t="n">
        <f aca="false">A124-A123</f>
        <v>1</v>
      </c>
      <c r="E124" s="24" t="n">
        <f aca="false">LN(C124)</f>
        <v>5.4380793089232</v>
      </c>
      <c r="F124" s="25" t="n">
        <f aca="false">LN(C124/C123)</f>
        <v>-0.0289676608993289</v>
      </c>
      <c r="G124" s="25" t="n">
        <f aca="false">IF(AND(D124=1,A124&gt;=$R$2),F124,"")</f>
        <v>-0.0289676608993289</v>
      </c>
      <c r="H124" s="27" t="n">
        <f aca="false">IF(G124="","",G124^2)</f>
        <v>0.000839125377978509</v>
      </c>
      <c r="I124" s="25" t="n">
        <f aca="false">IF(G124="","",C124/C123-1)</f>
        <v>-0.0285521202905896</v>
      </c>
      <c r="K124" s="17" t="n">
        <f aca="false">MAX(K123,C124)</f>
        <v>378</v>
      </c>
      <c r="L124" s="25" t="n">
        <f aca="false">C124/K124-1</f>
        <v>-0.391534391534392</v>
      </c>
      <c r="M124" s="25" t="n">
        <f aca="false">IF(COUNT(G95:G124)&lt;20,"",_xlfn.STDEV.S(G95:G124)*SQRT($R$3))</f>
        <v>0.433687389165196</v>
      </c>
      <c r="N124" s="25" t="n">
        <f aca="false">IF(A124-7&lt;$R$2,"",C124/INDEX(Clean_Data!$C$2:$C$4314,MATCH(A124-7,Clean_Data!$A$2:$A$4314,1))-1)</f>
        <v>0.0195035460992907</v>
      </c>
      <c r="O124" s="25" t="n">
        <f aca="false">IF(A124-30&lt;$R$2,"",C124/INDEX(Clean_Data!$C$2:$C$4314,MATCH(A124-30,Clean_Data!$A$2:$A$4314,1))-1)</f>
        <v>-0.104535721238077</v>
      </c>
    </row>
    <row r="125" customFormat="false" ht="15" hidden="false" customHeight="false" outlineLevel="0" collapsed="false">
      <c r="A125" s="16" t="n">
        <v>42131</v>
      </c>
      <c r="B125" s="23" t="n">
        <f aca="false">YEAR(A125)</f>
        <v>2015</v>
      </c>
      <c r="C125" s="17" t="n">
        <v>237.99</v>
      </c>
      <c r="D125" s="23" t="n">
        <f aca="false">A125-A124</f>
        <v>1</v>
      </c>
      <c r="E125" s="24" t="n">
        <f aca="false">LN(C125)</f>
        <v>5.47222865598202</v>
      </c>
      <c r="F125" s="25" t="n">
        <f aca="false">LN(C125/C124)</f>
        <v>0.0341493470588259</v>
      </c>
      <c r="G125" s="25" t="n">
        <f aca="false">IF(AND(D125=1,A125&gt;=$R$2),F125,"")</f>
        <v>0.0341493470588259</v>
      </c>
      <c r="H125" s="27" t="n">
        <f aca="false">IF(G125="","",G125^2)</f>
        <v>0.00116617790454414</v>
      </c>
      <c r="I125" s="25" t="n">
        <f aca="false">IF(G125="","",C125/C124-1)</f>
        <v>0.0347391304347826</v>
      </c>
      <c r="K125" s="17" t="n">
        <f aca="false">MAX(K124,C125)</f>
        <v>378</v>
      </c>
      <c r="L125" s="25" t="n">
        <f aca="false">C125/K125-1</f>
        <v>-0.370396825396825</v>
      </c>
      <c r="M125" s="25" t="n">
        <f aca="false">IF(COUNT(G96:G125)&lt;20,"",_xlfn.STDEV.S(G96:G125)*SQRT($R$3))</f>
        <v>0.452501386658567</v>
      </c>
      <c r="N125" s="25" t="n">
        <f aca="false">IF(A125-7&lt;$R$2,"",C125/INDEX(Clean_Data!$C$2:$C$4314,MATCH(A125-7,Clean_Data!$A$2:$A$4314,1))-1)</f>
        <v>0.00498289768168569</v>
      </c>
      <c r="O125" s="25" t="n">
        <f aca="false">IF(A125-30&lt;$R$2,"",C125/INDEX(Clean_Data!$C$2:$C$4314,MATCH(A125-30,Clean_Data!$A$2:$A$4314,1))-1)</f>
        <v>-0.0640264285995202</v>
      </c>
    </row>
    <row r="126" customFormat="false" ht="15" hidden="false" customHeight="false" outlineLevel="0" collapsed="false">
      <c r="A126" s="16" t="n">
        <v>42132</v>
      </c>
      <c r="B126" s="23" t="n">
        <f aca="false">YEAR(A126)</f>
        <v>2015</v>
      </c>
      <c r="C126" s="17" t="n">
        <v>244.54</v>
      </c>
      <c r="D126" s="23" t="n">
        <f aca="false">A126-A125</f>
        <v>1</v>
      </c>
      <c r="E126" s="24" t="n">
        <f aca="false">LN(C126)</f>
        <v>5.49937889471604</v>
      </c>
      <c r="F126" s="25" t="n">
        <f aca="false">LN(C126/C125)</f>
        <v>0.0271502387340228</v>
      </c>
      <c r="G126" s="25" t="n">
        <f aca="false">IF(AND(D126=1,A126&gt;=$R$2),F126,"")</f>
        <v>0.0271502387340228</v>
      </c>
      <c r="H126" s="27" t="n">
        <f aca="false">IF(G126="","",G126^2)</f>
        <v>0.000737135463314431</v>
      </c>
      <c r="I126" s="25" t="n">
        <f aca="false">IF(G126="","",C126/C125-1)</f>
        <v>0.0275221647968402</v>
      </c>
      <c r="K126" s="17" t="n">
        <f aca="false">MAX(K125,C126)</f>
        <v>378</v>
      </c>
      <c r="L126" s="25" t="n">
        <f aca="false">C126/K126-1</f>
        <v>-0.353068783068783</v>
      </c>
      <c r="M126" s="25" t="n">
        <f aca="false">IF(COUNT(G97:G126)&lt;20,"",_xlfn.STDEV.S(G97:G126)*SQRT($R$3))</f>
        <v>0.451633544540442</v>
      </c>
      <c r="N126" s="25" t="n">
        <f aca="false">IF(A126-7&lt;$R$2,"",C126/INDEX(Clean_Data!$C$2:$C$4314,MATCH(A126-7,Clean_Data!$A$2:$A$4314,1))-1)</f>
        <v>0.0488976580595351</v>
      </c>
      <c r="O126" s="25" t="n">
        <f aca="false">IF(A126-30&lt;$R$2,"",C126/INDEX(Clean_Data!$C$2:$C$4314,MATCH(A126-30,Clean_Data!$A$2:$A$4314,1))-1)</f>
        <v>-0.00827317706221109</v>
      </c>
    </row>
    <row r="127" customFormat="false" ht="15" hidden="false" customHeight="false" outlineLevel="0" collapsed="false">
      <c r="A127" s="16" t="n">
        <v>42133</v>
      </c>
      <c r="B127" s="23" t="n">
        <f aca="false">YEAR(A127)</f>
        <v>2015</v>
      </c>
      <c r="C127" s="17" t="n">
        <v>242.5</v>
      </c>
      <c r="D127" s="23" t="n">
        <f aca="false">A127-A126</f>
        <v>1</v>
      </c>
      <c r="E127" s="24" t="n">
        <f aca="false">LN(C127)</f>
        <v>5.49100171037754</v>
      </c>
      <c r="F127" s="25" t="n">
        <f aca="false">LN(C127/C126)</f>
        <v>-0.00837718433850609</v>
      </c>
      <c r="G127" s="25" t="n">
        <f aca="false">IF(AND(D127=1,A127&gt;=$R$2),F127,"")</f>
        <v>-0.00837718433850609</v>
      </c>
      <c r="H127" s="27" t="n">
        <f aca="false">IF(G127="","",G127^2)</f>
        <v>7.01772174413117E-005</v>
      </c>
      <c r="I127" s="25" t="n">
        <f aca="false">IF(G127="","",C127/C126-1)</f>
        <v>-0.00834219350617482</v>
      </c>
      <c r="K127" s="17" t="n">
        <f aca="false">MAX(K126,C127)</f>
        <v>378</v>
      </c>
      <c r="L127" s="25" t="n">
        <f aca="false">C127/K127-1</f>
        <v>-0.358465608465609</v>
      </c>
      <c r="M127" s="25" t="n">
        <f aca="false">IF(COUNT(G98:G127)&lt;20,"",_xlfn.STDEV.S(G98:G127)*SQRT($R$3))</f>
        <v>0.451822432300833</v>
      </c>
      <c r="N127" s="25" t="n">
        <f aca="false">IF(A127-7&lt;$R$2,"",C127/INDEX(Clean_Data!$C$2:$C$4314,MATCH(A127-7,Clean_Data!$A$2:$A$4314,1))-1)</f>
        <v>0.0278036789014156</v>
      </c>
      <c r="O127" s="25" t="n">
        <f aca="false">IF(A127-30&lt;$R$2,"",C127/INDEX(Clean_Data!$C$2:$C$4314,MATCH(A127-30,Clean_Data!$A$2:$A$4314,1))-1)</f>
        <v>-0.00915257007436465</v>
      </c>
    </row>
    <row r="128" customFormat="false" ht="15" hidden="false" customHeight="false" outlineLevel="0" collapsed="false">
      <c r="A128" s="16" t="n">
        <v>42134</v>
      </c>
      <c r="B128" s="23" t="n">
        <f aca="false">YEAR(A128)</f>
        <v>2015</v>
      </c>
      <c r="C128" s="17" t="n">
        <v>241.57</v>
      </c>
      <c r="D128" s="23" t="n">
        <f aca="false">A128-A127</f>
        <v>1</v>
      </c>
      <c r="E128" s="24" t="n">
        <f aca="false">LN(C128)</f>
        <v>5.48715928616523</v>
      </c>
      <c r="F128" s="25" t="n">
        <f aca="false">LN(C128/C127)</f>
        <v>-0.00384242421231253</v>
      </c>
      <c r="G128" s="25" t="n">
        <f aca="false">IF(AND(D128=1,A128&gt;=$R$2),F128,"")</f>
        <v>-0.00384242421231253</v>
      </c>
      <c r="H128" s="27" t="n">
        <f aca="false">IF(G128="","",G128^2)</f>
        <v>1.47642238273656E-005</v>
      </c>
      <c r="I128" s="25" t="n">
        <f aca="false">IF(G128="","",C128/C127-1)</f>
        <v>-0.00383505154639174</v>
      </c>
      <c r="K128" s="17" t="n">
        <f aca="false">MAX(K127,C128)</f>
        <v>378</v>
      </c>
      <c r="L128" s="25" t="n">
        <f aca="false">C128/K128-1</f>
        <v>-0.360925925925926</v>
      </c>
      <c r="M128" s="25" t="n">
        <f aca="false">IF(COUNT(G99:G128)&lt;20,"",_xlfn.STDEV.S(G99:G128)*SQRT($R$3))</f>
        <v>0.436389858328152</v>
      </c>
      <c r="N128" s="25" t="n">
        <f aca="false">IF(A128-7&lt;$R$2,"",C128/INDEX(Clean_Data!$C$2:$C$4314,MATCH(A128-7,Clean_Data!$A$2:$A$4314,1))-1)</f>
        <v>0.00328100340559834</v>
      </c>
      <c r="O128" s="25" t="n">
        <f aca="false">IF(A128-30&lt;$R$2,"",C128/INDEX(Clean_Data!$C$2:$C$4314,MATCH(A128-30,Clean_Data!$A$2:$A$4314,1))-1)</f>
        <v>0.0202297491342174</v>
      </c>
    </row>
    <row r="129" customFormat="false" ht="15" hidden="false" customHeight="false" outlineLevel="0" collapsed="false">
      <c r="A129" s="16" t="n">
        <v>42135</v>
      </c>
      <c r="B129" s="23" t="n">
        <f aca="false">YEAR(A129)</f>
        <v>2015</v>
      </c>
      <c r="C129" s="17" t="n">
        <v>242.86</v>
      </c>
      <c r="D129" s="23" t="n">
        <f aca="false">A129-A128</f>
        <v>1</v>
      </c>
      <c r="E129" s="24" t="n">
        <f aca="false">LN(C129)</f>
        <v>5.49248514562567</v>
      </c>
      <c r="F129" s="25" t="n">
        <f aca="false">LN(C129/C128)</f>
        <v>0.00532585946044755</v>
      </c>
      <c r="G129" s="25" t="n">
        <f aca="false">IF(AND(D129=1,A129&gt;=$R$2),F129,"")</f>
        <v>0.00532585946044755</v>
      </c>
      <c r="H129" s="27" t="n">
        <f aca="false">IF(G129="","",G129^2)</f>
        <v>2.83647789924387E-005</v>
      </c>
      <c r="I129" s="25" t="n">
        <f aca="false">IF(G129="","",C129/C128-1)</f>
        <v>0.0053400670613073</v>
      </c>
      <c r="K129" s="17" t="n">
        <f aca="false">MAX(K128,C129)</f>
        <v>378</v>
      </c>
      <c r="L129" s="25" t="n">
        <f aca="false">C129/K129-1</f>
        <v>-0.357513227513227</v>
      </c>
      <c r="M129" s="25" t="n">
        <f aca="false">IF(COUNT(G100:G129)&lt;20,"",_xlfn.STDEV.S(G100:G129)*SQRT($R$3))</f>
        <v>0.436460986715967</v>
      </c>
      <c r="N129" s="25" t="n">
        <f aca="false">IF(A129-7&lt;$R$2,"",C129/INDEX(Clean_Data!$C$2:$C$4314,MATCH(A129-7,Clean_Data!$A$2:$A$4314,1))-1)</f>
        <v>0.0129718456725756</v>
      </c>
      <c r="O129" s="25" t="n">
        <f aca="false">IF(A129-30&lt;$R$2,"",C129/INDEX(Clean_Data!$C$2:$C$4314,MATCH(A129-30,Clean_Data!$A$2:$A$4314,1))-1)</f>
        <v>0.0208061872136522</v>
      </c>
    </row>
    <row r="130" customFormat="false" ht="15" hidden="false" customHeight="false" outlineLevel="0" collapsed="false">
      <c r="A130" s="16" t="n">
        <v>42136</v>
      </c>
      <c r="B130" s="23" t="n">
        <f aca="false">YEAR(A130)</f>
        <v>2015</v>
      </c>
      <c r="C130" s="17" t="n">
        <v>242.03</v>
      </c>
      <c r="D130" s="23" t="n">
        <f aca="false">A130-A129</f>
        <v>1</v>
      </c>
      <c r="E130" s="24" t="n">
        <f aca="false">LN(C130)</f>
        <v>5.48906168541557</v>
      </c>
      <c r="F130" s="25" t="n">
        <f aca="false">LN(C130/C129)</f>
        <v>-0.00342346021010416</v>
      </c>
      <c r="G130" s="25" t="n">
        <f aca="false">IF(AND(D130=1,A130&gt;=$R$2),F130,"")</f>
        <v>-0.00342346021010416</v>
      </c>
      <c r="H130" s="27" t="n">
        <f aca="false">IF(G130="","",G130^2)</f>
        <v>1.17200798101664E-005</v>
      </c>
      <c r="I130" s="25" t="n">
        <f aca="false">IF(G130="","",C130/C129-1)</f>
        <v>-0.00341760685168413</v>
      </c>
      <c r="K130" s="17" t="n">
        <f aca="false">MAX(K129,C130)</f>
        <v>378</v>
      </c>
      <c r="L130" s="25" t="n">
        <f aca="false">C130/K130-1</f>
        <v>-0.359708994708995</v>
      </c>
      <c r="M130" s="25" t="n">
        <f aca="false">IF(COUNT(G101:G130)&lt;20,"",_xlfn.STDEV.S(G101:G130)*SQRT($R$3))</f>
        <v>0.436632912865902</v>
      </c>
      <c r="N130" s="25" t="n">
        <f aca="false">IF(A130-7&lt;$R$2,"",C130/INDEX(Clean_Data!$C$2:$C$4314,MATCH(A130-7,Clean_Data!$A$2:$A$4314,1))-1)</f>
        <v>0.022258827504646</v>
      </c>
      <c r="O130" s="25" t="n">
        <f aca="false">IF(A130-30&lt;$R$2,"",C130/INDEX(Clean_Data!$C$2:$C$4314,MATCH(A130-30,Clean_Data!$A$2:$A$4314,1))-1)</f>
        <v>0.0188591875394653</v>
      </c>
    </row>
    <row r="131" customFormat="false" ht="15" hidden="false" customHeight="false" outlineLevel="0" collapsed="false">
      <c r="A131" s="16" t="n">
        <v>42137</v>
      </c>
      <c r="B131" s="23" t="n">
        <f aca="false">YEAR(A131)</f>
        <v>2015</v>
      </c>
      <c r="C131" s="17" t="n">
        <v>236.32</v>
      </c>
      <c r="D131" s="23" t="n">
        <f aca="false">A131-A130</f>
        <v>1</v>
      </c>
      <c r="E131" s="24" t="n">
        <f aca="false">LN(C131)</f>
        <v>5.46518681878307</v>
      </c>
      <c r="F131" s="25" t="n">
        <f aca="false">LN(C131/C130)</f>
        <v>-0.0238748666324991</v>
      </c>
      <c r="G131" s="25" t="n">
        <f aca="false">IF(AND(D131=1,A131&gt;=$R$2),F131,"")</f>
        <v>-0.0238748666324991</v>
      </c>
      <c r="H131" s="27" t="n">
        <f aca="false">IF(G131="","",G131^2)</f>
        <v>0.00057000925671962</v>
      </c>
      <c r="I131" s="25" t="n">
        <f aca="false">IF(G131="","",C131/C130-1)</f>
        <v>-0.0235921166797505</v>
      </c>
      <c r="K131" s="17" t="n">
        <f aca="false">MAX(K130,C131)</f>
        <v>378</v>
      </c>
      <c r="L131" s="25" t="n">
        <f aca="false">C131/K131-1</f>
        <v>-0.374814814814815</v>
      </c>
      <c r="M131" s="25" t="n">
        <f aca="false">IF(COUNT(G102:G131)&lt;20,"",_xlfn.STDEV.S(G102:G131)*SQRT($R$3))</f>
        <v>0.405340517402449</v>
      </c>
      <c r="N131" s="25" t="n">
        <f aca="false">IF(A131-7&lt;$R$2,"",C131/INDEX(Clean_Data!$C$2:$C$4314,MATCH(A131-7,Clean_Data!$A$2:$A$4314,1))-1)</f>
        <v>0.0274782608695652</v>
      </c>
      <c r="O131" s="25" t="n">
        <f aca="false">IF(A131-30&lt;$R$2,"",C131/INDEX(Clean_Data!$C$2:$C$4314,MATCH(A131-30,Clean_Data!$A$2:$A$4314,1))-1)</f>
        <v>0.0469144553227308</v>
      </c>
    </row>
    <row r="132" customFormat="false" ht="15" hidden="false" customHeight="false" outlineLevel="0" collapsed="false">
      <c r="A132" s="16" t="n">
        <v>42138</v>
      </c>
      <c r="B132" s="23" t="n">
        <f aca="false">YEAR(A132)</f>
        <v>2015</v>
      </c>
      <c r="C132" s="17" t="n">
        <v>237.46</v>
      </c>
      <c r="D132" s="23" t="n">
        <f aca="false">A132-A131</f>
        <v>1</v>
      </c>
      <c r="E132" s="24" t="n">
        <f aca="false">LN(C132)</f>
        <v>5.46999918823765</v>
      </c>
      <c r="F132" s="25" t="n">
        <f aca="false">LN(C132/C131)</f>
        <v>0.00481236945457667</v>
      </c>
      <c r="G132" s="25" t="n">
        <f aca="false">IF(AND(D132=1,A132&gt;=$R$2),F132,"")</f>
        <v>0.00481236945457667</v>
      </c>
      <c r="H132" s="27" t="n">
        <f aca="false">IF(G132="","",G132^2)</f>
        <v>2.31588997673426E-005</v>
      </c>
      <c r="I132" s="25" t="n">
        <f aca="false">IF(G132="","",C132/C131-1)</f>
        <v>0.00482396750169278</v>
      </c>
      <c r="K132" s="17" t="n">
        <f aca="false">MAX(K131,C132)</f>
        <v>378</v>
      </c>
      <c r="L132" s="25" t="n">
        <f aca="false">C132/K132-1</f>
        <v>-0.371798941798942</v>
      </c>
      <c r="M132" s="25" t="n">
        <f aca="false">IF(COUNT(G103:G132)&lt;20,"",_xlfn.STDEV.S(G103:G132)*SQRT($R$3))</f>
        <v>0.397238454062752</v>
      </c>
      <c r="N132" s="25" t="n">
        <f aca="false">IF(A132-7&lt;$R$2,"",C132/INDEX(Clean_Data!$C$2:$C$4314,MATCH(A132-7,Clean_Data!$A$2:$A$4314,1))-1)</f>
        <v>-0.00222698432707258</v>
      </c>
      <c r="O132" s="25" t="n">
        <f aca="false">IF(A132-30&lt;$R$2,"",C132/INDEX(Clean_Data!$C$2:$C$4314,MATCH(A132-30,Clean_Data!$A$2:$A$4314,1))-1)</f>
        <v>0.0742365980547388</v>
      </c>
    </row>
    <row r="133" customFormat="false" ht="15" hidden="false" customHeight="false" outlineLevel="0" collapsed="false">
      <c r="A133" s="16" t="n">
        <v>42139</v>
      </c>
      <c r="B133" s="23" t="n">
        <f aca="false">YEAR(A133)</f>
        <v>2015</v>
      </c>
      <c r="C133" s="17" t="n">
        <v>237.82</v>
      </c>
      <c r="D133" s="23" t="n">
        <f aca="false">A133-A132</f>
        <v>1</v>
      </c>
      <c r="E133" s="24" t="n">
        <f aca="false">LN(C133)</f>
        <v>5.47151408500943</v>
      </c>
      <c r="F133" s="25" t="n">
        <f aca="false">LN(C133/C132)</f>
        <v>0.00151489677178646</v>
      </c>
      <c r="G133" s="25" t="n">
        <f aca="false">IF(AND(D133=1,A133&gt;=$R$2),F133,"")</f>
        <v>0.00151489677178646</v>
      </c>
      <c r="H133" s="27" t="n">
        <f aca="false">IF(G133="","",G133^2)</f>
        <v>2.29491222916905E-006</v>
      </c>
      <c r="I133" s="25" t="n">
        <f aca="false">IF(G133="","",C133/C132-1)</f>
        <v>0.00151604480754641</v>
      </c>
      <c r="K133" s="17" t="n">
        <f aca="false">MAX(K132,C133)</f>
        <v>378</v>
      </c>
      <c r="L133" s="25" t="n">
        <f aca="false">C133/K133-1</f>
        <v>-0.370846560846561</v>
      </c>
      <c r="M133" s="25" t="n">
        <f aca="false">IF(COUNT(G104:G133)&lt;20,"",_xlfn.STDEV.S(G104:G133)*SQRT($R$3))</f>
        <v>0.394700697708476</v>
      </c>
      <c r="N133" s="25" t="n">
        <f aca="false">IF(A133-7&lt;$R$2,"",C133/INDEX(Clean_Data!$C$2:$C$4314,MATCH(A133-7,Clean_Data!$A$2:$A$4314,1))-1)</f>
        <v>-0.0274801668438701</v>
      </c>
      <c r="O133" s="25" t="n">
        <f aca="false">IF(A133-30&lt;$R$2,"",C133/INDEX(Clean_Data!$C$2:$C$4314,MATCH(A133-30,Clean_Data!$A$2:$A$4314,1))-1)</f>
        <v>0.0600401158903499</v>
      </c>
    </row>
    <row r="134" customFormat="false" ht="15" hidden="false" customHeight="false" outlineLevel="0" collapsed="false">
      <c r="A134" s="16" t="n">
        <v>42140</v>
      </c>
      <c r="B134" s="23" t="n">
        <f aca="false">YEAR(A134)</f>
        <v>2015</v>
      </c>
      <c r="C134" s="17" t="n">
        <v>236.73</v>
      </c>
      <c r="D134" s="23" t="n">
        <f aca="false">A134-A133</f>
        <v>1</v>
      </c>
      <c r="E134" s="24" t="n">
        <f aca="false">LN(C134)</f>
        <v>5.46692025120105</v>
      </c>
      <c r="F134" s="25" t="n">
        <f aca="false">LN(C134/C133)</f>
        <v>-0.00459383380837949</v>
      </c>
      <c r="G134" s="25" t="n">
        <f aca="false">IF(AND(D134=1,A134&gt;=$R$2),F134,"")</f>
        <v>-0.00459383380837949</v>
      </c>
      <c r="H134" s="27" t="n">
        <f aca="false">IF(G134="","",G134^2)</f>
        <v>2.11033090590104E-005</v>
      </c>
      <c r="I134" s="25" t="n">
        <f aca="false">IF(G134="","",C134/C133-1)</f>
        <v>-0.00458329829282655</v>
      </c>
      <c r="K134" s="17" t="n">
        <f aca="false">MAX(K133,C134)</f>
        <v>378</v>
      </c>
      <c r="L134" s="25" t="n">
        <f aca="false">C134/K134-1</f>
        <v>-0.373730158730159</v>
      </c>
      <c r="M134" s="25" t="n">
        <f aca="false">IF(COUNT(G105:G134)&lt;20,"",_xlfn.STDEV.S(G105:G134)*SQRT($R$3))</f>
        <v>0.38821647480698</v>
      </c>
      <c r="N134" s="25" t="n">
        <f aca="false">IF(A134-7&lt;$R$2,"",C134/INDEX(Clean_Data!$C$2:$C$4314,MATCH(A134-7,Clean_Data!$A$2:$A$4314,1))-1)</f>
        <v>-0.0237938144329898</v>
      </c>
      <c r="O134" s="25" t="n">
        <f aca="false">IF(A134-30&lt;$R$2,"",C134/INDEX(Clean_Data!$C$2:$C$4314,MATCH(A134-30,Clean_Data!$A$2:$A$4314,1))-1)</f>
        <v>0.0317280453257791</v>
      </c>
    </row>
    <row r="135" customFormat="false" ht="15" hidden="false" customHeight="false" outlineLevel="0" collapsed="false">
      <c r="A135" s="16" t="n">
        <v>42141</v>
      </c>
      <c r="B135" s="23" t="n">
        <f aca="false">YEAR(A135)</f>
        <v>2015</v>
      </c>
      <c r="C135" s="17" t="n">
        <v>237.12</v>
      </c>
      <c r="D135" s="23" t="n">
        <f aca="false">A135-A134</f>
        <v>1</v>
      </c>
      <c r="E135" s="24" t="n">
        <f aca="false">LN(C135)</f>
        <v>5.46856634210772</v>
      </c>
      <c r="F135" s="25" t="n">
        <f aca="false">LN(C135/C134)</f>
        <v>0.00164609090666872</v>
      </c>
      <c r="G135" s="25" t="n">
        <f aca="false">IF(AND(D135=1,A135&gt;=$R$2),F135,"")</f>
        <v>0.00164609090666872</v>
      </c>
      <c r="H135" s="27" t="n">
        <f aca="false">IF(G135="","",G135^2)</f>
        <v>2.70961527301744E-006</v>
      </c>
      <c r="I135" s="25" t="n">
        <f aca="false">IF(G135="","",C135/C134-1)</f>
        <v>0.00164744645799009</v>
      </c>
      <c r="K135" s="17" t="n">
        <f aca="false">MAX(K134,C135)</f>
        <v>378</v>
      </c>
      <c r="L135" s="25" t="n">
        <f aca="false">C135/K135-1</f>
        <v>-0.372698412698413</v>
      </c>
      <c r="M135" s="25" t="n">
        <f aca="false">IF(COUNT(G106:G135)&lt;20,"",_xlfn.STDEV.S(G106:G135)*SQRT($R$3))</f>
        <v>0.376001175886057</v>
      </c>
      <c r="N135" s="25" t="n">
        <f aca="false">IF(A135-7&lt;$R$2,"",C135/INDEX(Clean_Data!$C$2:$C$4314,MATCH(A135-7,Clean_Data!$A$2:$A$4314,1))-1)</f>
        <v>-0.0184211615680755</v>
      </c>
      <c r="O135" s="25" t="n">
        <f aca="false">IF(A135-30&lt;$R$2,"",C135/INDEX(Clean_Data!$C$2:$C$4314,MATCH(A135-30,Clean_Data!$A$2:$A$4314,1))-1)</f>
        <v>0.0603702709954388</v>
      </c>
    </row>
    <row r="136" customFormat="false" ht="15" hidden="false" customHeight="false" outlineLevel="0" collapsed="false">
      <c r="A136" s="16" t="n">
        <v>42142</v>
      </c>
      <c r="B136" s="23" t="n">
        <f aca="false">YEAR(A136)</f>
        <v>2015</v>
      </c>
      <c r="C136" s="17" t="n">
        <v>234.04</v>
      </c>
      <c r="D136" s="23" t="n">
        <f aca="false">A136-A135</f>
        <v>1</v>
      </c>
      <c r="E136" s="24" t="n">
        <f aca="false">LN(C136)</f>
        <v>5.45549204092004</v>
      </c>
      <c r="F136" s="25" t="n">
        <f aca="false">LN(C136/C135)</f>
        <v>-0.0130743011876868</v>
      </c>
      <c r="G136" s="25" t="n">
        <f aca="false">IF(AND(D136=1,A136&gt;=$R$2),F136,"")</f>
        <v>-0.0130743011876868</v>
      </c>
      <c r="H136" s="27" t="n">
        <f aca="false">IF(G136="","",G136^2)</f>
        <v>0.000170937351546348</v>
      </c>
      <c r="I136" s="25" t="n">
        <f aca="false">IF(G136="","",C136/C135-1)</f>
        <v>-0.0129892037786775</v>
      </c>
      <c r="K136" s="17" t="n">
        <f aca="false">MAX(K135,C136)</f>
        <v>378</v>
      </c>
      <c r="L136" s="25" t="n">
        <f aca="false">C136/K136-1</f>
        <v>-0.380846560846561</v>
      </c>
      <c r="M136" s="25" t="n">
        <f aca="false">IF(COUNT(G107:G136)&lt;20,"",_xlfn.STDEV.S(G107:G136)*SQRT($R$3))</f>
        <v>0.379639885801678</v>
      </c>
      <c r="N136" s="25" t="n">
        <f aca="false">IF(A136-7&lt;$R$2,"",C136/INDEX(Clean_Data!$C$2:$C$4314,MATCH(A136-7,Clean_Data!$A$2:$A$4314,1))-1)</f>
        <v>-0.0363172197974142</v>
      </c>
      <c r="O136" s="25" t="n">
        <f aca="false">IF(A136-30&lt;$R$2,"",C136/INDEX(Clean_Data!$C$2:$C$4314,MATCH(A136-30,Clean_Data!$A$2:$A$4314,1))-1)</f>
        <v>0.0447281492723863</v>
      </c>
    </row>
    <row r="137" customFormat="false" ht="15" hidden="false" customHeight="false" outlineLevel="0" collapsed="false">
      <c r="A137" s="16" t="n">
        <v>42143</v>
      </c>
      <c r="B137" s="23" t="n">
        <f aca="false">YEAR(A137)</f>
        <v>2015</v>
      </c>
      <c r="C137" s="17" t="n">
        <v>232.59</v>
      </c>
      <c r="D137" s="23" t="n">
        <f aca="false">A137-A136</f>
        <v>1</v>
      </c>
      <c r="E137" s="24" t="n">
        <f aca="false">LN(C137)</f>
        <v>5.44927724689898</v>
      </c>
      <c r="F137" s="25" t="n">
        <f aca="false">LN(C137/C136)</f>
        <v>-0.00621479402105799</v>
      </c>
      <c r="G137" s="25" t="n">
        <f aca="false">IF(AND(D137=1,A137&gt;=$R$2),F137,"")</f>
        <v>-0.00621479402105799</v>
      </c>
      <c r="H137" s="27" t="n">
        <f aca="false">IF(G137="","",G137^2)</f>
        <v>3.86236647241781E-005</v>
      </c>
      <c r="I137" s="25" t="n">
        <f aca="false">IF(G137="","",C137/C136-1)</f>
        <v>-0.0061955221329687</v>
      </c>
      <c r="K137" s="17" t="n">
        <f aca="false">MAX(K136,C137)</f>
        <v>378</v>
      </c>
      <c r="L137" s="25" t="n">
        <f aca="false">C137/K137-1</f>
        <v>-0.38468253968254</v>
      </c>
      <c r="M137" s="25" t="n">
        <f aca="false">IF(COUNT(G108:G137)&lt;20,"",_xlfn.STDEV.S(G108:G137)*SQRT($R$3))</f>
        <v>0.380560012339087</v>
      </c>
      <c r="N137" s="25" t="n">
        <f aca="false">IF(A137-7&lt;$R$2,"",C137/INDEX(Clean_Data!$C$2:$C$4314,MATCH(A137-7,Clean_Data!$A$2:$A$4314,1))-1)</f>
        <v>-0.0390034293269429</v>
      </c>
      <c r="O137" s="25" t="n">
        <f aca="false">IF(A137-30&lt;$R$2,"",C137/INDEX(Clean_Data!$C$2:$C$4314,MATCH(A137-30,Clean_Data!$A$2:$A$4314,1))-1)</f>
        <v>0.0382091684149444</v>
      </c>
    </row>
    <row r="138" customFormat="false" ht="15" hidden="false" customHeight="false" outlineLevel="0" collapsed="false">
      <c r="A138" s="16" t="n">
        <v>42144</v>
      </c>
      <c r="B138" s="23" t="n">
        <f aca="false">YEAR(A138)</f>
        <v>2015</v>
      </c>
      <c r="C138" s="17" t="n">
        <v>234.54</v>
      </c>
      <c r="D138" s="23" t="n">
        <f aca="false">A138-A137</f>
        <v>1</v>
      </c>
      <c r="E138" s="24" t="n">
        <f aca="false">LN(C138)</f>
        <v>5.45762614903292</v>
      </c>
      <c r="F138" s="25" t="n">
        <f aca="false">LN(C138/C137)</f>
        <v>0.00834890213394102</v>
      </c>
      <c r="G138" s="25" t="n">
        <f aca="false">IF(AND(D138=1,A138&gt;=$R$2),F138,"")</f>
        <v>0.00834890213394102</v>
      </c>
      <c r="H138" s="27" t="n">
        <f aca="false">IF(G138="","",G138^2)</f>
        <v>6.97041668421249E-005</v>
      </c>
      <c r="I138" s="25" t="n">
        <f aca="false">IF(G138="","",C138/C137-1)</f>
        <v>0.00838385141235643</v>
      </c>
      <c r="K138" s="17" t="n">
        <f aca="false">MAX(K137,C138)</f>
        <v>378</v>
      </c>
      <c r="L138" s="25" t="n">
        <f aca="false">C138/K138-1</f>
        <v>-0.37952380952381</v>
      </c>
      <c r="M138" s="25" t="n">
        <f aca="false">IF(COUNT(G109:G138)&lt;20,"",_xlfn.STDEV.S(G109:G138)*SQRT($R$3))</f>
        <v>0.381022550553519</v>
      </c>
      <c r="N138" s="25" t="n">
        <f aca="false">IF(A138-7&lt;$R$2,"",C138/INDEX(Clean_Data!$C$2:$C$4314,MATCH(A138-7,Clean_Data!$A$2:$A$4314,1))-1)</f>
        <v>-0.00753215978334465</v>
      </c>
      <c r="O138" s="25" t="n">
        <f aca="false">IF(A138-30&lt;$R$2,"",C138/INDEX(Clean_Data!$C$2:$C$4314,MATCH(A138-30,Clean_Data!$A$2:$A$4314,1))-1)</f>
        <v>0.0406886453387763</v>
      </c>
    </row>
    <row r="139" customFormat="false" ht="15" hidden="false" customHeight="false" outlineLevel="0" collapsed="false">
      <c r="A139" s="16" t="n">
        <v>42145</v>
      </c>
      <c r="B139" s="23" t="n">
        <f aca="false">YEAR(A139)</f>
        <v>2015</v>
      </c>
      <c r="C139" s="17" t="n">
        <v>235.77</v>
      </c>
      <c r="D139" s="23" t="n">
        <f aca="false">A139-A138</f>
        <v>1</v>
      </c>
      <c r="E139" s="24" t="n">
        <f aca="false">LN(C139)</f>
        <v>5.46285675354619</v>
      </c>
      <c r="F139" s="25" t="n">
        <f aca="false">LN(C139/C138)</f>
        <v>0.00523060451327499</v>
      </c>
      <c r="G139" s="25" t="n">
        <f aca="false">IF(AND(D139=1,A139&gt;=$R$2),F139,"")</f>
        <v>0.00523060451327499</v>
      </c>
      <c r="H139" s="27" t="n">
        <f aca="false">IF(G139="","",G139^2)</f>
        <v>2.73592235742926E-005</v>
      </c>
      <c r="I139" s="25" t="n">
        <f aca="false">IF(G139="","",C139/C138-1)</f>
        <v>0.00524430800716313</v>
      </c>
      <c r="K139" s="17" t="n">
        <f aca="false">MAX(K138,C139)</f>
        <v>378</v>
      </c>
      <c r="L139" s="25" t="n">
        <f aca="false">C139/K139-1</f>
        <v>-0.376269841269841</v>
      </c>
      <c r="M139" s="25" t="n">
        <f aca="false">IF(COUNT(G110:G139)&lt;20,"",_xlfn.STDEV.S(G110:G139)*SQRT($R$3))</f>
        <v>0.346400242989483</v>
      </c>
      <c r="N139" s="25" t="n">
        <f aca="false">IF(A139-7&lt;$R$2,"",C139/INDEX(Clean_Data!$C$2:$C$4314,MATCH(A139-7,Clean_Data!$A$2:$A$4314,1))-1)</f>
        <v>-0.00711698812431572</v>
      </c>
      <c r="O139" s="25" t="n">
        <f aca="false">IF(A139-30&lt;$R$2,"",C139/INDEX(Clean_Data!$C$2:$C$4314,MATCH(A139-30,Clean_Data!$A$2:$A$4314,1))-1)</f>
        <v>-0.000508711687650876</v>
      </c>
    </row>
    <row r="140" customFormat="false" ht="15" hidden="false" customHeight="false" outlineLevel="0" collapsed="false">
      <c r="A140" s="16" t="n">
        <v>42146</v>
      </c>
      <c r="B140" s="23" t="n">
        <f aca="false">YEAR(A140)</f>
        <v>2015</v>
      </c>
      <c r="C140" s="17" t="n">
        <v>240.45</v>
      </c>
      <c r="D140" s="23" t="n">
        <f aca="false">A140-A139</f>
        <v>1</v>
      </c>
      <c r="E140" s="24" t="n">
        <f aca="false">LN(C140)</f>
        <v>5.48251216772367</v>
      </c>
      <c r="F140" s="25" t="n">
        <f aca="false">LN(C140/C139)</f>
        <v>0.0196554141774783</v>
      </c>
      <c r="G140" s="25" t="n">
        <f aca="false">IF(AND(D140=1,A140&gt;=$R$2),F140,"")</f>
        <v>0.0196554141774783</v>
      </c>
      <c r="H140" s="27" t="n">
        <f aca="false">IF(G140="","",G140^2)</f>
        <v>0.000386335306488214</v>
      </c>
      <c r="I140" s="25" t="n">
        <f aca="false">IF(G140="","",C140/C139-1)</f>
        <v>0.0198498536709504</v>
      </c>
      <c r="K140" s="17" t="n">
        <f aca="false">MAX(K139,C140)</f>
        <v>378</v>
      </c>
      <c r="L140" s="25" t="n">
        <f aca="false">C140/K140-1</f>
        <v>-0.363888888888889</v>
      </c>
      <c r="M140" s="25" t="n">
        <f aca="false">IF(COUNT(G111:G140)&lt;20,"",_xlfn.STDEV.S(G111:G140)*SQRT($R$3))</f>
        <v>0.351726728815787</v>
      </c>
      <c r="N140" s="25" t="n">
        <f aca="false">IF(A140-7&lt;$R$2,"",C140/INDEX(Clean_Data!$C$2:$C$4314,MATCH(A140-7,Clean_Data!$A$2:$A$4314,1))-1)</f>
        <v>0.0110587839542511</v>
      </c>
      <c r="O140" s="25" t="n">
        <f aca="false">IF(A140-30&lt;$R$2,"",C140/INDEX(Clean_Data!$C$2:$C$4314,MATCH(A140-30,Clean_Data!$A$2:$A$4314,1))-1)</f>
        <v>0.0276519360629113</v>
      </c>
    </row>
    <row r="141" customFormat="false" ht="15" hidden="false" customHeight="false" outlineLevel="0" collapsed="false">
      <c r="A141" s="16" t="n">
        <v>42147</v>
      </c>
      <c r="B141" s="23" t="n">
        <f aca="false">YEAR(A141)</f>
        <v>2015</v>
      </c>
      <c r="C141" s="17" t="n">
        <v>239.36</v>
      </c>
      <c r="D141" s="23" t="n">
        <f aca="false">A141-A140</f>
        <v>1</v>
      </c>
      <c r="E141" s="24" t="n">
        <f aca="false">LN(C141)</f>
        <v>5.47796869478611</v>
      </c>
      <c r="F141" s="25" t="n">
        <f aca="false">LN(C141/C140)</f>
        <v>-0.00454347293755915</v>
      </c>
      <c r="G141" s="25" t="n">
        <f aca="false">IF(AND(D141=1,A141&gt;=$R$2),F141,"")</f>
        <v>-0.00454347293755915</v>
      </c>
      <c r="H141" s="27" t="n">
        <f aca="false">IF(G141="","",G141^2)</f>
        <v>2.06431463343324E-005</v>
      </c>
      <c r="I141" s="25" t="n">
        <f aca="false">IF(G141="","",C141/C140-1)</f>
        <v>-0.00453316697858175</v>
      </c>
      <c r="K141" s="17" t="n">
        <f aca="false">MAX(K140,C141)</f>
        <v>378</v>
      </c>
      <c r="L141" s="25" t="n">
        <f aca="false">C141/K141-1</f>
        <v>-0.366772486772487</v>
      </c>
      <c r="M141" s="25" t="n">
        <f aca="false">IF(COUNT(G112:G141)&lt;20,"",_xlfn.STDEV.S(G112:G141)*SQRT($R$3))</f>
        <v>0.351110244995748</v>
      </c>
      <c r="N141" s="25" t="n">
        <f aca="false">IF(A141-7&lt;$R$2,"",C141/INDEX(Clean_Data!$C$2:$C$4314,MATCH(A141-7,Clean_Data!$A$2:$A$4314,1))-1)</f>
        <v>0.0111097030372156</v>
      </c>
      <c r="O141" s="25" t="n">
        <f aca="false">IF(A141-30&lt;$R$2,"",C141/INDEX(Clean_Data!$C$2:$C$4314,MATCH(A141-30,Clean_Data!$A$2:$A$4314,1))-1)</f>
        <v>0.0142802661129708</v>
      </c>
    </row>
    <row r="142" customFormat="false" ht="15" hidden="false" customHeight="false" outlineLevel="0" collapsed="false">
      <c r="A142" s="16" t="n">
        <v>42148</v>
      </c>
      <c r="B142" s="23" t="n">
        <f aca="false">YEAR(A142)</f>
        <v>2015</v>
      </c>
      <c r="C142" s="17" t="n">
        <v>240.82</v>
      </c>
      <c r="D142" s="23" t="n">
        <f aca="false">A142-A141</f>
        <v>1</v>
      </c>
      <c r="E142" s="24" t="n">
        <f aca="false">LN(C142)</f>
        <v>5.48404976646407</v>
      </c>
      <c r="F142" s="25" t="n">
        <f aca="false">LN(C142/C141)</f>
        <v>0.00608107167796054</v>
      </c>
      <c r="G142" s="25" t="n">
        <f aca="false">IF(AND(D142=1,A142&gt;=$R$2),F142,"")</f>
        <v>0.00608107167796054</v>
      </c>
      <c r="H142" s="27" t="n">
        <f aca="false">IF(G142="","",G142^2)</f>
        <v>3.69794327524938E-005</v>
      </c>
      <c r="I142" s="25" t="n">
        <f aca="false">IF(G142="","",C142/C141-1)</f>
        <v>0.00609959893048129</v>
      </c>
      <c r="K142" s="17" t="n">
        <f aca="false">MAX(K141,C142)</f>
        <v>378</v>
      </c>
      <c r="L142" s="25" t="n">
        <f aca="false">C142/K142-1</f>
        <v>-0.362910052910053</v>
      </c>
      <c r="M142" s="25" t="n">
        <f aca="false">IF(COUNT(G113:G142)&lt;20,"",_xlfn.STDEV.S(G113:G142)*SQRT($R$3))</f>
        <v>0.344314518634335</v>
      </c>
      <c r="N142" s="25" t="n">
        <f aca="false">IF(A142-7&lt;$R$2,"",C142/INDEX(Clean_Data!$C$2:$C$4314,MATCH(A142-7,Clean_Data!$A$2:$A$4314,1))-1)</f>
        <v>0.0156039136302293</v>
      </c>
      <c r="O142" s="25" t="n">
        <f aca="false">IF(A142-30&lt;$R$2,"",C142/INDEX(Clean_Data!$C$2:$C$4314,MATCH(A142-30,Clean_Data!$A$2:$A$4314,1))-1)</f>
        <v>0.0402142456049415</v>
      </c>
    </row>
    <row r="143" customFormat="false" ht="15" hidden="false" customHeight="false" outlineLevel="0" collapsed="false">
      <c r="A143" s="16" t="n">
        <v>42149</v>
      </c>
      <c r="B143" s="23" t="n">
        <f aca="false">YEAR(A143)</f>
        <v>2015</v>
      </c>
      <c r="C143" s="17" t="n">
        <v>237.43</v>
      </c>
      <c r="D143" s="23" t="n">
        <f aca="false">A143-A142</f>
        <v>1</v>
      </c>
      <c r="E143" s="24" t="n">
        <f aca="false">LN(C143)</f>
        <v>5.46987284318915</v>
      </c>
      <c r="F143" s="25" t="n">
        <f aca="false">LN(C143/C142)</f>
        <v>-0.0141769232749218</v>
      </c>
      <c r="G143" s="25" t="n">
        <f aca="false">IF(AND(D143=1,A143&gt;=$R$2),F143,"")</f>
        <v>-0.0141769232749218</v>
      </c>
      <c r="H143" s="27" t="n">
        <f aca="false">IF(G143="","",G143^2)</f>
        <v>0.000200985153543019</v>
      </c>
      <c r="I143" s="25" t="n">
        <f aca="false">IF(G143="","",C143/C142-1)</f>
        <v>-0.0140769039116352</v>
      </c>
      <c r="K143" s="17" t="n">
        <f aca="false">MAX(K142,C143)</f>
        <v>378</v>
      </c>
      <c r="L143" s="25" t="n">
        <f aca="false">C143/K143-1</f>
        <v>-0.371878306878307</v>
      </c>
      <c r="M143" s="25" t="n">
        <f aca="false">IF(COUNT(G114:G143)&lt;20,"",_xlfn.STDEV.S(G114:G143)*SQRT($R$3))</f>
        <v>0.340783131222183</v>
      </c>
      <c r="N143" s="25" t="n">
        <f aca="false">IF(A143-7&lt;$R$2,"",C143/INDEX(Clean_Data!$C$2:$C$4314,MATCH(A143-7,Clean_Data!$A$2:$A$4314,1))-1)</f>
        <v>0.0144847034694924</v>
      </c>
      <c r="O143" s="25" t="n">
        <f aca="false">IF(A143-30&lt;$R$2,"",C143/INDEX(Clean_Data!$C$2:$C$4314,MATCH(A143-30,Clean_Data!$A$2:$A$4314,1))-1)</f>
        <v>0.045716802466417</v>
      </c>
    </row>
    <row r="144" customFormat="false" ht="15" hidden="false" customHeight="false" outlineLevel="0" collapsed="false">
      <c r="A144" s="16" t="n">
        <v>42150</v>
      </c>
      <c r="B144" s="23" t="n">
        <f aca="false">YEAR(A144)</f>
        <v>2015</v>
      </c>
      <c r="C144" s="17" t="n">
        <v>236.79</v>
      </c>
      <c r="D144" s="23" t="n">
        <f aca="false">A144-A143</f>
        <v>1</v>
      </c>
      <c r="E144" s="24" t="n">
        <f aca="false">LN(C144)</f>
        <v>5.46717367238842</v>
      </c>
      <c r="F144" s="25" t="n">
        <f aca="false">LN(C144/C143)</f>
        <v>-0.00269917080073042</v>
      </c>
      <c r="G144" s="25" t="n">
        <f aca="false">IF(AND(D144=1,A144&gt;=$R$2),F144,"")</f>
        <v>-0.00269917080073042</v>
      </c>
      <c r="H144" s="27" t="n">
        <f aca="false">IF(G144="","",G144^2)</f>
        <v>7.28552301151572E-006</v>
      </c>
      <c r="I144" s="25" t="n">
        <f aca="false">IF(G144="","",C144/C143-1)</f>
        <v>-0.00269553131449274</v>
      </c>
      <c r="K144" s="17" t="n">
        <f aca="false">MAX(K143,C144)</f>
        <v>378</v>
      </c>
      <c r="L144" s="25" t="n">
        <f aca="false">C144/K144-1</f>
        <v>-0.373571428571429</v>
      </c>
      <c r="M144" s="25" t="n">
        <f aca="false">IF(COUNT(G115:G144)&lt;20,"",_xlfn.STDEV.S(G115:G144)*SQRT($R$3))</f>
        <v>0.32675075295631</v>
      </c>
      <c r="N144" s="25" t="n">
        <f aca="false">IF(A144-7&lt;$R$2,"",C144/INDEX(Clean_Data!$C$2:$C$4314,MATCH(A144-7,Clean_Data!$A$2:$A$4314,1))-1)</f>
        <v>0.0180575261189218</v>
      </c>
      <c r="O144" s="25" t="n">
        <f aca="false">IF(A144-30&lt;$R$2,"",C144/INDEX(Clean_Data!$C$2:$C$4314,MATCH(A144-30,Clean_Data!$A$2:$A$4314,1))-1)</f>
        <v>0.0701405522664618</v>
      </c>
    </row>
    <row r="145" customFormat="false" ht="15" hidden="false" customHeight="false" outlineLevel="0" collapsed="false">
      <c r="A145" s="16" t="n">
        <v>42151</v>
      </c>
      <c r="B145" s="23" t="n">
        <f aca="false">YEAR(A145)</f>
        <v>2015</v>
      </c>
      <c r="C145" s="17" t="n">
        <v>237.35</v>
      </c>
      <c r="D145" s="23" t="n">
        <f aca="false">A145-A144</f>
        <v>1</v>
      </c>
      <c r="E145" s="24" t="n">
        <f aca="false">LN(C145)</f>
        <v>5.46953584499733</v>
      </c>
      <c r="F145" s="25" t="n">
        <f aca="false">LN(C145/C144)</f>
        <v>0.00236217260890635</v>
      </c>
      <c r="G145" s="25" t="n">
        <f aca="false">IF(AND(D145=1,A145&gt;=$R$2),F145,"")</f>
        <v>0.00236217260890635</v>
      </c>
      <c r="H145" s="27" t="n">
        <f aca="false">IF(G145="","",G145^2)</f>
        <v>5.57985943426744E-006</v>
      </c>
      <c r="I145" s="25" t="n">
        <f aca="false">IF(G145="","",C145/C144-1)</f>
        <v>0.00236496473668657</v>
      </c>
      <c r="K145" s="17" t="n">
        <f aca="false">MAX(K144,C145)</f>
        <v>378</v>
      </c>
      <c r="L145" s="25" t="n">
        <f aca="false">C145/K145-1</f>
        <v>-0.372089947089947</v>
      </c>
      <c r="M145" s="25" t="n">
        <f aca="false">IF(COUNT(G116:G145)&lt;20,"",_xlfn.STDEV.S(G116:G145)*SQRT($R$3))</f>
        <v>0.313164443570565</v>
      </c>
      <c r="N145" s="25" t="n">
        <f aca="false">IF(A145-7&lt;$R$2,"",C145/INDEX(Clean_Data!$C$2:$C$4314,MATCH(A145-7,Clean_Data!$A$2:$A$4314,1))-1)</f>
        <v>0.0119808987805918</v>
      </c>
      <c r="O145" s="25" t="n">
        <f aca="false">IF(A145-30&lt;$R$2,"",C145/INDEX(Clean_Data!$C$2:$C$4314,MATCH(A145-30,Clean_Data!$A$2:$A$4314,1))-1)</f>
        <v>0.0429299586958432</v>
      </c>
    </row>
    <row r="146" customFormat="false" ht="15" hidden="false" customHeight="false" outlineLevel="0" collapsed="false">
      <c r="A146" s="16" t="n">
        <v>42152</v>
      </c>
      <c r="B146" s="23" t="n">
        <f aca="false">YEAR(A146)</f>
        <v>2015</v>
      </c>
      <c r="C146" s="17" t="n">
        <v>237.34</v>
      </c>
      <c r="D146" s="23" t="n">
        <f aca="false">A146-A145</f>
        <v>1</v>
      </c>
      <c r="E146" s="24" t="n">
        <f aca="false">LN(C146)</f>
        <v>5.46949371223699</v>
      </c>
      <c r="F146" s="25" t="n">
        <f aca="false">LN(C146/C145)</f>
        <v>-4.21327603339784E-005</v>
      </c>
      <c r="G146" s="25" t="n">
        <f aca="false">IF(AND(D146=1,A146&gt;=$R$2),F146,"")</f>
        <v>-4.21327603339784E-005</v>
      </c>
      <c r="H146" s="27" t="n">
        <f aca="false">IF(G146="","",G146^2)</f>
        <v>1.77516949336046E-009</v>
      </c>
      <c r="I146" s="25" t="n">
        <f aca="false">IF(G146="","",C146/C145-1)</f>
        <v>-4.21318727616971E-005</v>
      </c>
      <c r="K146" s="17" t="n">
        <f aca="false">MAX(K145,C146)</f>
        <v>378</v>
      </c>
      <c r="L146" s="25" t="n">
        <f aca="false">C146/K146-1</f>
        <v>-0.372116402116402</v>
      </c>
      <c r="M146" s="25" t="n">
        <f aca="false">IF(COUNT(G117:G146)&lt;20,"",_xlfn.STDEV.S(G117:G146)*SQRT($R$3))</f>
        <v>0.311156919313635</v>
      </c>
      <c r="N146" s="25" t="n">
        <f aca="false">IF(A146-7&lt;$R$2,"",C146/INDEX(Clean_Data!$C$2:$C$4314,MATCH(A146-7,Clean_Data!$A$2:$A$4314,1))-1)</f>
        <v>0.00665903210756236</v>
      </c>
      <c r="O146" s="25" t="n">
        <f aca="false">IF(A146-30&lt;$R$2,"",C146/INDEX(Clean_Data!$C$2:$C$4314,MATCH(A146-30,Clean_Data!$A$2:$A$4314,1))-1)</f>
        <v>0.0518525084204928</v>
      </c>
    </row>
    <row r="147" customFormat="false" ht="15" hidden="false" customHeight="false" outlineLevel="0" collapsed="false">
      <c r="A147" s="16" t="n">
        <v>42153</v>
      </c>
      <c r="B147" s="23" t="n">
        <f aca="false">YEAR(A147)</f>
        <v>2015</v>
      </c>
      <c r="C147" s="17" t="n">
        <v>236.89</v>
      </c>
      <c r="D147" s="23" t="n">
        <f aca="false">A147-A146</f>
        <v>1</v>
      </c>
      <c r="E147" s="24" t="n">
        <f aca="false">LN(C147)</f>
        <v>5.46759589837004</v>
      </c>
      <c r="F147" s="25" t="n">
        <f aca="false">LN(C147/C146)</f>
        <v>-0.00189781386695765</v>
      </c>
      <c r="G147" s="25" t="n">
        <f aca="false">IF(AND(D147=1,A147&gt;=$R$2),F147,"")</f>
        <v>-0.00189781386695765</v>
      </c>
      <c r="H147" s="27" t="n">
        <f aca="false">IF(G147="","",G147^2)</f>
        <v>3.60169747361673E-006</v>
      </c>
      <c r="I147" s="25" t="n">
        <f aca="false">IF(G147="","",C147/C146-1)</f>
        <v>-0.00189601415690577</v>
      </c>
      <c r="K147" s="17" t="n">
        <f aca="false">MAX(K146,C147)</f>
        <v>378</v>
      </c>
      <c r="L147" s="25" t="n">
        <f aca="false">C147/K147-1</f>
        <v>-0.373306878306878</v>
      </c>
      <c r="M147" s="25" t="n">
        <f aca="false">IF(COUNT(G118:G147)&lt;20,"",_xlfn.STDEV.S(G118:G147)*SQRT($R$3))</f>
        <v>0.311344349155879</v>
      </c>
      <c r="N147" s="25" t="n">
        <f aca="false">IF(A147-7&lt;$R$2,"",C147/INDEX(Clean_Data!$C$2:$C$4314,MATCH(A147-7,Clean_Data!$A$2:$A$4314,1))-1)</f>
        <v>-0.0148055728841755</v>
      </c>
      <c r="O147" s="25" t="n">
        <f aca="false">IF(A147-30&lt;$R$2,"",C147/INDEX(Clean_Data!$C$2:$C$4314,MATCH(A147-30,Clean_Data!$A$2:$A$4314,1))-1)</f>
        <v>0.0500443262411348</v>
      </c>
    </row>
    <row r="148" customFormat="false" ht="15" hidden="false" customHeight="false" outlineLevel="0" collapsed="false">
      <c r="A148" s="16" t="n">
        <v>42154</v>
      </c>
      <c r="B148" s="23" t="n">
        <f aca="false">YEAR(A148)</f>
        <v>2015</v>
      </c>
      <c r="C148" s="17" t="n">
        <v>233.55</v>
      </c>
      <c r="D148" s="23" t="n">
        <f aca="false">A148-A147</f>
        <v>1</v>
      </c>
      <c r="E148" s="24" t="n">
        <f aca="false">LN(C148)</f>
        <v>5.45339618694812</v>
      </c>
      <c r="F148" s="25" t="n">
        <f aca="false">LN(C148/C147)</f>
        <v>-0.0141997114219183</v>
      </c>
      <c r="G148" s="25" t="n">
        <f aca="false">IF(AND(D148=1,A148&gt;=$R$2),F148,"")</f>
        <v>-0.0141997114219183</v>
      </c>
      <c r="H148" s="27" t="n">
        <f aca="false">IF(G148="","",G148^2)</f>
        <v>0.000201631804465756</v>
      </c>
      <c r="I148" s="25" t="n">
        <f aca="false">IF(G148="","",C148/C147-1)</f>
        <v>-0.0140993710160833</v>
      </c>
      <c r="K148" s="17" t="n">
        <f aca="false">MAX(K147,C148)</f>
        <v>378</v>
      </c>
      <c r="L148" s="25" t="n">
        <f aca="false">C148/K148-1</f>
        <v>-0.382142857142857</v>
      </c>
      <c r="M148" s="25" t="n">
        <f aca="false">IF(COUNT(G119:G148)&lt;20,"",_xlfn.STDEV.S(G119:G148)*SQRT($R$3))</f>
        <v>0.266070621384333</v>
      </c>
      <c r="N148" s="25" t="n">
        <f aca="false">IF(A148-7&lt;$R$2,"",C148/INDEX(Clean_Data!$C$2:$C$4314,MATCH(A148-7,Clean_Data!$A$2:$A$4314,1))-1)</f>
        <v>-0.0242730614973262</v>
      </c>
      <c r="O148" s="25" t="n">
        <f aca="false">IF(A148-30&lt;$R$2,"",C148/INDEX(Clean_Data!$C$2:$C$4314,MATCH(A148-30,Clean_Data!$A$2:$A$4314,1))-1)</f>
        <v>-0.0137663105443182</v>
      </c>
    </row>
    <row r="149" customFormat="false" ht="15" hidden="false" customHeight="false" outlineLevel="0" collapsed="false">
      <c r="A149" s="16" t="n">
        <v>42155</v>
      </c>
      <c r="B149" s="23" t="n">
        <f aca="false">YEAR(A149)</f>
        <v>2015</v>
      </c>
      <c r="C149" s="17" t="n">
        <v>230.21</v>
      </c>
      <c r="D149" s="23" t="n">
        <f aca="false">A149-A148</f>
        <v>1</v>
      </c>
      <c r="E149" s="24" t="n">
        <f aca="false">LN(C149)</f>
        <v>5.43899193583081</v>
      </c>
      <c r="F149" s="25" t="n">
        <f aca="false">LN(C149/C148)</f>
        <v>-0.014404251117312</v>
      </c>
      <c r="G149" s="25" t="n">
        <f aca="false">IF(AND(D149=1,A149&gt;=$R$2),F149,"")</f>
        <v>-0.014404251117312</v>
      </c>
      <c r="H149" s="27" t="n">
        <f aca="false">IF(G149="","",G149^2)</f>
        <v>0.000207482450250583</v>
      </c>
      <c r="I149" s="25" t="n">
        <f aca="false">IF(G149="","",C149/C148-1)</f>
        <v>-0.0143010062085207</v>
      </c>
      <c r="K149" s="17" t="n">
        <f aca="false">MAX(K148,C149)</f>
        <v>378</v>
      </c>
      <c r="L149" s="25" t="n">
        <f aca="false">C149/K149-1</f>
        <v>-0.390978835978836</v>
      </c>
      <c r="M149" s="25" t="n">
        <f aca="false">IF(COUNT(G120:G149)&lt;20,"",_xlfn.STDEV.S(G120:G149)*SQRT($R$3))</f>
        <v>0.265232082391292</v>
      </c>
      <c r="N149" s="25" t="n">
        <f aca="false">IF(A149-7&lt;$R$2,"",C149/INDEX(Clean_Data!$C$2:$C$4314,MATCH(A149-7,Clean_Data!$A$2:$A$4314,1))-1)</f>
        <v>-0.0440578025080973</v>
      </c>
      <c r="O149" s="25" t="n">
        <f aca="false">IF(A149-30&lt;$R$2,"",C149/INDEX(Clean_Data!$C$2:$C$4314,MATCH(A149-30,Clean_Data!$A$2:$A$4314,1))-1)</f>
        <v>-0.0125675559749506</v>
      </c>
    </row>
    <row r="150" customFormat="false" ht="15" hidden="false" customHeight="false" outlineLevel="0" collapsed="false">
      <c r="A150" s="16" t="n">
        <v>42156</v>
      </c>
      <c r="B150" s="23" t="n">
        <f aca="false">YEAR(A150)</f>
        <v>2015</v>
      </c>
      <c r="C150" s="17" t="n">
        <v>223.56</v>
      </c>
      <c r="D150" s="23" t="n">
        <f aca="false">A150-A149</f>
        <v>1</v>
      </c>
      <c r="E150" s="24" t="n">
        <f aca="false">LN(C150)</f>
        <v>5.4096798344015</v>
      </c>
      <c r="F150" s="25" t="n">
        <f aca="false">LN(C150/C149)</f>
        <v>-0.0293121014293077</v>
      </c>
      <c r="G150" s="25" t="n">
        <f aca="false">IF(AND(D150=1,A150&gt;=$R$2),F150,"")</f>
        <v>-0.0293121014293077</v>
      </c>
      <c r="H150" s="27" t="n">
        <f aca="false">IF(G150="","",G150^2)</f>
        <v>0.000859199290202022</v>
      </c>
      <c r="I150" s="25" t="n">
        <f aca="false">IF(G150="","",C150/C149-1)</f>
        <v>-0.0288866686938013</v>
      </c>
      <c r="K150" s="17" t="n">
        <f aca="false">MAX(K149,C150)</f>
        <v>378</v>
      </c>
      <c r="L150" s="25" t="n">
        <f aca="false">C150/K150-1</f>
        <v>-0.408571428571429</v>
      </c>
      <c r="M150" s="25" t="n">
        <f aca="false">IF(COUNT(G121:G150)&lt;20,"",_xlfn.STDEV.S(G121:G150)*SQRT($R$3))</f>
        <v>0.279672343813054</v>
      </c>
      <c r="N150" s="25" t="n">
        <f aca="false">IF(A150-7&lt;$R$2,"",C150/INDEX(Clean_Data!$C$2:$C$4314,MATCH(A150-7,Clean_Data!$A$2:$A$4314,1))-1)</f>
        <v>-0.0584172177062713</v>
      </c>
      <c r="O150" s="25" t="n">
        <f aca="false">IF(A150-30&lt;$R$2,"",C150/INDEX(Clean_Data!$C$2:$C$4314,MATCH(A150-30,Clean_Data!$A$2:$A$4314,1))-1)</f>
        <v>-0.0524709671950496</v>
      </c>
    </row>
    <row r="151" customFormat="false" ht="15" hidden="false" customHeight="false" outlineLevel="0" collapsed="false">
      <c r="A151" s="16" t="n">
        <v>42157</v>
      </c>
      <c r="B151" s="23" t="n">
        <f aca="false">YEAR(A151)</f>
        <v>2015</v>
      </c>
      <c r="C151" s="17" t="n">
        <v>225.85</v>
      </c>
      <c r="D151" s="23" t="n">
        <f aca="false">A151-A150</f>
        <v>1</v>
      </c>
      <c r="E151" s="24" t="n">
        <f aca="false">LN(C151)</f>
        <v>5.41987106210061</v>
      </c>
      <c r="F151" s="25" t="n">
        <f aca="false">LN(C151/C150)</f>
        <v>0.0101912276991157</v>
      </c>
      <c r="G151" s="25" t="n">
        <f aca="false">IF(AND(D151=1,A151&gt;=$R$2),F151,"")</f>
        <v>0.0101912276991157</v>
      </c>
      <c r="H151" s="27" t="n">
        <f aca="false">IF(G151="","",G151^2)</f>
        <v>0.000103861122015224</v>
      </c>
      <c r="I151" s="25" t="n">
        <f aca="false">IF(G151="","",C151/C150-1)</f>
        <v>0.0102433351225621</v>
      </c>
      <c r="K151" s="17" t="n">
        <f aca="false">MAX(K150,C151)</f>
        <v>378</v>
      </c>
      <c r="L151" s="25" t="n">
        <f aca="false">C151/K151-1</f>
        <v>-0.402513227513228</v>
      </c>
      <c r="M151" s="25" t="n">
        <f aca="false">IF(COUNT(G122:G151)&lt;20,"",_xlfn.STDEV.S(G122:G151)*SQRT($R$3))</f>
        <v>0.271723565641054</v>
      </c>
      <c r="N151" s="25" t="n">
        <f aca="false">IF(A151-7&lt;$R$2,"",C151/INDEX(Clean_Data!$C$2:$C$4314,MATCH(A151-7,Clean_Data!$A$2:$A$4314,1))-1)</f>
        <v>-0.0462012753916973</v>
      </c>
      <c r="O151" s="25" t="n">
        <f aca="false">IF(A151-30&lt;$R$2,"",C151/INDEX(Clean_Data!$C$2:$C$4314,MATCH(A151-30,Clean_Data!$A$2:$A$4314,1))-1)</f>
        <v>-0.0620068111969433</v>
      </c>
    </row>
    <row r="152" customFormat="false" ht="15" hidden="false" customHeight="false" outlineLevel="0" collapsed="false">
      <c r="A152" s="16" t="n">
        <v>42158</v>
      </c>
      <c r="B152" s="23" t="n">
        <f aca="false">YEAR(A152)</f>
        <v>2015</v>
      </c>
      <c r="C152" s="17" t="n">
        <v>225.86</v>
      </c>
      <c r="D152" s="23" t="n">
        <f aca="false">A152-A151</f>
        <v>1</v>
      </c>
      <c r="E152" s="24" t="n">
        <f aca="false">LN(C152)</f>
        <v>5.41991533829552</v>
      </c>
      <c r="F152" s="25" t="n">
        <f aca="false">LN(C152/C151)</f>
        <v>4.42761949111629E-005</v>
      </c>
      <c r="G152" s="25" t="n">
        <f aca="false">IF(AND(D152=1,A152&gt;=$R$2),F152,"")</f>
        <v>4.42761949111629E-005</v>
      </c>
      <c r="H152" s="27" t="n">
        <f aca="false">IF(G152="","",G152^2)</f>
        <v>1.96038143581129E-009</v>
      </c>
      <c r="I152" s="25" t="n">
        <f aca="false">IF(G152="","",C152/C151-1)</f>
        <v>4.42771751163473E-005</v>
      </c>
      <c r="K152" s="17" t="n">
        <f aca="false">MAX(K151,C152)</f>
        <v>378</v>
      </c>
      <c r="L152" s="25" t="n">
        <f aca="false">C152/K152-1</f>
        <v>-0.402486772486772</v>
      </c>
      <c r="M152" s="25" t="n">
        <f aca="false">IF(COUNT(G123:G152)&lt;20,"",_xlfn.STDEV.S(G123:G152)*SQRT($R$3))</f>
        <v>0.271711575102281</v>
      </c>
      <c r="N152" s="25" t="n">
        <f aca="false">IF(A152-7&lt;$R$2,"",C152/INDEX(Clean_Data!$C$2:$C$4314,MATCH(A152-7,Clean_Data!$A$2:$A$4314,1))-1)</f>
        <v>-0.0484095218032441</v>
      </c>
      <c r="O152" s="25" t="n">
        <f aca="false">IF(A152-30&lt;$R$2,"",C152/INDEX(Clean_Data!$C$2:$C$4314,MATCH(A152-30,Clean_Data!$A$2:$A$4314,1))-1)</f>
        <v>-0.0579353493222106</v>
      </c>
    </row>
    <row r="153" customFormat="false" ht="15" hidden="false" customHeight="false" outlineLevel="0" collapsed="false">
      <c r="A153" s="16" t="n">
        <v>42159</v>
      </c>
      <c r="B153" s="23" t="n">
        <f aca="false">YEAR(A153)</f>
        <v>2015</v>
      </c>
      <c r="C153" s="17" t="n">
        <v>224.57</v>
      </c>
      <c r="D153" s="23" t="n">
        <f aca="false">A153-A152</f>
        <v>1</v>
      </c>
      <c r="E153" s="24" t="n">
        <f aca="false">LN(C153)</f>
        <v>5.41418746259045</v>
      </c>
      <c r="F153" s="25" t="n">
        <f aca="false">LN(C153/C152)</f>
        <v>-0.00572787570507432</v>
      </c>
      <c r="G153" s="25" t="n">
        <f aca="false">IF(AND(D153=1,A153&gt;=$R$2),F153,"")</f>
        <v>-0.00572787570507432</v>
      </c>
      <c r="H153" s="27" t="n">
        <f aca="false">IF(G153="","",G153^2)</f>
        <v>3.28085600927807E-005</v>
      </c>
      <c r="I153" s="25" t="n">
        <f aca="false">IF(G153="","",C153/C152-1)</f>
        <v>-0.00571150270078824</v>
      </c>
      <c r="K153" s="17" t="n">
        <f aca="false">MAX(K152,C153)</f>
        <v>378</v>
      </c>
      <c r="L153" s="25" t="n">
        <f aca="false">C153/K153-1</f>
        <v>-0.405899470899471</v>
      </c>
      <c r="M153" s="25" t="n">
        <f aca="false">IF(COUNT(G124:G153)&lt;20,"",_xlfn.STDEV.S(G124:G153)*SQRT($R$3))</f>
        <v>0.269406634359723</v>
      </c>
      <c r="N153" s="25" t="n">
        <f aca="false">IF(A153-7&lt;$R$2,"",C153/INDEX(Clean_Data!$C$2:$C$4314,MATCH(A153-7,Clean_Data!$A$2:$A$4314,1))-1)</f>
        <v>-0.0538046684081909</v>
      </c>
      <c r="O153" s="25" t="n">
        <f aca="false">IF(A153-30&lt;$R$2,"",C153/INDEX(Clean_Data!$C$2:$C$4314,MATCH(A153-30,Clean_Data!$A$2:$A$4314,1))-1)</f>
        <v>-0.0514867376245988</v>
      </c>
    </row>
    <row r="154" customFormat="false" ht="15" hidden="false" customHeight="false" outlineLevel="0" collapsed="false">
      <c r="A154" s="16" t="n">
        <v>42160</v>
      </c>
      <c r="B154" s="23" t="n">
        <f aca="false">YEAR(A154)</f>
        <v>2015</v>
      </c>
      <c r="C154" s="17" t="n">
        <v>224.97</v>
      </c>
      <c r="D154" s="23" t="n">
        <f aca="false">A154-A153</f>
        <v>1</v>
      </c>
      <c r="E154" s="24" t="n">
        <f aca="false">LN(C154)</f>
        <v>5.41596705998141</v>
      </c>
      <c r="F154" s="25" t="n">
        <f aca="false">LN(C154/C153)</f>
        <v>0.00177959739095778</v>
      </c>
      <c r="G154" s="25" t="n">
        <f aca="false">IF(AND(D154=1,A154&gt;=$R$2),F154,"")</f>
        <v>0.00177959739095778</v>
      </c>
      <c r="H154" s="27" t="n">
        <f aca="false">IF(G154="","",G154^2)</f>
        <v>3.16696687390374E-006</v>
      </c>
      <c r="I154" s="25" t="n">
        <f aca="false">IF(G154="","",C154/C153-1)</f>
        <v>0.00178118181413378</v>
      </c>
      <c r="K154" s="17" t="n">
        <f aca="false">MAX(K153,C154)</f>
        <v>378</v>
      </c>
      <c r="L154" s="25" t="n">
        <f aca="false">C154/K154-1</f>
        <v>-0.40484126984127</v>
      </c>
      <c r="M154" s="25" t="n">
        <f aca="false">IF(COUNT(G125:G154)&lt;20,"",_xlfn.STDEV.S(G125:G154)*SQRT($R$3))</f>
        <v>0.251048806343704</v>
      </c>
      <c r="N154" s="25" t="n">
        <f aca="false">IF(A154-7&lt;$R$2,"",C154/INDEX(Clean_Data!$C$2:$C$4314,MATCH(A154-7,Clean_Data!$A$2:$A$4314,1))-1)</f>
        <v>-0.0503187133268606</v>
      </c>
      <c r="O154" s="25" t="n">
        <f aca="false">IF(A154-30&lt;$R$2,"",C154/INDEX(Clean_Data!$C$2:$C$4314,MATCH(A154-30,Clean_Data!$A$2:$A$4314,1))-1)</f>
        <v>-0.0218695652173914</v>
      </c>
    </row>
    <row r="155" customFormat="false" ht="15" hidden="false" customHeight="false" outlineLevel="0" collapsed="false">
      <c r="A155" s="16" t="n">
        <v>42161</v>
      </c>
      <c r="B155" s="23" t="n">
        <f aca="false">YEAR(A155)</f>
        <v>2015</v>
      </c>
      <c r="C155" s="17" t="n">
        <v>225.48</v>
      </c>
      <c r="D155" s="23" t="n">
        <f aca="false">A155-A154</f>
        <v>1</v>
      </c>
      <c r="E155" s="24" t="n">
        <f aca="false">LN(C155)</f>
        <v>5.41823146321337</v>
      </c>
      <c r="F155" s="25" t="n">
        <f aca="false">LN(C155/C154)</f>
        <v>0.00226440323196653</v>
      </c>
      <c r="G155" s="25" t="n">
        <f aca="false">IF(AND(D155=1,A155&gt;=$R$2),F155,"")</f>
        <v>0.00226440323196653</v>
      </c>
      <c r="H155" s="27" t="n">
        <f aca="false">IF(G155="","",G155^2)</f>
        <v>5.12752199694047E-006</v>
      </c>
      <c r="I155" s="25" t="n">
        <f aca="false">IF(G155="","",C155/C154-1)</f>
        <v>0.00226696892919054</v>
      </c>
      <c r="K155" s="17" t="n">
        <f aca="false">MAX(K154,C155)</f>
        <v>378</v>
      </c>
      <c r="L155" s="25" t="n">
        <f aca="false">C155/K155-1</f>
        <v>-0.403492063492064</v>
      </c>
      <c r="M155" s="25" t="n">
        <f aca="false">IF(COUNT(G126:G155)&lt;20,"",_xlfn.STDEV.S(G126:G155)*SQRT($R$3))</f>
        <v>0.217702010933679</v>
      </c>
      <c r="N155" s="25" t="n">
        <f aca="false">IF(A155-7&lt;$R$2,"",C155/INDEX(Clean_Data!$C$2:$C$4314,MATCH(A155-7,Clean_Data!$A$2:$A$4314,1))-1)</f>
        <v>-0.0345536287732821</v>
      </c>
      <c r="O155" s="25" t="n">
        <f aca="false">IF(A155-30&lt;$R$2,"",C155/INDEX(Clean_Data!$C$2:$C$4314,MATCH(A155-30,Clean_Data!$A$2:$A$4314,1))-1)</f>
        <v>-0.0525652338333544</v>
      </c>
    </row>
    <row r="156" customFormat="false" ht="15" hidden="false" customHeight="false" outlineLevel="0" collapsed="false">
      <c r="A156" s="16" t="n">
        <v>42162</v>
      </c>
      <c r="B156" s="23" t="n">
        <f aca="false">YEAR(A156)</f>
        <v>2015</v>
      </c>
      <c r="C156" s="17" t="n">
        <v>223.89</v>
      </c>
      <c r="D156" s="23" t="n">
        <f aca="false">A156-A155</f>
        <v>1</v>
      </c>
      <c r="E156" s="24" t="n">
        <f aca="false">LN(C156)</f>
        <v>5.41115485981141</v>
      </c>
      <c r="F156" s="25" t="n">
        <f aca="false">LN(C156/C155)</f>
        <v>-0.00707660340196847</v>
      </c>
      <c r="G156" s="25" t="n">
        <f aca="false">IF(AND(D156=1,A156&gt;=$R$2),F156,"")</f>
        <v>-0.00707660340196847</v>
      </c>
      <c r="H156" s="27" t="n">
        <f aca="false">IF(G156="","",G156^2)</f>
        <v>5.00783157087517E-005</v>
      </c>
      <c r="I156" s="25" t="n">
        <f aca="false">IF(G156="","",C156/C155-1)</f>
        <v>-0.00705162320383179</v>
      </c>
      <c r="K156" s="17" t="n">
        <f aca="false">MAX(K155,C156)</f>
        <v>378</v>
      </c>
      <c r="L156" s="25" t="n">
        <f aca="false">C156/K156-1</f>
        <v>-0.407698412698413</v>
      </c>
      <c r="M156" s="25" t="n">
        <f aca="false">IF(COUNT(G127:G156)&lt;20,"",_xlfn.STDEV.S(G127:G156)*SQRT($R$3))</f>
        <v>0.191584162036133</v>
      </c>
      <c r="N156" s="25" t="n">
        <f aca="false">IF(A156-7&lt;$R$2,"",C156/INDEX(Clean_Data!$C$2:$C$4314,MATCH(A156-7,Clean_Data!$A$2:$A$4314,1))-1)</f>
        <v>-0.0274531949089962</v>
      </c>
      <c r="O156" s="25" t="n">
        <f aca="false">IF(A156-30&lt;$R$2,"",C156/INDEX(Clean_Data!$C$2:$C$4314,MATCH(A156-30,Clean_Data!$A$2:$A$4314,1))-1)</f>
        <v>-0.0844442626973093</v>
      </c>
    </row>
    <row r="157" customFormat="false" ht="15" hidden="false" customHeight="false" outlineLevel="0" collapsed="false">
      <c r="A157" s="16" t="n">
        <v>42163</v>
      </c>
      <c r="B157" s="23" t="n">
        <f aca="false">YEAR(A157)</f>
        <v>2015</v>
      </c>
      <c r="C157" s="17" t="n">
        <v>229.1</v>
      </c>
      <c r="D157" s="23" t="n">
        <f aca="false">A157-A156</f>
        <v>1</v>
      </c>
      <c r="E157" s="24" t="n">
        <f aca="false">LN(C157)</f>
        <v>5.43415858945945</v>
      </c>
      <c r="F157" s="25" t="n">
        <f aca="false">LN(C157/C156)</f>
        <v>0.0230037296480441</v>
      </c>
      <c r="G157" s="25" t="n">
        <f aca="false">IF(AND(D157=1,A157&gt;=$R$2),F157,"")</f>
        <v>0.0230037296480441</v>
      </c>
      <c r="H157" s="27" t="n">
        <f aca="false">IF(G157="","",G157^2)</f>
        <v>0.000529171577720302</v>
      </c>
      <c r="I157" s="25" t="n">
        <f aca="false">IF(G157="","",C157/C156-1)</f>
        <v>0.0232703559783822</v>
      </c>
      <c r="K157" s="17" t="n">
        <f aca="false">MAX(K156,C157)</f>
        <v>378</v>
      </c>
      <c r="L157" s="25" t="n">
        <f aca="false">C157/K157-1</f>
        <v>-0.393915343915344</v>
      </c>
      <c r="M157" s="25" t="n">
        <f aca="false">IF(COUNT(G128:G157)&lt;20,"",_xlfn.STDEV.S(G128:G157)*SQRT($R$3))</f>
        <v>0.210692617028916</v>
      </c>
      <c r="N157" s="25" t="n">
        <f aca="false">IF(A157-7&lt;$R$2,"",C157/INDEX(Clean_Data!$C$2:$C$4314,MATCH(A157-7,Clean_Data!$A$2:$A$4314,1))-1)</f>
        <v>0.0247808194668098</v>
      </c>
      <c r="O157" s="25" t="n">
        <f aca="false">IF(A157-30&lt;$R$2,"",C157/INDEX(Clean_Data!$C$2:$C$4314,MATCH(A157-30,Clean_Data!$A$2:$A$4314,1))-1)</f>
        <v>-0.0552577319587629</v>
      </c>
    </row>
    <row r="158" customFormat="false" ht="15" hidden="false" customHeight="false" outlineLevel="0" collapsed="false">
      <c r="A158" s="16" t="n">
        <v>42164</v>
      </c>
      <c r="B158" s="23" t="n">
        <f aca="false">YEAR(A158)</f>
        <v>2015</v>
      </c>
      <c r="C158" s="17" t="n">
        <v>229.18</v>
      </c>
      <c r="D158" s="23" t="n">
        <f aca="false">A158-A157</f>
        <v>1</v>
      </c>
      <c r="E158" s="24" t="n">
        <f aca="false">LN(C158)</f>
        <v>5.4345077209983</v>
      </c>
      <c r="F158" s="25" t="n">
        <f aca="false">LN(C158/C157)</f>
        <v>0.000349131538852437</v>
      </c>
      <c r="G158" s="25" t="n">
        <f aca="false">IF(AND(D158=1,A158&gt;=$R$2),F158,"")</f>
        <v>0.000349131538852437</v>
      </c>
      <c r="H158" s="27" t="n">
        <f aca="false">IF(G158="","",G158^2)</f>
        <v>1.21892831421471E-007</v>
      </c>
      <c r="I158" s="25" t="n">
        <f aca="false">IF(G158="","",C158/C157-1)</f>
        <v>0.000349192492361539</v>
      </c>
      <c r="K158" s="17" t="n">
        <f aca="false">MAX(K157,C158)</f>
        <v>378</v>
      </c>
      <c r="L158" s="25" t="n">
        <f aca="false">C158/K158-1</f>
        <v>-0.393703703703704</v>
      </c>
      <c r="M158" s="25" t="n">
        <f aca="false">IF(COUNT(G129:G158)&lt;20,"",_xlfn.STDEV.S(G129:G158)*SQRT($R$3))</f>
        <v>0.2107122130877</v>
      </c>
      <c r="N158" s="25" t="n">
        <f aca="false">IF(A158-7&lt;$R$2,"",C158/INDEX(Clean_Data!$C$2:$C$4314,MATCH(A158-7,Clean_Data!$A$2:$A$4314,1))-1)</f>
        <v>0.0147442993137039</v>
      </c>
      <c r="O158" s="25" t="n">
        <f aca="false">IF(A158-30&lt;$R$2,"",C158/INDEX(Clean_Data!$C$2:$C$4314,MATCH(A158-30,Clean_Data!$A$2:$A$4314,1))-1)</f>
        <v>-0.0512894813097652</v>
      </c>
    </row>
    <row r="159" customFormat="false" ht="15" hidden="false" customHeight="false" outlineLevel="0" collapsed="false">
      <c r="A159" s="16" t="n">
        <v>42165</v>
      </c>
      <c r="B159" s="23" t="n">
        <f aca="false">YEAR(A159)</f>
        <v>2015</v>
      </c>
      <c r="C159" s="17" t="n">
        <v>228.73</v>
      </c>
      <c r="D159" s="23" t="n">
        <f aca="false">A159-A158</f>
        <v>1</v>
      </c>
      <c r="E159" s="24" t="n">
        <f aca="false">LN(C159)</f>
        <v>5.43254226863927</v>
      </c>
      <c r="F159" s="25" t="n">
        <f aca="false">LN(C159/C158)</f>
        <v>-0.00196545235903393</v>
      </c>
      <c r="G159" s="25" t="n">
        <f aca="false">IF(AND(D159=1,A159&gt;=$R$2),F159,"")</f>
        <v>-0.00196545235903393</v>
      </c>
      <c r="H159" s="27" t="n">
        <f aca="false">IF(G159="","",G159^2)</f>
        <v>3.86300297563204E-006</v>
      </c>
      <c r="I159" s="25" t="n">
        <f aca="false">IF(G159="","",C159/C158-1)</f>
        <v>-0.00196352212234929</v>
      </c>
      <c r="K159" s="17" t="n">
        <f aca="false">MAX(K158,C159)</f>
        <v>378</v>
      </c>
      <c r="L159" s="25" t="n">
        <f aca="false">C159/K159-1</f>
        <v>-0.39489417989418</v>
      </c>
      <c r="M159" s="25" t="n">
        <f aca="false">IF(COUNT(G130:G159)&lt;20,"",_xlfn.STDEV.S(G130:G159)*SQRT($R$3))</f>
        <v>0.209157419368678</v>
      </c>
      <c r="N159" s="25" t="n">
        <f aca="false">IF(A159-7&lt;$R$2,"",C159/INDEX(Clean_Data!$C$2:$C$4314,MATCH(A159-7,Clean_Data!$A$2:$A$4314,1))-1)</f>
        <v>0.0127069866288851</v>
      </c>
      <c r="O159" s="25" t="n">
        <f aca="false">IF(A159-30&lt;$R$2,"",C159/INDEX(Clean_Data!$C$2:$C$4314,MATCH(A159-30,Clean_Data!$A$2:$A$4314,1))-1)</f>
        <v>-0.0581816684509595</v>
      </c>
    </row>
    <row r="160" customFormat="false" ht="15" hidden="false" customHeight="false" outlineLevel="0" collapsed="false">
      <c r="A160" s="16" t="n">
        <v>42166</v>
      </c>
      <c r="B160" s="23" t="n">
        <f aca="false">YEAR(A160)</f>
        <v>2015</v>
      </c>
      <c r="C160" s="17" t="n">
        <v>229.69</v>
      </c>
      <c r="D160" s="23" t="n">
        <f aca="false">A160-A159</f>
        <v>1</v>
      </c>
      <c r="E160" s="24" t="n">
        <f aca="false">LN(C160)</f>
        <v>5.43673057370166</v>
      </c>
      <c r="F160" s="25" t="n">
        <f aca="false">LN(C160/C159)</f>
        <v>0.00418830506239485</v>
      </c>
      <c r="G160" s="25" t="n">
        <f aca="false">IF(AND(D160=1,A160&gt;=$R$2),F160,"")</f>
        <v>0.00418830506239485</v>
      </c>
      <c r="H160" s="27" t="n">
        <f aca="false">IF(G160="","",G160^2)</f>
        <v>1.75418992956824E-005</v>
      </c>
      <c r="I160" s="25" t="n">
        <f aca="false">IF(G160="","",C160/C159-1)</f>
        <v>0.00419708827001264</v>
      </c>
      <c r="K160" s="17" t="n">
        <f aca="false">MAX(K159,C160)</f>
        <v>378</v>
      </c>
      <c r="L160" s="25" t="n">
        <f aca="false">C160/K160-1</f>
        <v>-0.392354497354497</v>
      </c>
      <c r="M160" s="25" t="n">
        <f aca="false">IF(COUNT(G131:G160)&lt;20,"",_xlfn.STDEV.S(G131:G160)*SQRT($R$3))</f>
        <v>0.210187157421028</v>
      </c>
      <c r="N160" s="25" t="n">
        <f aca="false">IF(A160-7&lt;$R$2,"",C160/INDEX(Clean_Data!$C$2:$C$4314,MATCH(A160-7,Clean_Data!$A$2:$A$4314,1))-1)</f>
        <v>0.0227991272209112</v>
      </c>
      <c r="O160" s="25" t="n">
        <f aca="false">IF(A160-30&lt;$R$2,"",C160/INDEX(Clean_Data!$C$2:$C$4314,MATCH(A160-30,Clean_Data!$A$2:$A$4314,1))-1)</f>
        <v>-0.0509854150311945</v>
      </c>
    </row>
    <row r="161" customFormat="false" ht="15" hidden="false" customHeight="false" outlineLevel="0" collapsed="false">
      <c r="A161" s="16" t="n">
        <v>42167</v>
      </c>
      <c r="B161" s="23" t="n">
        <f aca="false">YEAR(A161)</f>
        <v>2015</v>
      </c>
      <c r="C161" s="17" t="n">
        <v>229.47</v>
      </c>
      <c r="D161" s="23" t="n">
        <f aca="false">A161-A160</f>
        <v>1</v>
      </c>
      <c r="E161" s="24" t="n">
        <f aca="false">LN(C161)</f>
        <v>5.43577230200188</v>
      </c>
      <c r="F161" s="25" t="n">
        <f aca="false">LN(C161/C160)</f>
        <v>-0.000958271699778748</v>
      </c>
      <c r="G161" s="25" t="n">
        <f aca="false">IF(AND(D161=1,A161&gt;=$R$2),F161,"")</f>
        <v>-0.000958271699778748</v>
      </c>
      <c r="H161" s="27" t="n">
        <f aca="false">IF(G161="","",G161^2)</f>
        <v>9.1828465059685E-007</v>
      </c>
      <c r="I161" s="25" t="n">
        <f aca="false">IF(G161="","",C161/C160-1)</f>
        <v>-0.000957812704079353</v>
      </c>
      <c r="K161" s="17" t="n">
        <f aca="false">MAX(K160,C161)</f>
        <v>378</v>
      </c>
      <c r="L161" s="25" t="n">
        <f aca="false">C161/K161-1</f>
        <v>-0.392936507936508</v>
      </c>
      <c r="M161" s="25" t="n">
        <f aca="false">IF(COUNT(G132:G161)&lt;20,"",_xlfn.STDEV.S(G132:G161)*SQRT($R$3))</f>
        <v>0.194427061740142</v>
      </c>
      <c r="N161" s="25" t="n">
        <f aca="false">IF(A161-7&lt;$R$2,"",C161/INDEX(Clean_Data!$C$2:$C$4314,MATCH(A161-7,Clean_Data!$A$2:$A$4314,1))-1)</f>
        <v>0.0200026670222697</v>
      </c>
      <c r="O161" s="25" t="n">
        <f aca="false">IF(A161-30&lt;$R$2,"",C161/INDEX(Clean_Data!$C$2:$C$4314,MATCH(A161-30,Clean_Data!$A$2:$A$4314,1))-1)</f>
        <v>-0.0289861205145565</v>
      </c>
    </row>
    <row r="162" customFormat="false" ht="15" hidden="false" customHeight="false" outlineLevel="0" collapsed="false">
      <c r="A162" s="16" t="n">
        <v>42168</v>
      </c>
      <c r="B162" s="23" t="n">
        <f aca="false">YEAR(A162)</f>
        <v>2015</v>
      </c>
      <c r="C162" s="17" t="n">
        <v>233.47</v>
      </c>
      <c r="D162" s="23" t="n">
        <f aca="false">A162-A161</f>
        <v>1</v>
      </c>
      <c r="E162" s="24" t="n">
        <f aca="false">LN(C162)</f>
        <v>5.45305358919735</v>
      </c>
      <c r="F162" s="25" t="n">
        <f aca="false">LN(C162/C161)</f>
        <v>0.017281287195462</v>
      </c>
      <c r="G162" s="25" t="n">
        <f aca="false">IF(AND(D162=1,A162&gt;=$R$2),F162,"")</f>
        <v>0.017281287195462</v>
      </c>
      <c r="H162" s="27" t="n">
        <f aca="false">IF(G162="","",G162^2)</f>
        <v>0.000298642887132038</v>
      </c>
      <c r="I162" s="25" t="n">
        <f aca="false">IF(G162="","",C162/C161-1)</f>
        <v>0.0174314725236415</v>
      </c>
      <c r="K162" s="17" t="n">
        <f aca="false">MAX(K161,C162)</f>
        <v>378</v>
      </c>
      <c r="L162" s="25" t="n">
        <f aca="false">C162/K162-1</f>
        <v>-0.382354497354497</v>
      </c>
      <c r="M162" s="25" t="n">
        <f aca="false">IF(COUNT(G133:G162)&lt;20,"",_xlfn.STDEV.S(G133:G162)*SQRT($R$3))</f>
        <v>0.203744203405402</v>
      </c>
      <c r="N162" s="25" t="n">
        <f aca="false">IF(A162-7&lt;$R$2,"",C162/INDEX(Clean_Data!$C$2:$C$4314,MATCH(A162-7,Clean_Data!$A$2:$A$4314,1))-1)</f>
        <v>0.0354355153450416</v>
      </c>
      <c r="O162" s="25" t="n">
        <f aca="false">IF(A162-30&lt;$R$2,"",C162/INDEX(Clean_Data!$C$2:$C$4314,MATCH(A162-30,Clean_Data!$A$2:$A$4314,1))-1)</f>
        <v>-0.0168028299503075</v>
      </c>
    </row>
    <row r="163" customFormat="false" ht="15" hidden="false" customHeight="false" outlineLevel="0" collapsed="false">
      <c r="A163" s="16" t="n">
        <v>42169</v>
      </c>
      <c r="B163" s="23" t="n">
        <f aca="false">YEAR(A163)</f>
        <v>2015</v>
      </c>
      <c r="C163" s="17" t="n">
        <v>233.6</v>
      </c>
      <c r="D163" s="23" t="n">
        <f aca="false">A163-A162</f>
        <v>1</v>
      </c>
      <c r="E163" s="24" t="n">
        <f aca="false">LN(C163)</f>
        <v>5.45361025095407</v>
      </c>
      <c r="F163" s="25" t="n">
        <f aca="false">LN(C163/C162)</f>
        <v>0.000556661756725833</v>
      </c>
      <c r="G163" s="25" t="n">
        <f aca="false">IF(AND(D163=1,A163&gt;=$R$2),F163,"")</f>
        <v>0.000556661756725833</v>
      </c>
      <c r="H163" s="27" t="n">
        <f aca="false">IF(G163="","",G163^2)</f>
        <v>3.0987231140109E-007</v>
      </c>
      <c r="I163" s="25" t="n">
        <f aca="false">IF(G163="","",C163/C162-1)</f>
        <v>0.000556816721634545</v>
      </c>
      <c r="K163" s="17" t="n">
        <f aca="false">MAX(K162,C163)</f>
        <v>378</v>
      </c>
      <c r="L163" s="25" t="n">
        <f aca="false">C163/K163-1</f>
        <v>-0.382010582010582</v>
      </c>
      <c r="M163" s="25" t="n">
        <f aca="false">IF(COUNT(G134:G163)&lt;20,"",_xlfn.STDEV.S(G134:G163)*SQRT($R$3))</f>
        <v>0.203648486844312</v>
      </c>
      <c r="N163" s="25" t="n">
        <f aca="false">IF(A163-7&lt;$R$2,"",C163/INDEX(Clean_Data!$C$2:$C$4314,MATCH(A163-7,Clean_Data!$A$2:$A$4314,1))-1)</f>
        <v>0.0433695118138371</v>
      </c>
      <c r="O163" s="25" t="n">
        <f aca="false">IF(A163-30&lt;$R$2,"",C163/INDEX(Clean_Data!$C$2:$C$4314,MATCH(A163-30,Clean_Data!$A$2:$A$4314,1))-1)</f>
        <v>-0.017744512656631</v>
      </c>
    </row>
    <row r="164" customFormat="false" ht="15" hidden="false" customHeight="false" outlineLevel="0" collapsed="false">
      <c r="A164" s="16" t="n">
        <v>42170</v>
      </c>
      <c r="B164" s="23" t="n">
        <f aca="false">YEAR(A164)</f>
        <v>2015</v>
      </c>
      <c r="C164" s="17" t="n">
        <v>236.99</v>
      </c>
      <c r="D164" s="23" t="n">
        <f aca="false">A164-A163</f>
        <v>1</v>
      </c>
      <c r="E164" s="24" t="n">
        <f aca="false">LN(C164)</f>
        <v>5.46801794615211</v>
      </c>
      <c r="F164" s="25" t="n">
        <f aca="false">LN(C164/C163)</f>
        <v>0.0144076951980364</v>
      </c>
      <c r="G164" s="25" t="n">
        <f aca="false">IF(AND(D164=1,A164&gt;=$R$2),F164,"")</f>
        <v>0.0144076951980364</v>
      </c>
      <c r="H164" s="27" t="n">
        <f aca="false">IF(G164="","",G164^2)</f>
        <v>0.000207581680919521</v>
      </c>
      <c r="I164" s="25" t="n">
        <f aca="false">IF(G164="","",C164/C163-1)</f>
        <v>0.0145119863013699</v>
      </c>
      <c r="K164" s="17" t="n">
        <f aca="false">MAX(K163,C164)</f>
        <v>378</v>
      </c>
      <c r="L164" s="25" t="n">
        <f aca="false">C164/K164-1</f>
        <v>-0.373042328042328</v>
      </c>
      <c r="M164" s="25" t="n">
        <f aca="false">IF(COUNT(G135:G164)&lt;20,"",_xlfn.STDEV.S(G135:G164)*SQRT($R$3))</f>
        <v>0.209651469163816</v>
      </c>
      <c r="N164" s="25" t="n">
        <f aca="false">IF(A164-7&lt;$R$2,"",C164/INDEX(Clean_Data!$C$2:$C$4314,MATCH(A164-7,Clean_Data!$A$2:$A$4314,1))-1)</f>
        <v>0.0344391095591445</v>
      </c>
      <c r="O164" s="25" t="n">
        <f aca="false">IF(A164-30&lt;$R$2,"",C164/INDEX(Clean_Data!$C$2:$C$4314,MATCH(A164-30,Clean_Data!$A$2:$A$4314,1))-1)</f>
        <v>0.00109829763866021</v>
      </c>
    </row>
    <row r="165" customFormat="false" ht="15" hidden="false" customHeight="false" outlineLevel="0" collapsed="false">
      <c r="A165" s="16" t="n">
        <v>42171</v>
      </c>
      <c r="B165" s="23" t="n">
        <f aca="false">YEAR(A165)</f>
        <v>2015</v>
      </c>
      <c r="C165" s="17" t="n">
        <v>251.91</v>
      </c>
      <c r="D165" s="23" t="n">
        <f aca="false">A165-A164</f>
        <v>1</v>
      </c>
      <c r="E165" s="24" t="n">
        <f aca="false">LN(C165)</f>
        <v>5.52907188086358</v>
      </c>
      <c r="F165" s="25" t="n">
        <f aca="false">LN(C165/C164)</f>
        <v>0.0610539347114731</v>
      </c>
      <c r="G165" s="25" t="n">
        <f aca="false">IF(AND(D165=1,A165&gt;=$R$2),F165,"")</f>
        <v>0.0610539347114731</v>
      </c>
      <c r="H165" s="27" t="n">
        <f aca="false">IF(G165="","",G165^2)</f>
        <v>0.00372758294375282</v>
      </c>
      <c r="I165" s="25" t="n">
        <f aca="false">IF(G165="","",C165/C164-1)</f>
        <v>0.0629562428794463</v>
      </c>
      <c r="K165" s="17" t="n">
        <f aca="false">MAX(K164,C165)</f>
        <v>378</v>
      </c>
      <c r="L165" s="25" t="n">
        <f aca="false">C165/K165-1</f>
        <v>-0.333571428571429</v>
      </c>
      <c r="M165" s="25" t="n">
        <f aca="false">IF(COUNT(G136:G165)&lt;20,"",_xlfn.STDEV.S(G136:G165)*SQRT($R$3))</f>
        <v>0.298831670185519</v>
      </c>
      <c r="N165" s="25" t="n">
        <f aca="false">IF(A165-7&lt;$R$2,"",C165/INDEX(Clean_Data!$C$2:$C$4314,MATCH(A165-7,Clean_Data!$A$2:$A$4314,1))-1)</f>
        <v>0.0991796840911075</v>
      </c>
      <c r="O165" s="25" t="n">
        <f aca="false">IF(A165-30&lt;$R$2,"",C165/INDEX(Clean_Data!$C$2:$C$4314,MATCH(A165-30,Clean_Data!$A$2:$A$4314,1))-1)</f>
        <v>0.0623734817813766</v>
      </c>
    </row>
    <row r="166" customFormat="false" ht="15" hidden="false" customHeight="false" outlineLevel="0" collapsed="false">
      <c r="A166" s="16" t="n">
        <v>42172</v>
      </c>
      <c r="B166" s="23" t="n">
        <f aca="false">YEAR(A166)</f>
        <v>2015</v>
      </c>
      <c r="C166" s="17" t="n">
        <v>250.25</v>
      </c>
      <c r="D166" s="23" t="n">
        <f aca="false">A166-A165</f>
        <v>1</v>
      </c>
      <c r="E166" s="24" t="n">
        <f aca="false">LN(C166)</f>
        <v>5.52246041819533</v>
      </c>
      <c r="F166" s="25" t="n">
        <f aca="false">LN(C166/C165)</f>
        <v>-0.00661146266825156</v>
      </c>
      <c r="G166" s="25" t="n">
        <f aca="false">IF(AND(D166=1,A166&gt;=$R$2),F166,"")</f>
        <v>-0.00661146266825156</v>
      </c>
      <c r="H166" s="27" t="n">
        <f aca="false">IF(G166="","",G166^2)</f>
        <v>4.3711438613684E-005</v>
      </c>
      <c r="I166" s="25" t="n">
        <f aca="false">IF(G166="","",C166/C165-1)</f>
        <v>-0.00658965503552855</v>
      </c>
      <c r="K166" s="17" t="n">
        <f aca="false">MAX(K165,C166)</f>
        <v>378</v>
      </c>
      <c r="L166" s="25" t="n">
        <f aca="false">C166/K166-1</f>
        <v>-0.337962962962963</v>
      </c>
      <c r="M166" s="25" t="n">
        <f aca="false">IF(COUNT(G137:G166)&lt;20,"",_xlfn.STDEV.S(G137:G166)*SQRT($R$3))</f>
        <v>0.295556153752622</v>
      </c>
      <c r="N166" s="25" t="n">
        <f aca="false">IF(A166-7&lt;$R$2,"",C166/INDEX(Clean_Data!$C$2:$C$4314,MATCH(A166-7,Clean_Data!$A$2:$A$4314,1))-1)</f>
        <v>0.0940847287194508</v>
      </c>
      <c r="O166" s="25" t="n">
        <f aca="false">IF(A166-30&lt;$R$2,"",C166/INDEX(Clean_Data!$C$2:$C$4314,MATCH(A166-30,Clean_Data!$A$2:$A$4314,1))-1)</f>
        <v>0.0692616646727056</v>
      </c>
    </row>
    <row r="167" customFormat="false" ht="15" hidden="false" customHeight="false" outlineLevel="0" collapsed="false">
      <c r="A167" s="16" t="n">
        <v>42173</v>
      </c>
      <c r="B167" s="23" t="n">
        <f aca="false">YEAR(A167)</f>
        <v>2015</v>
      </c>
      <c r="C167" s="17" t="n">
        <v>249.27</v>
      </c>
      <c r="D167" s="23" t="n">
        <f aca="false">A167-A166</f>
        <v>1</v>
      </c>
      <c r="E167" s="24" t="n">
        <f aca="false">LN(C167)</f>
        <v>5.518536646345</v>
      </c>
      <c r="F167" s="25" t="n">
        <f aca="false">LN(C167/C166)</f>
        <v>-0.00392377185033027</v>
      </c>
      <c r="G167" s="25" t="n">
        <f aca="false">IF(AND(D167=1,A167&gt;=$R$2),F167,"")</f>
        <v>-0.00392377185033027</v>
      </c>
      <c r="H167" s="27" t="n">
        <f aca="false">IF(G167="","",G167^2)</f>
        <v>1.53959855334443E-005</v>
      </c>
      <c r="I167" s="25" t="n">
        <f aca="false">IF(G167="","",C167/C166-1)</f>
        <v>-0.00391608391608389</v>
      </c>
      <c r="K167" s="17" t="n">
        <f aca="false">MAX(K166,C167)</f>
        <v>378</v>
      </c>
      <c r="L167" s="25" t="n">
        <f aca="false">C167/K167-1</f>
        <v>-0.340555555555556</v>
      </c>
      <c r="M167" s="25" t="n">
        <f aca="false">IF(COUNT(G138:G167)&lt;20,"",_xlfn.STDEV.S(G138:G167)*SQRT($R$3))</f>
        <v>0.294839198173919</v>
      </c>
      <c r="N167" s="25" t="n">
        <f aca="false">IF(A167-7&lt;$R$2,"",C167/INDEX(Clean_Data!$C$2:$C$4314,MATCH(A167-7,Clean_Data!$A$2:$A$4314,1))-1)</f>
        <v>0.0852453306630676</v>
      </c>
      <c r="O167" s="25" t="n">
        <f aca="false">IF(A167-30&lt;$R$2,"",C167/INDEX(Clean_Data!$C$2:$C$4314,MATCH(A167-30,Clean_Data!$A$2:$A$4314,1))-1)</f>
        <v>0.0717141751580035</v>
      </c>
    </row>
    <row r="168" customFormat="false" ht="15" hidden="false" customHeight="false" outlineLevel="0" collapsed="false">
      <c r="A168" s="16" t="n">
        <v>42174</v>
      </c>
      <c r="B168" s="23" t="n">
        <f aca="false">YEAR(A168)</f>
        <v>2015</v>
      </c>
      <c r="C168" s="17" t="n">
        <v>246.33</v>
      </c>
      <c r="D168" s="23" t="n">
        <f aca="false">A168-A167</f>
        <v>1</v>
      </c>
      <c r="E168" s="24" t="n">
        <f aca="false">LN(C168)</f>
        <v>5.50667210038881</v>
      </c>
      <c r="F168" s="25" t="n">
        <f aca="false">LN(C168/C167)</f>
        <v>-0.0118645459561926</v>
      </c>
      <c r="G168" s="25" t="n">
        <f aca="false">IF(AND(D168=1,A168&gt;=$R$2),F168,"")</f>
        <v>-0.0118645459561926</v>
      </c>
      <c r="H168" s="27" t="n">
        <f aca="false">IF(G168="","",G168^2)</f>
        <v>0.000140767450746606</v>
      </c>
      <c r="I168" s="25" t="n">
        <f aca="false">IF(G168="","",C168/C167-1)</f>
        <v>-0.0117944397641112</v>
      </c>
      <c r="K168" s="17" t="n">
        <f aca="false">MAX(K167,C168)</f>
        <v>378</v>
      </c>
      <c r="L168" s="25" t="n">
        <f aca="false">C168/K168-1</f>
        <v>-0.348333333333333</v>
      </c>
      <c r="M168" s="25" t="n">
        <f aca="false">IF(COUNT(G139:G168)&lt;20,"",_xlfn.STDEV.S(G139:G168)*SQRT($R$3))</f>
        <v>0.298039999507799</v>
      </c>
      <c r="N168" s="25" t="n">
        <f aca="false">IF(A168-7&lt;$R$2,"",C168/INDEX(Clean_Data!$C$2:$C$4314,MATCH(A168-7,Clean_Data!$A$2:$A$4314,1))-1)</f>
        <v>0.0734736566871488</v>
      </c>
      <c r="O168" s="25" t="n">
        <f aca="false">IF(A168-30&lt;$R$2,"",C168/INDEX(Clean_Data!$C$2:$C$4314,MATCH(A168-30,Clean_Data!$A$2:$A$4314,1))-1)</f>
        <v>0.050268610897928</v>
      </c>
    </row>
    <row r="169" customFormat="false" ht="15" hidden="false" customHeight="false" outlineLevel="0" collapsed="false">
      <c r="A169" s="16" t="n">
        <v>42175</v>
      </c>
      <c r="B169" s="23" t="n">
        <f aca="false">YEAR(A169)</f>
        <v>2015</v>
      </c>
      <c r="C169" s="17" t="n">
        <v>246.13</v>
      </c>
      <c r="D169" s="23" t="n">
        <f aca="false">A169-A168</f>
        <v>1</v>
      </c>
      <c r="E169" s="24" t="n">
        <f aca="false">LN(C169)</f>
        <v>5.5058598516336</v>
      </c>
      <c r="F169" s="25" t="n">
        <f aca="false">LN(C169/C168)</f>
        <v>-0.000812248755211875</v>
      </c>
      <c r="G169" s="25" t="n">
        <f aca="false">IF(AND(D169=1,A169&gt;=$R$2),F169,"")</f>
        <v>-0.000812248755211875</v>
      </c>
      <c r="H169" s="27" t="n">
        <f aca="false">IF(G169="","",G169^2)</f>
        <v>6.59748040343241E-007</v>
      </c>
      <c r="I169" s="25" t="n">
        <f aca="false">IF(G169="","",C169/C168-1)</f>
        <v>-0.000811918970486825</v>
      </c>
      <c r="K169" s="17" t="n">
        <f aca="false">MAX(K168,C169)</f>
        <v>378</v>
      </c>
      <c r="L169" s="25" t="n">
        <f aca="false">C169/K169-1</f>
        <v>-0.348862433862434</v>
      </c>
      <c r="M169" s="25" t="n">
        <f aca="false">IF(COUNT(G140:G169)&lt;20,"",_xlfn.STDEV.S(G140:G169)*SQRT($R$3))</f>
        <v>0.297867690055816</v>
      </c>
      <c r="N169" s="25" t="n">
        <f aca="false">IF(A169-7&lt;$R$2,"",C169/INDEX(Clean_Data!$C$2:$C$4314,MATCH(A169-7,Clean_Data!$A$2:$A$4314,1))-1)</f>
        <v>0.0542253822760954</v>
      </c>
      <c r="O169" s="25" t="n">
        <f aca="false">IF(A169-30&lt;$R$2,"",C169/INDEX(Clean_Data!$C$2:$C$4314,MATCH(A169-30,Clean_Data!$A$2:$A$4314,1))-1)</f>
        <v>0.0439411290664631</v>
      </c>
    </row>
    <row r="170" customFormat="false" ht="15" hidden="false" customHeight="false" outlineLevel="0" collapsed="false">
      <c r="A170" s="16" t="n">
        <v>42176</v>
      </c>
      <c r="B170" s="23" t="n">
        <f aca="false">YEAR(A170)</f>
        <v>2015</v>
      </c>
      <c r="C170" s="17" t="n">
        <v>244.66</v>
      </c>
      <c r="D170" s="23" t="n">
        <f aca="false">A170-A169</f>
        <v>1</v>
      </c>
      <c r="E170" s="24" t="n">
        <f aca="false">LN(C170)</f>
        <v>5.49986949161877</v>
      </c>
      <c r="F170" s="25" t="n">
        <f aca="false">LN(C170/C169)</f>
        <v>-0.005990360014825</v>
      </c>
      <c r="G170" s="25" t="n">
        <f aca="false">IF(AND(D170=1,A170&gt;=$R$2),F170,"")</f>
        <v>-0.005990360014825</v>
      </c>
      <c r="H170" s="27" t="n">
        <f aca="false">IF(G170="","",G170^2)</f>
        <v>3.58844131072142E-005</v>
      </c>
      <c r="I170" s="25" t="n">
        <f aca="false">IF(G170="","",C170/C169-1)</f>
        <v>-0.00597245358144072</v>
      </c>
      <c r="K170" s="17" t="n">
        <f aca="false">MAX(K169,C170)</f>
        <v>378</v>
      </c>
      <c r="L170" s="25" t="n">
        <f aca="false">C170/K170-1</f>
        <v>-0.352751322751323</v>
      </c>
      <c r="M170" s="25" t="n">
        <f aca="false">IF(COUNT(G141:G170)&lt;20,"",_xlfn.STDEV.S(G141:G170)*SQRT($R$3))</f>
        <v>0.291485432405394</v>
      </c>
      <c r="N170" s="25" t="n">
        <f aca="false">IF(A170-7&lt;$R$2,"",C170/INDEX(Clean_Data!$C$2:$C$4314,MATCH(A170-7,Clean_Data!$A$2:$A$4314,1))-1)</f>
        <v>0.0473458904109589</v>
      </c>
      <c r="O170" s="25" t="n">
        <f aca="false">IF(A170-30&lt;$R$2,"",C170/INDEX(Clean_Data!$C$2:$C$4314,MATCH(A170-30,Clean_Data!$A$2:$A$4314,1))-1)</f>
        <v>0.0175088375961738</v>
      </c>
    </row>
    <row r="171" customFormat="false" ht="15" hidden="false" customHeight="false" outlineLevel="0" collapsed="false">
      <c r="A171" s="16" t="n">
        <v>42177</v>
      </c>
      <c r="B171" s="23" t="n">
        <f aca="false">YEAR(A171)</f>
        <v>2015</v>
      </c>
      <c r="C171" s="17" t="n">
        <v>247.5</v>
      </c>
      <c r="D171" s="23" t="n">
        <f aca="false">A171-A170</f>
        <v>1</v>
      </c>
      <c r="E171" s="24" t="n">
        <f aca="false">LN(C171)</f>
        <v>5.51141058200875</v>
      </c>
      <c r="F171" s="25" t="n">
        <f aca="false">LN(C171/C170)</f>
        <v>0.0115410903899746</v>
      </c>
      <c r="G171" s="25" t="n">
        <f aca="false">IF(AND(D171=1,A171&gt;=$R$2),F171,"")</f>
        <v>0.0115410903899746</v>
      </c>
      <c r="H171" s="27" t="n">
        <f aca="false">IF(G171="","",G171^2)</f>
        <v>0.000133196767389564</v>
      </c>
      <c r="I171" s="25" t="n">
        <f aca="false">IF(G171="","",C171/C170-1)</f>
        <v>0.0116079457205918</v>
      </c>
      <c r="K171" s="17" t="n">
        <f aca="false">MAX(K170,C171)</f>
        <v>378</v>
      </c>
      <c r="L171" s="25" t="n">
        <f aca="false">C171/K171-1</f>
        <v>-0.345238095238095</v>
      </c>
      <c r="M171" s="25" t="n">
        <f aca="false">IF(COUNT(G142:G171)&lt;20,"",_xlfn.STDEV.S(G142:G171)*SQRT($R$3))</f>
        <v>0.293321634426565</v>
      </c>
      <c r="N171" s="25" t="n">
        <f aca="false">IF(A171-7&lt;$R$2,"",C171/INDEX(Clean_Data!$C$2:$C$4314,MATCH(A171-7,Clean_Data!$A$2:$A$4314,1))-1)</f>
        <v>0.0443478627790201</v>
      </c>
      <c r="O171" s="25" t="n">
        <f aca="false">IF(A171-30&lt;$R$2,"",C171/INDEX(Clean_Data!$C$2:$C$4314,MATCH(A171-30,Clean_Data!$A$2:$A$4314,1))-1)</f>
        <v>0.0340073529411764</v>
      </c>
    </row>
    <row r="172" customFormat="false" ht="15" hidden="false" customHeight="false" outlineLevel="0" collapsed="false">
      <c r="A172" s="16" t="n">
        <v>42178</v>
      </c>
      <c r="B172" s="23" t="n">
        <f aca="false">YEAR(A172)</f>
        <v>2015</v>
      </c>
      <c r="C172" s="17" t="n">
        <v>244.52</v>
      </c>
      <c r="D172" s="23" t="n">
        <f aca="false">A172-A171</f>
        <v>1</v>
      </c>
      <c r="E172" s="24" t="n">
        <f aca="false">LN(C172)</f>
        <v>5.49929710516053</v>
      </c>
      <c r="F172" s="25" t="n">
        <f aca="false">LN(C172/C171)</f>
        <v>-0.0121134768482203</v>
      </c>
      <c r="G172" s="25" t="n">
        <f aca="false">IF(AND(D172=1,A172&gt;=$R$2),F172,"")</f>
        <v>-0.0121134768482203</v>
      </c>
      <c r="H172" s="27" t="n">
        <f aca="false">IF(G172="","",G172^2)</f>
        <v>0.000146736321352368</v>
      </c>
      <c r="I172" s="25" t="n">
        <f aca="false">IF(G172="","",C172/C171-1)</f>
        <v>-0.012040404040404</v>
      </c>
      <c r="K172" s="17" t="n">
        <f aca="false">MAX(K171,C172)</f>
        <v>378</v>
      </c>
      <c r="L172" s="25" t="n">
        <f aca="false">C172/K172-1</f>
        <v>-0.353121693121693</v>
      </c>
      <c r="M172" s="25" t="n">
        <f aca="false">IF(COUNT(G143:G172)&lt;20,"",_xlfn.STDEV.S(G143:G172)*SQRT($R$3))</f>
        <v>0.296294896671555</v>
      </c>
      <c r="N172" s="25" t="n">
        <f aca="false">IF(A172-7&lt;$R$2,"",C172/INDEX(Clean_Data!$C$2:$C$4314,MATCH(A172-7,Clean_Data!$A$2:$A$4314,1))-1)</f>
        <v>-0.0293358739232265</v>
      </c>
      <c r="O172" s="25" t="n">
        <f aca="false">IF(A172-30&lt;$R$2,"",C172/INDEX(Clean_Data!$C$2:$C$4314,MATCH(A172-30,Clean_Data!$A$2:$A$4314,1))-1)</f>
        <v>0.0153641724109295</v>
      </c>
    </row>
    <row r="173" customFormat="false" ht="15" hidden="false" customHeight="false" outlineLevel="0" collapsed="false">
      <c r="A173" s="16" t="n">
        <v>42179</v>
      </c>
      <c r="B173" s="23" t="n">
        <f aca="false">YEAR(A173)</f>
        <v>2015</v>
      </c>
      <c r="C173" s="17" t="n">
        <v>240.04</v>
      </c>
      <c r="D173" s="23" t="n">
        <f aca="false">A173-A172</f>
        <v>1</v>
      </c>
      <c r="E173" s="24" t="n">
        <f aca="false">LN(C173)</f>
        <v>5.48080557612131</v>
      </c>
      <c r="F173" s="25" t="n">
        <f aca="false">LN(C173/C172)</f>
        <v>-0.0184915290392126</v>
      </c>
      <c r="G173" s="25" t="n">
        <f aca="false">IF(AND(D173=1,A173&gt;=$R$2),F173,"")</f>
        <v>-0.0184915290392126</v>
      </c>
      <c r="H173" s="27" t="n">
        <f aca="false">IF(G173="","",G173^2)</f>
        <v>0.000341936646208042</v>
      </c>
      <c r="I173" s="25" t="n">
        <f aca="false">IF(G173="","",C173/C172-1)</f>
        <v>-0.0183216096842794</v>
      </c>
      <c r="K173" s="17" t="n">
        <f aca="false">MAX(K172,C173)</f>
        <v>378</v>
      </c>
      <c r="L173" s="25" t="n">
        <f aca="false">C173/K173-1</f>
        <v>-0.364973544973545</v>
      </c>
      <c r="M173" s="25" t="n">
        <f aca="false">IF(COUNT(G144:G173)&lt;20,"",_xlfn.STDEV.S(G144:G173)*SQRT($R$3))</f>
        <v>0.299352802421324</v>
      </c>
      <c r="N173" s="25" t="n">
        <f aca="false">IF(A173-7&lt;$R$2,"",C173/INDEX(Clean_Data!$C$2:$C$4314,MATCH(A173-7,Clean_Data!$A$2:$A$4314,1))-1)</f>
        <v>-0.0407992007992009</v>
      </c>
      <c r="O173" s="25" t="n">
        <f aca="false">IF(A173-30&lt;$R$2,"",C173/INDEX(Clean_Data!$C$2:$C$4314,MATCH(A173-30,Clean_Data!$A$2:$A$4314,1))-1)</f>
        <v>0.0109927136419155</v>
      </c>
    </row>
    <row r="174" customFormat="false" ht="15" hidden="false" customHeight="false" outlineLevel="0" collapsed="false">
      <c r="A174" s="16" t="n">
        <v>42180</v>
      </c>
      <c r="B174" s="23" t="n">
        <f aca="false">YEAR(A174)</f>
        <v>2015</v>
      </c>
      <c r="C174" s="17" t="n">
        <v>242.44</v>
      </c>
      <c r="D174" s="23" t="n">
        <f aca="false">A174-A173</f>
        <v>1</v>
      </c>
      <c r="E174" s="24" t="n">
        <f aca="false">LN(C174)</f>
        <v>5.49075425708308</v>
      </c>
      <c r="F174" s="25" t="n">
        <f aca="false">LN(C174/C173)</f>
        <v>0.00994868096177231</v>
      </c>
      <c r="G174" s="25" t="n">
        <f aca="false">IF(AND(D174=1,A174&gt;=$R$2),F174,"")</f>
        <v>0.00994868096177231</v>
      </c>
      <c r="H174" s="27" t="n">
        <f aca="false">IF(G174="","",G174^2)</f>
        <v>9.89762528791308E-005</v>
      </c>
      <c r="I174" s="25" t="n">
        <f aca="false">IF(G174="","",C174/C173-1)</f>
        <v>0.00999833361106495</v>
      </c>
      <c r="K174" s="17" t="n">
        <f aca="false">MAX(K173,C174)</f>
        <v>378</v>
      </c>
      <c r="L174" s="25" t="n">
        <f aca="false">C174/K174-1</f>
        <v>-0.358624338624339</v>
      </c>
      <c r="M174" s="25" t="n">
        <f aca="false">IF(COUNT(G145:G174)&lt;20,"",_xlfn.STDEV.S(G145:G174)*SQRT($R$3))</f>
        <v>0.300970100501821</v>
      </c>
      <c r="N174" s="25" t="n">
        <f aca="false">IF(A174-7&lt;$R$2,"",C174/INDEX(Clean_Data!$C$2:$C$4314,MATCH(A174-7,Clean_Data!$A$2:$A$4314,1))-1)</f>
        <v>-0.0274000080234285</v>
      </c>
      <c r="O174" s="25" t="n">
        <f aca="false">IF(A174-30&lt;$R$2,"",C174/INDEX(Clean_Data!$C$2:$C$4314,MATCH(A174-30,Clean_Data!$A$2:$A$4314,1))-1)</f>
        <v>0.0238608049326408</v>
      </c>
    </row>
    <row r="175" customFormat="false" ht="15" hidden="false" customHeight="false" outlineLevel="0" collapsed="false">
      <c r="A175" s="16" t="n">
        <v>42181</v>
      </c>
      <c r="B175" s="23" t="n">
        <f aca="false">YEAR(A175)</f>
        <v>2015</v>
      </c>
      <c r="C175" s="17" t="n">
        <v>243</v>
      </c>
      <c r="D175" s="23" t="n">
        <f aca="false">A175-A174</f>
        <v>1</v>
      </c>
      <c r="E175" s="24" t="n">
        <f aca="false">LN(C175)</f>
        <v>5.49306144334055</v>
      </c>
      <c r="F175" s="25" t="n">
        <f aca="false">LN(C175/C174)</f>
        <v>0.00230718625746419</v>
      </c>
      <c r="G175" s="25" t="n">
        <f aca="false">IF(AND(D175=1,A175&gt;=$R$2),F175,"")</f>
        <v>0.00230718625746419</v>
      </c>
      <c r="H175" s="27" t="n">
        <f aca="false">IF(G175="","",G175^2)</f>
        <v>5.3231084266316E-006</v>
      </c>
      <c r="I175" s="25" t="n">
        <f aca="false">IF(G175="","",C175/C174-1)</f>
        <v>0.00230984985975913</v>
      </c>
      <c r="K175" s="17" t="n">
        <f aca="false">MAX(K174,C175)</f>
        <v>378</v>
      </c>
      <c r="L175" s="25" t="n">
        <f aca="false">C175/K175-1</f>
        <v>-0.357142857142857</v>
      </c>
      <c r="M175" s="25" t="n">
        <f aca="false">IF(COUNT(G146:G175)&lt;20,"",_xlfn.STDEV.S(G146:G175)*SQRT($R$3))</f>
        <v>0.300966537287245</v>
      </c>
      <c r="N175" s="25" t="n">
        <f aca="false">IF(A175-7&lt;$R$2,"",C175/INDEX(Clean_Data!$C$2:$C$4314,MATCH(A175-7,Clean_Data!$A$2:$A$4314,1))-1)</f>
        <v>-0.0135184508586044</v>
      </c>
      <c r="O175" s="25" t="n">
        <f aca="false">IF(A175-30&lt;$R$2,"",C175/INDEX(Clean_Data!$C$2:$C$4314,MATCH(A175-30,Clean_Data!$A$2:$A$4314,1))-1)</f>
        <v>0.0238045081103855</v>
      </c>
    </row>
    <row r="176" customFormat="false" ht="15" hidden="false" customHeight="false" outlineLevel="0" collapsed="false">
      <c r="A176" s="16" t="n">
        <v>42182</v>
      </c>
      <c r="B176" s="23" t="n">
        <f aca="false">YEAR(A176)</f>
        <v>2015</v>
      </c>
      <c r="C176" s="17" t="n">
        <v>251.59</v>
      </c>
      <c r="D176" s="23" t="n">
        <f aca="false">A176-A175</f>
        <v>1</v>
      </c>
      <c r="E176" s="24" t="n">
        <f aca="false">LN(C176)</f>
        <v>5.52780077840843</v>
      </c>
      <c r="F176" s="25" t="n">
        <f aca="false">LN(C176/C175)</f>
        <v>0.0347393350678777</v>
      </c>
      <c r="G176" s="25" t="n">
        <f aca="false">IF(AND(D176=1,A176&gt;=$R$2),F176,"")</f>
        <v>0.0347393350678777</v>
      </c>
      <c r="H176" s="27" t="n">
        <f aca="false">IF(G176="","",G176^2)</f>
        <v>0.00120682140095828</v>
      </c>
      <c r="I176" s="25" t="n">
        <f aca="false">IF(G176="","",C176/C175-1)</f>
        <v>0.0353497942386831</v>
      </c>
      <c r="K176" s="17" t="n">
        <f aca="false">MAX(K175,C176)</f>
        <v>378</v>
      </c>
      <c r="L176" s="25" t="n">
        <f aca="false">C176/K176-1</f>
        <v>-0.334417989417989</v>
      </c>
      <c r="M176" s="25" t="n">
        <f aca="false">IF(COUNT(G147:G176)&lt;20,"",_xlfn.STDEV.S(G147:G176)*SQRT($R$3))</f>
        <v>0.323382153821199</v>
      </c>
      <c r="N176" s="25" t="n">
        <f aca="false">IF(A176-7&lt;$R$2,"",C176/INDEX(Clean_Data!$C$2:$C$4314,MATCH(A176-7,Clean_Data!$A$2:$A$4314,1))-1)</f>
        <v>0.0221833990167797</v>
      </c>
      <c r="O176" s="25" t="n">
        <f aca="false">IF(A176-30&lt;$R$2,"",C176/INDEX(Clean_Data!$C$2:$C$4314,MATCH(A176-30,Clean_Data!$A$2:$A$4314,1))-1)</f>
        <v>0.0600404483020141</v>
      </c>
    </row>
    <row r="177" customFormat="false" ht="15" hidden="false" customHeight="false" outlineLevel="0" collapsed="false">
      <c r="A177" s="16" t="n">
        <v>42183</v>
      </c>
      <c r="B177" s="23" t="n">
        <f aca="false">YEAR(A177)</f>
        <v>2015</v>
      </c>
      <c r="C177" s="17" t="n">
        <v>249.11</v>
      </c>
      <c r="D177" s="23" t="n">
        <f aca="false">A177-A176</f>
        <v>1</v>
      </c>
      <c r="E177" s="24" t="n">
        <f aca="false">LN(C177)</f>
        <v>5.51789456598264</v>
      </c>
      <c r="F177" s="25" t="n">
        <f aca="false">LN(C177/C176)</f>
        <v>-0.00990621242578805</v>
      </c>
      <c r="G177" s="25" t="n">
        <f aca="false">IF(AND(D177=1,A177&gt;=$R$2),F177,"")</f>
        <v>-0.00990621242578805</v>
      </c>
      <c r="H177" s="27" t="n">
        <f aca="false">IF(G177="","",G177^2)</f>
        <v>9.81330446248376E-005</v>
      </c>
      <c r="I177" s="25" t="n">
        <f aca="false">IF(G177="","",C177/C176-1)</f>
        <v>-0.00985730752414638</v>
      </c>
      <c r="K177" s="17" t="n">
        <f aca="false">MAX(K176,C177)</f>
        <v>378</v>
      </c>
      <c r="L177" s="25" t="n">
        <f aca="false">C177/K177-1</f>
        <v>-0.340978835978836</v>
      </c>
      <c r="M177" s="25" t="n">
        <f aca="false">IF(COUNT(G148:G177)&lt;20,"",_xlfn.STDEV.S(G148:G177)*SQRT($R$3))</f>
        <v>0.325777081722397</v>
      </c>
      <c r="N177" s="25" t="n">
        <f aca="false">IF(A177-7&lt;$R$2,"",C177/INDEX(Clean_Data!$C$2:$C$4314,MATCH(A177-7,Clean_Data!$A$2:$A$4314,1))-1)</f>
        <v>0.0181885064988148</v>
      </c>
      <c r="O177" s="25" t="n">
        <f aca="false">IF(A177-30&lt;$R$2,"",C177/INDEX(Clean_Data!$C$2:$C$4314,MATCH(A177-30,Clean_Data!$A$2:$A$4314,1))-1)</f>
        <v>0.0515851238971676</v>
      </c>
    </row>
    <row r="178" customFormat="false" ht="15" hidden="false" customHeight="false" outlineLevel="0" collapsed="false">
      <c r="A178" s="16" t="n">
        <v>42184</v>
      </c>
      <c r="B178" s="23" t="n">
        <f aca="false">YEAR(A178)</f>
        <v>2015</v>
      </c>
      <c r="C178" s="17" t="n">
        <v>257.54</v>
      </c>
      <c r="D178" s="23" t="n">
        <f aca="false">A178-A177</f>
        <v>1</v>
      </c>
      <c r="E178" s="24" t="n">
        <f aca="false">LN(C178)</f>
        <v>5.55117504784564</v>
      </c>
      <c r="F178" s="25" t="n">
        <f aca="false">LN(C178/C177)</f>
        <v>0.0332804818629997</v>
      </c>
      <c r="G178" s="25" t="n">
        <f aca="false">IF(AND(D178=1,A178&gt;=$R$2),F178,"")</f>
        <v>0.0332804818629997</v>
      </c>
      <c r="H178" s="27" t="n">
        <f aca="false">IF(G178="","",G178^2)</f>
        <v>0.00110759047303345</v>
      </c>
      <c r="I178" s="25" t="n">
        <f aca="false">IF(G178="","",C178/C177-1)</f>
        <v>0.0338404720806069</v>
      </c>
      <c r="K178" s="17" t="n">
        <f aca="false">MAX(K177,C178)</f>
        <v>378</v>
      </c>
      <c r="L178" s="25" t="n">
        <f aca="false">C178/K178-1</f>
        <v>-0.318677248677249</v>
      </c>
      <c r="M178" s="25" t="n">
        <f aca="false">IF(COUNT(G149:G178)&lt;20,"",_xlfn.STDEV.S(G149:G178)*SQRT($R$3))</f>
        <v>0.33850200572972</v>
      </c>
      <c r="N178" s="25" t="n">
        <f aca="false">IF(A178-7&lt;$R$2,"",C178/INDEX(Clean_Data!$C$2:$C$4314,MATCH(A178-7,Clean_Data!$A$2:$A$4314,1))-1)</f>
        <v>0.0405656565656567</v>
      </c>
      <c r="O178" s="25" t="n">
        <f aca="false">IF(A178-30&lt;$R$2,"",C178/INDEX(Clean_Data!$C$2:$C$4314,MATCH(A178-30,Clean_Data!$A$2:$A$4314,1))-1)</f>
        <v>0.102718903874973</v>
      </c>
    </row>
    <row r="179" customFormat="false" ht="15" hidden="false" customHeight="false" outlineLevel="0" collapsed="false">
      <c r="A179" s="16" t="n">
        <v>42185</v>
      </c>
      <c r="B179" s="23" t="n">
        <f aca="false">YEAR(A179)</f>
        <v>2015</v>
      </c>
      <c r="C179" s="17" t="n">
        <v>263.82</v>
      </c>
      <c r="D179" s="23" t="n">
        <f aca="false">A179-A178</f>
        <v>1</v>
      </c>
      <c r="E179" s="24" t="n">
        <f aca="false">LN(C179)</f>
        <v>5.57526705242077</v>
      </c>
      <c r="F179" s="25" t="n">
        <f aca="false">LN(C179/C178)</f>
        <v>0.0240920045751358</v>
      </c>
      <c r="G179" s="25" t="n">
        <f aca="false">IF(AND(D179=1,A179&gt;=$R$2),F179,"")</f>
        <v>0.0240920045751358</v>
      </c>
      <c r="H179" s="27" t="n">
        <f aca="false">IF(G179="","",G179^2)</f>
        <v>0.000580424684448364</v>
      </c>
      <c r="I179" s="25" t="n">
        <f aca="false">IF(G179="","",C179/C178-1)</f>
        <v>0.0243845616214955</v>
      </c>
      <c r="K179" s="17" t="n">
        <f aca="false">MAX(K178,C179)</f>
        <v>378</v>
      </c>
      <c r="L179" s="25" t="n">
        <f aca="false">C179/K179-1</f>
        <v>-0.302063492063492</v>
      </c>
      <c r="M179" s="25" t="n">
        <f aca="false">IF(COUNT(G150:G179)&lt;20,"",_xlfn.STDEV.S(G150:G179)*SQRT($R$3))</f>
        <v>0.339849075155544</v>
      </c>
      <c r="N179" s="25" t="n">
        <f aca="false">IF(A179-7&lt;$R$2,"",C179/INDEX(Clean_Data!$C$2:$C$4314,MATCH(A179-7,Clean_Data!$A$2:$A$4314,1))-1)</f>
        <v>0.0789301488630787</v>
      </c>
      <c r="O179" s="25" t="n">
        <f aca="false">IF(A179-30&lt;$R$2,"",C179/INDEX(Clean_Data!$C$2:$C$4314,MATCH(A179-30,Clean_Data!$A$2:$A$4314,1))-1)</f>
        <v>0.14599713305243</v>
      </c>
    </row>
    <row r="180" customFormat="false" ht="15" hidden="false" customHeight="false" outlineLevel="0" collapsed="false">
      <c r="A180" s="16" t="n">
        <v>42186</v>
      </c>
      <c r="B180" s="23" t="n">
        <f aca="false">YEAR(A180)</f>
        <v>2015</v>
      </c>
      <c r="C180" s="17" t="n">
        <v>259.02</v>
      </c>
      <c r="D180" s="23" t="n">
        <f aca="false">A180-A179</f>
        <v>1</v>
      </c>
      <c r="E180" s="24" t="n">
        <f aca="false">LN(C180)</f>
        <v>5.55690527879544</v>
      </c>
      <c r="F180" s="25" t="n">
        <f aca="false">LN(C180/C179)</f>
        <v>-0.0183617736253327</v>
      </c>
      <c r="G180" s="25" t="n">
        <f aca="false">IF(AND(D180=1,A180&gt;=$R$2),F180,"")</f>
        <v>-0.0183617736253327</v>
      </c>
      <c r="H180" s="27" t="n">
        <f aca="false">IF(G180="","",G180^2)</f>
        <v>0.000337154730667963</v>
      </c>
      <c r="I180" s="25" t="n">
        <f aca="false">IF(G180="","",C180/C179-1)</f>
        <v>-0.0181942233340915</v>
      </c>
      <c r="K180" s="17" t="n">
        <f aca="false">MAX(K179,C180)</f>
        <v>378</v>
      </c>
      <c r="L180" s="25" t="n">
        <f aca="false">C180/K180-1</f>
        <v>-0.314761904761905</v>
      </c>
      <c r="M180" s="25" t="n">
        <f aca="false">IF(COUNT(G151:G180)&lt;20,"",_xlfn.STDEV.S(G151:G180)*SQRT($R$3))</f>
        <v>0.328061583027205</v>
      </c>
      <c r="N180" s="25" t="n">
        <f aca="false">IF(A180-7&lt;$R$2,"",C180/INDEX(Clean_Data!$C$2:$C$4314,MATCH(A180-7,Clean_Data!$A$2:$A$4314,1))-1)</f>
        <v>0.079070154974171</v>
      </c>
      <c r="O180" s="25" t="n">
        <f aca="false">IF(A180-30&lt;$R$2,"",C180/INDEX(Clean_Data!$C$2:$C$4314,MATCH(A180-30,Clean_Data!$A$2:$A$4314,1))-1)</f>
        <v>0.158615136876006</v>
      </c>
    </row>
    <row r="181" customFormat="false" ht="15" hidden="false" customHeight="false" outlineLevel="0" collapsed="false">
      <c r="A181" s="16" t="n">
        <v>42187</v>
      </c>
      <c r="B181" s="23" t="n">
        <f aca="false">YEAR(A181)</f>
        <v>2015</v>
      </c>
      <c r="C181" s="17" t="n">
        <v>254.85</v>
      </c>
      <c r="D181" s="23" t="n">
        <f aca="false">A181-A180</f>
        <v>1</v>
      </c>
      <c r="E181" s="24" t="n">
        <f aca="false">LN(C181)</f>
        <v>5.54067513678605</v>
      </c>
      <c r="F181" s="25" t="n">
        <f aca="false">LN(C181/C180)</f>
        <v>-0.0162301420093904</v>
      </c>
      <c r="G181" s="25" t="n">
        <f aca="false">IF(AND(D181=1,A181&gt;=$R$2),F181,"")</f>
        <v>-0.0162301420093904</v>
      </c>
      <c r="H181" s="27" t="n">
        <f aca="false">IF(G181="","",G181^2)</f>
        <v>0.000263417509644979</v>
      </c>
      <c r="I181" s="25" t="n">
        <f aca="false">IF(G181="","",C181/C180-1)</f>
        <v>-0.0160991429233264</v>
      </c>
      <c r="K181" s="17" t="n">
        <f aca="false">MAX(K180,C181)</f>
        <v>378</v>
      </c>
      <c r="L181" s="25" t="n">
        <f aca="false">C181/K181-1</f>
        <v>-0.325793650793651</v>
      </c>
      <c r="M181" s="25" t="n">
        <f aca="false">IF(COUNT(G152:G181)&lt;20,"",_xlfn.STDEV.S(G152:G181)*SQRT($R$3))</f>
        <v>0.3355647075518</v>
      </c>
      <c r="N181" s="25" t="n">
        <f aca="false">IF(A181-7&lt;$R$2,"",C181/INDEX(Clean_Data!$C$2:$C$4314,MATCH(A181-7,Clean_Data!$A$2:$A$4314,1))-1)</f>
        <v>0.0511879227850189</v>
      </c>
      <c r="O181" s="25" t="n">
        <f aca="false">IF(A181-30&lt;$R$2,"",C181/INDEX(Clean_Data!$C$2:$C$4314,MATCH(A181-30,Clean_Data!$A$2:$A$4314,1))-1)</f>
        <v>0.12840380783706</v>
      </c>
    </row>
    <row r="182" customFormat="false" ht="15" hidden="false" customHeight="false" outlineLevel="0" collapsed="false">
      <c r="A182" s="16" t="n">
        <v>42188</v>
      </c>
      <c r="B182" s="23" t="n">
        <f aca="false">YEAR(A182)</f>
        <v>2015</v>
      </c>
      <c r="C182" s="17" t="n">
        <v>256.95</v>
      </c>
      <c r="D182" s="23" t="n">
        <f aca="false">A182-A181</f>
        <v>1</v>
      </c>
      <c r="E182" s="24" t="n">
        <f aca="false">LN(C182)</f>
        <v>5.54888151343824</v>
      </c>
      <c r="F182" s="25" t="n">
        <f aca="false">LN(C182/C181)</f>
        <v>0.00820637665218795</v>
      </c>
      <c r="G182" s="25" t="n">
        <f aca="false">IF(AND(D182=1,A182&gt;=$R$2),F182,"")</f>
        <v>0.00820637665218795</v>
      </c>
      <c r="H182" s="27" t="n">
        <f aca="false">IF(G182="","",G182^2)</f>
        <v>6.73446177575755E-005</v>
      </c>
      <c r="I182" s="25" t="n">
        <f aca="false">IF(G182="","",C182/C181-1)</f>
        <v>0.00824014125956452</v>
      </c>
      <c r="K182" s="17" t="n">
        <f aca="false">MAX(K181,C182)</f>
        <v>378</v>
      </c>
      <c r="L182" s="25" t="n">
        <f aca="false">C182/K182-1</f>
        <v>-0.320238095238095</v>
      </c>
      <c r="M182" s="25" t="n">
        <f aca="false">IF(COUNT(G153:G182)&lt;20,"",_xlfn.STDEV.S(G153:G182)*SQRT($R$3))</f>
        <v>0.335553223703437</v>
      </c>
      <c r="N182" s="25" t="n">
        <f aca="false">IF(A182-7&lt;$R$2,"",C182/INDEX(Clean_Data!$C$2:$C$4314,MATCH(A182-7,Clean_Data!$A$2:$A$4314,1))-1)</f>
        <v>0.0574074074074074</v>
      </c>
      <c r="O182" s="25" t="n">
        <f aca="false">IF(A182-30&lt;$R$2,"",C182/INDEX(Clean_Data!$C$2:$C$4314,MATCH(A182-30,Clean_Data!$A$2:$A$4314,1))-1)</f>
        <v>0.137651642610467</v>
      </c>
    </row>
    <row r="183" customFormat="false" ht="15" hidden="false" customHeight="false" outlineLevel="0" collapsed="false">
      <c r="A183" s="16" t="n">
        <v>42189</v>
      </c>
      <c r="B183" s="23" t="n">
        <f aca="false">YEAR(A183)</f>
        <v>2015</v>
      </c>
      <c r="C183" s="17" t="n">
        <v>260.64</v>
      </c>
      <c r="D183" s="23" t="n">
        <f aca="false">A183-A182</f>
        <v>1</v>
      </c>
      <c r="E183" s="24" t="n">
        <f aca="false">LN(C183)</f>
        <v>5.56314014485374</v>
      </c>
      <c r="F183" s="25" t="n">
        <f aca="false">LN(C183/C182)</f>
        <v>0.0142586314154963</v>
      </c>
      <c r="G183" s="25" t="n">
        <f aca="false">IF(AND(D183=1,A183&gt;=$R$2),F183,"")</f>
        <v>0.0142586314154963</v>
      </c>
      <c r="H183" s="27" t="n">
        <f aca="false">IF(G183="","",G183^2)</f>
        <v>0.000203308569842979</v>
      </c>
      <c r="I183" s="25" t="n">
        <f aca="false">IF(G183="","",C183/C182-1)</f>
        <v>0.0143607705779334</v>
      </c>
      <c r="K183" s="17" t="n">
        <f aca="false">MAX(K182,C183)</f>
        <v>378</v>
      </c>
      <c r="L183" s="25" t="n">
        <f aca="false">C183/K183-1</f>
        <v>-0.31047619047619</v>
      </c>
      <c r="M183" s="25" t="n">
        <f aca="false">IF(COUNT(G154:G183)&lt;20,"",_xlfn.STDEV.S(G154:G183)*SQRT($R$3))</f>
        <v>0.335278279574596</v>
      </c>
      <c r="N183" s="25" t="n">
        <f aca="false">IF(A183-7&lt;$R$2,"",C183/INDEX(Clean_Data!$C$2:$C$4314,MATCH(A183-7,Clean_Data!$A$2:$A$4314,1))-1)</f>
        <v>0.0359712230215827</v>
      </c>
      <c r="O183" s="25" t="n">
        <f aca="false">IF(A183-30&lt;$R$2,"",C183/INDEX(Clean_Data!$C$2:$C$4314,MATCH(A183-30,Clean_Data!$A$2:$A$4314,1))-1)</f>
        <v>0.160618070089504</v>
      </c>
    </row>
    <row r="184" customFormat="false" ht="15" hidden="false" customHeight="false" outlineLevel="0" collapsed="false">
      <c r="A184" s="16" t="n">
        <v>42190</v>
      </c>
      <c r="B184" s="23" t="n">
        <f aca="false">YEAR(A184)</f>
        <v>2015</v>
      </c>
      <c r="C184" s="17" t="n">
        <v>271.74</v>
      </c>
      <c r="D184" s="23" t="n">
        <f aca="false">A184-A183</f>
        <v>1</v>
      </c>
      <c r="E184" s="24" t="n">
        <f aca="false">LN(C184)</f>
        <v>5.60484572679618</v>
      </c>
      <c r="F184" s="25" t="n">
        <f aca="false">LN(C184/C183)</f>
        <v>0.0417055819424426</v>
      </c>
      <c r="G184" s="25" t="n">
        <f aca="false">IF(AND(D184=1,A184&gt;=$R$2),F184,"")</f>
        <v>0.0417055819424426</v>
      </c>
      <c r="H184" s="27" t="n">
        <f aca="false">IF(G184="","",G184^2)</f>
        <v>0.0017393555651578</v>
      </c>
      <c r="I184" s="25" t="n">
        <f aca="false">IF(G184="","",C184/C183-1)</f>
        <v>0.0425874769797423</v>
      </c>
      <c r="K184" s="17" t="n">
        <f aca="false">MAX(K183,C184)</f>
        <v>378</v>
      </c>
      <c r="L184" s="25" t="n">
        <f aca="false">C184/K184-1</f>
        <v>-0.281111111111111</v>
      </c>
      <c r="M184" s="25" t="n">
        <f aca="false">IF(COUNT(G155:G184)&lt;20,"",_xlfn.STDEV.S(G155:G184)*SQRT($R$3))</f>
        <v>0.358614961321509</v>
      </c>
      <c r="N184" s="25" t="n">
        <f aca="false">IF(A184-7&lt;$R$2,"",C184/INDEX(Clean_Data!$C$2:$C$4314,MATCH(A184-7,Clean_Data!$A$2:$A$4314,1))-1)</f>
        <v>0.0908434025129461</v>
      </c>
      <c r="O184" s="25" t="n">
        <f aca="false">IF(A184-30&lt;$R$2,"",C184/INDEX(Clean_Data!$C$2:$C$4314,MATCH(A184-30,Clean_Data!$A$2:$A$4314,1))-1)</f>
        <v>0.207894385918122</v>
      </c>
    </row>
    <row r="185" customFormat="false" ht="15" hidden="false" customHeight="false" outlineLevel="0" collapsed="false">
      <c r="A185" s="16" t="n">
        <v>42191</v>
      </c>
      <c r="B185" s="23" t="n">
        <f aca="false">YEAR(A185)</f>
        <v>2015</v>
      </c>
      <c r="C185" s="17" t="n">
        <v>269.94</v>
      </c>
      <c r="D185" s="23" t="n">
        <f aca="false">A185-A184</f>
        <v>1</v>
      </c>
      <c r="E185" s="24" t="n">
        <f aca="false">LN(C185)</f>
        <v>5.59819971208114</v>
      </c>
      <c r="F185" s="25" t="n">
        <f aca="false">LN(C185/C184)</f>
        <v>-0.00664601471504157</v>
      </c>
      <c r="G185" s="25" t="n">
        <f aca="false">IF(AND(D185=1,A185&gt;=$R$2),F185,"")</f>
        <v>-0.00664601471504157</v>
      </c>
      <c r="H185" s="27" t="n">
        <f aca="false">IF(G185="","",G185^2)</f>
        <v>4.4169511592549E-005</v>
      </c>
      <c r="I185" s="25" t="n">
        <f aca="false">IF(G185="","",C185/C184-1)</f>
        <v>-0.00662397880326782</v>
      </c>
      <c r="K185" s="17" t="n">
        <f aca="false">MAX(K184,C185)</f>
        <v>378</v>
      </c>
      <c r="L185" s="25" t="n">
        <f aca="false">C185/K185-1</f>
        <v>-0.285873015873016</v>
      </c>
      <c r="M185" s="25" t="n">
        <f aca="false">IF(COUNT(G156:G185)&lt;20,"",_xlfn.STDEV.S(G156:G185)*SQRT($R$3))</f>
        <v>0.361213141573514</v>
      </c>
      <c r="N185" s="25" t="n">
        <f aca="false">IF(A185-7&lt;$R$2,"",C185/INDEX(Clean_Data!$C$2:$C$4314,MATCH(A185-7,Clean_Data!$A$2:$A$4314,1))-1)</f>
        <v>0.04814786052652</v>
      </c>
      <c r="O185" s="25" t="n">
        <f aca="false">IF(A185-30&lt;$R$2,"",C185/INDEX(Clean_Data!$C$2:$C$4314,MATCH(A185-30,Clean_Data!$A$2:$A$4314,1))-1)</f>
        <v>0.197179350718467</v>
      </c>
    </row>
    <row r="186" customFormat="false" ht="15" hidden="false" customHeight="false" outlineLevel="0" collapsed="false">
      <c r="A186" s="16" t="n">
        <v>42192</v>
      </c>
      <c r="B186" s="23" t="n">
        <f aca="false">YEAR(A186)</f>
        <v>2015</v>
      </c>
      <c r="C186" s="17" t="n">
        <v>266.18</v>
      </c>
      <c r="D186" s="23" t="n">
        <f aca="false">A186-A185</f>
        <v>1</v>
      </c>
      <c r="E186" s="24" t="n">
        <f aca="false">LN(C186)</f>
        <v>5.58417277165841</v>
      </c>
      <c r="F186" s="25" t="n">
        <f aca="false">LN(C186/C185)</f>
        <v>-0.0140269404227258</v>
      </c>
      <c r="G186" s="25" t="n">
        <f aca="false">IF(AND(D186=1,A186&gt;=$R$2),F186,"")</f>
        <v>-0.0140269404227258</v>
      </c>
      <c r="H186" s="27" t="n">
        <f aca="false">IF(G186="","",G186^2)</f>
        <v>0.000196755057622699</v>
      </c>
      <c r="I186" s="25" t="n">
        <f aca="false">IF(G186="","",C186/C185-1)</f>
        <v>-0.0139290212639845</v>
      </c>
      <c r="K186" s="17" t="n">
        <f aca="false">MAX(K185,C186)</f>
        <v>378</v>
      </c>
      <c r="L186" s="25" t="n">
        <f aca="false">C186/K186-1</f>
        <v>-0.295820105820106</v>
      </c>
      <c r="M186" s="25" t="n">
        <f aca="false">IF(COUNT(G157:G186)&lt;20,"",_xlfn.STDEV.S(G157:G186)*SQRT($R$3))</f>
        <v>0.365171639159489</v>
      </c>
      <c r="N186" s="25" t="n">
        <f aca="false">IF(A186-7&lt;$R$2,"",C186/INDEX(Clean_Data!$C$2:$C$4314,MATCH(A186-7,Clean_Data!$A$2:$A$4314,1))-1)</f>
        <v>0.00894549313926163</v>
      </c>
      <c r="O186" s="25" t="n">
        <f aca="false">IF(A186-30&lt;$R$2,"",C186/INDEX(Clean_Data!$C$2:$C$4314,MATCH(A186-30,Clean_Data!$A$2:$A$4314,1))-1)</f>
        <v>0.188887400062531</v>
      </c>
    </row>
    <row r="187" customFormat="false" ht="15" hidden="false" customHeight="false" outlineLevel="0" collapsed="false">
      <c r="A187" s="16" t="n">
        <v>42193</v>
      </c>
      <c r="B187" s="23" t="n">
        <f aca="false">YEAR(A187)</f>
        <v>2015</v>
      </c>
      <c r="C187" s="17" t="n">
        <v>270.97</v>
      </c>
      <c r="D187" s="23" t="n">
        <f aca="false">A187-A186</f>
        <v>1</v>
      </c>
      <c r="E187" s="24" t="n">
        <f aca="false">LN(C187)</f>
        <v>5.60200811364487</v>
      </c>
      <c r="F187" s="25" t="n">
        <f aca="false">LN(C187/C186)</f>
        <v>0.01783534198646</v>
      </c>
      <c r="G187" s="25" t="n">
        <f aca="false">IF(AND(D187=1,A187&gt;=$R$2),F187,"")</f>
        <v>0.01783534198646</v>
      </c>
      <c r="H187" s="27" t="n">
        <f aca="false">IF(G187="","",G187^2)</f>
        <v>0.000318099423773984</v>
      </c>
      <c r="I187" s="25" t="n">
        <f aca="false">IF(G187="","",C187/C186-1)</f>
        <v>0.0179953414982343</v>
      </c>
      <c r="K187" s="17" t="n">
        <f aca="false">MAX(K186,C187)</f>
        <v>378</v>
      </c>
      <c r="L187" s="25" t="n">
        <f aca="false">C187/K187-1</f>
        <v>-0.283148148148148</v>
      </c>
      <c r="M187" s="25" t="n">
        <f aca="false">IF(COUNT(G158:G187)&lt;20,"",_xlfn.STDEV.S(G158:G187)*SQRT($R$3))</f>
        <v>0.362536683626492</v>
      </c>
      <c r="N187" s="25" t="n">
        <f aca="false">IF(A187-7&lt;$R$2,"",C187/INDEX(Clean_Data!$C$2:$C$4314,MATCH(A187-7,Clean_Data!$A$2:$A$4314,1))-1)</f>
        <v>0.0461354335572544</v>
      </c>
      <c r="O187" s="25" t="n">
        <f aca="false">IF(A187-30&lt;$R$2,"",C187/INDEX(Clean_Data!$C$2:$C$4314,MATCH(A187-30,Clean_Data!$A$2:$A$4314,1))-1)</f>
        <v>0.182758620689655</v>
      </c>
    </row>
    <row r="188" customFormat="false" ht="15" hidden="false" customHeight="false" outlineLevel="0" collapsed="false">
      <c r="A188" s="16" t="n">
        <v>42194</v>
      </c>
      <c r="B188" s="23" t="n">
        <f aca="false">YEAR(A188)</f>
        <v>2015</v>
      </c>
      <c r="C188" s="17" t="n">
        <v>269.75</v>
      </c>
      <c r="D188" s="23" t="n">
        <f aca="false">A188-A187</f>
        <v>1</v>
      </c>
      <c r="E188" s="24" t="n">
        <f aca="false">LN(C188)</f>
        <v>5.59749560413824</v>
      </c>
      <c r="F188" s="25" t="n">
        <f aca="false">LN(C188/C187)</f>
        <v>-0.00451250950662615</v>
      </c>
      <c r="G188" s="25" t="n">
        <f aca="false">IF(AND(D188=1,A188&gt;=$R$2),F188,"")</f>
        <v>-0.00451250950662615</v>
      </c>
      <c r="H188" s="27" t="n">
        <f aca="false">IF(G188="","",G188^2)</f>
        <v>2.03627420473914E-005</v>
      </c>
      <c r="I188" s="25" t="n">
        <f aca="false">IF(G188="","",C188/C187-1)</f>
        <v>-0.0045023434328525</v>
      </c>
      <c r="K188" s="17" t="n">
        <f aca="false">MAX(K187,C188)</f>
        <v>378</v>
      </c>
      <c r="L188" s="25" t="n">
        <f aca="false">C188/K188-1</f>
        <v>-0.286375661375661</v>
      </c>
      <c r="M188" s="25" t="n">
        <f aca="false">IF(COUNT(G159:G188)&lt;20,"",_xlfn.STDEV.S(G159:G188)*SQRT($R$3))</f>
        <v>0.3638164321917</v>
      </c>
      <c r="N188" s="25" t="n">
        <f aca="false">IF(A188-7&lt;$R$2,"",C188/INDEX(Clean_Data!$C$2:$C$4314,MATCH(A188-7,Clean_Data!$A$2:$A$4314,1))-1)</f>
        <v>0.0584657641750048</v>
      </c>
      <c r="O188" s="25" t="n">
        <f aca="false">IF(A188-30&lt;$R$2,"",C188/INDEX(Clean_Data!$C$2:$C$4314,MATCH(A188-30,Clean_Data!$A$2:$A$4314,1))-1)</f>
        <v>0.17702242778602</v>
      </c>
    </row>
    <row r="189" customFormat="false" ht="15" hidden="false" customHeight="false" outlineLevel="0" collapsed="false">
      <c r="A189" s="16" t="n">
        <v>42195</v>
      </c>
      <c r="B189" s="23" t="n">
        <f aca="false">YEAR(A189)</f>
        <v>2015</v>
      </c>
      <c r="C189" s="17" t="n">
        <v>286.67</v>
      </c>
      <c r="D189" s="23" t="n">
        <f aca="false">A189-A188</f>
        <v>1</v>
      </c>
      <c r="E189" s="24" t="n">
        <f aca="false">LN(C189)</f>
        <v>5.65833172841882</v>
      </c>
      <c r="F189" s="25" t="n">
        <f aca="false">LN(C189/C188)</f>
        <v>0.0608361242805729</v>
      </c>
      <c r="G189" s="25" t="n">
        <f aca="false">IF(AND(D189=1,A189&gt;=$R$2),F189,"")</f>
        <v>0.0608361242805729</v>
      </c>
      <c r="H189" s="27" t="n">
        <f aca="false">IF(G189="","",G189^2)</f>
        <v>0.00370103401748131</v>
      </c>
      <c r="I189" s="25" t="n">
        <f aca="false">IF(G189="","",C189/C188-1)</f>
        <v>0.0627247451343838</v>
      </c>
      <c r="K189" s="17" t="n">
        <f aca="false">MAX(K188,C189)</f>
        <v>378</v>
      </c>
      <c r="L189" s="25" t="n">
        <f aca="false">C189/K189-1</f>
        <v>-0.241613756613757</v>
      </c>
      <c r="M189" s="25" t="n">
        <f aca="false">IF(COUNT(G160:G189)&lt;20,"",_xlfn.STDEV.S(G160:G189)*SQRT($R$3))</f>
        <v>0.410673024048851</v>
      </c>
      <c r="N189" s="25" t="n">
        <f aca="false">IF(A189-7&lt;$R$2,"",C189/INDEX(Clean_Data!$C$2:$C$4314,MATCH(A189-7,Clean_Data!$A$2:$A$4314,1))-1)</f>
        <v>0.115664526172407</v>
      </c>
      <c r="O189" s="25" t="n">
        <f aca="false">IF(A189-30&lt;$R$2,"",C189/INDEX(Clean_Data!$C$2:$C$4314,MATCH(A189-30,Clean_Data!$A$2:$A$4314,1))-1)</f>
        <v>0.253311764963057</v>
      </c>
    </row>
    <row r="190" customFormat="false" ht="15" hidden="false" customHeight="false" outlineLevel="0" collapsed="false">
      <c r="A190" s="16" t="n">
        <v>42196</v>
      </c>
      <c r="B190" s="23" t="n">
        <f aca="false">YEAR(A190)</f>
        <v>2015</v>
      </c>
      <c r="C190" s="17" t="n">
        <v>294.23</v>
      </c>
      <c r="D190" s="23" t="n">
        <f aca="false">A190-A189</f>
        <v>1</v>
      </c>
      <c r="E190" s="24" t="n">
        <f aca="false">LN(C190)</f>
        <v>5.6843617744166</v>
      </c>
      <c r="F190" s="25" t="n">
        <f aca="false">LN(C190/C189)</f>
        <v>0.0260300459977802</v>
      </c>
      <c r="G190" s="25" t="n">
        <f aca="false">IF(AND(D190=1,A190&gt;=$R$2),F190,"")</f>
        <v>0.0260300459977802</v>
      </c>
      <c r="H190" s="27" t="n">
        <f aca="false">IF(G190="","",G190^2)</f>
        <v>0.000677563294646555</v>
      </c>
      <c r="I190" s="25" t="n">
        <f aca="false">IF(G190="","",C190/C189-1)</f>
        <v>0.0263717863745772</v>
      </c>
      <c r="K190" s="17" t="n">
        <f aca="false">MAX(K189,C190)</f>
        <v>378</v>
      </c>
      <c r="L190" s="25" t="n">
        <f aca="false">C190/K190-1</f>
        <v>-0.221613756613757</v>
      </c>
      <c r="M190" s="25" t="n">
        <f aca="false">IF(COUNT(G161:G190)&lt;20,"",_xlfn.STDEV.S(G161:G190)*SQRT($R$3))</f>
        <v>0.415477211767913</v>
      </c>
      <c r="N190" s="25" t="n">
        <f aca="false">IF(A190-7&lt;$R$2,"",C190/INDEX(Clean_Data!$C$2:$C$4314,MATCH(A190-7,Clean_Data!$A$2:$A$4314,1))-1)</f>
        <v>0.128875076734193</v>
      </c>
      <c r="O190" s="25" t="n">
        <f aca="false">IF(A190-30&lt;$R$2,"",C190/INDEX(Clean_Data!$C$2:$C$4314,MATCH(A190-30,Clean_Data!$A$2:$A$4314,1))-1)</f>
        <v>0.280987417824024</v>
      </c>
    </row>
    <row r="191" customFormat="false" ht="15" hidden="false" customHeight="false" outlineLevel="0" collapsed="false">
      <c r="A191" s="16" t="n">
        <v>42197</v>
      </c>
      <c r="B191" s="23" t="n">
        <f aca="false">YEAR(A191)</f>
        <v>2015</v>
      </c>
      <c r="C191" s="17" t="n">
        <v>312.16</v>
      </c>
      <c r="D191" s="23" t="n">
        <f aca="false">A191-A190</f>
        <v>1</v>
      </c>
      <c r="E191" s="24" t="n">
        <f aca="false">LN(C191)</f>
        <v>5.7435158768748</v>
      </c>
      <c r="F191" s="25" t="n">
        <f aca="false">LN(C191/C190)</f>
        <v>0.0591541024582041</v>
      </c>
      <c r="G191" s="25" t="n">
        <f aca="false">IF(AND(D191=1,A191&gt;=$R$2),F191,"")</f>
        <v>0.0591541024582041</v>
      </c>
      <c r="H191" s="27" t="n">
        <f aca="false">IF(G191="","",G191^2)</f>
        <v>0.00349920783763571</v>
      </c>
      <c r="I191" s="25" t="n">
        <f aca="false">IF(G191="","",C191/C190-1)</f>
        <v>0.0609387214084221</v>
      </c>
      <c r="K191" s="17" t="n">
        <f aca="false">MAX(K190,C191)</f>
        <v>378</v>
      </c>
      <c r="L191" s="25" t="n">
        <f aca="false">C191/K191-1</f>
        <v>-0.174179894179894</v>
      </c>
      <c r="M191" s="25" t="n">
        <f aca="false">IF(COUNT(G162:G191)&lt;20,"",_xlfn.STDEV.S(G162:G191)*SQRT($R$3))</f>
        <v>0.450161307227299</v>
      </c>
      <c r="N191" s="25" t="n">
        <f aca="false">IF(A191-7&lt;$R$2,"",C191/INDEX(Clean_Data!$C$2:$C$4314,MATCH(A191-7,Clean_Data!$A$2:$A$4314,1))-1)</f>
        <v>0.148745124015603</v>
      </c>
      <c r="O191" s="25" t="n">
        <f aca="false">IF(A191-30&lt;$R$2,"",C191/INDEX(Clean_Data!$C$2:$C$4314,MATCH(A191-30,Clean_Data!$A$2:$A$4314,1))-1)</f>
        <v>0.360352115744978</v>
      </c>
    </row>
    <row r="192" customFormat="false" ht="15" hidden="false" customHeight="false" outlineLevel="0" collapsed="false">
      <c r="A192" s="16" t="n">
        <v>42198</v>
      </c>
      <c r="B192" s="23" t="n">
        <f aca="false">YEAR(A192)</f>
        <v>2015</v>
      </c>
      <c r="C192" s="17" t="n">
        <v>293.08</v>
      </c>
      <c r="D192" s="23" t="n">
        <f aca="false">A192-A191</f>
        <v>1</v>
      </c>
      <c r="E192" s="24" t="n">
        <f aca="false">LN(C192)</f>
        <v>5.68044560929176</v>
      </c>
      <c r="F192" s="25" t="n">
        <f aca="false">LN(C192/C191)</f>
        <v>-0.0630702675830381</v>
      </c>
      <c r="G192" s="25" t="n">
        <f aca="false">IF(AND(D192=1,A192&gt;=$R$2),F192,"")</f>
        <v>-0.0630702675830381</v>
      </c>
      <c r="H192" s="27" t="n">
        <f aca="false">IF(G192="","",G192^2)</f>
        <v>0.00397785865299603</v>
      </c>
      <c r="I192" s="25" t="n">
        <f aca="false">IF(G192="","",C192/C191-1)</f>
        <v>-0.0611225012813943</v>
      </c>
      <c r="K192" s="17" t="n">
        <f aca="false">MAX(K191,C192)</f>
        <v>378</v>
      </c>
      <c r="L192" s="25" t="n">
        <f aca="false">C192/K192-1</f>
        <v>-0.224656084656085</v>
      </c>
      <c r="M192" s="25" t="n">
        <f aca="false">IF(COUNT(G163:G192)&lt;20,"",_xlfn.STDEV.S(G163:G192)*SQRT($R$3))</f>
        <v>0.516713048119374</v>
      </c>
      <c r="N192" s="25" t="n">
        <f aca="false">IF(A192-7&lt;$R$2,"",C192/INDEX(Clean_Data!$C$2:$C$4314,MATCH(A192-7,Clean_Data!$A$2:$A$4314,1))-1)</f>
        <v>0.0857227532044158</v>
      </c>
      <c r="O192" s="25" t="n">
        <f aca="false">IF(A192-30&lt;$R$2,"",C192/INDEX(Clean_Data!$C$2:$C$4314,MATCH(A192-30,Clean_Data!$A$2:$A$4314,1))-1)</f>
        <v>0.25532188289716</v>
      </c>
    </row>
    <row r="193" customFormat="false" ht="15" hidden="false" customHeight="false" outlineLevel="0" collapsed="false">
      <c r="A193" s="16" t="n">
        <v>42199</v>
      </c>
      <c r="B193" s="23" t="n">
        <f aca="false">YEAR(A193)</f>
        <v>2015</v>
      </c>
      <c r="C193" s="17" t="n">
        <v>287.51</v>
      </c>
      <c r="D193" s="23" t="n">
        <f aca="false">A193-A192</f>
        <v>1</v>
      </c>
      <c r="E193" s="24" t="n">
        <f aca="false">LN(C193)</f>
        <v>5.6612576422412</v>
      </c>
      <c r="F193" s="25" t="n">
        <f aca="false">LN(C193/C192)</f>
        <v>-0.0191879670505632</v>
      </c>
      <c r="G193" s="25" t="n">
        <f aca="false">IF(AND(D193=1,A193&gt;=$R$2),F193,"")</f>
        <v>-0.0191879670505632</v>
      </c>
      <c r="H193" s="27" t="n">
        <f aca="false">IF(G193="","",G193^2)</f>
        <v>0.000368178079533499</v>
      </c>
      <c r="I193" s="25" t="n">
        <f aca="false">IF(G193="","",C193/C192-1)</f>
        <v>-0.0190050498157499</v>
      </c>
      <c r="K193" s="17" t="n">
        <f aca="false">MAX(K192,C193)</f>
        <v>378</v>
      </c>
      <c r="L193" s="25" t="n">
        <f aca="false">C193/K193-1</f>
        <v>-0.239391534391534</v>
      </c>
      <c r="M193" s="25" t="n">
        <f aca="false">IF(COUNT(G164:G193)&lt;20,"",_xlfn.STDEV.S(G164:G193)*SQRT($R$3))</f>
        <v>0.524620015527078</v>
      </c>
      <c r="N193" s="25" t="n">
        <f aca="false">IF(A193-7&lt;$R$2,"",C193/INDEX(Clean_Data!$C$2:$C$4314,MATCH(A193-7,Clean_Data!$A$2:$A$4314,1))-1)</f>
        <v>0.0801337440829513</v>
      </c>
      <c r="O193" s="25" t="n">
        <f aca="false">IF(A193-30&lt;$R$2,"",C193/INDEX(Clean_Data!$C$2:$C$4314,MATCH(A193-30,Clean_Data!$A$2:$A$4314,1))-1)</f>
        <v>0.230779109589041</v>
      </c>
    </row>
    <row r="194" customFormat="false" ht="15" hidden="false" customHeight="false" outlineLevel="0" collapsed="false">
      <c r="A194" s="16" t="n">
        <v>42200</v>
      </c>
      <c r="B194" s="23" t="n">
        <f aca="false">YEAR(A194)</f>
        <v>2015</v>
      </c>
      <c r="C194" s="17" t="n">
        <v>285.7</v>
      </c>
      <c r="D194" s="23" t="n">
        <f aca="false">A194-A193</f>
        <v>1</v>
      </c>
      <c r="E194" s="24" t="n">
        <f aca="false">LN(C194)</f>
        <v>5.65494230923673</v>
      </c>
      <c r="F194" s="25" t="n">
        <f aca="false">LN(C194/C193)</f>
        <v>-0.00631533300447249</v>
      </c>
      <c r="G194" s="25" t="n">
        <f aca="false">IF(AND(D194=1,A194&gt;=$R$2),F194,"")</f>
        <v>-0.00631533300447249</v>
      </c>
      <c r="H194" s="27" t="n">
        <f aca="false">IF(G194="","",G194^2)</f>
        <v>3.98834309573795E-005</v>
      </c>
      <c r="I194" s="25" t="n">
        <f aca="false">IF(G194="","",C194/C193-1)</f>
        <v>-0.0062954332023234</v>
      </c>
      <c r="K194" s="17" t="n">
        <f aca="false">MAX(K193,C194)</f>
        <v>378</v>
      </c>
      <c r="L194" s="25" t="n">
        <f aca="false">C194/K194-1</f>
        <v>-0.244179894179894</v>
      </c>
      <c r="M194" s="25" t="n">
        <f aca="false">IF(COUNT(G165:G194)&lt;20,"",_xlfn.STDEV.S(G165:G194)*SQRT($R$3))</f>
        <v>0.525876353792952</v>
      </c>
      <c r="N194" s="25" t="n">
        <f aca="false">IF(A194-7&lt;$R$2,"",C194/INDEX(Clean_Data!$C$2:$C$4314,MATCH(A194-7,Clean_Data!$A$2:$A$4314,1))-1)</f>
        <v>0.0543602612835368</v>
      </c>
      <c r="O194" s="25" t="n">
        <f aca="false">IF(A194-30&lt;$R$2,"",C194/INDEX(Clean_Data!$C$2:$C$4314,MATCH(A194-30,Clean_Data!$A$2:$A$4314,1))-1)</f>
        <v>0.20553609856956</v>
      </c>
    </row>
    <row r="195" customFormat="false" ht="15" hidden="false" customHeight="false" outlineLevel="0" collapsed="false">
      <c r="A195" s="16" t="n">
        <v>42201</v>
      </c>
      <c r="B195" s="23" t="n">
        <f aca="false">YEAR(A195)</f>
        <v>2015</v>
      </c>
      <c r="C195" s="17" t="n">
        <v>279.38</v>
      </c>
      <c r="D195" s="23" t="n">
        <f aca="false">A195-A194</f>
        <v>1</v>
      </c>
      <c r="E195" s="24" t="n">
        <f aca="false">LN(C195)</f>
        <v>5.63257286229941</v>
      </c>
      <c r="F195" s="25" t="n">
        <f aca="false">LN(C195/C194)</f>
        <v>-0.0223694469373225</v>
      </c>
      <c r="G195" s="25" t="n">
        <f aca="false">IF(AND(D195=1,A195&gt;=$R$2),F195,"")</f>
        <v>-0.0223694469373225</v>
      </c>
      <c r="H195" s="27" t="n">
        <f aca="false">IF(G195="","",G195^2)</f>
        <v>0.000500392156281687</v>
      </c>
      <c r="I195" s="25" t="n">
        <f aca="false">IF(G195="","",C195/C194-1)</f>
        <v>-0.0221211060553027</v>
      </c>
      <c r="K195" s="17" t="n">
        <f aca="false">MAX(K194,C195)</f>
        <v>378</v>
      </c>
      <c r="L195" s="25" t="n">
        <f aca="false">C195/K195-1</f>
        <v>-0.260899470899471</v>
      </c>
      <c r="M195" s="25" t="n">
        <f aca="false">IF(COUNT(G166:G195)&lt;20,"",_xlfn.STDEV.S(G166:G195)*SQRT($R$3))</f>
        <v>0.496077191705704</v>
      </c>
      <c r="N195" s="25" t="n">
        <f aca="false">IF(A195-7&lt;$R$2,"",C195/INDEX(Clean_Data!$C$2:$C$4314,MATCH(A195-7,Clean_Data!$A$2:$A$4314,1))-1)</f>
        <v>0.0356997219647821</v>
      </c>
      <c r="O195" s="25" t="n">
        <f aca="false">IF(A195-30&lt;$R$2,"",C195/INDEX(Clean_Data!$C$2:$C$4314,MATCH(A195-30,Clean_Data!$A$2:$A$4314,1))-1)</f>
        <v>0.109046881822873</v>
      </c>
    </row>
    <row r="196" customFormat="false" ht="15" hidden="false" customHeight="false" outlineLevel="0" collapsed="false">
      <c r="A196" s="16" t="n">
        <v>42202</v>
      </c>
      <c r="B196" s="23" t="n">
        <f aca="false">YEAR(A196)</f>
        <v>2015</v>
      </c>
      <c r="C196" s="17" t="n">
        <v>280.58</v>
      </c>
      <c r="D196" s="23" t="n">
        <f aca="false">A196-A195</f>
        <v>1</v>
      </c>
      <c r="E196" s="24" t="n">
        <f aca="false">LN(C196)</f>
        <v>5.63685888929063</v>
      </c>
      <c r="F196" s="25" t="n">
        <f aca="false">LN(C196/C195)</f>
        <v>0.00428602699122129</v>
      </c>
      <c r="G196" s="25" t="n">
        <f aca="false">IF(AND(D196=1,A196&gt;=$R$2),F196,"")</f>
        <v>0.00428602699122129</v>
      </c>
      <c r="H196" s="27" t="n">
        <f aca="false">IF(G196="","",G196^2)</f>
        <v>1.83700273694775E-005</v>
      </c>
      <c r="I196" s="25" t="n">
        <f aca="false">IF(G196="","",C196/C195-1)</f>
        <v>0.00429522514138436</v>
      </c>
      <c r="K196" s="17" t="n">
        <f aca="false">MAX(K195,C196)</f>
        <v>378</v>
      </c>
      <c r="L196" s="25" t="n">
        <f aca="false">C196/K196-1</f>
        <v>-0.257724867724868</v>
      </c>
      <c r="M196" s="25" t="n">
        <f aca="false">IF(COUNT(G167:G196)&lt;20,"",_xlfn.STDEV.S(G167:G196)*SQRT($R$3))</f>
        <v>0.49474984151901</v>
      </c>
      <c r="N196" s="25" t="n">
        <f aca="false">IF(A196-7&lt;$R$2,"",C196/INDEX(Clean_Data!$C$2:$C$4314,MATCH(A196-7,Clean_Data!$A$2:$A$4314,1))-1)</f>
        <v>-0.0212439390239649</v>
      </c>
      <c r="O196" s="25" t="n">
        <f aca="false">IF(A196-30&lt;$R$2,"",C196/INDEX(Clean_Data!$C$2:$C$4314,MATCH(A196-30,Clean_Data!$A$2:$A$4314,1))-1)</f>
        <v>0.121198801198801</v>
      </c>
    </row>
    <row r="197" customFormat="false" ht="15" hidden="false" customHeight="false" outlineLevel="0" collapsed="false">
      <c r="A197" s="16" t="n">
        <v>42203</v>
      </c>
      <c r="B197" s="23" t="n">
        <f aca="false">YEAR(A197)</f>
        <v>2015</v>
      </c>
      <c r="C197" s="17" t="n">
        <v>277.71</v>
      </c>
      <c r="D197" s="23" t="n">
        <f aca="false">A197-A196</f>
        <v>1</v>
      </c>
      <c r="E197" s="24" t="n">
        <f aca="false">LN(C197)</f>
        <v>5.62657740374723</v>
      </c>
      <c r="F197" s="25" t="n">
        <f aca="false">LN(C197/C196)</f>
        <v>-0.0102814855433967</v>
      </c>
      <c r="G197" s="25" t="n">
        <f aca="false">IF(AND(D197=1,A197&gt;=$R$2),F197,"")</f>
        <v>-0.0102814855433967</v>
      </c>
      <c r="H197" s="27" t="n">
        <f aca="false">IF(G197="","",G197^2)</f>
        <v>0.000105708944979076</v>
      </c>
      <c r="I197" s="25" t="n">
        <f aca="false">IF(G197="","",C197/C196-1)</f>
        <v>-0.0102288117470953</v>
      </c>
      <c r="K197" s="17" t="n">
        <f aca="false">MAX(K196,C197)</f>
        <v>378</v>
      </c>
      <c r="L197" s="25" t="n">
        <f aca="false">C197/K197-1</f>
        <v>-0.26531746031746</v>
      </c>
      <c r="M197" s="25" t="n">
        <f aca="false">IF(COUNT(G168:G197)&lt;20,"",_xlfn.STDEV.S(G168:G197)*SQRT($R$3))</f>
        <v>0.496495135058825</v>
      </c>
      <c r="N197" s="25" t="n">
        <f aca="false">IF(A197-7&lt;$R$2,"",C197/INDEX(Clean_Data!$C$2:$C$4314,MATCH(A197-7,Clean_Data!$A$2:$A$4314,1))-1)</f>
        <v>-0.0561465520171296</v>
      </c>
      <c r="O197" s="25" t="n">
        <f aca="false">IF(A197-30&lt;$R$2,"",C197/INDEX(Clean_Data!$C$2:$C$4314,MATCH(A197-30,Clean_Data!$A$2:$A$4314,1))-1)</f>
        <v>0.114093152003851</v>
      </c>
    </row>
    <row r="198" customFormat="false" ht="15" hidden="false" customHeight="false" outlineLevel="0" collapsed="false">
      <c r="A198" s="16" t="n">
        <v>42204</v>
      </c>
      <c r="B198" s="23" t="n">
        <f aca="false">YEAR(A198)</f>
        <v>2015</v>
      </c>
      <c r="C198" s="17" t="n">
        <v>275.61</v>
      </c>
      <c r="D198" s="23" t="n">
        <f aca="false">A198-A197</f>
        <v>1</v>
      </c>
      <c r="E198" s="24" t="n">
        <f aca="false">LN(C198)</f>
        <v>5.61898682295149</v>
      </c>
      <c r="F198" s="25" t="n">
        <f aca="false">LN(C198/C197)</f>
        <v>-0.00759058079574466</v>
      </c>
      <c r="G198" s="25" t="n">
        <f aca="false">IF(AND(D198=1,A198&gt;=$R$2),F198,"")</f>
        <v>-0.00759058079574466</v>
      </c>
      <c r="H198" s="27" t="n">
        <f aca="false">IF(G198="","",G198^2)</f>
        <v>5.76169168167277E-005</v>
      </c>
      <c r="I198" s="25" t="n">
        <f aca="false">IF(G198="","",C198/C197-1)</f>
        <v>-0.00756184509020186</v>
      </c>
      <c r="K198" s="17" t="n">
        <f aca="false">MAX(K197,C198)</f>
        <v>378</v>
      </c>
      <c r="L198" s="25" t="n">
        <f aca="false">C198/K198-1</f>
        <v>-0.270873015873016</v>
      </c>
      <c r="M198" s="25" t="n">
        <f aca="false">IF(COUNT(G169:G198)&lt;20,"",_xlfn.STDEV.S(G169:G198)*SQRT($R$3))</f>
        <v>0.495041159733748</v>
      </c>
      <c r="N198" s="25" t="n">
        <f aca="false">IF(A198-7&lt;$R$2,"",C198/INDEX(Clean_Data!$C$2:$C$4314,MATCH(A198-7,Clean_Data!$A$2:$A$4314,1))-1)</f>
        <v>-0.117087391081497</v>
      </c>
      <c r="O198" s="25" t="n">
        <f aca="false">IF(A198-30&lt;$R$2,"",C198/INDEX(Clean_Data!$C$2:$C$4314,MATCH(A198-30,Clean_Data!$A$2:$A$4314,1))-1)</f>
        <v>0.11886493727926</v>
      </c>
    </row>
    <row r="199" customFormat="false" ht="15" hidden="false" customHeight="false" outlineLevel="0" collapsed="false">
      <c r="A199" s="16" t="n">
        <v>42205</v>
      </c>
      <c r="B199" s="23" t="n">
        <f aca="false">YEAR(A199)</f>
        <v>2015</v>
      </c>
      <c r="C199" s="17" t="n">
        <v>280</v>
      </c>
      <c r="D199" s="23" t="n">
        <f aca="false">A199-A198</f>
        <v>1</v>
      </c>
      <c r="E199" s="24" t="n">
        <f aca="false">LN(C199)</f>
        <v>5.63478960316925</v>
      </c>
      <c r="F199" s="25" t="n">
        <f aca="false">LN(C199/C198)</f>
        <v>0.0158027802177649</v>
      </c>
      <c r="G199" s="25" t="n">
        <f aca="false">IF(AND(D199=1,A199&gt;=$R$2),F199,"")</f>
        <v>0.0158027802177649</v>
      </c>
      <c r="H199" s="27" t="n">
        <f aca="false">IF(G199="","",G199^2)</f>
        <v>0.00024972786261098</v>
      </c>
      <c r="I199" s="25" t="n">
        <f aca="false">IF(G199="","",C199/C198-1)</f>
        <v>0.0159283044882261</v>
      </c>
      <c r="K199" s="17" t="n">
        <f aca="false">MAX(K198,C199)</f>
        <v>378</v>
      </c>
      <c r="L199" s="25" t="n">
        <f aca="false">C199/K199-1</f>
        <v>-0.259259259259259</v>
      </c>
      <c r="M199" s="25" t="n">
        <f aca="false">IF(COUNT(G170:G199)&lt;20,"",_xlfn.STDEV.S(G170:G199)*SQRT($R$3))</f>
        <v>0.496506733380119</v>
      </c>
      <c r="N199" s="25" t="n">
        <f aca="false">IF(A199-7&lt;$R$2,"",C199/INDEX(Clean_Data!$C$2:$C$4314,MATCH(A199-7,Clean_Data!$A$2:$A$4314,1))-1)</f>
        <v>-0.0446294527091579</v>
      </c>
      <c r="O199" s="25" t="n">
        <f aca="false">IF(A199-30&lt;$R$2,"",C199/INDEX(Clean_Data!$C$2:$C$4314,MATCH(A199-30,Clean_Data!$A$2:$A$4314,1))-1)</f>
        <v>0.137610205988705</v>
      </c>
    </row>
    <row r="200" customFormat="false" ht="15" hidden="false" customHeight="false" outlineLevel="0" collapsed="false">
      <c r="A200" s="16" t="n">
        <v>42206</v>
      </c>
      <c r="B200" s="23" t="n">
        <f aca="false">YEAR(A200)</f>
        <v>2015</v>
      </c>
      <c r="C200" s="17" t="n">
        <v>277.32</v>
      </c>
      <c r="D200" s="23" t="n">
        <f aca="false">A200-A199</f>
        <v>1</v>
      </c>
      <c r="E200" s="24" t="n">
        <f aca="false">LN(C200)</f>
        <v>5.62517207407429</v>
      </c>
      <c r="F200" s="25" t="n">
        <f aca="false">LN(C200/C199)</f>
        <v>-0.00961752909495993</v>
      </c>
      <c r="G200" s="25" t="n">
        <f aca="false">IF(AND(D200=1,A200&gt;=$R$2),F200,"")</f>
        <v>-0.00961752909495993</v>
      </c>
      <c r="H200" s="27" t="n">
        <f aca="false">IF(G200="","",G200^2)</f>
        <v>9.24968658924008E-005</v>
      </c>
      <c r="I200" s="25" t="n">
        <f aca="false">IF(G200="","",C200/C199-1)</f>
        <v>-0.00957142857142856</v>
      </c>
      <c r="K200" s="17" t="n">
        <f aca="false">MAX(K199,C200)</f>
        <v>378</v>
      </c>
      <c r="L200" s="25" t="n">
        <f aca="false">C200/K200-1</f>
        <v>-0.266349206349206</v>
      </c>
      <c r="M200" s="25" t="n">
        <f aca="false">IF(COUNT(G171:G200)&lt;20,"",_xlfn.STDEV.S(G171:G200)*SQRT($R$3))</f>
        <v>0.497612649255427</v>
      </c>
      <c r="N200" s="25" t="n">
        <f aca="false">IF(A200-7&lt;$R$2,"",C200/INDEX(Clean_Data!$C$2:$C$4314,MATCH(A200-7,Clean_Data!$A$2:$A$4314,1))-1)</f>
        <v>-0.0354422454871135</v>
      </c>
      <c r="O200" s="25" t="n">
        <f aca="false">IF(A200-30&lt;$R$2,"",C200/INDEX(Clean_Data!$C$2:$C$4314,MATCH(A200-30,Clean_Data!$A$2:$A$4314,1))-1)</f>
        <v>0.133491375786806</v>
      </c>
    </row>
    <row r="201" customFormat="false" ht="15" hidden="false" customHeight="false" outlineLevel="0" collapsed="false">
      <c r="A201" s="16" t="n">
        <v>42207</v>
      </c>
      <c r="B201" s="23" t="n">
        <f aca="false">YEAR(A201)</f>
        <v>2015</v>
      </c>
      <c r="C201" s="17" t="n">
        <v>277.89</v>
      </c>
      <c r="D201" s="23" t="n">
        <f aca="false">A201-A200</f>
        <v>1</v>
      </c>
      <c r="E201" s="24" t="n">
        <f aca="false">LN(C201)</f>
        <v>5.62722535193405</v>
      </c>
      <c r="F201" s="25" t="n">
        <f aca="false">LN(C201/C200)</f>
        <v>0.00205327785975614</v>
      </c>
      <c r="G201" s="25" t="n">
        <f aca="false">IF(AND(D201=1,A201&gt;=$R$2),F201,"")</f>
        <v>0.00205327785975614</v>
      </c>
      <c r="H201" s="27" t="n">
        <f aca="false">IF(G201="","",G201^2)</f>
        <v>4.21594996936477E-006</v>
      </c>
      <c r="I201" s="25" t="n">
        <f aca="false">IF(G201="","",C201/C200-1)</f>
        <v>0.00205538727823451</v>
      </c>
      <c r="J201" s="17" t="n">
        <f aca="false">AVERAGE(C2:C201)</f>
        <v>251.42965</v>
      </c>
      <c r="K201" s="17" t="n">
        <f aca="false">MAX(K200,C201)</f>
        <v>378</v>
      </c>
      <c r="L201" s="25" t="n">
        <f aca="false">C201/K201-1</f>
        <v>-0.26484126984127</v>
      </c>
      <c r="M201" s="25" t="n">
        <f aca="false">IF(COUNT(G172:G201)&lt;20,"",_xlfn.STDEV.S(G172:G201)*SQRT($R$3))</f>
        <v>0.49694541114665</v>
      </c>
      <c r="N201" s="25" t="n">
        <f aca="false">IF(A201-7&lt;$R$2,"",C201/INDEX(Clean_Data!$C$2:$C$4314,MATCH(A201-7,Clean_Data!$A$2:$A$4314,1))-1)</f>
        <v>-0.027336366818341</v>
      </c>
      <c r="O201" s="25" t="n">
        <f aca="false">IF(A201-30&lt;$R$2,"",C201/INDEX(Clean_Data!$C$2:$C$4314,MATCH(A201-30,Clean_Data!$A$2:$A$4314,1))-1)</f>
        <v>0.122787878787879</v>
      </c>
    </row>
    <row r="202" customFormat="false" ht="15" hidden="false" customHeight="false" outlineLevel="0" collapsed="false">
      <c r="A202" s="16" t="n">
        <v>42208</v>
      </c>
      <c r="B202" s="23" t="n">
        <f aca="false">YEAR(A202)</f>
        <v>2015</v>
      </c>
      <c r="C202" s="17" t="n">
        <v>277.39</v>
      </c>
      <c r="D202" s="23" t="n">
        <f aca="false">A202-A201</f>
        <v>1</v>
      </c>
      <c r="E202" s="24" t="n">
        <f aca="false">LN(C202)</f>
        <v>5.62542445820427</v>
      </c>
      <c r="F202" s="25" t="n">
        <f aca="false">LN(C202/C201)</f>
        <v>-0.00180089372977264</v>
      </c>
      <c r="G202" s="25" t="n">
        <f aca="false">IF(AND(D202=1,A202&gt;=$R$2),F202,"")</f>
        <v>-0.00180089372977264</v>
      </c>
      <c r="H202" s="27" t="n">
        <f aca="false">IF(G202="","",G202^2)</f>
        <v>3.24321822593439E-006</v>
      </c>
      <c r="I202" s="25" t="n">
        <f aca="false">IF(G202="","",C202/C201-1)</f>
        <v>-0.00179927309367012</v>
      </c>
      <c r="J202" s="17" t="n">
        <f aca="false">AVERAGE(C3:C202)</f>
        <v>250.9666</v>
      </c>
      <c r="K202" s="17" t="n">
        <f aca="false">MAX(K201,C202)</f>
        <v>378</v>
      </c>
      <c r="L202" s="25" t="n">
        <f aca="false">C202/K202-1</f>
        <v>-0.266164021164021</v>
      </c>
      <c r="M202" s="25" t="n">
        <f aca="false">IF(COUNT(G173:G202)&lt;20,"",_xlfn.STDEV.S(G173:G202)*SQRT($R$3))</f>
        <v>0.494066730976605</v>
      </c>
      <c r="N202" s="25" t="n">
        <f aca="false">IF(A202-7&lt;$R$2,"",C202/INDEX(Clean_Data!$C$2:$C$4314,MATCH(A202-7,Clean_Data!$A$2:$A$4314,1))-1)</f>
        <v>-0.00712291502612927</v>
      </c>
      <c r="O202" s="25" t="n">
        <f aca="false">IF(A202-30&lt;$R$2,"",C202/INDEX(Clean_Data!$C$2:$C$4314,MATCH(A202-30,Clean_Data!$A$2:$A$4314,1))-1)</f>
        <v>0.134426631768362</v>
      </c>
    </row>
    <row r="203" customFormat="false" ht="15" hidden="false" customHeight="false" outlineLevel="0" collapsed="false">
      <c r="A203" s="16" t="n">
        <v>42209</v>
      </c>
      <c r="B203" s="23" t="n">
        <f aca="false">YEAR(A203)</f>
        <v>2015</v>
      </c>
      <c r="C203" s="17" t="n">
        <v>289.12</v>
      </c>
      <c r="D203" s="23" t="n">
        <f aca="false">A203-A202</f>
        <v>1</v>
      </c>
      <c r="E203" s="24" t="n">
        <f aca="false">LN(C203)</f>
        <v>5.66684182684392</v>
      </c>
      <c r="F203" s="25" t="n">
        <f aca="false">LN(C203/C202)</f>
        <v>0.0414173686396452</v>
      </c>
      <c r="G203" s="25" t="n">
        <f aca="false">IF(AND(D203=1,A203&gt;=$R$2),F203,"")</f>
        <v>0.0414173686396452</v>
      </c>
      <c r="H203" s="27" t="n">
        <f aca="false">IF(G203="","",G203^2)</f>
        <v>0.00171539842503226</v>
      </c>
      <c r="I203" s="25" t="n">
        <f aca="false">IF(G203="","",C203/C202-1)</f>
        <v>0.0422870326976459</v>
      </c>
      <c r="J203" s="17" t="n">
        <f aca="false">AVERAGE(C4:C203)</f>
        <v>250.5222</v>
      </c>
      <c r="K203" s="17" t="n">
        <f aca="false">MAX(K202,C203)</f>
        <v>378</v>
      </c>
      <c r="L203" s="25" t="n">
        <f aca="false">C203/K203-1</f>
        <v>-0.235132275132275</v>
      </c>
      <c r="M203" s="25" t="n">
        <f aca="false">IF(COUNT(G174:G203)&lt;20,"",_xlfn.STDEV.S(G174:G203)*SQRT($R$3))</f>
        <v>0.503530166522672</v>
      </c>
      <c r="N203" s="25" t="n">
        <f aca="false">IF(A203-7&lt;$R$2,"",C203/INDEX(Clean_Data!$C$2:$C$4314,MATCH(A203-7,Clean_Data!$A$2:$A$4314,1))-1)</f>
        <v>0.0304369520279422</v>
      </c>
      <c r="O203" s="25" t="n">
        <f aca="false">IF(A203-30&lt;$R$2,"",C203/INDEX(Clean_Data!$C$2:$C$4314,MATCH(A203-30,Clean_Data!$A$2:$A$4314,1))-1)</f>
        <v>0.204465922346276</v>
      </c>
    </row>
    <row r="204" customFormat="false" ht="15" hidden="false" customHeight="false" outlineLevel="0" collapsed="false">
      <c r="A204" s="16" t="n">
        <v>42210</v>
      </c>
      <c r="B204" s="23" t="n">
        <f aca="false">YEAR(A204)</f>
        <v>2015</v>
      </c>
      <c r="C204" s="17" t="n">
        <v>289.7</v>
      </c>
      <c r="D204" s="23" t="n">
        <f aca="false">A204-A203</f>
        <v>1</v>
      </c>
      <c r="E204" s="24" t="n">
        <f aca="false">LN(C204)</f>
        <v>5.66884590477531</v>
      </c>
      <c r="F204" s="25" t="n">
        <f aca="false">LN(C204/C203)</f>
        <v>0.00200407793138635</v>
      </c>
      <c r="G204" s="25" t="n">
        <f aca="false">IF(AND(D204=1,A204&gt;=$R$2),F204,"")</f>
        <v>0.00200407793138635</v>
      </c>
      <c r="H204" s="27" t="n">
        <f aca="false">IF(G204="","",G204^2)</f>
        <v>4.01632835506979E-006</v>
      </c>
      <c r="I204" s="25" t="n">
        <f aca="false">IF(G204="","",C204/C203-1)</f>
        <v>0.00200608743774211</v>
      </c>
      <c r="J204" s="17" t="n">
        <f aca="false">AVERAGE(C5:C204)</f>
        <v>250.0807</v>
      </c>
      <c r="K204" s="17" t="n">
        <f aca="false">MAX(K203,C204)</f>
        <v>378</v>
      </c>
      <c r="L204" s="25" t="n">
        <f aca="false">C204/K204-1</f>
        <v>-0.233597883597884</v>
      </c>
      <c r="M204" s="25" t="n">
        <f aca="false">IF(COUNT(G175:G204)&lt;20,"",_xlfn.STDEV.S(G175:G204)*SQRT($R$3))</f>
        <v>0.503548518981911</v>
      </c>
      <c r="N204" s="25" t="n">
        <f aca="false">IF(A204-7&lt;$R$2,"",C204/INDEX(Clean_Data!$C$2:$C$4314,MATCH(A204-7,Clean_Data!$A$2:$A$4314,1))-1)</f>
        <v>0.0431745345864392</v>
      </c>
      <c r="O204" s="25" t="n">
        <f aca="false">IF(A204-30&lt;$R$2,"",C204/INDEX(Clean_Data!$C$2:$C$4314,MATCH(A204-30,Clean_Data!$A$2:$A$4314,1))-1)</f>
        <v>0.1949348292361</v>
      </c>
    </row>
    <row r="205" customFormat="false" ht="15" hidden="false" customHeight="false" outlineLevel="0" collapsed="false">
      <c r="A205" s="16" t="n">
        <v>42211</v>
      </c>
      <c r="B205" s="23" t="n">
        <f aca="false">YEAR(A205)</f>
        <v>2015</v>
      </c>
      <c r="C205" s="17" t="n">
        <v>293.89</v>
      </c>
      <c r="D205" s="23" t="n">
        <f aca="false">A205-A204</f>
        <v>1</v>
      </c>
      <c r="E205" s="24" t="n">
        <f aca="false">LN(C205)</f>
        <v>5.68320554766737</v>
      </c>
      <c r="F205" s="25" t="n">
        <f aca="false">LN(C205/C204)</f>
        <v>0.0143596428920652</v>
      </c>
      <c r="G205" s="25" t="n">
        <f aca="false">IF(AND(D205=1,A205&gt;=$R$2),F205,"")</f>
        <v>0.0143596428920652</v>
      </c>
      <c r="H205" s="27" t="n">
        <f aca="false">IF(G205="","",G205^2)</f>
        <v>0.00020619934398764</v>
      </c>
      <c r="I205" s="25" t="n">
        <f aca="false">IF(G205="","",C205/C204-1)</f>
        <v>0.0144632378322402</v>
      </c>
      <c r="J205" s="17" t="n">
        <f aca="false">AVERAGE(C6:C205)</f>
        <v>249.66465</v>
      </c>
      <c r="K205" s="17" t="n">
        <f aca="false">MAX(K204,C205)</f>
        <v>378</v>
      </c>
      <c r="L205" s="25" t="n">
        <f aca="false">C205/K205-1</f>
        <v>-0.222513227513228</v>
      </c>
      <c r="M205" s="25" t="n">
        <f aca="false">IF(COUNT(G176:G205)&lt;20,"",_xlfn.STDEV.S(G176:G205)*SQRT($R$3))</f>
        <v>0.50420967887896</v>
      </c>
      <c r="N205" s="25" t="n">
        <f aca="false">IF(A205-7&lt;$R$2,"",C205/INDEX(Clean_Data!$C$2:$C$4314,MATCH(A205-7,Clean_Data!$A$2:$A$4314,1))-1)</f>
        <v>0.0663256050215884</v>
      </c>
      <c r="O205" s="25" t="n">
        <f aca="false">IF(A205-30&lt;$R$2,"",C205/INDEX(Clean_Data!$C$2:$C$4314,MATCH(A205-30,Clean_Data!$A$2:$A$4314,1))-1)</f>
        <v>0.209423868312757</v>
      </c>
    </row>
    <row r="206" customFormat="false" ht="15" hidden="false" customHeight="false" outlineLevel="0" collapsed="false">
      <c r="A206" s="16" t="n">
        <v>42212</v>
      </c>
      <c r="B206" s="23" t="n">
        <f aca="false">YEAR(A206)</f>
        <v>2015</v>
      </c>
      <c r="C206" s="17" t="n">
        <v>294.21</v>
      </c>
      <c r="D206" s="23" t="n">
        <f aca="false">A206-A205</f>
        <v>1</v>
      </c>
      <c r="E206" s="24" t="n">
        <f aca="false">LN(C206)</f>
        <v>5.68429379807234</v>
      </c>
      <c r="F206" s="25" t="n">
        <f aca="false">LN(C206/C205)</f>
        <v>0.00108825040496854</v>
      </c>
      <c r="G206" s="25" t="n">
        <f aca="false">IF(AND(D206=1,A206&gt;=$R$2),F206,"")</f>
        <v>0.00108825040496854</v>
      </c>
      <c r="H206" s="27" t="n">
        <f aca="false">IF(G206="","",G206^2)</f>
        <v>1.18428894391419E-006</v>
      </c>
      <c r="I206" s="25" t="n">
        <f aca="false">IF(G206="","",C206/C205-1)</f>
        <v>0.00108884276429944</v>
      </c>
      <c r="J206" s="17" t="n">
        <f aca="false">AVERAGE(C7:C206)</f>
        <v>249.2457</v>
      </c>
      <c r="K206" s="17" t="n">
        <f aca="false">MAX(K205,C206)</f>
        <v>378</v>
      </c>
      <c r="L206" s="25" t="n">
        <f aca="false">C206/K206-1</f>
        <v>-0.221666666666667</v>
      </c>
      <c r="M206" s="25" t="n">
        <f aca="false">IF(COUNT(G177:G206)&lt;20,"",_xlfn.STDEV.S(G177:G206)*SQRT($R$3))</f>
        <v>0.493909728027928</v>
      </c>
      <c r="N206" s="25" t="n">
        <f aca="false">IF(A206-7&lt;$R$2,"",C206/INDEX(Clean_Data!$C$2:$C$4314,MATCH(A206-7,Clean_Data!$A$2:$A$4314,1))-1)</f>
        <v>0.0507499999999999</v>
      </c>
      <c r="O206" s="25" t="n">
        <f aca="false">IF(A206-30&lt;$R$2,"",C206/INDEX(Clean_Data!$C$2:$C$4314,MATCH(A206-30,Clean_Data!$A$2:$A$4314,1))-1)</f>
        <v>0.169402599467387</v>
      </c>
    </row>
    <row r="207" customFormat="false" ht="15" hidden="false" customHeight="false" outlineLevel="0" collapsed="false">
      <c r="A207" s="16" t="n">
        <v>42213</v>
      </c>
      <c r="B207" s="23" t="n">
        <f aca="false">YEAR(A207)</f>
        <v>2015</v>
      </c>
      <c r="C207" s="17" t="n">
        <v>295.76</v>
      </c>
      <c r="D207" s="23" t="n">
        <f aca="false">A207-A206</f>
        <v>1</v>
      </c>
      <c r="E207" s="24" t="n">
        <f aca="false">LN(C207)</f>
        <v>5.68954831462838</v>
      </c>
      <c r="F207" s="25" t="n">
        <f aca="false">LN(C207/C206)</f>
        <v>0.00525451655603782</v>
      </c>
      <c r="G207" s="25" t="n">
        <f aca="false">IF(AND(D207=1,A207&gt;=$R$2),F207,"")</f>
        <v>0.00525451655603782</v>
      </c>
      <c r="H207" s="27" t="n">
        <f aca="false">IF(G207="","",G207^2)</f>
        <v>2.76099442376756E-005</v>
      </c>
      <c r="I207" s="25" t="n">
        <f aca="false">IF(G207="","",C207/C206-1)</f>
        <v>0.0052683457394378</v>
      </c>
      <c r="J207" s="17" t="n">
        <f aca="false">AVERAGE(C8:C207)</f>
        <v>248.8495</v>
      </c>
      <c r="K207" s="17" t="n">
        <f aca="false">MAX(K206,C207)</f>
        <v>378</v>
      </c>
      <c r="L207" s="25" t="n">
        <f aca="false">C207/K207-1</f>
        <v>-0.217566137566138</v>
      </c>
      <c r="M207" s="25" t="n">
        <f aca="false">IF(COUNT(G178:G207)&lt;20,"",_xlfn.STDEV.S(G178:G207)*SQRT($R$3))</f>
        <v>0.490889001573863</v>
      </c>
      <c r="N207" s="25" t="n">
        <f aca="false">IF(A207-7&lt;$R$2,"",C207/INDEX(Clean_Data!$C$2:$C$4314,MATCH(A207-7,Clean_Data!$A$2:$A$4314,1))-1)</f>
        <v>0.0664935814221837</v>
      </c>
      <c r="O207" s="25" t="n">
        <f aca="false">IF(A207-30&lt;$R$2,"",C207/INDEX(Clean_Data!$C$2:$C$4314,MATCH(A207-30,Clean_Data!$A$2:$A$4314,1))-1)</f>
        <v>0.18726666934286</v>
      </c>
    </row>
    <row r="208" customFormat="false" ht="15" hidden="false" customHeight="false" outlineLevel="0" collapsed="false">
      <c r="A208" s="16" t="n">
        <v>42214</v>
      </c>
      <c r="B208" s="23" t="n">
        <f aca="false">YEAR(A208)</f>
        <v>2015</v>
      </c>
      <c r="C208" s="17" t="n">
        <v>290.19</v>
      </c>
      <c r="D208" s="23" t="n">
        <f aca="false">A208-A207</f>
        <v>1</v>
      </c>
      <c r="E208" s="24" t="n">
        <f aca="false">LN(C208)</f>
        <v>5.67053588086257</v>
      </c>
      <c r="F208" s="25" t="n">
        <f aca="false">LN(C208/C207)</f>
        <v>-0.0190124337658111</v>
      </c>
      <c r="G208" s="25" t="n">
        <f aca="false">IF(AND(D208=1,A208&gt;=$R$2),F208,"")</f>
        <v>-0.0190124337658111</v>
      </c>
      <c r="H208" s="27" t="n">
        <f aca="false">IF(G208="","",G208^2)</f>
        <v>0.000361472637699355</v>
      </c>
      <c r="I208" s="25" t="n">
        <f aca="false">IF(G208="","",C208/C207-1)</f>
        <v>-0.0188328374357587</v>
      </c>
      <c r="J208" s="17" t="n">
        <f aca="false">AVERAGE(C9:C208)</f>
        <v>248.49795</v>
      </c>
      <c r="K208" s="17" t="n">
        <f aca="false">MAX(K207,C208)</f>
        <v>378</v>
      </c>
      <c r="L208" s="25" t="n">
        <f aca="false">C208/K208-1</f>
        <v>-0.232301587301587</v>
      </c>
      <c r="M208" s="25" t="n">
        <f aca="false">IF(COUNT(G179:G208)&lt;20,"",_xlfn.STDEV.S(G179:G208)*SQRT($R$3))</f>
        <v>0.487817365460659</v>
      </c>
      <c r="N208" s="25" t="n">
        <f aca="false">IF(A208-7&lt;$R$2,"",C208/INDEX(Clean_Data!$C$2:$C$4314,MATCH(A208-7,Clean_Data!$A$2:$A$4314,1))-1)</f>
        <v>0.0442621181042859</v>
      </c>
      <c r="O208" s="25" t="n">
        <f aca="false">IF(A208-30&lt;$R$2,"",C208/INDEX(Clean_Data!$C$2:$C$4314,MATCH(A208-30,Clean_Data!$A$2:$A$4314,1))-1)</f>
        <v>0.12677642307991</v>
      </c>
    </row>
    <row r="209" customFormat="false" ht="15" hidden="false" customHeight="false" outlineLevel="0" collapsed="false">
      <c r="A209" s="16" t="n">
        <v>42215</v>
      </c>
      <c r="B209" s="23" t="n">
        <f aca="false">YEAR(A209)</f>
        <v>2015</v>
      </c>
      <c r="C209" s="17" t="n">
        <v>288.49</v>
      </c>
      <c r="D209" s="23" t="n">
        <f aca="false">A209-A208</f>
        <v>1</v>
      </c>
      <c r="E209" s="24" t="n">
        <f aca="false">LN(C209)</f>
        <v>5.66466042330235</v>
      </c>
      <c r="F209" s="25" t="n">
        <f aca="false">LN(C209/C208)</f>
        <v>-0.00587545756021426</v>
      </c>
      <c r="G209" s="25" t="n">
        <f aca="false">IF(AND(D209=1,A209&gt;=$R$2),F209,"")</f>
        <v>-0.00587545756021426</v>
      </c>
      <c r="H209" s="27" t="n">
        <f aca="false">IF(G209="","",G209^2)</f>
        <v>3.45210015418788E-005</v>
      </c>
      <c r="I209" s="25" t="n">
        <f aca="false">IF(G209="","",C209/C208-1)</f>
        <v>-0.00585823081429404</v>
      </c>
      <c r="J209" s="17" t="n">
        <f aca="false">AVERAGE(C10:C209)</f>
        <v>248.1904</v>
      </c>
      <c r="K209" s="17" t="n">
        <f aca="false">MAX(K208,C209)</f>
        <v>378</v>
      </c>
      <c r="L209" s="25" t="n">
        <f aca="false">C209/K209-1</f>
        <v>-0.236798941798942</v>
      </c>
      <c r="M209" s="25" t="n">
        <f aca="false">IF(COUNT(G180:G209)&lt;20,"",_xlfn.STDEV.S(G180:G209)*SQRT($R$3))</f>
        <v>0.4834454459971</v>
      </c>
      <c r="N209" s="25" t="n">
        <f aca="false">IF(A209-7&lt;$R$2,"",C209/INDEX(Clean_Data!$C$2:$C$4314,MATCH(A209-7,Clean_Data!$A$2:$A$4314,1))-1)</f>
        <v>0.0400158621435525</v>
      </c>
      <c r="O209" s="25" t="n">
        <f aca="false">IF(A209-30&lt;$R$2,"",C209/INDEX(Clean_Data!$C$2:$C$4314,MATCH(A209-30,Clean_Data!$A$2:$A$4314,1))-1)</f>
        <v>0.0935107270108408</v>
      </c>
    </row>
    <row r="210" customFormat="false" ht="15" hidden="false" customHeight="false" outlineLevel="0" collapsed="false">
      <c r="A210" s="16" t="n">
        <v>42216</v>
      </c>
      <c r="B210" s="23" t="n">
        <f aca="false">YEAR(A210)</f>
        <v>2015</v>
      </c>
      <c r="C210" s="17" t="n">
        <v>285.19</v>
      </c>
      <c r="D210" s="23" t="n">
        <f aca="false">A210-A209</f>
        <v>1</v>
      </c>
      <c r="E210" s="24" t="n">
        <f aca="false">LN(C210)</f>
        <v>5.65315562481181</v>
      </c>
      <c r="F210" s="25" t="n">
        <f aca="false">LN(C210/C209)</f>
        <v>-0.01150479849054</v>
      </c>
      <c r="G210" s="25" t="n">
        <f aca="false">IF(AND(D210=1,A210&gt;=$R$2),F210,"")</f>
        <v>-0.01150479849054</v>
      </c>
      <c r="H210" s="27" t="n">
        <f aca="false">IF(G210="","",G210^2)</f>
        <v>0.000132360388307931</v>
      </c>
      <c r="I210" s="25" t="n">
        <f aca="false">IF(G210="","",C210/C209-1)</f>
        <v>-0.011438871364692</v>
      </c>
      <c r="J210" s="17" t="n">
        <f aca="false">AVERAGE(C11:C210)</f>
        <v>247.91635</v>
      </c>
      <c r="K210" s="17" t="n">
        <f aca="false">MAX(K209,C210)</f>
        <v>378</v>
      </c>
      <c r="L210" s="25" t="n">
        <f aca="false">C210/K210-1</f>
        <v>-0.2455291005291</v>
      </c>
      <c r="M210" s="25" t="n">
        <f aca="false">IF(COUNT(G181:G210)&lt;20,"",_xlfn.STDEV.S(G181:G210)*SQRT($R$3))</f>
        <v>0.480216471739801</v>
      </c>
      <c r="N210" s="25" t="n">
        <f aca="false">IF(A210-7&lt;$R$2,"",C210/INDEX(Clean_Data!$C$2:$C$4314,MATCH(A210-7,Clean_Data!$A$2:$A$4314,1))-1)</f>
        <v>-0.013592971776425</v>
      </c>
      <c r="O210" s="25" t="n">
        <f aca="false">IF(A210-30&lt;$R$2,"",C210/INDEX(Clean_Data!$C$2:$C$4314,MATCH(A210-30,Clean_Data!$A$2:$A$4314,1))-1)</f>
        <v>0.101034669137518</v>
      </c>
    </row>
    <row r="211" customFormat="false" ht="15" hidden="false" customHeight="false" outlineLevel="0" collapsed="false">
      <c r="A211" s="16" t="n">
        <v>42217</v>
      </c>
      <c r="B211" s="23" t="n">
        <f aca="false">YEAR(A211)</f>
        <v>2015</v>
      </c>
      <c r="C211" s="17" t="n">
        <v>281.53</v>
      </c>
      <c r="D211" s="23" t="n">
        <f aca="false">A211-A210</f>
        <v>1</v>
      </c>
      <c r="E211" s="24" t="n">
        <f aca="false">LN(C211)</f>
        <v>5.64023901383742</v>
      </c>
      <c r="F211" s="25" t="n">
        <f aca="false">LN(C211/C210)</f>
        <v>-0.0129166109743946</v>
      </c>
      <c r="G211" s="25" t="n">
        <f aca="false">IF(AND(D211=1,A211&gt;=$R$2),F211,"")</f>
        <v>-0.0129166109743946</v>
      </c>
      <c r="H211" s="27" t="n">
        <f aca="false">IF(G211="","",G211^2)</f>
        <v>0.000166838839063851</v>
      </c>
      <c r="I211" s="25" t="n">
        <f aca="false">IF(G211="","",C211/C210-1)</f>
        <v>-0.0128335495634491</v>
      </c>
      <c r="J211" s="17" t="n">
        <f aca="false">AVERAGE(C12:C211)</f>
        <v>247.87905</v>
      </c>
      <c r="K211" s="17" t="n">
        <f aca="false">MAX(K210,C211)</f>
        <v>378</v>
      </c>
      <c r="L211" s="25" t="n">
        <f aca="false">C211/K211-1</f>
        <v>-0.25521164021164</v>
      </c>
      <c r="M211" s="25" t="n">
        <f aca="false">IF(COUNT(G182:G211)&lt;20,"",_xlfn.STDEV.S(G182:G211)*SQRT($R$3))</f>
        <v>0.478664901140593</v>
      </c>
      <c r="N211" s="25" t="n">
        <f aca="false">IF(A211-7&lt;$R$2,"",C211/INDEX(Clean_Data!$C$2:$C$4314,MATCH(A211-7,Clean_Data!$A$2:$A$4314,1))-1)</f>
        <v>-0.0282015878494996</v>
      </c>
      <c r="O211" s="25" t="n">
        <f aca="false">IF(A211-30&lt;$R$2,"",C211/INDEX(Clean_Data!$C$2:$C$4314,MATCH(A211-30,Clean_Data!$A$2:$A$4314,1))-1)</f>
        <v>0.104689032764371</v>
      </c>
    </row>
    <row r="212" customFormat="false" ht="15" hidden="false" customHeight="false" outlineLevel="0" collapsed="false">
      <c r="A212" s="16" t="n">
        <v>42218</v>
      </c>
      <c r="B212" s="23" t="n">
        <f aca="false">YEAR(A212)</f>
        <v>2015</v>
      </c>
      <c r="C212" s="17" t="n">
        <v>282.62</v>
      </c>
      <c r="D212" s="23" t="n">
        <f aca="false">A212-A211</f>
        <v>1</v>
      </c>
      <c r="E212" s="24" t="n">
        <f aca="false">LN(C212)</f>
        <v>5.6441032391546</v>
      </c>
      <c r="F212" s="25" t="n">
        <f aca="false">LN(C212/C211)</f>
        <v>0.0038642253171837</v>
      </c>
      <c r="G212" s="25" t="n">
        <f aca="false">IF(AND(D212=1,A212&gt;=$R$2),F212,"")</f>
        <v>0.0038642253171837</v>
      </c>
      <c r="H212" s="27" t="n">
        <f aca="false">IF(G212="","",G212^2)</f>
        <v>1.49322373019634E-005</v>
      </c>
      <c r="I212" s="25" t="n">
        <f aca="false">IF(G212="","",C212/C211-1)</f>
        <v>0.00387170106205392</v>
      </c>
      <c r="J212" s="17" t="n">
        <f aca="false">AVERAGE(C13:C212)</f>
        <v>247.99215</v>
      </c>
      <c r="K212" s="17" t="n">
        <f aca="false">MAX(K211,C212)</f>
        <v>378</v>
      </c>
      <c r="L212" s="25" t="n">
        <f aca="false">C212/K212-1</f>
        <v>-0.252328042328042</v>
      </c>
      <c r="M212" s="25" t="n">
        <f aca="false">IF(COUNT(G183:G212)&lt;20,"",_xlfn.STDEV.S(G183:G212)*SQRT($R$3))</f>
        <v>0.478346377480392</v>
      </c>
      <c r="N212" s="25" t="n">
        <f aca="false">IF(A212-7&lt;$R$2,"",C212/INDEX(Clean_Data!$C$2:$C$4314,MATCH(A212-7,Clean_Data!$A$2:$A$4314,1))-1)</f>
        <v>-0.0383476811051754</v>
      </c>
      <c r="O212" s="25" t="n">
        <f aca="false">IF(A212-30&lt;$R$2,"",C212/INDEX(Clean_Data!$C$2:$C$4314,MATCH(A212-30,Clean_Data!$A$2:$A$4314,1))-1)</f>
        <v>0.0999027048063825</v>
      </c>
    </row>
    <row r="213" customFormat="false" ht="15" hidden="false" customHeight="false" outlineLevel="0" collapsed="false">
      <c r="A213" s="16" t="n">
        <v>42219</v>
      </c>
      <c r="B213" s="23" t="n">
        <f aca="false">YEAR(A213)</f>
        <v>2015</v>
      </c>
      <c r="C213" s="17" t="n">
        <v>280.95</v>
      </c>
      <c r="D213" s="23" t="n">
        <f aca="false">A213-A212</f>
        <v>1</v>
      </c>
      <c r="E213" s="24" t="n">
        <f aca="false">LN(C213)</f>
        <v>5.63817671755821</v>
      </c>
      <c r="F213" s="25" t="n">
        <f aca="false">LN(C213/C212)</f>
        <v>-0.00592652159639299</v>
      </c>
      <c r="G213" s="25" t="n">
        <f aca="false">IF(AND(D213=1,A213&gt;=$R$2),F213,"")</f>
        <v>-0.00592652159639299</v>
      </c>
      <c r="H213" s="27" t="n">
        <f aca="false">IF(G213="","",G213^2)</f>
        <v>3.51236582325125E-005</v>
      </c>
      <c r="I213" s="25" t="n">
        <f aca="false">IF(G213="","",C213/C212-1)</f>
        <v>-0.00590899440945447</v>
      </c>
      <c r="J213" s="17" t="n">
        <f aca="false">AVERAGE(C14:C213)</f>
        <v>248.7969</v>
      </c>
      <c r="K213" s="17" t="n">
        <f aca="false">MAX(K212,C213)</f>
        <v>378</v>
      </c>
      <c r="L213" s="25" t="n">
        <f aca="false">C213/K213-1</f>
        <v>-0.256746031746032</v>
      </c>
      <c r="M213" s="25" t="n">
        <f aca="false">IF(COUNT(G184:G213)&lt;20,"",_xlfn.STDEV.S(G184:G213)*SQRT($R$3))</f>
        <v>0.477640321146687</v>
      </c>
      <c r="N213" s="25" t="n">
        <f aca="false">IF(A213-7&lt;$R$2,"",C213/INDEX(Clean_Data!$C$2:$C$4314,MATCH(A213-7,Clean_Data!$A$2:$A$4314,1))-1)</f>
        <v>-0.0450698480677068</v>
      </c>
      <c r="O213" s="25" t="n">
        <f aca="false">IF(A213-30&lt;$R$2,"",C213/INDEX(Clean_Data!$C$2:$C$4314,MATCH(A213-30,Clean_Data!$A$2:$A$4314,1))-1)</f>
        <v>0.0779235727440149</v>
      </c>
    </row>
    <row r="214" customFormat="false" ht="15" hidden="false" customHeight="false" outlineLevel="0" collapsed="false">
      <c r="A214" s="16" t="n">
        <v>42220</v>
      </c>
      <c r="B214" s="23" t="n">
        <f aca="false">YEAR(A214)</f>
        <v>2015</v>
      </c>
      <c r="C214" s="17" t="n">
        <v>285.51</v>
      </c>
      <c r="D214" s="23" t="n">
        <f aca="false">A214-A213</f>
        <v>1</v>
      </c>
      <c r="E214" s="24" t="n">
        <f aca="false">LN(C214)</f>
        <v>5.65427705475236</v>
      </c>
      <c r="F214" s="25" t="n">
        <f aca="false">LN(C214/C213)</f>
        <v>0.0161003371941546</v>
      </c>
      <c r="G214" s="25" t="n">
        <f aca="false">IF(AND(D214=1,A214&gt;=$R$2),F214,"")</f>
        <v>0.0161003371941546</v>
      </c>
      <c r="H214" s="27" t="n">
        <f aca="false">IF(G214="","",G214^2)</f>
        <v>0.000259220857765477</v>
      </c>
      <c r="I214" s="25" t="n">
        <f aca="false">IF(G214="","",C214/C213-1)</f>
        <v>0.016230646022424</v>
      </c>
      <c r="J214" s="17" t="n">
        <f aca="false">AVERAGE(C15:C214)</f>
        <v>249.20335</v>
      </c>
      <c r="K214" s="17" t="n">
        <f aca="false">MAX(K213,C214)</f>
        <v>378</v>
      </c>
      <c r="L214" s="25" t="n">
        <f aca="false">C214/K214-1</f>
        <v>-0.24468253968254</v>
      </c>
      <c r="M214" s="25" t="n">
        <f aca="false">IF(COUNT(G185:G214)&lt;20,"",_xlfn.STDEV.S(G185:G214)*SQRT($R$3))</f>
        <v>0.459181970972892</v>
      </c>
      <c r="N214" s="25" t="n">
        <f aca="false">IF(A214-7&lt;$R$2,"",C214/INDEX(Clean_Data!$C$2:$C$4314,MATCH(A214-7,Clean_Data!$A$2:$A$4314,1))-1)</f>
        <v>-0.0346564782255883</v>
      </c>
      <c r="O214" s="25" t="n">
        <f aca="false">IF(A214-30&lt;$R$2,"",C214/INDEX(Clean_Data!$C$2:$C$4314,MATCH(A214-30,Clean_Data!$A$2:$A$4314,1))-1)</f>
        <v>0.0506734378449989</v>
      </c>
    </row>
    <row r="215" customFormat="false" ht="15" hidden="false" customHeight="false" outlineLevel="0" collapsed="false">
      <c r="A215" s="16" t="n">
        <v>42221</v>
      </c>
      <c r="B215" s="23" t="n">
        <f aca="false">YEAR(A215)</f>
        <v>2015</v>
      </c>
      <c r="C215" s="17" t="n">
        <v>282.77</v>
      </c>
      <c r="D215" s="23" t="n">
        <f aca="false">A215-A214</f>
        <v>1</v>
      </c>
      <c r="E215" s="24" t="n">
        <f aca="false">LN(C215)</f>
        <v>5.64463384635855</v>
      </c>
      <c r="F215" s="25" t="n">
        <f aca="false">LN(C215/C214)</f>
        <v>-0.00964320839381642</v>
      </c>
      <c r="G215" s="25" t="n">
        <f aca="false">IF(AND(D215=1,A215&gt;=$R$2),F215,"")</f>
        <v>-0.00964320839381642</v>
      </c>
      <c r="H215" s="27" t="n">
        <f aca="false">IF(G215="","",G215^2)</f>
        <v>9.29914681265714E-005</v>
      </c>
      <c r="I215" s="25" t="n">
        <f aca="false">IF(G215="","",C215/C214-1)</f>
        <v>-0.00959686175615571</v>
      </c>
      <c r="J215" s="17" t="n">
        <f aca="false">AVERAGE(C16:C215)</f>
        <v>249.6199</v>
      </c>
      <c r="K215" s="17" t="n">
        <f aca="false">MAX(K214,C215)</f>
        <v>378</v>
      </c>
      <c r="L215" s="25" t="n">
        <f aca="false">C215/K215-1</f>
        <v>-0.251931216931217</v>
      </c>
      <c r="M215" s="25" t="n">
        <f aca="false">IF(COUNT(G186:G215)&lt;20,"",_xlfn.STDEV.S(G186:G215)*SQRT($R$3))</f>
        <v>0.459981642131689</v>
      </c>
      <c r="N215" s="25" t="n">
        <f aca="false">IF(A215-7&lt;$R$2,"",C215/INDEX(Clean_Data!$C$2:$C$4314,MATCH(A215-7,Clean_Data!$A$2:$A$4314,1))-1)</f>
        <v>-0.0255694544953307</v>
      </c>
      <c r="O215" s="25" t="n">
        <f aca="false">IF(A215-30&lt;$R$2,"",C215/INDEX(Clean_Data!$C$2:$C$4314,MATCH(A215-30,Clean_Data!$A$2:$A$4314,1))-1)</f>
        <v>0.0475290805364155</v>
      </c>
    </row>
    <row r="216" customFormat="false" ht="15" hidden="false" customHeight="false" outlineLevel="0" collapsed="false">
      <c r="A216" s="16" t="n">
        <v>42222</v>
      </c>
      <c r="B216" s="23" t="n">
        <f aca="false">YEAR(A216)</f>
        <v>2015</v>
      </c>
      <c r="C216" s="17" t="n">
        <v>279.65</v>
      </c>
      <c r="D216" s="23" t="n">
        <f aca="false">A216-A215</f>
        <v>1</v>
      </c>
      <c r="E216" s="24" t="n">
        <f aca="false">LN(C216)</f>
        <v>5.6335388212676</v>
      </c>
      <c r="F216" s="25" t="n">
        <f aca="false">LN(C216/C215)</f>
        <v>-0.0110950250909484</v>
      </c>
      <c r="G216" s="25" t="n">
        <f aca="false">IF(AND(D216=1,A216&gt;=$R$2),F216,"")</f>
        <v>-0.0110950250909484</v>
      </c>
      <c r="H216" s="27" t="n">
        <f aca="false">IF(G216="","",G216^2)</f>
        <v>0.000123099581768775</v>
      </c>
      <c r="I216" s="25" t="n">
        <f aca="false">IF(G216="","",C216/C215-1)</f>
        <v>-0.0110337023022244</v>
      </c>
      <c r="J216" s="17" t="n">
        <f aca="false">AVERAGE(C17:C216)</f>
        <v>250.09815</v>
      </c>
      <c r="K216" s="17" t="n">
        <f aca="false">MAX(K215,C216)</f>
        <v>378</v>
      </c>
      <c r="L216" s="25" t="n">
        <f aca="false">C216/K216-1</f>
        <v>-0.260185185185185</v>
      </c>
      <c r="M216" s="25" t="n">
        <f aca="false">IF(COUNT(G187:G216)&lt;20,"",_xlfn.STDEV.S(G187:G216)*SQRT($R$3))</f>
        <v>0.45884444903213</v>
      </c>
      <c r="N216" s="25" t="n">
        <f aca="false">IF(A216-7&lt;$R$2,"",C216/INDEX(Clean_Data!$C$2:$C$4314,MATCH(A216-7,Clean_Data!$A$2:$A$4314,1))-1)</f>
        <v>-0.0306423099587508</v>
      </c>
      <c r="O216" s="25" t="n">
        <f aca="false">IF(A216-30&lt;$R$2,"",C216/INDEX(Clean_Data!$C$2:$C$4314,MATCH(A216-30,Clean_Data!$A$2:$A$4314,1))-1)</f>
        <v>0.0506048538582913</v>
      </c>
    </row>
    <row r="217" customFormat="false" ht="15" hidden="false" customHeight="false" outlineLevel="0" collapsed="false">
      <c r="A217" s="16" t="n">
        <v>42223</v>
      </c>
      <c r="B217" s="23" t="n">
        <f aca="false">YEAR(A217)</f>
        <v>2015</v>
      </c>
      <c r="C217" s="17" t="n">
        <v>279.94</v>
      </c>
      <c r="D217" s="23" t="n">
        <f aca="false">A217-A216</f>
        <v>1</v>
      </c>
      <c r="E217" s="24" t="n">
        <f aca="false">LN(C217)</f>
        <v>5.6345752944925</v>
      </c>
      <c r="F217" s="25" t="n">
        <f aca="false">LN(C217/C216)</f>
        <v>0.00103647322490279</v>
      </c>
      <c r="G217" s="25" t="n">
        <f aca="false">IF(AND(D217=1,A217&gt;=$R$2),F217,"")</f>
        <v>0.00103647322490279</v>
      </c>
      <c r="H217" s="27" t="n">
        <f aca="false">IF(G217="","",G217^2)</f>
        <v>1.0742767459404E-006</v>
      </c>
      <c r="I217" s="25" t="n">
        <f aca="false">IF(G217="","",C217/C216-1)</f>
        <v>0.00103701054890037</v>
      </c>
      <c r="J217" s="17" t="n">
        <f aca="false">AVERAGE(C18:C217)</f>
        <v>250.3703</v>
      </c>
      <c r="K217" s="17" t="n">
        <f aca="false">MAX(K216,C217)</f>
        <v>378</v>
      </c>
      <c r="L217" s="25" t="n">
        <f aca="false">C217/K217-1</f>
        <v>-0.259417989417989</v>
      </c>
      <c r="M217" s="25" t="n">
        <f aca="false">IF(COUNT(G188:G217)&lt;20,"",_xlfn.STDEV.S(G188:G217)*SQRT($R$3))</f>
        <v>0.455110462899624</v>
      </c>
      <c r="N217" s="25" t="n">
        <f aca="false">IF(A217-7&lt;$R$2,"",C217/INDEX(Clean_Data!$C$2:$C$4314,MATCH(A217-7,Clean_Data!$A$2:$A$4314,1))-1)</f>
        <v>-0.0184087801115046</v>
      </c>
      <c r="O217" s="25" t="n">
        <f aca="false">IF(A217-30&lt;$R$2,"",C217/INDEX(Clean_Data!$C$2:$C$4314,MATCH(A217-30,Clean_Data!$A$2:$A$4314,1))-1)</f>
        <v>0.033103295567775</v>
      </c>
    </row>
    <row r="218" customFormat="false" ht="15" hidden="false" customHeight="false" outlineLevel="0" collapsed="false">
      <c r="A218" s="16" t="n">
        <v>42224</v>
      </c>
      <c r="B218" s="23" t="n">
        <f aca="false">YEAR(A218)</f>
        <v>2015</v>
      </c>
      <c r="C218" s="17" t="n">
        <v>262.02</v>
      </c>
      <c r="D218" s="23" t="n">
        <f aca="false">A218-A217</f>
        <v>1</v>
      </c>
      <c r="E218" s="24" t="n">
        <f aca="false">LN(C218)</f>
        <v>5.56842083672552</v>
      </c>
      <c r="F218" s="25" t="n">
        <f aca="false">LN(C218/C217)</f>
        <v>-0.0661544577669753</v>
      </c>
      <c r="G218" s="25" t="n">
        <f aca="false">IF(AND(D218=1,A218&gt;=$R$2),F218,"")</f>
        <v>-0.0661544577669753</v>
      </c>
      <c r="H218" s="27" t="n">
        <f aca="false">IF(G218="","",G218^2)</f>
        <v>0.00437641228244252</v>
      </c>
      <c r="I218" s="25" t="n">
        <f aca="false">IF(G218="","",C218/C217-1)</f>
        <v>-0.0640137172251197</v>
      </c>
      <c r="J218" s="17" t="n">
        <f aca="false">AVERAGE(C19:C218)</f>
        <v>250.5904</v>
      </c>
      <c r="K218" s="17" t="n">
        <f aca="false">MAX(K217,C218)</f>
        <v>378</v>
      </c>
      <c r="L218" s="25" t="n">
        <f aca="false">C218/K218-1</f>
        <v>-0.306825396825397</v>
      </c>
      <c r="M218" s="25" t="n">
        <f aca="false">IF(COUNT(G189:G218)&lt;20,"",_xlfn.STDEV.S(G189:G218)*SQRT($R$3))</f>
        <v>0.51190037358796</v>
      </c>
      <c r="N218" s="25" t="n">
        <f aca="false">IF(A218-7&lt;$R$2,"",C218/INDEX(Clean_Data!$C$2:$C$4314,MATCH(A218-7,Clean_Data!$A$2:$A$4314,1))-1)</f>
        <v>-0.0692998969914396</v>
      </c>
      <c r="O218" s="25" t="n">
        <f aca="false">IF(A218-30&lt;$R$2,"",C218/INDEX(Clean_Data!$C$2:$C$4314,MATCH(A218-30,Clean_Data!$A$2:$A$4314,1))-1)</f>
        <v>-0.0286561631139946</v>
      </c>
    </row>
    <row r="219" customFormat="false" ht="15" hidden="false" customHeight="false" outlineLevel="0" collapsed="false">
      <c r="A219" s="16" t="n">
        <v>42225</v>
      </c>
      <c r="B219" s="23" t="n">
        <f aca="false">YEAR(A219)</f>
        <v>2015</v>
      </c>
      <c r="C219" s="17" t="n">
        <v>267.63</v>
      </c>
      <c r="D219" s="23" t="n">
        <f aca="false">A219-A218</f>
        <v>1</v>
      </c>
      <c r="E219" s="24" t="n">
        <f aca="false">LN(C219)</f>
        <v>5.5896054295938</v>
      </c>
      <c r="F219" s="25" t="n">
        <f aca="false">LN(C219/C218)</f>
        <v>0.0211845928682773</v>
      </c>
      <c r="G219" s="25" t="n">
        <f aca="false">IF(AND(D219=1,A219&gt;=$R$2),F219,"")</f>
        <v>0.0211845928682773</v>
      </c>
      <c r="H219" s="27" t="n">
        <f aca="false">IF(G219="","",G219^2)</f>
        <v>0.000448786974994666</v>
      </c>
      <c r="I219" s="25" t="n">
        <f aca="false">IF(G219="","",C219/C218-1)</f>
        <v>0.0214105793450883</v>
      </c>
      <c r="J219" s="17" t="n">
        <f aca="false">AVERAGE(C20:C219)</f>
        <v>250.801</v>
      </c>
      <c r="K219" s="17" t="n">
        <f aca="false">MAX(K218,C219)</f>
        <v>378</v>
      </c>
      <c r="L219" s="25" t="n">
        <f aca="false">C219/K219-1</f>
        <v>-0.291984126984127</v>
      </c>
      <c r="M219" s="25" t="n">
        <f aca="false">IF(COUNT(G190:G219)&lt;20,"",_xlfn.STDEV.S(G190:G219)*SQRT($R$3))</f>
        <v>0.468488609503028</v>
      </c>
      <c r="N219" s="25" t="n">
        <f aca="false">IF(A219-7&lt;$R$2,"",C219/INDEX(Clean_Data!$C$2:$C$4314,MATCH(A219-7,Clean_Data!$A$2:$A$4314,1))-1)</f>
        <v>-0.0530394168848631</v>
      </c>
      <c r="O219" s="25" t="n">
        <f aca="false">IF(A219-30&lt;$R$2,"",C219/INDEX(Clean_Data!$C$2:$C$4314,MATCH(A219-30,Clean_Data!$A$2:$A$4314,1))-1)</f>
        <v>-0.0664178323507867</v>
      </c>
    </row>
    <row r="220" customFormat="false" ht="15" hidden="false" customHeight="false" outlineLevel="0" collapsed="false">
      <c r="A220" s="16" t="n">
        <v>42226</v>
      </c>
      <c r="B220" s="23" t="n">
        <f aca="false">YEAR(A220)</f>
        <v>2015</v>
      </c>
      <c r="C220" s="17" t="n">
        <v>265.15</v>
      </c>
      <c r="D220" s="23" t="n">
        <f aca="false">A220-A219</f>
        <v>1</v>
      </c>
      <c r="E220" s="24" t="n">
        <f aca="false">LN(C220)</f>
        <v>5.58029570358314</v>
      </c>
      <c r="F220" s="25" t="n">
        <f aca="false">LN(C220/C219)</f>
        <v>-0.00930972601066282</v>
      </c>
      <c r="G220" s="25" t="n">
        <f aca="false">IF(AND(D220=1,A220&gt;=$R$2),F220,"")</f>
        <v>-0.00930972601066282</v>
      </c>
      <c r="H220" s="27" t="n">
        <f aca="false">IF(G220="","",G220^2)</f>
        <v>8.66709983936118E-005</v>
      </c>
      <c r="I220" s="25" t="n">
        <f aca="false">IF(G220="","",C220/C219-1)</f>
        <v>-0.00926652467959499</v>
      </c>
      <c r="J220" s="17" t="n">
        <f aca="false">AVERAGE(C21:C220)</f>
        <v>250.99515</v>
      </c>
      <c r="K220" s="17" t="n">
        <f aca="false">MAX(K219,C220)</f>
        <v>378</v>
      </c>
      <c r="L220" s="25" t="n">
        <f aca="false">C220/K220-1</f>
        <v>-0.298544973544974</v>
      </c>
      <c r="M220" s="25" t="n">
        <f aca="false">IF(COUNT(G191:G220)&lt;20,"",_xlfn.STDEV.S(G191:G220)*SQRT($R$3))</f>
        <v>0.457692676434151</v>
      </c>
      <c r="N220" s="25" t="n">
        <f aca="false">IF(A220-7&lt;$R$2,"",C220/INDEX(Clean_Data!$C$2:$C$4314,MATCH(A220-7,Clean_Data!$A$2:$A$4314,1))-1)</f>
        <v>-0.0562377647268197</v>
      </c>
      <c r="O220" s="25" t="n">
        <f aca="false">IF(A220-30&lt;$R$2,"",C220/INDEX(Clean_Data!$C$2:$C$4314,MATCH(A220-30,Clean_Data!$A$2:$A$4314,1))-1)</f>
        <v>-0.0988342453182886</v>
      </c>
    </row>
    <row r="221" customFormat="false" ht="15" hidden="false" customHeight="false" outlineLevel="0" collapsed="false">
      <c r="A221" s="16" t="n">
        <v>42227</v>
      </c>
      <c r="B221" s="23" t="n">
        <f aca="false">YEAR(A221)</f>
        <v>2015</v>
      </c>
      <c r="C221" s="17" t="n">
        <v>271.99</v>
      </c>
      <c r="D221" s="23" t="n">
        <f aca="false">A221-A220</f>
        <v>1</v>
      </c>
      <c r="E221" s="24" t="n">
        <f aca="false">LN(C221)</f>
        <v>5.60576530091428</v>
      </c>
      <c r="F221" s="25" t="n">
        <f aca="false">LN(C221/C220)</f>
        <v>0.0254695973311376</v>
      </c>
      <c r="G221" s="25" t="n">
        <f aca="false">IF(AND(D221=1,A221&gt;=$R$2),F221,"")</f>
        <v>0.0254695973311376</v>
      </c>
      <c r="H221" s="27" t="n">
        <f aca="false">IF(G221="","",G221^2)</f>
        <v>0.000648700388210294</v>
      </c>
      <c r="I221" s="25" t="n">
        <f aca="false">IF(G221="","",C221/C220-1)</f>
        <v>0.0257967188383934</v>
      </c>
      <c r="J221" s="17" t="n">
        <f aca="false">AVERAGE(C22:C221)</f>
        <v>251.1801</v>
      </c>
      <c r="K221" s="17" t="n">
        <f aca="false">MAX(K220,C221)</f>
        <v>378</v>
      </c>
      <c r="L221" s="25" t="n">
        <f aca="false">C221/K221-1</f>
        <v>-0.280449735449735</v>
      </c>
      <c r="M221" s="25" t="n">
        <f aca="false">IF(COUNT(G192:G221)&lt;20,"",_xlfn.STDEV.S(G192:G221)*SQRT($R$3))</f>
        <v>0.412538671490696</v>
      </c>
      <c r="N221" s="25" t="n">
        <f aca="false">IF(A221-7&lt;$R$2,"",C221/INDEX(Clean_Data!$C$2:$C$4314,MATCH(A221-7,Clean_Data!$A$2:$A$4314,1))-1)</f>
        <v>-0.047353858008476</v>
      </c>
      <c r="O221" s="25" t="n">
        <f aca="false">IF(A221-30&lt;$R$2,"",C221/INDEX(Clean_Data!$C$2:$C$4314,MATCH(A221-30,Clean_Data!$A$2:$A$4314,1))-1)</f>
        <v>-0.128684008200923</v>
      </c>
    </row>
    <row r="222" customFormat="false" ht="15" hidden="false" customHeight="false" outlineLevel="0" collapsed="false">
      <c r="A222" s="16" t="n">
        <v>42228</v>
      </c>
      <c r="B222" s="23" t="n">
        <f aca="false">YEAR(A222)</f>
        <v>2015</v>
      </c>
      <c r="C222" s="17" t="n">
        <v>266.94</v>
      </c>
      <c r="D222" s="23" t="n">
        <f aca="false">A222-A221</f>
        <v>1</v>
      </c>
      <c r="E222" s="24" t="n">
        <f aca="false">LN(C222)</f>
        <v>5.58702391404601</v>
      </c>
      <c r="F222" s="25" t="n">
        <f aca="false">LN(C222/C221)</f>
        <v>-0.0187413868682712</v>
      </c>
      <c r="G222" s="25" t="n">
        <f aca="false">IF(AND(D222=1,A222&gt;=$R$2),F222,"")</f>
        <v>-0.0187413868682712</v>
      </c>
      <c r="H222" s="27" t="n">
        <f aca="false">IF(G222="","",G222^2)</f>
        <v>0.000351239581746208</v>
      </c>
      <c r="I222" s="25" t="n">
        <f aca="false">IF(G222="","",C222/C221-1)</f>
        <v>-0.0185668590757013</v>
      </c>
      <c r="J222" s="17" t="n">
        <f aca="false">AVERAGE(C23:C222)</f>
        <v>251.3148</v>
      </c>
      <c r="K222" s="17" t="n">
        <f aca="false">MAX(K221,C222)</f>
        <v>378</v>
      </c>
      <c r="L222" s="25" t="n">
        <f aca="false">C222/K222-1</f>
        <v>-0.293809523809524</v>
      </c>
      <c r="M222" s="25" t="n">
        <f aca="false">IF(COUNT(G193:G222)&lt;20,"",_xlfn.STDEV.S(G193:G222)*SQRT($R$3))</f>
        <v>0.358945763786532</v>
      </c>
      <c r="N222" s="25" t="n">
        <f aca="false">IF(A222-7&lt;$R$2,"",C222/INDEX(Clean_Data!$C$2:$C$4314,MATCH(A222-7,Clean_Data!$A$2:$A$4314,1))-1)</f>
        <v>-0.0559818934116065</v>
      </c>
      <c r="O222" s="25" t="n">
        <f aca="false">IF(A222-30&lt;$R$2,"",C222/INDEX(Clean_Data!$C$2:$C$4314,MATCH(A222-30,Clean_Data!$A$2:$A$4314,1))-1)</f>
        <v>-0.0891906646649379</v>
      </c>
    </row>
    <row r="223" customFormat="false" ht="15" hidden="false" customHeight="false" outlineLevel="0" collapsed="false">
      <c r="A223" s="16" t="n">
        <v>42229</v>
      </c>
      <c r="B223" s="23" t="n">
        <f aca="false">YEAR(A223)</f>
        <v>2015</v>
      </c>
      <c r="C223" s="17" t="n">
        <v>264.67</v>
      </c>
      <c r="D223" s="23" t="n">
        <f aca="false">A223-A222</f>
        <v>1</v>
      </c>
      <c r="E223" s="24" t="n">
        <f aca="false">LN(C223)</f>
        <v>5.57848376695816</v>
      </c>
      <c r="F223" s="25" t="n">
        <f aca="false">LN(C223/C222)</f>
        <v>-0.00854014708785057</v>
      </c>
      <c r="G223" s="25" t="n">
        <f aca="false">IF(AND(D223=1,A223&gt;=$R$2),F223,"")</f>
        <v>-0.00854014708785057</v>
      </c>
      <c r="H223" s="27" t="n">
        <f aca="false">IF(G223="","",G223^2)</f>
        <v>7.29341122821225E-005</v>
      </c>
      <c r="I223" s="25" t="n">
        <f aca="false">IF(G223="","",C223/C222-1)</f>
        <v>-0.00850378362178761</v>
      </c>
      <c r="J223" s="17" t="n">
        <f aca="false">AVERAGE(C24:C223)</f>
        <v>251.3655</v>
      </c>
      <c r="K223" s="17" t="n">
        <f aca="false">MAX(K222,C223)</f>
        <v>378</v>
      </c>
      <c r="L223" s="25" t="n">
        <f aca="false">C223/K223-1</f>
        <v>-0.299814814814815</v>
      </c>
      <c r="M223" s="25" t="n">
        <f aca="false">IF(COUNT(G194:G223)&lt;20,"",_xlfn.STDEV.S(G194:G223)*SQRT($R$3))</f>
        <v>0.354842441893502</v>
      </c>
      <c r="N223" s="25" t="n">
        <f aca="false">IF(A223-7&lt;$R$2,"",C223/INDEX(Clean_Data!$C$2:$C$4314,MATCH(A223-7,Clean_Data!$A$2:$A$4314,1))-1)</f>
        <v>-0.0535669586983728</v>
      </c>
      <c r="O223" s="25" t="n">
        <f aca="false">IF(A223-30&lt;$R$2,"",C223/INDEX(Clean_Data!$C$2:$C$4314,MATCH(A223-30,Clean_Data!$A$2:$A$4314,1))-1)</f>
        <v>-0.0794407151055615</v>
      </c>
    </row>
    <row r="224" customFormat="false" ht="15" hidden="false" customHeight="false" outlineLevel="0" collapsed="false">
      <c r="A224" s="16" t="n">
        <v>42230</v>
      </c>
      <c r="B224" s="23" t="n">
        <f aca="false">YEAR(A224)</f>
        <v>2015</v>
      </c>
      <c r="C224" s="17" t="n">
        <v>266.17</v>
      </c>
      <c r="D224" s="23" t="n">
        <f aca="false">A224-A223</f>
        <v>1</v>
      </c>
      <c r="E224" s="24" t="n">
        <f aca="false">LN(C224)</f>
        <v>5.58413520239007</v>
      </c>
      <c r="F224" s="25" t="n">
        <f aca="false">LN(C224/C223)</f>
        <v>0.00565143543191229</v>
      </c>
      <c r="G224" s="25" t="n">
        <f aca="false">IF(AND(D224=1,A224&gt;=$R$2),F224,"")</f>
        <v>0.00565143543191229</v>
      </c>
      <c r="H224" s="27" t="n">
        <f aca="false">IF(G224="","",G224^2)</f>
        <v>3.19387224410737E-005</v>
      </c>
      <c r="I224" s="25" t="n">
        <f aca="false">IF(G224="","",C224/C223-1)</f>
        <v>0.00566743491895561</v>
      </c>
      <c r="J224" s="17" t="n">
        <f aca="false">AVERAGE(C25:C224)</f>
        <v>251.32395</v>
      </c>
      <c r="K224" s="17" t="n">
        <f aca="false">MAX(K223,C224)</f>
        <v>378</v>
      </c>
      <c r="L224" s="25" t="n">
        <f aca="false">C224/K224-1</f>
        <v>-0.295846560846561</v>
      </c>
      <c r="M224" s="25" t="n">
        <f aca="false">IF(COUNT(G195:G224)&lt;20,"",_xlfn.STDEV.S(G195:G224)*SQRT($R$3))</f>
        <v>0.355786768174083</v>
      </c>
      <c r="N224" s="25" t="n">
        <f aca="false">IF(A224-7&lt;$R$2,"",C224/INDEX(Clean_Data!$C$2:$C$4314,MATCH(A224-7,Clean_Data!$A$2:$A$4314,1))-1)</f>
        <v>-0.0491891119525612</v>
      </c>
      <c r="O224" s="25" t="n">
        <f aca="false">IF(A224-30&lt;$R$2,"",C224/INDEX(Clean_Data!$C$2:$C$4314,MATCH(A224-30,Clean_Data!$A$2:$A$4314,1))-1)</f>
        <v>-0.0683584179208959</v>
      </c>
    </row>
    <row r="225" customFormat="false" ht="15" hidden="false" customHeight="false" outlineLevel="0" collapsed="false">
      <c r="A225" s="16" t="n">
        <v>42231</v>
      </c>
      <c r="B225" s="23" t="n">
        <f aca="false">YEAR(A225)</f>
        <v>2015</v>
      </c>
      <c r="C225" s="17" t="n">
        <v>262.46</v>
      </c>
      <c r="D225" s="23" t="n">
        <f aca="false">A225-A224</f>
        <v>1</v>
      </c>
      <c r="E225" s="24" t="n">
        <f aca="false">LN(C225)</f>
        <v>5.57009868946814</v>
      </c>
      <c r="F225" s="25" t="n">
        <f aca="false">LN(C225/C224)</f>
        <v>-0.0140365129219267</v>
      </c>
      <c r="G225" s="25" t="n">
        <f aca="false">IF(AND(D225=1,A225&gt;=$R$2),F225,"")</f>
        <v>-0.0140365129219267</v>
      </c>
      <c r="H225" s="27" t="n">
        <f aca="false">IF(G225="","",G225^2)</f>
        <v>0.000197023695007416</v>
      </c>
      <c r="I225" s="25" t="n">
        <f aca="false">IF(G225="","",C225/C224-1)</f>
        <v>-0.0139384603824625</v>
      </c>
      <c r="J225" s="17" t="n">
        <f aca="false">AVERAGE(C26:C225)</f>
        <v>251.318</v>
      </c>
      <c r="K225" s="17" t="n">
        <f aca="false">MAX(K224,C225)</f>
        <v>378</v>
      </c>
      <c r="L225" s="25" t="n">
        <f aca="false">C225/K225-1</f>
        <v>-0.305661375661376</v>
      </c>
      <c r="M225" s="25" t="n">
        <f aca="false">IF(COUNT(G196:G225)&lt;20,"",_xlfn.STDEV.S(G196:G225)*SQRT($R$3))</f>
        <v>0.351044039519683</v>
      </c>
      <c r="N225" s="25" t="n">
        <f aca="false">IF(A225-7&lt;$R$2,"",C225/INDEX(Clean_Data!$C$2:$C$4314,MATCH(A225-7,Clean_Data!$A$2:$A$4314,1))-1)</f>
        <v>0.00167926112510486</v>
      </c>
      <c r="O225" s="25" t="n">
        <f aca="false">IF(A225-30&lt;$R$2,"",C225/INDEX(Clean_Data!$C$2:$C$4314,MATCH(A225-30,Clean_Data!$A$2:$A$4314,1))-1)</f>
        <v>-0.0605626744935214</v>
      </c>
    </row>
    <row r="226" customFormat="false" ht="15" hidden="false" customHeight="false" outlineLevel="0" collapsed="false">
      <c r="A226" s="16" t="n">
        <v>42232</v>
      </c>
      <c r="B226" s="23" t="n">
        <f aca="false">YEAR(A226)</f>
        <v>2015</v>
      </c>
      <c r="C226" s="17" t="n">
        <v>259.2</v>
      </c>
      <c r="D226" s="23" t="n">
        <f aca="false">A226-A225</f>
        <v>1</v>
      </c>
      <c r="E226" s="24" t="n">
        <f aca="false">LN(C226)</f>
        <v>5.55759996447812</v>
      </c>
      <c r="F226" s="25" t="n">
        <f aca="false">LN(C226/C225)</f>
        <v>-0.0124987249900209</v>
      </c>
      <c r="G226" s="25" t="n">
        <f aca="false">IF(AND(D226=1,A226&gt;=$R$2),F226,"")</f>
        <v>-0.0124987249900209</v>
      </c>
      <c r="H226" s="27" t="n">
        <f aca="false">IF(G226="","",G226^2)</f>
        <v>0.000156218126376173</v>
      </c>
      <c r="I226" s="25" t="n">
        <f aca="false">IF(G226="","",C226/C225-1)</f>
        <v>-0.0124209403337651</v>
      </c>
      <c r="J226" s="17" t="n">
        <f aca="false">AVERAGE(C27:C226)</f>
        <v>251.43355</v>
      </c>
      <c r="K226" s="17" t="n">
        <f aca="false">MAX(K225,C226)</f>
        <v>378</v>
      </c>
      <c r="L226" s="25" t="n">
        <f aca="false">C226/K226-1</f>
        <v>-0.314285714285714</v>
      </c>
      <c r="M226" s="25" t="n">
        <f aca="false">IF(COUNT(G197:G226)&lt;20,"",_xlfn.STDEV.S(G197:G226)*SQRT($R$3))</f>
        <v>0.352092083260376</v>
      </c>
      <c r="N226" s="25" t="n">
        <f aca="false">IF(A226-7&lt;$R$2,"",C226/INDEX(Clean_Data!$C$2:$C$4314,MATCH(A226-7,Clean_Data!$A$2:$A$4314,1))-1)</f>
        <v>-0.0314987109068491</v>
      </c>
      <c r="O226" s="25" t="n">
        <f aca="false">IF(A226-30&lt;$R$2,"",C226/INDEX(Clean_Data!$C$2:$C$4314,MATCH(A226-30,Clean_Data!$A$2:$A$4314,1))-1)</f>
        <v>-0.0761993014470026</v>
      </c>
    </row>
    <row r="227" customFormat="false" ht="15" hidden="false" customHeight="false" outlineLevel="0" collapsed="false">
      <c r="A227" s="16" t="n">
        <v>42233</v>
      </c>
      <c r="B227" s="23" t="n">
        <f aca="false">YEAR(A227)</f>
        <v>2015</v>
      </c>
      <c r="C227" s="17" t="n">
        <v>257.31</v>
      </c>
      <c r="D227" s="23" t="n">
        <f aca="false">A227-A226</f>
        <v>1</v>
      </c>
      <c r="E227" s="24" t="n">
        <f aca="false">LN(C227)</f>
        <v>5.55028158367044</v>
      </c>
      <c r="F227" s="25" t="n">
        <f aca="false">LN(C227/C226)</f>
        <v>-0.00731838080767973</v>
      </c>
      <c r="G227" s="25" t="n">
        <f aca="false">IF(AND(D227=1,A227&gt;=$R$2),F227,"")</f>
        <v>-0.00731838080767973</v>
      </c>
      <c r="H227" s="27" t="n">
        <f aca="false">IF(G227="","",G227^2)</f>
        <v>5.3558697646215E-005</v>
      </c>
      <c r="I227" s="25" t="n">
        <f aca="false">IF(G227="","",C227/C226-1)</f>
        <v>-0.00729166666666659</v>
      </c>
      <c r="J227" s="17" t="n">
        <f aca="false">AVERAGE(C28:C227)</f>
        <v>251.54495</v>
      </c>
      <c r="K227" s="17" t="n">
        <f aca="false">MAX(K226,C227)</f>
        <v>378</v>
      </c>
      <c r="L227" s="25" t="n">
        <f aca="false">C227/K227-1</f>
        <v>-0.319285714285714</v>
      </c>
      <c r="M227" s="25" t="n">
        <f aca="false">IF(COUNT(G198:G227)&lt;20,"",_xlfn.STDEV.S(G198:G227)*SQRT($R$3))</f>
        <v>0.35143397370342</v>
      </c>
      <c r="N227" s="25" t="n">
        <f aca="false">IF(A227-7&lt;$R$2,"",C227/INDEX(Clean_Data!$C$2:$C$4314,MATCH(A227-7,Clean_Data!$A$2:$A$4314,1))-1)</f>
        <v>-0.0295681689609654</v>
      </c>
      <c r="O227" s="25" t="n">
        <f aca="false">IF(A227-30&lt;$R$2,"",C227/INDEX(Clean_Data!$C$2:$C$4314,MATCH(A227-30,Clean_Data!$A$2:$A$4314,1))-1)</f>
        <v>-0.0734579237333909</v>
      </c>
    </row>
    <row r="228" customFormat="false" ht="15" hidden="false" customHeight="false" outlineLevel="0" collapsed="false">
      <c r="A228" s="16" t="n">
        <v>42234</v>
      </c>
      <c r="B228" s="23" t="n">
        <f aca="false">YEAR(A228)</f>
        <v>2015</v>
      </c>
      <c r="C228" s="17" t="n">
        <v>221.99</v>
      </c>
      <c r="D228" s="23" t="n">
        <f aca="false">A228-A227</f>
        <v>1</v>
      </c>
      <c r="E228" s="24" t="n">
        <f aca="false">LN(C228)</f>
        <v>5.40263233581268</v>
      </c>
      <c r="F228" s="25" t="n">
        <f aca="false">LN(C228/C227)</f>
        <v>-0.147649247857764</v>
      </c>
      <c r="G228" s="25" t="n">
        <f aca="false">IF(AND(D228=1,A228&gt;=$R$2),F228,"")</f>
        <v>-0.147649247857764</v>
      </c>
      <c r="H228" s="27" t="n">
        <f aca="false">IF(G228="","",G228^2)</f>
        <v>0.0218003003929634</v>
      </c>
      <c r="I228" s="25" t="n">
        <f aca="false">IF(G228="","",C228/C227-1)</f>
        <v>-0.13726633243947</v>
      </c>
      <c r="J228" s="17" t="n">
        <f aca="false">AVERAGE(C29:C228)</f>
        <v>251.50955</v>
      </c>
      <c r="K228" s="17" t="n">
        <f aca="false">MAX(K227,C228)</f>
        <v>378</v>
      </c>
      <c r="L228" s="25" t="n">
        <f aca="false">C228/K228-1</f>
        <v>-0.412724867724868</v>
      </c>
      <c r="M228" s="25" t="n">
        <f aca="false">IF(COUNT(G199:G228)&lt;20,"",_xlfn.STDEV.S(G199:G228)*SQRT($R$3))</f>
        <v>0.616415076655714</v>
      </c>
      <c r="N228" s="25" t="n">
        <f aca="false">IF(A228-7&lt;$R$2,"",C228/INDEX(Clean_Data!$C$2:$C$4314,MATCH(A228-7,Clean_Data!$A$2:$A$4314,1))-1)</f>
        <v>-0.183830287878231</v>
      </c>
      <c r="O228" s="25" t="n">
        <f aca="false">IF(A228-30&lt;$R$2,"",C228/INDEX(Clean_Data!$C$2:$C$4314,MATCH(A228-30,Clean_Data!$A$2:$A$4314,1))-1)</f>
        <v>-0.194550270309495</v>
      </c>
    </row>
    <row r="229" customFormat="false" ht="15" hidden="false" customHeight="false" outlineLevel="0" collapsed="false">
      <c r="A229" s="16" t="n">
        <v>42235</v>
      </c>
      <c r="B229" s="23" t="n">
        <f aca="false">YEAR(A229)</f>
        <v>2015</v>
      </c>
      <c r="C229" s="17" t="n">
        <v>227.34</v>
      </c>
      <c r="D229" s="23" t="n">
        <f aca="false">A229-A228</f>
        <v>1</v>
      </c>
      <c r="E229" s="24" t="n">
        <f aca="false">LN(C229)</f>
        <v>5.42644669425857</v>
      </c>
      <c r="F229" s="25" t="n">
        <f aca="false">LN(C229/C228)</f>
        <v>0.0238143584458886</v>
      </c>
      <c r="G229" s="25" t="n">
        <f aca="false">IF(AND(D229=1,A229&gt;=$R$2),F229,"")</f>
        <v>0.0238143584458886</v>
      </c>
      <c r="H229" s="27" t="n">
        <f aca="false">IF(G229="","",G229^2)</f>
        <v>0.000567123668189265</v>
      </c>
      <c r="I229" s="25" t="n">
        <f aca="false">IF(G229="","",C229/C228-1)</f>
        <v>0.0241001846930042</v>
      </c>
      <c r="J229" s="17" t="n">
        <f aca="false">AVERAGE(C30:C229)</f>
        <v>251.554</v>
      </c>
      <c r="K229" s="17" t="n">
        <f aca="false">MAX(K228,C229)</f>
        <v>378</v>
      </c>
      <c r="L229" s="25" t="n">
        <f aca="false">C229/K229-1</f>
        <v>-0.398571428571429</v>
      </c>
      <c r="M229" s="25" t="n">
        <f aca="false">IF(COUNT(G200:G229)&lt;20,"",_xlfn.STDEV.S(G200:G229)*SQRT($R$3))</f>
        <v>0.620797744947851</v>
      </c>
      <c r="N229" s="25" t="n">
        <f aca="false">IF(A229-7&lt;$R$2,"",C229/INDEX(Clean_Data!$C$2:$C$4314,MATCH(A229-7,Clean_Data!$A$2:$A$4314,1))-1)</f>
        <v>-0.148347943358058</v>
      </c>
      <c r="O229" s="25" t="n">
        <f aca="false">IF(A229-30&lt;$R$2,"",C229/INDEX(Clean_Data!$C$2:$C$4314,MATCH(A229-30,Clean_Data!$A$2:$A$4314,1))-1)</f>
        <v>-0.188071428571429</v>
      </c>
    </row>
    <row r="230" customFormat="false" ht="15" hidden="false" customHeight="false" outlineLevel="0" collapsed="false">
      <c r="A230" s="16" t="n">
        <v>42236</v>
      </c>
      <c r="B230" s="23" t="n">
        <f aca="false">YEAR(A230)</f>
        <v>2015</v>
      </c>
      <c r="C230" s="17" t="n">
        <v>235.56</v>
      </c>
      <c r="D230" s="23" t="n">
        <f aca="false">A230-A229</f>
        <v>1</v>
      </c>
      <c r="E230" s="24" t="n">
        <f aca="false">LN(C230)</f>
        <v>5.46196565807637</v>
      </c>
      <c r="F230" s="25" t="n">
        <f aca="false">LN(C230/C229)</f>
        <v>0.0355189638178056</v>
      </c>
      <c r="G230" s="25" t="n">
        <f aca="false">IF(AND(D230=1,A230&gt;=$R$2),F230,"")</f>
        <v>0.0355189638178056</v>
      </c>
      <c r="H230" s="27" t="n">
        <f aca="false">IF(G230="","",G230^2)</f>
        <v>0.00126159679069058</v>
      </c>
      <c r="I230" s="25" t="n">
        <f aca="false">IF(G230="","",C230/C229-1)</f>
        <v>0.0361572974399578</v>
      </c>
      <c r="J230" s="17" t="n">
        <f aca="false">AVERAGE(C31:C230)</f>
        <v>251.58685</v>
      </c>
      <c r="K230" s="17" t="n">
        <f aca="false">MAX(K229,C230)</f>
        <v>378</v>
      </c>
      <c r="L230" s="25" t="n">
        <f aca="false">C230/K230-1</f>
        <v>-0.376825396825397</v>
      </c>
      <c r="M230" s="25" t="n">
        <f aca="false">IF(COUNT(G201:G230)&lt;20,"",_xlfn.STDEV.S(G201:G230)*SQRT($R$3))</f>
        <v>0.638075422800524</v>
      </c>
      <c r="N230" s="25" t="n">
        <f aca="false">IF(A230-7&lt;$R$2,"",C230/INDEX(Clean_Data!$C$2:$C$4314,MATCH(A230-7,Clean_Data!$A$2:$A$4314,1))-1)</f>
        <v>-0.1099860203272</v>
      </c>
      <c r="O230" s="25" t="n">
        <f aca="false">IF(A230-30&lt;$R$2,"",C230/INDEX(Clean_Data!$C$2:$C$4314,MATCH(A230-30,Clean_Data!$A$2:$A$4314,1))-1)</f>
        <v>-0.15058416270013</v>
      </c>
    </row>
    <row r="231" customFormat="false" ht="15" hidden="false" customHeight="false" outlineLevel="0" collapsed="false">
      <c r="A231" s="16" t="n">
        <v>42237</v>
      </c>
      <c r="B231" s="23" t="n">
        <f aca="false">YEAR(A231)</f>
        <v>2015</v>
      </c>
      <c r="C231" s="17" t="n">
        <v>232.85</v>
      </c>
      <c r="D231" s="23" t="n">
        <f aca="false">A231-A230</f>
        <v>1</v>
      </c>
      <c r="E231" s="24" t="n">
        <f aca="false">LN(C231)</f>
        <v>5.45039446942839</v>
      </c>
      <c r="F231" s="25" t="n">
        <f aca="false">LN(C231/C230)</f>
        <v>-0.0115711886479838</v>
      </c>
      <c r="G231" s="25" t="n">
        <f aca="false">IF(AND(D231=1,A231&gt;=$R$2),F231,"")</f>
        <v>-0.0115711886479838</v>
      </c>
      <c r="H231" s="27" t="n">
        <f aca="false">IF(G231="","",G231^2)</f>
        <v>0.000133892406727229</v>
      </c>
      <c r="I231" s="25" t="n">
        <f aca="false">IF(G231="","",C231/C230-1)</f>
        <v>-0.0115044999150959</v>
      </c>
      <c r="J231" s="17" t="n">
        <f aca="false">AVERAGE(C32:C231)</f>
        <v>251.56195</v>
      </c>
      <c r="K231" s="17" t="n">
        <f aca="false">MAX(K230,C231)</f>
        <v>378</v>
      </c>
      <c r="L231" s="25" t="n">
        <f aca="false">C231/K231-1</f>
        <v>-0.383994708994709</v>
      </c>
      <c r="M231" s="25" t="n">
        <f aca="false">IF(COUNT(G202:G231)&lt;20,"",_xlfn.STDEV.S(G202:G231)*SQRT($R$3))</f>
        <v>0.637831265055345</v>
      </c>
      <c r="N231" s="25" t="n">
        <f aca="false">IF(A231-7&lt;$R$2,"",C231/INDEX(Clean_Data!$C$2:$C$4314,MATCH(A231-7,Clean_Data!$A$2:$A$4314,1))-1)</f>
        <v>-0.125183153623624</v>
      </c>
      <c r="O231" s="25" t="n">
        <f aca="false">IF(A231-30&lt;$R$2,"",C231/INDEX(Clean_Data!$C$2:$C$4314,MATCH(A231-30,Clean_Data!$A$2:$A$4314,1))-1)</f>
        <v>-0.162078520277808</v>
      </c>
    </row>
    <row r="232" customFormat="false" ht="15" hidden="false" customHeight="false" outlineLevel="0" collapsed="false">
      <c r="A232" s="16" t="n">
        <v>42238</v>
      </c>
      <c r="B232" s="23" t="n">
        <f aca="false">YEAR(A232)</f>
        <v>2015</v>
      </c>
      <c r="C232" s="17" t="n">
        <v>231.15</v>
      </c>
      <c r="D232" s="23" t="n">
        <f aca="false">A232-A231</f>
        <v>1</v>
      </c>
      <c r="E232" s="24" t="n">
        <f aca="false">LN(C232)</f>
        <v>5.44306685043423</v>
      </c>
      <c r="F232" s="25" t="n">
        <f aca="false">LN(C232/C231)</f>
        <v>-0.00732761899415172</v>
      </c>
      <c r="G232" s="25" t="n">
        <f aca="false">IF(AND(D232=1,A232&gt;=$R$2),F232,"")</f>
        <v>-0.00732761899415172</v>
      </c>
      <c r="H232" s="27" t="n">
        <f aca="false">IF(G232="","",G232^2)</f>
        <v>5.3694000123453E-005</v>
      </c>
      <c r="I232" s="25" t="n">
        <f aca="false">IF(G232="","",C232/C231-1)</f>
        <v>-0.00730083744900145</v>
      </c>
      <c r="J232" s="17" t="n">
        <f aca="false">AVERAGE(C33:C232)</f>
        <v>251.5748</v>
      </c>
      <c r="K232" s="17" t="n">
        <f aca="false">MAX(K231,C232)</f>
        <v>378</v>
      </c>
      <c r="L232" s="25" t="n">
        <f aca="false">C232/K232-1</f>
        <v>-0.388492063492063</v>
      </c>
      <c r="M232" s="25" t="n">
        <f aca="false">IF(COUNT(G203:G232)&lt;20,"",_xlfn.STDEV.S(G203:G232)*SQRT($R$3))</f>
        <v>0.63767614210019</v>
      </c>
      <c r="N232" s="25" t="n">
        <f aca="false">IF(A232-7&lt;$R$2,"",C232/INDEX(Clean_Data!$C$2:$C$4314,MATCH(A232-7,Clean_Data!$A$2:$A$4314,1))-1)</f>
        <v>-0.119294368665701</v>
      </c>
      <c r="O232" s="25" t="n">
        <f aca="false">IF(A232-30&lt;$R$2,"",C232/INDEX(Clean_Data!$C$2:$C$4314,MATCH(A232-30,Clean_Data!$A$2:$A$4314,1))-1)</f>
        <v>-0.166696708605213</v>
      </c>
    </row>
    <row r="233" customFormat="false" ht="15" hidden="false" customHeight="false" outlineLevel="0" collapsed="false">
      <c r="A233" s="16" t="n">
        <v>42239</v>
      </c>
      <c r="B233" s="23" t="n">
        <f aca="false">YEAR(A233)</f>
        <v>2015</v>
      </c>
      <c r="C233" s="17" t="n">
        <v>229.21</v>
      </c>
      <c r="D233" s="23" t="n">
        <f aca="false">A233-A232</f>
        <v>1</v>
      </c>
      <c r="E233" s="24" t="n">
        <f aca="false">LN(C233)</f>
        <v>5.43463861390628</v>
      </c>
      <c r="F233" s="25" t="n">
        <f aca="false">LN(C233/C232)</f>
        <v>-0.00842823652795946</v>
      </c>
      <c r="G233" s="25" t="n">
        <f aca="false">IF(AND(D233=1,A233&gt;=$R$2),F233,"")</f>
        <v>-0.00842823652795946</v>
      </c>
      <c r="H233" s="27" t="n">
        <f aca="false">IF(G233="","",G233^2)</f>
        <v>7.10351709712301E-005</v>
      </c>
      <c r="I233" s="25" t="n">
        <f aca="false">IF(G233="","",C233/C232-1)</f>
        <v>-0.00839281851611506</v>
      </c>
      <c r="J233" s="17" t="n">
        <f aca="false">AVERAGE(C34:C233)</f>
        <v>251.5853</v>
      </c>
      <c r="K233" s="17" t="n">
        <f aca="false">MAX(K232,C233)</f>
        <v>378</v>
      </c>
      <c r="L233" s="25" t="n">
        <f aca="false">C233/K233-1</f>
        <v>-0.393624338624339</v>
      </c>
      <c r="M233" s="25" t="n">
        <f aca="false">IF(COUNT(G204:G233)&lt;20,"",_xlfn.STDEV.S(G204:G233)*SQRT($R$3))</f>
        <v>0.614219156398026</v>
      </c>
      <c r="N233" s="25" t="n">
        <f aca="false">IF(A233-7&lt;$R$2,"",C233/INDEX(Clean_Data!$C$2:$C$4314,MATCH(A233-7,Clean_Data!$A$2:$A$4314,1))-1)</f>
        <v>-0.115702160493827</v>
      </c>
      <c r="O233" s="25" t="n">
        <f aca="false">IF(A233-30&lt;$R$2,"",C233/INDEX(Clean_Data!$C$2:$C$4314,MATCH(A233-30,Clean_Data!$A$2:$A$4314,1))-1)</f>
        <v>-0.207214997232983</v>
      </c>
    </row>
    <row r="234" customFormat="false" ht="15" hidden="false" customHeight="false" outlineLevel="0" collapsed="false">
      <c r="A234" s="16" t="n">
        <v>42240</v>
      </c>
      <c r="B234" s="23" t="n">
        <f aca="false">YEAR(A234)</f>
        <v>2015</v>
      </c>
      <c r="C234" s="17" t="n">
        <v>211.16</v>
      </c>
      <c r="D234" s="23" t="n">
        <f aca="false">A234-A233</f>
        <v>1</v>
      </c>
      <c r="E234" s="24" t="n">
        <f aca="false">LN(C234)</f>
        <v>5.35261613995542</v>
      </c>
      <c r="F234" s="25" t="n">
        <f aca="false">LN(C234/C233)</f>
        <v>-0.0820224739508595</v>
      </c>
      <c r="G234" s="25" t="n">
        <f aca="false">IF(AND(D234=1,A234&gt;=$R$2),F234,"")</f>
        <v>-0.0820224739508595</v>
      </c>
      <c r="H234" s="27" t="n">
        <f aca="false">IF(G234="","",G234^2)</f>
        <v>0.00672768623301942</v>
      </c>
      <c r="I234" s="25" t="n">
        <f aca="false">IF(G234="","",C234/C233-1)</f>
        <v>-0.0787487456917237</v>
      </c>
      <c r="J234" s="17" t="n">
        <f aca="false">AVERAGE(C35:C234)</f>
        <v>251.5573</v>
      </c>
      <c r="K234" s="17" t="n">
        <f aca="false">MAX(K233,C234)</f>
        <v>378</v>
      </c>
      <c r="L234" s="25" t="n">
        <f aca="false">C234/K234-1</f>
        <v>-0.441375661375661</v>
      </c>
      <c r="M234" s="25" t="n">
        <f aca="false">IF(COUNT(G205:G234)&lt;20,"",_xlfn.STDEV.S(G205:G234)*SQRT($R$3))</f>
        <v>0.665249598797712</v>
      </c>
      <c r="N234" s="25" t="n">
        <f aca="false">IF(A234-7&lt;$R$2,"",C234/INDEX(Clean_Data!$C$2:$C$4314,MATCH(A234-7,Clean_Data!$A$2:$A$4314,1))-1)</f>
        <v>-0.179355641055536</v>
      </c>
      <c r="O234" s="25" t="n">
        <f aca="false">IF(A234-30&lt;$R$2,"",C234/INDEX(Clean_Data!$C$2:$C$4314,MATCH(A234-30,Clean_Data!$A$2:$A$4314,1))-1)</f>
        <v>-0.2711080428029</v>
      </c>
    </row>
    <row r="235" customFormat="false" ht="15" hidden="false" customHeight="false" outlineLevel="0" collapsed="false">
      <c r="A235" s="16" t="n">
        <v>42241</v>
      </c>
      <c r="B235" s="23" t="n">
        <f aca="false">YEAR(A235)</f>
        <v>2015</v>
      </c>
      <c r="C235" s="17" t="n">
        <v>223.73</v>
      </c>
      <c r="D235" s="23" t="n">
        <f aca="false">A235-A234</f>
        <v>1</v>
      </c>
      <c r="E235" s="24" t="n">
        <f aca="false">LN(C235)</f>
        <v>5.41043996768499</v>
      </c>
      <c r="F235" s="25" t="n">
        <f aca="false">LN(C235/C234)</f>
        <v>0.0578238277295693</v>
      </c>
      <c r="G235" s="25" t="n">
        <f aca="false">IF(AND(D235=1,A235&gt;=$R$2),F235,"")</f>
        <v>0.0578238277295693</v>
      </c>
      <c r="H235" s="27" t="n">
        <f aca="false">IF(G235="","",G235^2)</f>
        <v>0.00334359505329891</v>
      </c>
      <c r="I235" s="25" t="n">
        <f aca="false">IF(G235="","",C235/C234-1)</f>
        <v>0.0595283197575298</v>
      </c>
      <c r="J235" s="17" t="n">
        <f aca="false">AVERAGE(C36:C235)</f>
        <v>251.55995</v>
      </c>
      <c r="K235" s="17" t="n">
        <f aca="false">MAX(K234,C235)</f>
        <v>378</v>
      </c>
      <c r="L235" s="25" t="n">
        <f aca="false">C235/K235-1</f>
        <v>-0.408121693121693</v>
      </c>
      <c r="M235" s="25" t="n">
        <f aca="false">IF(COUNT(G206:G235)&lt;20,"",_xlfn.STDEV.S(G206:G235)*SQRT($R$3))</f>
        <v>0.701986648783909</v>
      </c>
      <c r="N235" s="25" t="n">
        <f aca="false">IF(A235-7&lt;$R$2,"",C235/INDEX(Clean_Data!$C$2:$C$4314,MATCH(A235-7,Clean_Data!$A$2:$A$4314,1))-1)</f>
        <v>0.00783819090950044</v>
      </c>
      <c r="O235" s="25" t="n">
        <f aca="false">IF(A235-30&lt;$R$2,"",C235/INDEX(Clean_Data!$C$2:$C$4314,MATCH(A235-30,Clean_Data!$A$2:$A$4314,1))-1)</f>
        <v>-0.23872877607268</v>
      </c>
    </row>
    <row r="236" customFormat="false" ht="15" hidden="false" customHeight="false" outlineLevel="0" collapsed="false">
      <c r="A236" s="16" t="n">
        <v>42242</v>
      </c>
      <c r="B236" s="23" t="n">
        <f aca="false">YEAR(A236)</f>
        <v>2015</v>
      </c>
      <c r="C236" s="17" t="n">
        <v>226.81</v>
      </c>
      <c r="D236" s="23" t="n">
        <f aca="false">A236-A235</f>
        <v>1</v>
      </c>
      <c r="E236" s="24" t="n">
        <f aca="false">LN(C236)</f>
        <v>5.42411266259235</v>
      </c>
      <c r="F236" s="25" t="n">
        <f aca="false">LN(C236/C235)</f>
        <v>0.0136726949073597</v>
      </c>
      <c r="G236" s="25" t="n">
        <f aca="false">IF(AND(D236=1,A236&gt;=$R$2),F236,"")</f>
        <v>0.0136726949073597</v>
      </c>
      <c r="H236" s="27" t="n">
        <f aca="false">IF(G236="","",G236^2)</f>
        <v>0.000186942586029739</v>
      </c>
      <c r="I236" s="25" t="n">
        <f aca="false">IF(G236="","",C236/C235-1)</f>
        <v>0.0137665936620033</v>
      </c>
      <c r="J236" s="17" t="n">
        <f aca="false">AVERAGE(C37:C236)</f>
        <v>251.549</v>
      </c>
      <c r="K236" s="17" t="n">
        <f aca="false">MAX(K235,C236)</f>
        <v>378</v>
      </c>
      <c r="L236" s="25" t="n">
        <f aca="false">C236/K236-1</f>
        <v>-0.399973544973545</v>
      </c>
      <c r="M236" s="25" t="n">
        <f aca="false">IF(COUNT(G207:G236)&lt;20,"",_xlfn.STDEV.S(G207:G236)*SQRT($R$3))</f>
        <v>0.705646537538128</v>
      </c>
      <c r="N236" s="25" t="n">
        <f aca="false">IF(A236-7&lt;$R$2,"",C236/INDEX(Clean_Data!$C$2:$C$4314,MATCH(A236-7,Clean_Data!$A$2:$A$4314,1))-1)</f>
        <v>-0.00233130993226005</v>
      </c>
      <c r="O236" s="25" t="n">
        <f aca="false">IF(A236-30&lt;$R$2,"",C236/INDEX(Clean_Data!$C$2:$C$4314,MATCH(A236-30,Clean_Data!$A$2:$A$4314,1))-1)</f>
        <v>-0.229088066347167</v>
      </c>
    </row>
    <row r="237" customFormat="false" ht="15" hidden="false" customHeight="false" outlineLevel="0" collapsed="false">
      <c r="A237" s="16" t="n">
        <v>42243</v>
      </c>
      <c r="B237" s="23" t="n">
        <f aca="false">YEAR(A237)</f>
        <v>2015</v>
      </c>
      <c r="C237" s="17" t="n">
        <v>225.8</v>
      </c>
      <c r="D237" s="23" t="n">
        <f aca="false">A237-A236</f>
        <v>1</v>
      </c>
      <c r="E237" s="24" t="n">
        <f aca="false">LN(C237)</f>
        <v>5.41964965171556</v>
      </c>
      <c r="F237" s="25" t="n">
        <f aca="false">LN(C237/C236)</f>
        <v>-0.00446301087678279</v>
      </c>
      <c r="G237" s="25" t="n">
        <f aca="false">IF(AND(D237=1,A237&gt;=$R$2),F237,"")</f>
        <v>-0.00446301087678279</v>
      </c>
      <c r="H237" s="27" t="n">
        <f aca="false">IF(G237="","",G237^2)</f>
        <v>1.99184660862815E-005</v>
      </c>
      <c r="I237" s="25" t="n">
        <f aca="false">IF(G237="","",C237/C236-1)</f>
        <v>-0.00445306644327848</v>
      </c>
      <c r="J237" s="17" t="n">
        <f aca="false">AVERAGE(C38:C237)</f>
        <v>251.55805</v>
      </c>
      <c r="K237" s="17" t="n">
        <f aca="false">MAX(K236,C237)</f>
        <v>378</v>
      </c>
      <c r="L237" s="25" t="n">
        <f aca="false">C237/K237-1</f>
        <v>-0.402645502645503</v>
      </c>
      <c r="M237" s="25" t="n">
        <f aca="false">IF(COUNT(G208:G237)&lt;20,"",_xlfn.STDEV.S(G208:G237)*SQRT($R$3))</f>
        <v>0.704044849720029</v>
      </c>
      <c r="N237" s="25" t="n">
        <f aca="false">IF(A237-7&lt;$R$2,"",C237/INDEX(Clean_Data!$C$2:$C$4314,MATCH(A237-7,Clean_Data!$A$2:$A$4314,1))-1)</f>
        <v>-0.0414331805060282</v>
      </c>
      <c r="O237" s="25" t="n">
        <f aca="false">IF(A237-30&lt;$R$2,"",C237/INDEX(Clean_Data!$C$2:$C$4314,MATCH(A237-30,Clean_Data!$A$2:$A$4314,1))-1)</f>
        <v>-0.236543143088991</v>
      </c>
    </row>
    <row r="238" customFormat="false" ht="15" hidden="false" customHeight="false" outlineLevel="0" collapsed="false">
      <c r="A238" s="16" t="n">
        <v>42244</v>
      </c>
      <c r="B238" s="23" t="n">
        <f aca="false">YEAR(A238)</f>
        <v>2015</v>
      </c>
      <c r="C238" s="17" t="n">
        <v>231.55</v>
      </c>
      <c r="D238" s="23" t="n">
        <f aca="false">A238-A237</f>
        <v>1</v>
      </c>
      <c r="E238" s="24" t="n">
        <f aca="false">LN(C238)</f>
        <v>5.44479583292676</v>
      </c>
      <c r="F238" s="25" t="n">
        <f aca="false">LN(C238/C237)</f>
        <v>0.0251461812111993</v>
      </c>
      <c r="G238" s="25" t="n">
        <f aca="false">IF(AND(D238=1,A238&gt;=$R$2),F238,"")</f>
        <v>0.0251461812111993</v>
      </c>
      <c r="H238" s="27" t="n">
        <f aca="false">IF(G238="","",G238^2)</f>
        <v>0.000632330429506472</v>
      </c>
      <c r="I238" s="25" t="n">
        <f aca="false">IF(G238="","",C238/C237-1)</f>
        <v>0.0254650132860939</v>
      </c>
      <c r="J238" s="17" t="n">
        <f aca="false">AVERAGE(C39:C238)</f>
        <v>251.6103</v>
      </c>
      <c r="K238" s="17" t="n">
        <f aca="false">MAX(K237,C238)</f>
        <v>378</v>
      </c>
      <c r="L238" s="25" t="n">
        <f aca="false">C238/K238-1</f>
        <v>-0.387433862433862</v>
      </c>
      <c r="M238" s="25" t="n">
        <f aca="false">IF(COUNT(G209:G238)&lt;20,"",_xlfn.STDEV.S(G209:G238)*SQRT($R$3))</f>
        <v>0.712930979650374</v>
      </c>
      <c r="N238" s="25" t="n">
        <f aca="false">IF(A238-7&lt;$R$2,"",C238/INDEX(Clean_Data!$C$2:$C$4314,MATCH(A238-7,Clean_Data!$A$2:$A$4314,1))-1)</f>
        <v>-0.00558299334335399</v>
      </c>
      <c r="O238" s="25" t="n">
        <f aca="false">IF(A238-30&lt;$R$2,"",C238/INDEX(Clean_Data!$C$2:$C$4314,MATCH(A238-30,Clean_Data!$A$2:$A$4314,1))-1)</f>
        <v>-0.202074502911885</v>
      </c>
    </row>
    <row r="239" customFormat="false" ht="15" hidden="false" customHeight="false" outlineLevel="0" collapsed="false">
      <c r="A239" s="16" t="n">
        <v>42245</v>
      </c>
      <c r="B239" s="23" t="n">
        <f aca="false">YEAR(A239)</f>
        <v>2015</v>
      </c>
      <c r="C239" s="17" t="n">
        <v>230.61</v>
      </c>
      <c r="D239" s="23" t="n">
        <f aca="false">A239-A238</f>
        <v>1</v>
      </c>
      <c r="E239" s="24" t="n">
        <f aca="false">LN(C239)</f>
        <v>5.44072797202915</v>
      </c>
      <c r="F239" s="25" t="n">
        <f aca="false">LN(C239/C238)</f>
        <v>-0.0040678608976107</v>
      </c>
      <c r="G239" s="25" t="n">
        <f aca="false">IF(AND(D239=1,A239&gt;=$R$2),F239,"")</f>
        <v>-0.0040678608976107</v>
      </c>
      <c r="H239" s="27" t="n">
        <f aca="false">IF(G239="","",G239^2)</f>
        <v>1.65474922823101E-005</v>
      </c>
      <c r="I239" s="25" t="n">
        <f aca="false">IF(G239="","",C239/C238-1)</f>
        <v>-0.00405959835888581</v>
      </c>
      <c r="J239" s="17" t="n">
        <f aca="false">AVERAGE(C40:C239)</f>
        <v>251.659</v>
      </c>
      <c r="K239" s="17" t="n">
        <f aca="false">MAX(K238,C239)</f>
        <v>378</v>
      </c>
      <c r="L239" s="25" t="n">
        <f aca="false">C239/K239-1</f>
        <v>-0.389920634920635</v>
      </c>
      <c r="M239" s="25" t="n">
        <f aca="false">IF(COUNT(G210:G239)&lt;20,"",_xlfn.STDEV.S(G210:G239)*SQRT($R$3))</f>
        <v>0.713011484381155</v>
      </c>
      <c r="N239" s="25" t="n">
        <f aca="false">IF(A239-7&lt;$R$2,"",C239/INDEX(Clean_Data!$C$2:$C$4314,MATCH(A239-7,Clean_Data!$A$2:$A$4314,1))-1)</f>
        <v>-0.00233614536015569</v>
      </c>
      <c r="O239" s="25" t="n">
        <f aca="false">IF(A239-30&lt;$R$2,"",C239/INDEX(Clean_Data!$C$2:$C$4314,MATCH(A239-30,Clean_Data!$A$2:$A$4314,1))-1)</f>
        <v>-0.200630871087386</v>
      </c>
    </row>
    <row r="240" customFormat="false" ht="15" hidden="false" customHeight="false" outlineLevel="0" collapsed="false">
      <c r="A240" s="16" t="n">
        <v>42246</v>
      </c>
      <c r="B240" s="23" t="n">
        <f aca="false">YEAR(A240)</f>
        <v>2015</v>
      </c>
      <c r="C240" s="17" t="n">
        <v>229.39</v>
      </c>
      <c r="D240" s="23" t="n">
        <f aca="false">A240-A239</f>
        <v>1</v>
      </c>
      <c r="E240" s="24" t="n">
        <f aca="false">LN(C240)</f>
        <v>5.43542361176604</v>
      </c>
      <c r="F240" s="25" t="n">
        <f aca="false">LN(C240/C239)</f>
        <v>-0.00530436026311393</v>
      </c>
      <c r="G240" s="25" t="n">
        <f aca="false">IF(AND(D240=1,A240&gt;=$R$2),F240,"")</f>
        <v>-0.00530436026311393</v>
      </c>
      <c r="H240" s="27" t="n">
        <f aca="false">IF(G240="","",G240^2)</f>
        <v>2.8136237800902E-005</v>
      </c>
      <c r="I240" s="25" t="n">
        <f aca="false">IF(G240="","",C240/C239-1)</f>
        <v>-0.00529031698538673</v>
      </c>
      <c r="J240" s="17" t="n">
        <f aca="false">AVERAGE(C41:C240)</f>
        <v>251.7069</v>
      </c>
      <c r="K240" s="17" t="n">
        <f aca="false">MAX(K239,C240)</f>
        <v>378</v>
      </c>
      <c r="L240" s="25" t="n">
        <f aca="false">C240/K240-1</f>
        <v>-0.393148148148148</v>
      </c>
      <c r="M240" s="25" t="n">
        <f aca="false">IF(COUNT(G211:G240)&lt;20,"",_xlfn.STDEV.S(G211:G240)*SQRT($R$3))</f>
        <v>0.712897262308424</v>
      </c>
      <c r="N240" s="25" t="n">
        <f aca="false">IF(A240-7&lt;$R$2,"",C240/INDEX(Clean_Data!$C$2:$C$4314,MATCH(A240-7,Clean_Data!$A$2:$A$4314,1))-1)</f>
        <v>0.000785306051219292</v>
      </c>
      <c r="O240" s="25" t="n">
        <f aca="false">IF(A240-30&lt;$R$2,"",C240/INDEX(Clean_Data!$C$2:$C$4314,MATCH(A240-30,Clean_Data!$A$2:$A$4314,1))-1)</f>
        <v>-0.195659034327992</v>
      </c>
    </row>
    <row r="241" customFormat="false" ht="15" hidden="false" customHeight="false" outlineLevel="0" collapsed="false">
      <c r="A241" s="16" t="n">
        <v>42247</v>
      </c>
      <c r="B241" s="23" t="n">
        <f aca="false">YEAR(A241)</f>
        <v>2015</v>
      </c>
      <c r="C241" s="17" t="n">
        <v>230.75</v>
      </c>
      <c r="D241" s="23" t="n">
        <f aca="false">A241-A240</f>
        <v>1</v>
      </c>
      <c r="E241" s="24" t="n">
        <f aca="false">LN(C241)</f>
        <v>5.44133487338296</v>
      </c>
      <c r="F241" s="25" t="n">
        <f aca="false">LN(C241/C240)</f>
        <v>0.00591126161692508</v>
      </c>
      <c r="G241" s="25" t="n">
        <f aca="false">IF(AND(D241=1,A241&gt;=$R$2),F241,"")</f>
        <v>0.00591126161692508</v>
      </c>
      <c r="H241" s="27" t="n">
        <f aca="false">IF(G241="","",G241^2)</f>
        <v>3.49430139037318E-005</v>
      </c>
      <c r="I241" s="25" t="n">
        <f aca="false">IF(G241="","",C241/C240-1)</f>
        <v>0.0059287676010289</v>
      </c>
      <c r="J241" s="17" t="n">
        <f aca="false">AVERAGE(C42:C241)</f>
        <v>251.7446</v>
      </c>
      <c r="K241" s="17" t="n">
        <f aca="false">MAX(K240,C241)</f>
        <v>378</v>
      </c>
      <c r="L241" s="25" t="n">
        <f aca="false">C241/K241-1</f>
        <v>-0.389550264550265</v>
      </c>
      <c r="M241" s="25" t="n">
        <f aca="false">IF(COUNT(G212:G241)&lt;20,"",_xlfn.STDEV.S(G212:G241)*SQRT($R$3))</f>
        <v>0.714040242751695</v>
      </c>
      <c r="N241" s="25" t="n">
        <f aca="false">IF(A241-7&lt;$R$2,"",C241/INDEX(Clean_Data!$C$2:$C$4314,MATCH(A241-7,Clean_Data!$A$2:$A$4314,1))-1)</f>
        <v>0.0927732525099452</v>
      </c>
      <c r="O241" s="25" t="n">
        <f aca="false">IF(A241-30&lt;$R$2,"",C241/INDEX(Clean_Data!$C$2:$C$4314,MATCH(A241-30,Clean_Data!$A$2:$A$4314,1))-1)</f>
        <v>-0.180371541221184</v>
      </c>
    </row>
    <row r="242" customFormat="false" ht="15" hidden="false" customHeight="false" outlineLevel="0" collapsed="false">
      <c r="A242" s="16" t="n">
        <v>42248</v>
      </c>
      <c r="B242" s="23" t="n">
        <f aca="false">YEAR(A242)</f>
        <v>2015</v>
      </c>
      <c r="C242" s="17" t="n">
        <v>228.22</v>
      </c>
      <c r="D242" s="23" t="n">
        <f aca="false">A242-A241</f>
        <v>1</v>
      </c>
      <c r="E242" s="24" t="n">
        <f aca="false">LN(C242)</f>
        <v>5.43031007600653</v>
      </c>
      <c r="F242" s="25" t="n">
        <f aca="false">LN(C242/C241)</f>
        <v>-0.0110247973764279</v>
      </c>
      <c r="G242" s="25" t="n">
        <f aca="false">IF(AND(D242=1,A242&gt;=$R$2),F242,"")</f>
        <v>-0.0110247973764279</v>
      </c>
      <c r="H242" s="27" t="n">
        <f aca="false">IF(G242="","",G242^2)</f>
        <v>0.000121546157191293</v>
      </c>
      <c r="I242" s="25" t="n">
        <f aca="false">IF(G242="","",C242/C241-1)</f>
        <v>-0.0109642470205851</v>
      </c>
      <c r="J242" s="17" t="n">
        <f aca="false">AVERAGE(C43:C242)</f>
        <v>251.70325</v>
      </c>
      <c r="K242" s="17" t="n">
        <f aca="false">MAX(K241,C242)</f>
        <v>378</v>
      </c>
      <c r="L242" s="25" t="n">
        <f aca="false">C242/K242-1</f>
        <v>-0.396243386243386</v>
      </c>
      <c r="M242" s="25" t="n">
        <f aca="false">IF(COUNT(G213:G242)&lt;20,"",_xlfn.STDEV.S(G213:G242)*SQRT($R$3))</f>
        <v>0.713174173155157</v>
      </c>
      <c r="N242" s="25" t="n">
        <f aca="false">IF(A242-7&lt;$R$2,"",C242/INDEX(Clean_Data!$C$2:$C$4314,MATCH(A242-7,Clean_Data!$A$2:$A$4314,1))-1)</f>
        <v>0.0200688329683101</v>
      </c>
      <c r="O242" s="25" t="n">
        <f aca="false">IF(A242-30&lt;$R$2,"",C242/INDEX(Clean_Data!$C$2:$C$4314,MATCH(A242-30,Clean_Data!$A$2:$A$4314,1))-1)</f>
        <v>-0.192484608307975</v>
      </c>
    </row>
    <row r="243" customFormat="false" ht="15" hidden="false" customHeight="false" outlineLevel="0" collapsed="false">
      <c r="A243" s="16" t="n">
        <v>42249</v>
      </c>
      <c r="B243" s="23" t="n">
        <f aca="false">YEAR(A243)</f>
        <v>2015</v>
      </c>
      <c r="C243" s="17" t="n">
        <v>229.97</v>
      </c>
      <c r="D243" s="23" t="n">
        <f aca="false">A243-A242</f>
        <v>1</v>
      </c>
      <c r="E243" s="24" t="n">
        <f aca="false">LN(C243)</f>
        <v>5.43794886563323</v>
      </c>
      <c r="F243" s="25" t="n">
        <f aca="false">LN(C243/C242)</f>
        <v>0.00763878962669695</v>
      </c>
      <c r="G243" s="25" t="n">
        <f aca="false">IF(AND(D243=1,A243&gt;=$R$2),F243,"")</f>
        <v>0.00763878962669695</v>
      </c>
      <c r="H243" s="27" t="n">
        <f aca="false">IF(G243="","",G243^2)</f>
        <v>5.83511069609329E-005</v>
      </c>
      <c r="I243" s="25" t="n">
        <f aca="false">IF(G243="","",C243/C242-1)</f>
        <v>0.00766803961090168</v>
      </c>
      <c r="J243" s="17" t="n">
        <f aca="false">AVERAGE(C44:C243)</f>
        <v>251.5698</v>
      </c>
      <c r="K243" s="17" t="n">
        <f aca="false">MAX(K242,C243)</f>
        <v>378</v>
      </c>
      <c r="L243" s="25" t="n">
        <f aca="false">C243/K243-1</f>
        <v>-0.391613756613757</v>
      </c>
      <c r="M243" s="25" t="n">
        <f aca="false">IF(COUNT(G214:G243)&lt;20,"",_xlfn.STDEV.S(G214:G243)*SQRT($R$3))</f>
        <v>0.715028685131173</v>
      </c>
      <c r="N243" s="25" t="n">
        <f aca="false">IF(A243-7&lt;$R$2,"",C243/INDEX(Clean_Data!$C$2:$C$4314,MATCH(A243-7,Clean_Data!$A$2:$A$4314,1))-1)</f>
        <v>0.0139323662977822</v>
      </c>
      <c r="O243" s="25" t="n">
        <f aca="false">IF(A243-30&lt;$R$2,"",C243/INDEX(Clean_Data!$C$2:$C$4314,MATCH(A243-30,Clean_Data!$A$2:$A$4314,1))-1)</f>
        <v>-0.181455775048941</v>
      </c>
    </row>
    <row r="244" customFormat="false" ht="15" hidden="false" customHeight="false" outlineLevel="0" collapsed="false">
      <c r="A244" s="16" t="n">
        <v>42250</v>
      </c>
      <c r="B244" s="23" t="n">
        <f aca="false">YEAR(A244)</f>
        <v>2015</v>
      </c>
      <c r="C244" s="17" t="n">
        <v>227.25</v>
      </c>
      <c r="D244" s="23" t="n">
        <f aca="false">A244-A243</f>
        <v>1</v>
      </c>
      <c r="E244" s="24" t="n">
        <f aca="false">LN(C244)</f>
        <v>5.42605073305759</v>
      </c>
      <c r="F244" s="25" t="n">
        <f aca="false">LN(C244/C243)</f>
        <v>-0.0118981325756425</v>
      </c>
      <c r="G244" s="25" t="n">
        <f aca="false">IF(AND(D244=1,A244&gt;=$R$2),F244,"")</f>
        <v>-0.0118981325756425</v>
      </c>
      <c r="H244" s="27" t="n">
        <f aca="false">IF(G244="","",G244^2)</f>
        <v>0.000141565558787565</v>
      </c>
      <c r="I244" s="25" t="n">
        <f aca="false">IF(G244="","",C244/C243-1)</f>
        <v>-0.0118276296908293</v>
      </c>
      <c r="J244" s="17" t="n">
        <f aca="false">AVERAGE(C45:C244)</f>
        <v>251.52835</v>
      </c>
      <c r="K244" s="17" t="n">
        <f aca="false">MAX(K243,C244)</f>
        <v>378</v>
      </c>
      <c r="L244" s="25" t="n">
        <f aca="false">C244/K244-1</f>
        <v>-0.398809523809524</v>
      </c>
      <c r="M244" s="25" t="n">
        <f aca="false">IF(COUNT(G215:G244)&lt;20,"",_xlfn.STDEV.S(G215:G244)*SQRT($R$3))</f>
        <v>0.710459257339759</v>
      </c>
      <c r="N244" s="25" t="n">
        <f aca="false">IF(A244-7&lt;$R$2,"",C244/INDEX(Clean_Data!$C$2:$C$4314,MATCH(A244-7,Clean_Data!$A$2:$A$4314,1))-1)</f>
        <v>0.00642161204605851</v>
      </c>
      <c r="O244" s="25" t="n">
        <f aca="false">IF(A244-30&lt;$R$2,"",C244/INDEX(Clean_Data!$C$2:$C$4314,MATCH(A244-30,Clean_Data!$A$2:$A$4314,1))-1)</f>
        <v>-0.204055899968477</v>
      </c>
    </row>
    <row r="245" customFormat="false" ht="15" hidden="false" customHeight="false" outlineLevel="0" collapsed="false">
      <c r="A245" s="16" t="n">
        <v>42251</v>
      </c>
      <c r="B245" s="23" t="n">
        <f aca="false">YEAR(A245)</f>
        <v>2015</v>
      </c>
      <c r="C245" s="17" t="n">
        <v>231.39</v>
      </c>
      <c r="D245" s="23" t="n">
        <f aca="false">A245-A244</f>
        <v>1</v>
      </c>
      <c r="E245" s="24" t="n">
        <f aca="false">LN(C245)</f>
        <v>5.44410459861402</v>
      </c>
      <c r="F245" s="25" t="n">
        <f aca="false">LN(C245/C244)</f>
        <v>0.0180538655564293</v>
      </c>
      <c r="G245" s="25" t="n">
        <f aca="false">IF(AND(D245=1,A245&gt;=$R$2),F245,"")</f>
        <v>0.0180538655564293</v>
      </c>
      <c r="H245" s="27" t="n">
        <f aca="false">IF(G245="","",G245^2)</f>
        <v>0.000325942061529624</v>
      </c>
      <c r="I245" s="25" t="n">
        <f aca="false">IF(G245="","",C245/C244-1)</f>
        <v>0.0182178217821782</v>
      </c>
      <c r="J245" s="17" t="n">
        <f aca="false">AVERAGE(C46:C245)</f>
        <v>251.5119</v>
      </c>
      <c r="K245" s="17" t="n">
        <f aca="false">MAX(K244,C245)</f>
        <v>378</v>
      </c>
      <c r="L245" s="25" t="n">
        <f aca="false">C245/K245-1</f>
        <v>-0.387857142857143</v>
      </c>
      <c r="M245" s="25" t="n">
        <f aca="false">IF(COUNT(G216:G245)&lt;20,"",_xlfn.STDEV.S(G216:G245)*SQRT($R$3))</f>
        <v>0.716007315736501</v>
      </c>
      <c r="N245" s="25" t="n">
        <f aca="false">IF(A245-7&lt;$R$2,"",C245/INDEX(Clean_Data!$C$2:$C$4314,MATCH(A245-7,Clean_Data!$A$2:$A$4314,1))-1)</f>
        <v>-0.000690995465342348</v>
      </c>
      <c r="O245" s="25" t="n">
        <f aca="false">IF(A245-30&lt;$R$2,"",C245/INDEX(Clean_Data!$C$2:$C$4314,MATCH(A245-30,Clean_Data!$A$2:$A$4314,1))-1)</f>
        <v>-0.181702443682145</v>
      </c>
    </row>
    <row r="246" customFormat="false" ht="15" hidden="false" customHeight="false" outlineLevel="0" collapsed="false">
      <c r="A246" s="16" t="n">
        <v>42252</v>
      </c>
      <c r="B246" s="23" t="n">
        <f aca="false">YEAR(A246)</f>
        <v>2015</v>
      </c>
      <c r="C246" s="17" t="n">
        <v>236.01</v>
      </c>
      <c r="D246" s="23" t="n">
        <f aca="false">A246-A245</f>
        <v>1</v>
      </c>
      <c r="E246" s="24" t="n">
        <f aca="false">LN(C246)</f>
        <v>5.46387417700926</v>
      </c>
      <c r="F246" s="25" t="n">
        <f aca="false">LN(C246/C245)</f>
        <v>0.0197695783952433</v>
      </c>
      <c r="G246" s="25" t="n">
        <f aca="false">IF(AND(D246=1,A246&gt;=$R$2),F246,"")</f>
        <v>0.0197695783952433</v>
      </c>
      <c r="H246" s="27" t="n">
        <f aca="false">IF(G246="","",G246^2)</f>
        <v>0.000390836229925672</v>
      </c>
      <c r="I246" s="25" t="n">
        <f aca="false">IF(G246="","",C246/C245-1)</f>
        <v>0.019966290678076</v>
      </c>
      <c r="J246" s="17" t="n">
        <f aca="false">AVERAGE(C47:C246)</f>
        <v>251.46785</v>
      </c>
      <c r="K246" s="17" t="n">
        <f aca="false">MAX(K245,C246)</f>
        <v>378</v>
      </c>
      <c r="L246" s="25" t="n">
        <f aca="false">C246/K246-1</f>
        <v>-0.375634920634921</v>
      </c>
      <c r="M246" s="25" t="n">
        <f aca="false">IF(COUNT(G217:G246)&lt;20,"",_xlfn.STDEV.S(G217:G246)*SQRT($R$3))</f>
        <v>0.721685447119207</v>
      </c>
      <c r="N246" s="25" t="n">
        <f aca="false">IF(A246-7&lt;$R$2,"",C246/INDEX(Clean_Data!$C$2:$C$4314,MATCH(A246-7,Clean_Data!$A$2:$A$4314,1))-1)</f>
        <v>0.0234161571484324</v>
      </c>
      <c r="O246" s="25" t="n">
        <f aca="false">IF(A246-30&lt;$R$2,"",C246/INDEX(Clean_Data!$C$2:$C$4314,MATCH(A246-30,Clean_Data!$A$2:$A$4314,1))-1)</f>
        <v>-0.156052208117289</v>
      </c>
    </row>
    <row r="247" customFormat="false" ht="15" hidden="false" customHeight="false" outlineLevel="0" collapsed="false">
      <c r="A247" s="16" t="n">
        <v>42253</v>
      </c>
      <c r="B247" s="23" t="n">
        <f aca="false">YEAR(A247)</f>
        <v>2015</v>
      </c>
      <c r="C247" s="17" t="n">
        <v>241.29</v>
      </c>
      <c r="D247" s="23" t="n">
        <f aca="false">A247-A246</f>
        <v>1</v>
      </c>
      <c r="E247" s="24" t="n">
        <f aca="false">LN(C247)</f>
        <v>5.48599952958409</v>
      </c>
      <c r="F247" s="25" t="n">
        <f aca="false">LN(C247/C246)</f>
        <v>0.0221253525748265</v>
      </c>
      <c r="G247" s="25" t="n">
        <f aca="false">IF(AND(D247=1,A247&gt;=$R$2),F247,"")</f>
        <v>0.0221253525748265</v>
      </c>
      <c r="H247" s="27" t="n">
        <f aca="false">IF(G247="","",G247^2)</f>
        <v>0.000489531226560381</v>
      </c>
      <c r="I247" s="25" t="n">
        <f aca="false">IF(G247="","",C247/C246-1)</f>
        <v>0.0223719333926529</v>
      </c>
      <c r="J247" s="17" t="n">
        <f aca="false">AVERAGE(C48:C247)</f>
        <v>251.48685</v>
      </c>
      <c r="K247" s="17" t="n">
        <f aca="false">MAX(K246,C247)</f>
        <v>378</v>
      </c>
      <c r="L247" s="25" t="n">
        <f aca="false">C247/K247-1</f>
        <v>-0.361666666666667</v>
      </c>
      <c r="M247" s="25" t="n">
        <f aca="false">IF(COUNT(G218:G247)&lt;20,"",_xlfn.STDEV.S(G218:G247)*SQRT($R$3))</f>
        <v>0.727869067382723</v>
      </c>
      <c r="N247" s="25" t="n">
        <f aca="false">IF(A247-7&lt;$R$2,"",C247/INDEX(Clean_Data!$C$2:$C$4314,MATCH(A247-7,Clean_Data!$A$2:$A$4314,1))-1)</f>
        <v>0.0518767165090022</v>
      </c>
      <c r="O247" s="25" t="n">
        <f aca="false">IF(A247-30&lt;$R$2,"",C247/INDEX(Clean_Data!$C$2:$C$4314,MATCH(A247-30,Clean_Data!$A$2:$A$4314,1))-1)</f>
        <v>-0.13806529970708</v>
      </c>
    </row>
    <row r="248" customFormat="false" ht="15" hidden="false" customHeight="false" outlineLevel="0" collapsed="false">
      <c r="A248" s="16" t="n">
        <v>42254</v>
      </c>
      <c r="B248" s="23" t="n">
        <f aca="false">YEAR(A248)</f>
        <v>2015</v>
      </c>
      <c r="C248" s="17" t="n">
        <v>241.31</v>
      </c>
      <c r="D248" s="23" t="n">
        <f aca="false">A248-A247</f>
        <v>1</v>
      </c>
      <c r="E248" s="24" t="n">
        <f aca="false">LN(C248)</f>
        <v>5.48608241396043</v>
      </c>
      <c r="F248" s="25" t="n">
        <f aca="false">LN(C248/C247)</f>
        <v>8.28843763426422E-005</v>
      </c>
      <c r="G248" s="25" t="n">
        <f aca="false">IF(AND(D248=1,A248&gt;=$R$2),F248,"")</f>
        <v>8.28843763426422E-005</v>
      </c>
      <c r="H248" s="27" t="n">
        <f aca="false">IF(G248="","",G248^2)</f>
        <v>6.86981984170875E-009</v>
      </c>
      <c r="I248" s="25" t="n">
        <f aca="false">IF(G248="","",C248/C247-1)</f>
        <v>8.28878113474652E-005</v>
      </c>
      <c r="J248" s="17" t="n">
        <f aca="false">AVERAGE(C49:C248)</f>
        <v>251.4889</v>
      </c>
      <c r="K248" s="17" t="n">
        <f aca="false">MAX(K247,C248)</f>
        <v>378</v>
      </c>
      <c r="L248" s="25" t="n">
        <f aca="false">C248/K248-1</f>
        <v>-0.361613756613757</v>
      </c>
      <c r="M248" s="25" t="n">
        <f aca="false">IF(COUNT(G219:G248)&lt;20,"",_xlfn.STDEV.S(G219:G248)*SQRT($R$3))</f>
        <v>0.693633882303828</v>
      </c>
      <c r="N248" s="25" t="n">
        <f aca="false">IF(A248-7&lt;$R$2,"",C248/INDEX(Clean_Data!$C$2:$C$4314,MATCH(A248-7,Clean_Data!$A$2:$A$4314,1))-1)</f>
        <v>0.0457638136511376</v>
      </c>
      <c r="O248" s="25" t="n">
        <f aca="false">IF(A248-30&lt;$R$2,"",C248/INDEX(Clean_Data!$C$2:$C$4314,MATCH(A248-30,Clean_Data!$A$2:$A$4314,1))-1)</f>
        <v>-0.0790397679566445</v>
      </c>
    </row>
    <row r="249" customFormat="false" ht="15" hidden="false" customHeight="false" outlineLevel="0" collapsed="false">
      <c r="A249" s="16" t="n">
        <v>42255</v>
      </c>
      <c r="B249" s="23" t="n">
        <f aca="false">YEAR(A249)</f>
        <v>2015</v>
      </c>
      <c r="C249" s="17" t="n">
        <v>244.14</v>
      </c>
      <c r="D249" s="23" t="n">
        <f aca="false">A249-A248</f>
        <v>1</v>
      </c>
      <c r="E249" s="24" t="n">
        <f aca="false">LN(C249)</f>
        <v>5.49774183124165</v>
      </c>
      <c r="F249" s="25" t="n">
        <f aca="false">LN(C249/C248)</f>
        <v>0.0116594172812237</v>
      </c>
      <c r="G249" s="25" t="n">
        <f aca="false">IF(AND(D249=1,A249&gt;=$R$2),F249,"")</f>
        <v>0.0116594172812237</v>
      </c>
      <c r="H249" s="27" t="n">
        <f aca="false">IF(G249="","",G249^2)</f>
        <v>0.000135942011337697</v>
      </c>
      <c r="I249" s="25" t="n">
        <f aca="false">IF(G249="","",C249/C248-1)</f>
        <v>0.0117276532261406</v>
      </c>
      <c r="J249" s="17" t="n">
        <f aca="false">AVERAGE(C50:C249)</f>
        <v>251.4829</v>
      </c>
      <c r="K249" s="17" t="n">
        <f aca="false">MAX(K248,C249)</f>
        <v>378</v>
      </c>
      <c r="L249" s="25" t="n">
        <f aca="false">C249/K249-1</f>
        <v>-0.354126984126984</v>
      </c>
      <c r="M249" s="25" t="n">
        <f aca="false">IF(COUNT(G220:G249)&lt;20,"",_xlfn.STDEV.S(G220:G249)*SQRT($R$3))</f>
        <v>0.690285655440736</v>
      </c>
      <c r="N249" s="25" t="n">
        <f aca="false">IF(A249-7&lt;$R$2,"",C249/INDEX(Clean_Data!$C$2:$C$4314,MATCH(A249-7,Clean_Data!$A$2:$A$4314,1))-1)</f>
        <v>0.0697572517746035</v>
      </c>
      <c r="O249" s="25" t="n">
        <f aca="false">IF(A249-30&lt;$R$2,"",C249/INDEX(Clean_Data!$C$2:$C$4314,MATCH(A249-30,Clean_Data!$A$2:$A$4314,1))-1)</f>
        <v>-0.0877704293240669</v>
      </c>
    </row>
    <row r="250" customFormat="false" ht="15" hidden="false" customHeight="false" outlineLevel="0" collapsed="false">
      <c r="A250" s="16" t="n">
        <v>42256</v>
      </c>
      <c r="B250" s="23" t="n">
        <f aca="false">YEAR(A250)</f>
        <v>2015</v>
      </c>
      <c r="C250" s="17" t="n">
        <v>238.75</v>
      </c>
      <c r="D250" s="23" t="n">
        <f aca="false">A250-A249</f>
        <v>1</v>
      </c>
      <c r="E250" s="24" t="n">
        <f aca="false">LN(C250)</f>
        <v>5.47541697936084</v>
      </c>
      <c r="F250" s="25" t="n">
        <f aca="false">LN(C250/C249)</f>
        <v>-0.022324851880814</v>
      </c>
      <c r="G250" s="25" t="n">
        <f aca="false">IF(AND(D250=1,A250&gt;=$R$2),F250,"")</f>
        <v>-0.022324851880814</v>
      </c>
      <c r="H250" s="27" t="n">
        <f aca="false">IF(G250="","",G250^2)</f>
        <v>0.000498399011500282</v>
      </c>
      <c r="I250" s="25" t="n">
        <f aca="false">IF(G250="","",C250/C249-1)</f>
        <v>-0.0220774965183911</v>
      </c>
      <c r="J250" s="17" t="n">
        <f aca="false">AVERAGE(C51:C250)</f>
        <v>251.4467</v>
      </c>
      <c r="K250" s="17" t="n">
        <f aca="false">MAX(K249,C250)</f>
        <v>378</v>
      </c>
      <c r="L250" s="25" t="n">
        <f aca="false">C250/K250-1</f>
        <v>-0.368386243386243</v>
      </c>
      <c r="M250" s="25" t="n">
        <f aca="false">IF(COUNT(G221:G250)&lt;20,"",_xlfn.STDEV.S(G221:G250)*SQRT($R$3))</f>
        <v>0.693254711059292</v>
      </c>
      <c r="N250" s="25" t="n">
        <f aca="false">IF(A250-7&lt;$R$2,"",C250/INDEX(Clean_Data!$C$2:$C$4314,MATCH(A250-7,Clean_Data!$A$2:$A$4314,1))-1)</f>
        <v>0.0381788928990738</v>
      </c>
      <c r="O250" s="25" t="n">
        <f aca="false">IF(A250-30&lt;$R$2,"",C250/INDEX(Clean_Data!$C$2:$C$4314,MATCH(A250-30,Clean_Data!$A$2:$A$4314,1))-1)</f>
        <v>-0.0995662832359041</v>
      </c>
    </row>
    <row r="251" customFormat="false" ht="15" hidden="false" customHeight="false" outlineLevel="0" collapsed="false">
      <c r="A251" s="16" t="n">
        <v>42257</v>
      </c>
      <c r="B251" s="23" t="n">
        <f aca="false">YEAR(A251)</f>
        <v>2015</v>
      </c>
      <c r="C251" s="17" t="n">
        <v>238.52</v>
      </c>
      <c r="D251" s="23" t="n">
        <f aca="false">A251-A250</f>
        <v>1</v>
      </c>
      <c r="E251" s="24" t="n">
        <f aca="false">LN(C251)</f>
        <v>5.47445316425491</v>
      </c>
      <c r="F251" s="25" t="n">
        <f aca="false">LN(C251/C250)</f>
        <v>-0.000963815105934432</v>
      </c>
      <c r="G251" s="25" t="n">
        <f aca="false">IF(AND(D251=1,A251&gt;=$R$2),F251,"")</f>
        <v>-0.000963815105934432</v>
      </c>
      <c r="H251" s="27" t="n">
        <f aca="false">IF(G251="","",G251^2)</f>
        <v>9.28939558427401E-007</v>
      </c>
      <c r="I251" s="25" t="n">
        <f aca="false">IF(G251="","",C251/C250-1)</f>
        <v>-0.000963350785340267</v>
      </c>
      <c r="J251" s="17" t="n">
        <f aca="false">AVERAGE(C52:C251)</f>
        <v>251.45515</v>
      </c>
      <c r="K251" s="17" t="n">
        <f aca="false">MAX(K250,C251)</f>
        <v>378</v>
      </c>
      <c r="L251" s="25" t="n">
        <f aca="false">C251/K251-1</f>
        <v>-0.368994708994709</v>
      </c>
      <c r="M251" s="25" t="n">
        <f aca="false">IF(COUNT(G222:G251)&lt;20,"",_xlfn.STDEV.S(G222:G251)*SQRT($R$3))</f>
        <v>0.685441303572839</v>
      </c>
      <c r="N251" s="25" t="n">
        <f aca="false">IF(A251-7&lt;$R$2,"",C251/INDEX(Clean_Data!$C$2:$C$4314,MATCH(A251-7,Clean_Data!$A$2:$A$4314,1))-1)</f>
        <v>0.0495929592959297</v>
      </c>
      <c r="O251" s="25" t="n">
        <f aca="false">IF(A251-30&lt;$R$2,"",C251/INDEX(Clean_Data!$C$2:$C$4314,MATCH(A251-30,Clean_Data!$A$2:$A$4314,1))-1)</f>
        <v>-0.123055994705688</v>
      </c>
    </row>
    <row r="252" customFormat="false" ht="15" hidden="false" customHeight="false" outlineLevel="0" collapsed="false">
      <c r="A252" s="16" t="n">
        <v>42258</v>
      </c>
      <c r="B252" s="23" t="n">
        <f aca="false">YEAR(A252)</f>
        <v>2015</v>
      </c>
      <c r="C252" s="17" t="n">
        <v>240.9</v>
      </c>
      <c r="D252" s="23" t="n">
        <f aca="false">A252-A251</f>
        <v>1</v>
      </c>
      <c r="E252" s="24" t="n">
        <f aca="false">LN(C252)</f>
        <v>5.48438190962083</v>
      </c>
      <c r="F252" s="25" t="n">
        <f aca="false">LN(C252/C251)</f>
        <v>0.00992874536592059</v>
      </c>
      <c r="G252" s="25" t="n">
        <f aca="false">IF(AND(D252=1,A252&gt;=$R$2),F252,"")</f>
        <v>0.00992874536592059</v>
      </c>
      <c r="H252" s="27" t="n">
        <f aca="false">IF(G252="","",G252^2)</f>
        <v>9.85799845412897E-005</v>
      </c>
      <c r="I252" s="25" t="n">
        <f aca="false">IF(G252="","",C252/C251-1)</f>
        <v>0.00997819889317464</v>
      </c>
      <c r="J252" s="17" t="n">
        <f aca="false">AVERAGE(C53:C252)</f>
        <v>251.4622</v>
      </c>
      <c r="K252" s="17" t="n">
        <f aca="false">MAX(K251,C252)</f>
        <v>378</v>
      </c>
      <c r="L252" s="25" t="n">
        <f aca="false">C252/K252-1</f>
        <v>-0.362698412698413</v>
      </c>
      <c r="M252" s="25" t="n">
        <f aca="false">IF(COUNT(G223:G252)&lt;20,"",_xlfn.STDEV.S(G223:G252)*SQRT($R$3))</f>
        <v>0.685174298379921</v>
      </c>
      <c r="N252" s="25" t="n">
        <f aca="false">IF(A252-7&lt;$R$2,"",C252/INDEX(Clean_Data!$C$2:$C$4314,MATCH(A252-7,Clean_Data!$A$2:$A$4314,1))-1)</f>
        <v>0.041099442499676</v>
      </c>
      <c r="O252" s="25" t="n">
        <f aca="false">IF(A252-30&lt;$R$2,"",C252/INDEX(Clean_Data!$C$2:$C$4314,MATCH(A252-30,Clean_Data!$A$2:$A$4314,1))-1)</f>
        <v>-0.0975500112384805</v>
      </c>
    </row>
    <row r="253" customFormat="false" ht="15" hidden="false" customHeight="false" outlineLevel="0" collapsed="false">
      <c r="A253" s="16" t="n">
        <v>42259</v>
      </c>
      <c r="B253" s="23" t="n">
        <f aca="false">YEAR(A253)</f>
        <v>2015</v>
      </c>
      <c r="C253" s="17" t="n">
        <v>236.5</v>
      </c>
      <c r="D253" s="23" t="n">
        <f aca="false">A253-A252</f>
        <v>1</v>
      </c>
      <c r="E253" s="24" t="n">
        <f aca="false">LN(C253)</f>
        <v>5.46594820793199</v>
      </c>
      <c r="F253" s="25" t="n">
        <f aca="false">LN(C253/C252)</f>
        <v>-0.018433701688838</v>
      </c>
      <c r="G253" s="25" t="n">
        <f aca="false">IF(AND(D253=1,A253&gt;=$R$2),F253,"")</f>
        <v>-0.018433701688838</v>
      </c>
      <c r="H253" s="27" t="n">
        <f aca="false">IF(G253="","",G253^2)</f>
        <v>0.00033980135795307</v>
      </c>
      <c r="I253" s="25" t="n">
        <f aca="false">IF(G253="","",C253/C252-1)</f>
        <v>-0.0182648401826484</v>
      </c>
      <c r="J253" s="17" t="n">
        <f aca="false">AVERAGE(C54:C253)</f>
        <v>251.44535</v>
      </c>
      <c r="K253" s="17" t="n">
        <f aca="false">MAX(K252,C253)</f>
        <v>378</v>
      </c>
      <c r="L253" s="25" t="n">
        <f aca="false">C253/K253-1</f>
        <v>-0.374338624338624</v>
      </c>
      <c r="M253" s="25" t="n">
        <f aca="false">IF(COUNT(G224:G253)&lt;20,"",_xlfn.STDEV.S(G224:G253)*SQRT($R$3))</f>
        <v>0.686971264690869</v>
      </c>
      <c r="N253" s="25" t="n">
        <f aca="false">IF(A253-7&lt;$R$2,"",C253/INDEX(Clean_Data!$C$2:$C$4314,MATCH(A253-7,Clean_Data!$A$2:$A$4314,1))-1)</f>
        <v>0.00207618321257574</v>
      </c>
      <c r="O253" s="25" t="n">
        <f aca="false">IF(A253-30&lt;$R$2,"",C253/INDEX(Clean_Data!$C$2:$C$4314,MATCH(A253-30,Clean_Data!$A$2:$A$4314,1))-1)</f>
        <v>-0.106434427777988</v>
      </c>
    </row>
    <row r="254" customFormat="false" ht="15" hidden="false" customHeight="false" outlineLevel="0" collapsed="false">
      <c r="A254" s="16" t="n">
        <v>42260</v>
      </c>
      <c r="B254" s="23" t="n">
        <f aca="false">YEAR(A254)</f>
        <v>2015</v>
      </c>
      <c r="C254" s="17" t="n">
        <v>230.82</v>
      </c>
      <c r="D254" s="23" t="n">
        <f aca="false">A254-A253</f>
        <v>1</v>
      </c>
      <c r="E254" s="24" t="n">
        <f aca="false">LN(C254)</f>
        <v>5.44163818599226</v>
      </c>
      <c r="F254" s="25" t="n">
        <f aca="false">LN(C254/C253)</f>
        <v>-0.0243100219397289</v>
      </c>
      <c r="G254" s="25" t="n">
        <f aca="false">IF(AND(D254=1,A254&gt;=$R$2),F254,"")</f>
        <v>-0.0243100219397289</v>
      </c>
      <c r="H254" s="27" t="n">
        <f aca="false">IF(G254="","",G254^2)</f>
        <v>0.000590977166710103</v>
      </c>
      <c r="I254" s="25" t="n">
        <f aca="false">IF(G254="","",C254/C253-1)</f>
        <v>-0.0240169133192389</v>
      </c>
      <c r="J254" s="17" t="n">
        <f aca="false">AVERAGE(C55:C254)</f>
        <v>251.4085</v>
      </c>
      <c r="K254" s="17" t="n">
        <f aca="false">MAX(K253,C254)</f>
        <v>378</v>
      </c>
      <c r="L254" s="25" t="n">
        <f aca="false">C254/K254-1</f>
        <v>-0.389365079365079</v>
      </c>
      <c r="M254" s="25" t="n">
        <f aca="false">IF(COUNT(G225:G254)&lt;20,"",_xlfn.STDEV.S(G225:G254)*SQRT($R$3))</f>
        <v>0.689753523512188</v>
      </c>
      <c r="N254" s="25" t="n">
        <f aca="false">IF(A254-7&lt;$R$2,"",C254/INDEX(Clean_Data!$C$2:$C$4314,MATCH(A254-7,Clean_Data!$A$2:$A$4314,1))-1)</f>
        <v>-0.0433917692403332</v>
      </c>
      <c r="O254" s="25" t="n">
        <f aca="false">IF(A254-30&lt;$R$2,"",C254/INDEX(Clean_Data!$C$2:$C$4314,MATCH(A254-30,Clean_Data!$A$2:$A$4314,1))-1)</f>
        <v>-0.132809858361198</v>
      </c>
    </row>
    <row r="255" customFormat="false" ht="15" hidden="false" customHeight="false" outlineLevel="0" collapsed="false">
      <c r="A255" s="16" t="n">
        <v>42261</v>
      </c>
      <c r="B255" s="23" t="n">
        <f aca="false">YEAR(A255)</f>
        <v>2015</v>
      </c>
      <c r="C255" s="17" t="n">
        <v>231.01</v>
      </c>
      <c r="D255" s="23" t="n">
        <f aca="false">A255-A254</f>
        <v>1</v>
      </c>
      <c r="E255" s="24" t="n">
        <f aca="false">LN(C255)</f>
        <v>5.4424609996281</v>
      </c>
      <c r="F255" s="25" t="n">
        <f aca="false">LN(C255/C254)</f>
        <v>0.000822813635837908</v>
      </c>
      <c r="G255" s="25" t="n">
        <f aca="false">IF(AND(D255=1,A255&gt;=$R$2),F255,"")</f>
        <v>0.000822813635837908</v>
      </c>
      <c r="H255" s="27" t="n">
        <f aca="false">IF(G255="","",G255^2)</f>
        <v>6.77022279320797E-007</v>
      </c>
      <c r="I255" s="25" t="n">
        <f aca="false">IF(G255="","",C255/C254-1)</f>
        <v>0.00082315223984053</v>
      </c>
      <c r="J255" s="17" t="n">
        <f aca="false">AVERAGE(C56:C255)</f>
        <v>251.378</v>
      </c>
      <c r="K255" s="17" t="n">
        <f aca="false">MAX(K254,C255)</f>
        <v>378</v>
      </c>
      <c r="L255" s="25" t="n">
        <f aca="false">C255/K255-1</f>
        <v>-0.388862433862434</v>
      </c>
      <c r="M255" s="25" t="n">
        <f aca="false">IF(COUNT(G226:G255)&lt;20,"",_xlfn.STDEV.S(G226:G255)*SQRT($R$3))</f>
        <v>0.689182636277818</v>
      </c>
      <c r="N255" s="25" t="n">
        <f aca="false">IF(A255-7&lt;$R$2,"",C255/INDEX(Clean_Data!$C$2:$C$4314,MATCH(A255-7,Clean_Data!$A$2:$A$4314,1))-1)</f>
        <v>-0.0426836848866604</v>
      </c>
      <c r="O255" s="25" t="n">
        <f aca="false">IF(A255-30&lt;$R$2,"",C255/INDEX(Clean_Data!$C$2:$C$4314,MATCH(A255-30,Clean_Data!$A$2:$A$4314,1))-1)</f>
        <v>-0.119827783281262</v>
      </c>
    </row>
    <row r="256" customFormat="false" ht="15" hidden="false" customHeight="false" outlineLevel="0" collapsed="false">
      <c r="A256" s="16" t="n">
        <v>42262</v>
      </c>
      <c r="B256" s="23" t="n">
        <f aca="false">YEAR(A256)</f>
        <v>2015</v>
      </c>
      <c r="C256" s="17" t="n">
        <v>230.6</v>
      </c>
      <c r="D256" s="23" t="n">
        <f aca="false">A256-A255</f>
        <v>1</v>
      </c>
      <c r="E256" s="24" t="n">
        <f aca="false">LN(C256)</f>
        <v>5.44068460783496</v>
      </c>
      <c r="F256" s="25" t="n">
        <f aca="false">LN(C256/C255)</f>
        <v>-0.00177639179313807</v>
      </c>
      <c r="G256" s="25" t="n">
        <f aca="false">IF(AND(D256=1,A256&gt;=$R$2),F256,"")</f>
        <v>-0.00177639179313807</v>
      </c>
      <c r="H256" s="27" t="n">
        <f aca="false">IF(G256="","",G256^2)</f>
        <v>3.15556780272828E-006</v>
      </c>
      <c r="I256" s="25" t="n">
        <f aca="false">IF(G256="","",C256/C255-1)</f>
        <v>-0.00177481494307608</v>
      </c>
      <c r="J256" s="17" t="n">
        <f aca="false">AVERAGE(C57:C256)</f>
        <v>251.2589</v>
      </c>
      <c r="K256" s="17" t="n">
        <f aca="false">MAX(K255,C256)</f>
        <v>378</v>
      </c>
      <c r="L256" s="25" t="n">
        <f aca="false">C256/K256-1</f>
        <v>-0.38994708994709</v>
      </c>
      <c r="M256" s="25" t="n">
        <f aca="false">IF(COUNT(G227:G256)&lt;20,"",_xlfn.STDEV.S(G227:G256)*SQRT($R$3))</f>
        <v>0.688582848175384</v>
      </c>
      <c r="N256" s="25" t="n">
        <f aca="false">IF(A256-7&lt;$R$2,"",C256/INDEX(Clean_Data!$C$2:$C$4314,MATCH(A256-7,Clean_Data!$A$2:$A$4314,1))-1)</f>
        <v>-0.0554599819775539</v>
      </c>
      <c r="O256" s="25" t="n">
        <f aca="false">IF(A256-30&lt;$R$2,"",C256/INDEX(Clean_Data!$C$2:$C$4314,MATCH(A256-30,Clean_Data!$A$2:$A$4314,1))-1)</f>
        <v>-0.11033950617284</v>
      </c>
    </row>
    <row r="257" customFormat="false" ht="15" hidden="false" customHeight="false" outlineLevel="0" collapsed="false">
      <c r="A257" s="16" t="n">
        <v>42263</v>
      </c>
      <c r="B257" s="23" t="n">
        <f aca="false">YEAR(A257)</f>
        <v>2015</v>
      </c>
      <c r="C257" s="17" t="n">
        <v>229.73</v>
      </c>
      <c r="D257" s="23" t="n">
        <f aca="false">A257-A256</f>
        <v>1</v>
      </c>
      <c r="E257" s="24" t="n">
        <f aca="false">LN(C257)</f>
        <v>5.43690470630408</v>
      </c>
      <c r="F257" s="25" t="n">
        <f aca="false">LN(C257/C256)</f>
        <v>-0.00377990153087912</v>
      </c>
      <c r="G257" s="25" t="n">
        <f aca="false">IF(AND(D257=1,A257&gt;=$R$2),F257,"")</f>
        <v>-0.00377990153087912</v>
      </c>
      <c r="H257" s="27" t="n">
        <f aca="false">IF(G257="","",G257^2)</f>
        <v>1.42876555831423E-005</v>
      </c>
      <c r="I257" s="25" t="n">
        <f aca="false">IF(G257="","",C257/C256-1)</f>
        <v>-0.0037727666955768</v>
      </c>
      <c r="J257" s="17" t="n">
        <f aca="false">AVERAGE(C58:C257)</f>
        <v>251.1296</v>
      </c>
      <c r="K257" s="17" t="n">
        <f aca="false">MAX(K256,C257)</f>
        <v>378</v>
      </c>
      <c r="L257" s="25" t="n">
        <f aca="false">C257/K257-1</f>
        <v>-0.392248677248677</v>
      </c>
      <c r="M257" s="25" t="n">
        <f aca="false">IF(COUNT(G228:G257)&lt;20,"",_xlfn.STDEV.S(G228:G257)*SQRT($R$3))</f>
        <v>0.688472179602372</v>
      </c>
      <c r="N257" s="25" t="n">
        <f aca="false">IF(A257-7&lt;$R$2,"",C257/INDEX(Clean_Data!$C$2:$C$4314,MATCH(A257-7,Clean_Data!$A$2:$A$4314,1))-1)</f>
        <v>-0.037780104712042</v>
      </c>
      <c r="O257" s="25" t="n">
        <f aca="false">IF(A257-30&lt;$R$2,"",C257/INDEX(Clean_Data!$C$2:$C$4314,MATCH(A257-30,Clean_Data!$A$2:$A$4314,1))-1)</f>
        <v>-0.107185884730481</v>
      </c>
    </row>
    <row r="258" customFormat="false" ht="15" hidden="false" customHeight="false" outlineLevel="0" collapsed="false">
      <c r="A258" s="16" t="n">
        <v>42264</v>
      </c>
      <c r="B258" s="23" t="n">
        <f aca="false">YEAR(A258)</f>
        <v>2015</v>
      </c>
      <c r="C258" s="17" t="n">
        <v>233.34</v>
      </c>
      <c r="D258" s="23" t="n">
        <f aca="false">A258-A257</f>
        <v>1</v>
      </c>
      <c r="E258" s="24" t="n">
        <f aca="false">LN(C258)</f>
        <v>5.45249661739571</v>
      </c>
      <c r="F258" s="25" t="n">
        <f aca="false">LN(C258/C257)</f>
        <v>0.0155919110916314</v>
      </c>
      <c r="G258" s="25" t="n">
        <f aca="false">IF(AND(D258=1,A258&gt;=$R$2),F258,"")</f>
        <v>0.0155919110916314</v>
      </c>
      <c r="H258" s="27" t="n">
        <f aca="false">IF(G258="","",G258^2)</f>
        <v>0.000243107691489339</v>
      </c>
      <c r="I258" s="25" t="n">
        <f aca="false">IF(G258="","",C258/C257-1)</f>
        <v>0.0157140991598834</v>
      </c>
      <c r="J258" s="17" t="n">
        <f aca="false">AVERAGE(C59:C258)</f>
        <v>250.9951</v>
      </c>
      <c r="K258" s="17" t="n">
        <f aca="false">MAX(K257,C258)</f>
        <v>378</v>
      </c>
      <c r="L258" s="25" t="n">
        <f aca="false">C258/K258-1</f>
        <v>-0.382698412698413</v>
      </c>
      <c r="M258" s="25" t="n">
        <f aca="false">IF(COUNT(G229:G258)&lt;20,"",_xlfn.STDEV.S(G229:G258)*SQRT($R$3))</f>
        <v>0.454994937436103</v>
      </c>
      <c r="N258" s="25" t="n">
        <f aca="false">IF(A258-7&lt;$R$2,"",C258/INDEX(Clean_Data!$C$2:$C$4314,MATCH(A258-7,Clean_Data!$A$2:$A$4314,1))-1)</f>
        <v>-0.0217172564145565</v>
      </c>
      <c r="O258" s="25" t="n">
        <f aca="false">IF(A258-30&lt;$R$2,"",C258/INDEX(Clean_Data!$C$2:$C$4314,MATCH(A258-30,Clean_Data!$A$2:$A$4314,1))-1)</f>
        <v>0.0511284292085228</v>
      </c>
    </row>
    <row r="259" customFormat="false" ht="15" hidden="false" customHeight="false" outlineLevel="0" collapsed="false">
      <c r="A259" s="16" t="n">
        <v>42265</v>
      </c>
      <c r="B259" s="23" t="n">
        <f aca="false">YEAR(A259)</f>
        <v>2015</v>
      </c>
      <c r="C259" s="17" t="n">
        <v>233.78</v>
      </c>
      <c r="D259" s="23" t="n">
        <f aca="false">A259-A258</f>
        <v>1</v>
      </c>
      <c r="E259" s="24" t="n">
        <f aca="false">LN(C259)</f>
        <v>5.45438050217963</v>
      </c>
      <c r="F259" s="25" t="n">
        <f aca="false">LN(C259/C258)</f>
        <v>0.00188388478391335</v>
      </c>
      <c r="G259" s="25" t="n">
        <f aca="false">IF(AND(D259=1,A259&gt;=$R$2),F259,"")</f>
        <v>0.00188388478391335</v>
      </c>
      <c r="H259" s="27" t="n">
        <f aca="false">IF(G259="","",G259^2)</f>
        <v>3.54902187906027E-006</v>
      </c>
      <c r="I259" s="25" t="n">
        <f aca="false">IF(G259="","",C259/C258-1)</f>
        <v>0.00188566040970262</v>
      </c>
      <c r="J259" s="17" t="n">
        <f aca="false">AVERAGE(C60:C259)</f>
        <v>250.7805</v>
      </c>
      <c r="K259" s="17" t="n">
        <f aca="false">MAX(K258,C259)</f>
        <v>378</v>
      </c>
      <c r="L259" s="25" t="n">
        <f aca="false">C259/K259-1</f>
        <v>-0.381534391534392</v>
      </c>
      <c r="M259" s="25" t="n">
        <f aca="false">IF(COUNT(G230:G259)&lt;20,"",_xlfn.STDEV.S(G230:G259)*SQRT($R$3))</f>
        <v>0.447931829764594</v>
      </c>
      <c r="N259" s="25" t="n">
        <f aca="false">IF(A259-7&lt;$R$2,"",C259/INDEX(Clean_Data!$C$2:$C$4314,MATCH(A259-7,Clean_Data!$A$2:$A$4314,1))-1)</f>
        <v>-0.0295558322955584</v>
      </c>
      <c r="O259" s="25" t="n">
        <f aca="false">IF(A259-30&lt;$R$2,"",C259/INDEX(Clean_Data!$C$2:$C$4314,MATCH(A259-30,Clean_Data!$A$2:$A$4314,1))-1)</f>
        <v>0.0283276150259524</v>
      </c>
    </row>
    <row r="260" customFormat="false" ht="15" hidden="false" customHeight="false" outlineLevel="0" collapsed="false">
      <c r="A260" s="16" t="n">
        <v>42266</v>
      </c>
      <c r="B260" s="23" t="n">
        <f aca="false">YEAR(A260)</f>
        <v>2015</v>
      </c>
      <c r="C260" s="17" t="n">
        <v>232.88</v>
      </c>
      <c r="D260" s="23" t="n">
        <f aca="false">A260-A259</f>
        <v>1</v>
      </c>
      <c r="E260" s="24" t="n">
        <f aca="false">LN(C260)</f>
        <v>5.45052329943737</v>
      </c>
      <c r="F260" s="25" t="n">
        <f aca="false">LN(C260/C259)</f>
        <v>-0.0038572027422565</v>
      </c>
      <c r="G260" s="25" t="n">
        <f aca="false">IF(AND(D260=1,A260&gt;=$R$2),F260,"")</f>
        <v>-0.0038572027422565</v>
      </c>
      <c r="H260" s="27" t="n">
        <f aca="false">IF(G260="","",G260^2)</f>
        <v>1.4878012994871E-005</v>
      </c>
      <c r="I260" s="25" t="n">
        <f aca="false">IF(G260="","",C260/C259-1)</f>
        <v>-0.00384977329112846</v>
      </c>
      <c r="J260" s="17" t="n">
        <f aca="false">AVERAGE(C61:C260)</f>
        <v>250.52855</v>
      </c>
      <c r="K260" s="17" t="n">
        <f aca="false">MAX(K259,C260)</f>
        <v>378</v>
      </c>
      <c r="L260" s="25" t="n">
        <f aca="false">C260/K260-1</f>
        <v>-0.383915343915344</v>
      </c>
      <c r="M260" s="25" t="n">
        <f aca="false">IF(COUNT(G231:G260)&lt;20,"",_xlfn.STDEV.S(G231:G260)*SQRT($R$3))</f>
        <v>0.430376463691954</v>
      </c>
      <c r="N260" s="25" t="n">
        <f aca="false">IF(A260-7&lt;$R$2,"",C260/INDEX(Clean_Data!$C$2:$C$4314,MATCH(A260-7,Clean_Data!$A$2:$A$4314,1))-1)</f>
        <v>-0.0153065539112051</v>
      </c>
      <c r="O260" s="25" t="n">
        <f aca="false">IF(A260-30&lt;$R$2,"",C260/INDEX(Clean_Data!$C$2:$C$4314,MATCH(A260-30,Clean_Data!$A$2:$A$4314,1))-1)</f>
        <v>-0.011377143827475</v>
      </c>
    </row>
    <row r="261" customFormat="false" ht="15" hidden="false" customHeight="false" outlineLevel="0" collapsed="false">
      <c r="A261" s="16" t="n">
        <v>42267</v>
      </c>
      <c r="B261" s="23" t="n">
        <f aca="false">YEAR(A261)</f>
        <v>2015</v>
      </c>
      <c r="C261" s="17" t="n">
        <v>232.24</v>
      </c>
      <c r="D261" s="23" t="n">
        <f aca="false">A261-A260</f>
        <v>1</v>
      </c>
      <c r="E261" s="24" t="n">
        <f aca="false">LN(C261)</f>
        <v>5.44777131971638</v>
      </c>
      <c r="F261" s="25" t="n">
        <f aca="false">LN(C261/C260)</f>
        <v>-0.00275197972099327</v>
      </c>
      <c r="G261" s="25" t="n">
        <f aca="false">IF(AND(D261=1,A261&gt;=$R$2),F261,"")</f>
        <v>-0.00275197972099327</v>
      </c>
      <c r="H261" s="27" t="n">
        <f aca="false">IF(G261="","",G261^2)</f>
        <v>7.5733923847582E-006</v>
      </c>
      <c r="I261" s="25" t="n">
        <f aca="false">IF(G261="","",C261/C260-1)</f>
        <v>-0.0027481964960494</v>
      </c>
      <c r="J261" s="17" t="n">
        <f aca="false">AVERAGE(C62:C261)</f>
        <v>250.3229</v>
      </c>
      <c r="K261" s="17" t="n">
        <f aca="false">MAX(K260,C261)</f>
        <v>378</v>
      </c>
      <c r="L261" s="25" t="n">
        <f aca="false">C261/K261-1</f>
        <v>-0.385608465608466</v>
      </c>
      <c r="M261" s="25" t="n">
        <f aca="false">IF(COUNT(G232:G261)&lt;20,"",_xlfn.STDEV.S(G232:G261)*SQRT($R$3))</f>
        <v>0.428586124149423</v>
      </c>
      <c r="N261" s="25" t="n">
        <f aca="false">IF(A261-7&lt;$R$2,"",C261/INDEX(Clean_Data!$C$2:$C$4314,MATCH(A261-7,Clean_Data!$A$2:$A$4314,1))-1)</f>
        <v>0.00615197989775584</v>
      </c>
      <c r="O261" s="25" t="n">
        <f aca="false">IF(A261-30&lt;$R$2,"",C261/INDEX(Clean_Data!$C$2:$C$4314,MATCH(A261-30,Clean_Data!$A$2:$A$4314,1))-1)</f>
        <v>-0.00261971226111224</v>
      </c>
    </row>
    <row r="262" customFormat="false" ht="15" hidden="false" customHeight="false" outlineLevel="0" collapsed="false">
      <c r="A262" s="16" t="n">
        <v>42268</v>
      </c>
      <c r="B262" s="23" t="n">
        <f aca="false">YEAR(A262)</f>
        <v>2015</v>
      </c>
      <c r="C262" s="17" t="n">
        <v>227.31</v>
      </c>
      <c r="D262" s="23" t="n">
        <f aca="false">A262-A261</f>
        <v>1</v>
      </c>
      <c r="E262" s="24" t="n">
        <f aca="false">LN(C262)</f>
        <v>5.42631472461139</v>
      </c>
      <c r="F262" s="25" t="n">
        <f aca="false">LN(C262/C261)</f>
        <v>-0.0214565951049828</v>
      </c>
      <c r="G262" s="25" t="n">
        <f aca="false">IF(AND(D262=1,A262&gt;=$R$2),F262,"")</f>
        <v>-0.0214565951049828</v>
      </c>
      <c r="H262" s="27" t="n">
        <f aca="false">IF(G262="","",G262^2)</f>
        <v>0.000460385473499172</v>
      </c>
      <c r="I262" s="25" t="n">
        <f aca="false">IF(G262="","",C262/C261-1)</f>
        <v>-0.0212280399586635</v>
      </c>
      <c r="J262" s="17" t="n">
        <f aca="false">AVERAGE(C63:C262)</f>
        <v>250.07515</v>
      </c>
      <c r="K262" s="17" t="n">
        <f aca="false">MAX(K261,C262)</f>
        <v>378</v>
      </c>
      <c r="L262" s="25" t="n">
        <f aca="false">C262/K262-1</f>
        <v>-0.398650793650794</v>
      </c>
      <c r="M262" s="25" t="n">
        <f aca="false">IF(COUNT(G233:G262)&lt;20,"",_xlfn.STDEV.S(G233:G262)*SQRT($R$3))</f>
        <v>0.434384528414147</v>
      </c>
      <c r="N262" s="25" t="n">
        <f aca="false">IF(A262-7&lt;$R$2,"",C262/INDEX(Clean_Data!$C$2:$C$4314,MATCH(A262-7,Clean_Data!$A$2:$A$4314,1))-1)</f>
        <v>-0.0160166226570277</v>
      </c>
      <c r="O262" s="25" t="n">
        <f aca="false">IF(A262-30&lt;$R$2,"",C262/INDEX(Clean_Data!$C$2:$C$4314,MATCH(A262-30,Clean_Data!$A$2:$A$4314,1))-1)</f>
        <v>-0.0166125892277742</v>
      </c>
    </row>
    <row r="263" customFormat="false" ht="15" hidden="false" customHeight="false" outlineLevel="0" collapsed="false">
      <c r="A263" s="16" t="n">
        <v>42269</v>
      </c>
      <c r="B263" s="23" t="n">
        <f aca="false">YEAR(A263)</f>
        <v>2015</v>
      </c>
      <c r="C263" s="17" t="n">
        <v>231.28</v>
      </c>
      <c r="D263" s="23" t="n">
        <f aca="false">A263-A262</f>
        <v>1</v>
      </c>
      <c r="E263" s="24" t="n">
        <f aca="false">LN(C263)</f>
        <v>5.44362909770809</v>
      </c>
      <c r="F263" s="25" t="n">
        <f aca="false">LN(C263/C262)</f>
        <v>0.0173143730966988</v>
      </c>
      <c r="G263" s="25" t="n">
        <f aca="false">IF(AND(D263=1,A263&gt;=$R$2),F263,"")</f>
        <v>0.0173143730966988</v>
      </c>
      <c r="H263" s="27" t="n">
        <f aca="false">IF(G263="","",G263^2)</f>
        <v>0.000299787515731689</v>
      </c>
      <c r="I263" s="25" t="n">
        <f aca="false">IF(G263="","",C263/C262-1)</f>
        <v>0.0174651357177422</v>
      </c>
      <c r="J263" s="17" t="n">
        <f aca="false">AVERAGE(C64:C263)</f>
        <v>249.8654</v>
      </c>
      <c r="K263" s="17" t="n">
        <f aca="false">MAX(K262,C263)</f>
        <v>378</v>
      </c>
      <c r="L263" s="25" t="n">
        <f aca="false">C263/K263-1</f>
        <v>-0.388148148148148</v>
      </c>
      <c r="M263" s="25" t="n">
        <f aca="false">IF(COUNT(G234:G263)&lt;20,"",_xlfn.STDEV.S(G234:G263)*SQRT($R$3))</f>
        <v>0.437781759632726</v>
      </c>
      <c r="N263" s="25" t="n">
        <f aca="false">IF(A263-7&lt;$R$2,"",C263/INDEX(Clean_Data!$C$2:$C$4314,MATCH(A263-7,Clean_Data!$A$2:$A$4314,1))-1)</f>
        <v>0.0029488291413704</v>
      </c>
      <c r="O263" s="25" t="n">
        <f aca="false">IF(A263-30&lt;$R$2,"",C263/INDEX(Clean_Data!$C$2:$C$4314,MATCH(A263-30,Clean_Data!$A$2:$A$4314,1))-1)</f>
        <v>0.00903101958902308</v>
      </c>
    </row>
    <row r="264" customFormat="false" ht="15" hidden="false" customHeight="false" outlineLevel="0" collapsed="false">
      <c r="A264" s="16" t="n">
        <v>42270</v>
      </c>
      <c r="B264" s="23" t="n">
        <f aca="false">YEAR(A264)</f>
        <v>2015</v>
      </c>
      <c r="C264" s="17" t="n">
        <v>230.26</v>
      </c>
      <c r="D264" s="23" t="n">
        <f aca="false">A264-A263</f>
        <v>1</v>
      </c>
      <c r="E264" s="24" t="n">
        <f aca="false">LN(C264)</f>
        <v>5.43920910524552</v>
      </c>
      <c r="F264" s="25" t="n">
        <f aca="false">LN(C264/C263)</f>
        <v>-0.00441999246257231</v>
      </c>
      <c r="G264" s="25" t="n">
        <f aca="false">IF(AND(D264=1,A264&gt;=$R$2),F264,"")</f>
        <v>-0.00441999246257231</v>
      </c>
      <c r="H264" s="27" t="n">
        <f aca="false">IF(G264="","",G264^2)</f>
        <v>1.9536333369196E-005</v>
      </c>
      <c r="I264" s="25" t="n">
        <f aca="false">IF(G264="","",C264/C263-1)</f>
        <v>-0.00441023867173995</v>
      </c>
      <c r="J264" s="17" t="n">
        <f aca="false">AVERAGE(C65:C264)</f>
        <v>249.63225</v>
      </c>
      <c r="K264" s="17" t="n">
        <f aca="false">MAX(K263,C264)</f>
        <v>378</v>
      </c>
      <c r="L264" s="25" t="n">
        <f aca="false">C264/K264-1</f>
        <v>-0.390846560846561</v>
      </c>
      <c r="M264" s="25" t="n">
        <f aca="false">IF(COUNT(G235:G264)&lt;20,"",_xlfn.STDEV.S(G235:G264)*SQRT($R$3))</f>
        <v>0.322661992641687</v>
      </c>
      <c r="N264" s="25" t="n">
        <f aca="false">IF(A264-7&lt;$R$2,"",C264/INDEX(Clean_Data!$C$2:$C$4314,MATCH(A264-7,Clean_Data!$A$2:$A$4314,1))-1)</f>
        <v>0.00230705610934567</v>
      </c>
      <c r="O264" s="25" t="n">
        <f aca="false">IF(A264-30&lt;$R$2,"",C264/INDEX(Clean_Data!$C$2:$C$4314,MATCH(A264-30,Clean_Data!$A$2:$A$4314,1))-1)</f>
        <v>0.0904527372608448</v>
      </c>
    </row>
    <row r="265" customFormat="false" ht="15" hidden="false" customHeight="false" outlineLevel="0" collapsed="false">
      <c r="A265" s="16" t="n">
        <v>42271</v>
      </c>
      <c r="B265" s="23" t="n">
        <f aca="false">YEAR(A265)</f>
        <v>2015</v>
      </c>
      <c r="C265" s="17" t="n">
        <v>235.27</v>
      </c>
      <c r="D265" s="23" t="n">
        <f aca="false">A265-A264</f>
        <v>1</v>
      </c>
      <c r="E265" s="24" t="n">
        <f aca="false">LN(C265)</f>
        <v>5.46073379079233</v>
      </c>
      <c r="F265" s="25" t="n">
        <f aca="false">LN(C265/C264)</f>
        <v>0.0215246855468093</v>
      </c>
      <c r="G265" s="25" t="n">
        <f aca="false">IF(AND(D265=1,A265&gt;=$R$2),F265,"")</f>
        <v>0.0215246855468093</v>
      </c>
      <c r="H265" s="27" t="n">
        <f aca="false">IF(G265="","",G265^2)</f>
        <v>0.00046331208788902</v>
      </c>
      <c r="I265" s="25" t="n">
        <f aca="false">IF(G265="","",C265/C264-1)</f>
        <v>0.0217580126813168</v>
      </c>
      <c r="J265" s="17" t="n">
        <f aca="false">AVERAGE(C66:C265)</f>
        <v>249.4311</v>
      </c>
      <c r="K265" s="17" t="n">
        <f aca="false">MAX(K264,C265)</f>
        <v>378</v>
      </c>
      <c r="L265" s="25" t="n">
        <f aca="false">C265/K265-1</f>
        <v>-0.377592592592593</v>
      </c>
      <c r="M265" s="25" t="n">
        <f aca="false">IF(COUNT(G236:G265)&lt;20,"",_xlfn.STDEV.S(G236:G265)*SQRT($R$3))</f>
        <v>0.264468459916916</v>
      </c>
      <c r="N265" s="25" t="n">
        <f aca="false">IF(A265-7&lt;$R$2,"",C265/INDEX(Clean_Data!$C$2:$C$4314,MATCH(A265-7,Clean_Data!$A$2:$A$4314,1))-1)</f>
        <v>0.00827119225165007</v>
      </c>
      <c r="O265" s="25" t="n">
        <f aca="false">IF(A265-30&lt;$R$2,"",C265/INDEX(Clean_Data!$C$2:$C$4314,MATCH(A265-30,Clean_Data!$A$2:$A$4314,1))-1)</f>
        <v>0.0515800294998436</v>
      </c>
    </row>
    <row r="266" customFormat="false" ht="15" hidden="false" customHeight="false" outlineLevel="0" collapsed="false">
      <c r="A266" s="16" t="n">
        <v>42272</v>
      </c>
      <c r="B266" s="23" t="n">
        <f aca="false">YEAR(A266)</f>
        <v>2015</v>
      </c>
      <c r="C266" s="17" t="n">
        <v>235.89</v>
      </c>
      <c r="D266" s="23" t="n">
        <f aca="false">A266-A265</f>
        <v>1</v>
      </c>
      <c r="E266" s="24" t="n">
        <f aca="false">LN(C266)</f>
        <v>5.46336559467154</v>
      </c>
      <c r="F266" s="25" t="n">
        <f aca="false">LN(C266/C265)</f>
        <v>0.00263180387920656</v>
      </c>
      <c r="G266" s="25" t="n">
        <f aca="false">IF(AND(D266=1,A266&gt;=$R$2),F266,"")</f>
        <v>0.00263180387920656</v>
      </c>
      <c r="H266" s="27" t="n">
        <f aca="false">IF(G266="","",G266^2)</f>
        <v>6.92639165860668E-006</v>
      </c>
      <c r="I266" s="25" t="n">
        <f aca="false">IF(G266="","",C266/C265-1)</f>
        <v>0.00263527011518661</v>
      </c>
      <c r="J266" s="17" t="n">
        <f aca="false">AVERAGE(C67:C266)</f>
        <v>249.1596</v>
      </c>
      <c r="K266" s="17" t="n">
        <f aca="false">MAX(K265,C266)</f>
        <v>378</v>
      </c>
      <c r="L266" s="25" t="n">
        <f aca="false">C266/K266-1</f>
        <v>-0.375952380952381</v>
      </c>
      <c r="M266" s="25" t="n">
        <f aca="false">IF(COUNT(G237:G266)&lt;20,"",_xlfn.STDEV.S(G237:G266)*SQRT($R$3))</f>
        <v>0.260945654429753</v>
      </c>
      <c r="N266" s="25" t="n">
        <f aca="false">IF(A266-7&lt;$R$2,"",C266/INDEX(Clean_Data!$C$2:$C$4314,MATCH(A266-7,Clean_Data!$A$2:$A$4314,1))-1)</f>
        <v>0.00902557960475647</v>
      </c>
      <c r="O266" s="25" t="n">
        <f aca="false">IF(A266-30&lt;$R$2,"",C266/INDEX(Clean_Data!$C$2:$C$4314,MATCH(A266-30,Clean_Data!$A$2:$A$4314,1))-1)</f>
        <v>0.0400335082227414</v>
      </c>
    </row>
    <row r="267" customFormat="false" ht="15" hidden="false" customHeight="false" outlineLevel="0" collapsed="false">
      <c r="A267" s="16" t="n">
        <v>42273</v>
      </c>
      <c r="B267" s="23" t="n">
        <f aca="false">YEAR(A267)</f>
        <v>2015</v>
      </c>
      <c r="C267" s="17" t="n">
        <v>234.69</v>
      </c>
      <c r="D267" s="23" t="n">
        <f aca="false">A267-A266</f>
        <v>1</v>
      </c>
      <c r="E267" s="24" t="n">
        <f aca="false">LN(C267)</f>
        <v>5.4582654943651</v>
      </c>
      <c r="F267" s="25" t="n">
        <f aca="false">LN(C267/C266)</f>
        <v>-0.00510010030643537</v>
      </c>
      <c r="G267" s="25" t="n">
        <f aca="false">IF(AND(D267=1,A267&gt;=$R$2),F267,"")</f>
        <v>-0.00510010030643537</v>
      </c>
      <c r="H267" s="27" t="n">
        <f aca="false">IF(G267="","",G267^2)</f>
        <v>2.60110231357021E-005</v>
      </c>
      <c r="I267" s="25" t="n">
        <f aca="false">IF(G267="","",C267/C266-1)</f>
        <v>-0.0050871168765102</v>
      </c>
      <c r="J267" s="17" t="n">
        <f aca="false">AVERAGE(C68:C267)</f>
        <v>248.8657</v>
      </c>
      <c r="K267" s="17" t="n">
        <f aca="false">MAX(K266,C267)</f>
        <v>378</v>
      </c>
      <c r="L267" s="25" t="n">
        <f aca="false">C267/K267-1</f>
        <v>-0.379126984126984</v>
      </c>
      <c r="M267" s="25" t="n">
        <f aca="false">IF(COUNT(G238:G267)&lt;20,"",_xlfn.STDEV.S(G238:G267)*SQRT($R$3))</f>
        <v>0.261132399133458</v>
      </c>
      <c r="N267" s="25" t="n">
        <f aca="false">IF(A267-7&lt;$R$2,"",C267/INDEX(Clean_Data!$C$2:$C$4314,MATCH(A267-7,Clean_Data!$A$2:$A$4314,1))-1)</f>
        <v>0.00777224321538994</v>
      </c>
      <c r="O267" s="25" t="n">
        <f aca="false">IF(A267-30&lt;$R$2,"",C267/INDEX(Clean_Data!$C$2:$C$4314,MATCH(A267-30,Clean_Data!$A$2:$A$4314,1))-1)</f>
        <v>0.0393711248892825</v>
      </c>
    </row>
    <row r="268" customFormat="false" ht="15" hidden="false" customHeight="false" outlineLevel="0" collapsed="false">
      <c r="A268" s="16" t="n">
        <v>42274</v>
      </c>
      <c r="B268" s="23" t="n">
        <f aca="false">YEAR(A268)</f>
        <v>2015</v>
      </c>
      <c r="C268" s="17" t="n">
        <v>233.58</v>
      </c>
      <c r="D268" s="23" t="n">
        <f aca="false">A268-A267</f>
        <v>1</v>
      </c>
      <c r="E268" s="24" t="n">
        <f aca="false">LN(C268)</f>
        <v>5.45352463085042</v>
      </c>
      <c r="F268" s="25" t="n">
        <f aca="false">LN(C268/C267)</f>
        <v>-0.00474086351467954</v>
      </c>
      <c r="G268" s="25" t="n">
        <f aca="false">IF(AND(D268=1,A268&gt;=$R$2),F268,"")</f>
        <v>-0.00474086351467954</v>
      </c>
      <c r="H268" s="27" t="n">
        <f aca="false">IF(G268="","",G268^2)</f>
        <v>2.24757868648197E-005</v>
      </c>
      <c r="I268" s="25" t="n">
        <f aca="false">IF(G268="","",C268/C267-1)</f>
        <v>-0.00472964335932502</v>
      </c>
      <c r="J268" s="17" t="n">
        <f aca="false">AVERAGE(C69:C268)</f>
        <v>248.54865</v>
      </c>
      <c r="K268" s="17" t="n">
        <f aca="false">MAX(K267,C268)</f>
        <v>378</v>
      </c>
      <c r="L268" s="25" t="n">
        <f aca="false">C268/K268-1</f>
        <v>-0.382063492063492</v>
      </c>
      <c r="M268" s="25" t="n">
        <f aca="false">IF(COUNT(G239:G268)&lt;20,"",_xlfn.STDEV.S(G239:G268)*SQRT($R$3))</f>
        <v>0.247200362016876</v>
      </c>
      <c r="N268" s="25" t="n">
        <f aca="false">IF(A268-7&lt;$R$2,"",C268/INDEX(Clean_Data!$C$2:$C$4314,MATCH(A268-7,Clean_Data!$A$2:$A$4314,1))-1)</f>
        <v>0.00576989321391674</v>
      </c>
      <c r="O268" s="25" t="n">
        <f aca="false">IF(A268-30&lt;$R$2,"",C268/INDEX(Clean_Data!$C$2:$C$4314,MATCH(A268-30,Clean_Data!$A$2:$A$4314,1))-1)</f>
        <v>0.00876700496652982</v>
      </c>
    </row>
    <row r="269" customFormat="false" ht="15" hidden="false" customHeight="false" outlineLevel="0" collapsed="false">
      <c r="A269" s="16" t="n">
        <v>42275</v>
      </c>
      <c r="B269" s="23" t="n">
        <f aca="false">YEAR(A269)</f>
        <v>2015</v>
      </c>
      <c r="C269" s="17" t="n">
        <v>239.99</v>
      </c>
      <c r="D269" s="23" t="n">
        <f aca="false">A269-A268</f>
        <v>1</v>
      </c>
      <c r="E269" s="24" t="n">
        <f aca="false">LN(C269)</f>
        <v>5.48059725580725</v>
      </c>
      <c r="F269" s="25" t="n">
        <f aca="false">LN(C269/C268)</f>
        <v>0.0270726249568256</v>
      </c>
      <c r="G269" s="25" t="n">
        <f aca="false">IF(AND(D269=1,A269&gt;=$R$2),F269,"")</f>
        <v>0.0270726249568256</v>
      </c>
      <c r="H269" s="27" t="n">
        <f aca="false">IF(G269="","",G269^2)</f>
        <v>0.000732927022052938</v>
      </c>
      <c r="I269" s="25" t="n">
        <f aca="false">IF(G269="","",C269/C268-1)</f>
        <v>0.0274424180152411</v>
      </c>
      <c r="J269" s="17" t="n">
        <f aca="false">AVERAGE(C70:C269)</f>
        <v>248.26835</v>
      </c>
      <c r="K269" s="17" t="n">
        <f aca="false">MAX(K268,C269)</f>
        <v>378</v>
      </c>
      <c r="L269" s="25" t="n">
        <f aca="false">C269/K269-1</f>
        <v>-0.36510582010582</v>
      </c>
      <c r="M269" s="25" t="n">
        <f aca="false">IF(COUNT(G240:G269)&lt;20,"",_xlfn.STDEV.S(G240:G269)*SQRT($R$3))</f>
        <v>0.2636088034435</v>
      </c>
      <c r="N269" s="25" t="n">
        <f aca="false">IF(A269-7&lt;$R$2,"",C269/INDEX(Clean_Data!$C$2:$C$4314,MATCH(A269-7,Clean_Data!$A$2:$A$4314,1))-1)</f>
        <v>0.0557828516123355</v>
      </c>
      <c r="O269" s="25" t="n">
        <f aca="false">IF(A269-30&lt;$R$2,"",C269/INDEX(Clean_Data!$C$2:$C$4314,MATCH(A269-30,Clean_Data!$A$2:$A$4314,1))-1)</f>
        <v>0.0406747322319068</v>
      </c>
    </row>
    <row r="270" customFormat="false" ht="15" hidden="false" customHeight="false" outlineLevel="0" collapsed="false">
      <c r="A270" s="16" t="n">
        <v>42276</v>
      </c>
      <c r="B270" s="23" t="n">
        <f aca="false">YEAR(A270)</f>
        <v>2015</v>
      </c>
      <c r="C270" s="17" t="n">
        <v>236.89</v>
      </c>
      <c r="D270" s="23" t="n">
        <f aca="false">A270-A269</f>
        <v>1</v>
      </c>
      <c r="E270" s="24" t="n">
        <f aca="false">LN(C270)</f>
        <v>5.46759589837004</v>
      </c>
      <c r="F270" s="25" t="n">
        <f aca="false">LN(C270/C269)</f>
        <v>-0.0130013574372096</v>
      </c>
      <c r="G270" s="25" t="n">
        <f aca="false">IF(AND(D270=1,A270&gt;=$R$2),F270,"")</f>
        <v>-0.0130013574372096</v>
      </c>
      <c r="H270" s="27" t="n">
        <f aca="false">IF(G270="","",G270^2)</f>
        <v>0.000169035295210085</v>
      </c>
      <c r="I270" s="25" t="n">
        <f aca="false">IF(G270="","",C270/C269-1)</f>
        <v>-0.0129172048835369</v>
      </c>
      <c r="J270" s="17" t="n">
        <f aca="false">AVERAGE(C71:C270)</f>
        <v>248.0328</v>
      </c>
      <c r="K270" s="17" t="n">
        <f aca="false">MAX(K269,C270)</f>
        <v>378</v>
      </c>
      <c r="L270" s="25" t="n">
        <f aca="false">C270/K270-1</f>
        <v>-0.373306878306878</v>
      </c>
      <c r="M270" s="25" t="n">
        <f aca="false">IF(COUNT(G241:G270)&lt;20,"",_xlfn.STDEV.S(G241:G270)*SQRT($R$3))</f>
        <v>0.267386653701093</v>
      </c>
      <c r="N270" s="25" t="n">
        <f aca="false">IF(A270-7&lt;$R$2,"",C270/INDEX(Clean_Data!$C$2:$C$4314,MATCH(A270-7,Clean_Data!$A$2:$A$4314,1))-1)</f>
        <v>0.0242563126945692</v>
      </c>
      <c r="O270" s="25" t="n">
        <f aca="false">IF(A270-30&lt;$R$2,"",C270/INDEX(Clean_Data!$C$2:$C$4314,MATCH(A270-30,Clean_Data!$A$2:$A$4314,1))-1)</f>
        <v>0.0326954095644971</v>
      </c>
    </row>
    <row r="271" customFormat="false" ht="15" hidden="false" customHeight="false" outlineLevel="0" collapsed="false">
      <c r="A271" s="16" t="n">
        <v>42277</v>
      </c>
      <c r="B271" s="23" t="n">
        <f aca="false">YEAR(A271)</f>
        <v>2015</v>
      </c>
      <c r="C271" s="17" t="n">
        <v>237.14</v>
      </c>
      <c r="D271" s="23" t="n">
        <f aca="false">A271-A270</f>
        <v>1</v>
      </c>
      <c r="E271" s="24" t="n">
        <f aca="false">LN(C271)</f>
        <v>5.46865068402992</v>
      </c>
      <c r="F271" s="25" t="n">
        <f aca="false">LN(C271/C270)</f>
        <v>0.001054785659889</v>
      </c>
      <c r="G271" s="25" t="n">
        <f aca="false">IF(AND(D271=1,A271&gt;=$R$2),F271,"")</f>
        <v>0.001054785659889</v>
      </c>
      <c r="H271" s="27" t="n">
        <f aca="false">IF(G271="","",G271^2)</f>
        <v>1.11257278830747E-006</v>
      </c>
      <c r="I271" s="25" t="n">
        <f aca="false">IF(G271="","",C271/C270-1)</f>
        <v>0.00105534214192238</v>
      </c>
      <c r="J271" s="17" t="n">
        <f aca="false">AVERAGE(C72:C271)</f>
        <v>247.79875</v>
      </c>
      <c r="K271" s="17" t="n">
        <f aca="false">MAX(K270,C271)</f>
        <v>378</v>
      </c>
      <c r="L271" s="25" t="n">
        <f aca="false">C271/K271-1</f>
        <v>-0.372645502645503</v>
      </c>
      <c r="M271" s="25" t="n">
        <f aca="false">IF(COUNT(G242:G271)&lt;20,"",_xlfn.STDEV.S(G242:G271)*SQRT($R$3))</f>
        <v>0.266816476015515</v>
      </c>
      <c r="N271" s="25" t="n">
        <f aca="false">IF(A271-7&lt;$R$2,"",C271/INDEX(Clean_Data!$C$2:$C$4314,MATCH(A271-7,Clean_Data!$A$2:$A$4314,1))-1)</f>
        <v>0.0298792669156605</v>
      </c>
      <c r="O271" s="25" t="n">
        <f aca="false">IF(A271-30&lt;$R$2,"",C271/INDEX(Clean_Data!$C$2:$C$4314,MATCH(A271-30,Clean_Data!$A$2:$A$4314,1))-1)</f>
        <v>0.0276923076923077</v>
      </c>
    </row>
    <row r="272" customFormat="false" ht="15" hidden="false" customHeight="false" outlineLevel="0" collapsed="false">
      <c r="A272" s="16" t="n">
        <v>42278</v>
      </c>
      <c r="B272" s="23" t="n">
        <f aca="false">YEAR(A272)</f>
        <v>2015</v>
      </c>
      <c r="C272" s="17" t="n">
        <v>238.34</v>
      </c>
      <c r="D272" s="23" t="n">
        <f aca="false">A272-A271</f>
        <v>1</v>
      </c>
      <c r="E272" s="24" t="n">
        <f aca="false">LN(C272)</f>
        <v>5.47369822566266</v>
      </c>
      <c r="F272" s="25" t="n">
        <f aca="false">LN(C272/C271)</f>
        <v>0.00504754163273573</v>
      </c>
      <c r="G272" s="25" t="n">
        <f aca="false">IF(AND(D272=1,A272&gt;=$R$2),F272,"")</f>
        <v>0.00504754163273573</v>
      </c>
      <c r="H272" s="27" t="n">
        <f aca="false">IF(G272="","",G272^2)</f>
        <v>2.54776765342004E-005</v>
      </c>
      <c r="I272" s="25" t="n">
        <f aca="false">IF(G272="","",C272/C271-1)</f>
        <v>0.00506030193134865</v>
      </c>
      <c r="J272" s="17" t="n">
        <f aca="false">AVERAGE(C73:C272)</f>
        <v>247.55045</v>
      </c>
      <c r="K272" s="17" t="n">
        <f aca="false">MAX(K271,C272)</f>
        <v>378</v>
      </c>
      <c r="L272" s="25" t="n">
        <f aca="false">C272/K272-1</f>
        <v>-0.3694708994709</v>
      </c>
      <c r="M272" s="25" t="n">
        <f aca="false">IF(COUNT(G243:G272)&lt;20,"",_xlfn.STDEV.S(G243:G272)*SQRT($R$3))</f>
        <v>0.263638270750103</v>
      </c>
      <c r="N272" s="25" t="n">
        <f aca="false">IF(A272-7&lt;$R$2,"",C272/INDEX(Clean_Data!$C$2:$C$4314,MATCH(A272-7,Clean_Data!$A$2:$A$4314,1))-1)</f>
        <v>0.0130488375058444</v>
      </c>
      <c r="O272" s="25" t="n">
        <f aca="false">IF(A272-30&lt;$R$2,"",C272/INDEX(Clean_Data!$C$2:$C$4314,MATCH(A272-30,Clean_Data!$A$2:$A$4314,1))-1)</f>
        <v>0.0443431776356147</v>
      </c>
    </row>
    <row r="273" customFormat="false" ht="15" hidden="false" customHeight="false" outlineLevel="0" collapsed="false">
      <c r="A273" s="16" t="n">
        <v>42279</v>
      </c>
      <c r="B273" s="23" t="n">
        <f aca="false">YEAR(A273)</f>
        <v>2015</v>
      </c>
      <c r="C273" s="17" t="n">
        <v>238.28</v>
      </c>
      <c r="D273" s="23" t="n">
        <f aca="false">A273-A272</f>
        <v>1</v>
      </c>
      <c r="E273" s="24" t="n">
        <f aca="false">LN(C273)</f>
        <v>5.47344645276049</v>
      </c>
      <c r="F273" s="25" t="n">
        <f aca="false">LN(C273/C272)</f>
        <v>-0.000251772902173465</v>
      </c>
      <c r="G273" s="25" t="n">
        <f aca="false">IF(AND(D273=1,A273&gt;=$R$2),F273,"")</f>
        <v>-0.000251772902173465</v>
      </c>
      <c r="H273" s="27" t="n">
        <f aca="false">IF(G273="","",G273^2)</f>
        <v>6.33895942688493E-008</v>
      </c>
      <c r="I273" s="25" t="n">
        <f aca="false">IF(G273="","",C273/C272-1)</f>
        <v>-0.000251741210036127</v>
      </c>
      <c r="J273" s="17" t="n">
        <f aca="false">AVERAGE(C74:C273)</f>
        <v>247.28</v>
      </c>
      <c r="K273" s="17" t="n">
        <f aca="false">MAX(K272,C273)</f>
        <v>378</v>
      </c>
      <c r="L273" s="25" t="n">
        <f aca="false">C273/K273-1</f>
        <v>-0.36962962962963</v>
      </c>
      <c r="M273" s="25" t="n">
        <f aca="false">IF(COUNT(G244:G273)&lt;20,"",_xlfn.STDEV.S(G244:G273)*SQRT($R$3))</f>
        <v>0.262740671653346</v>
      </c>
      <c r="N273" s="25" t="n">
        <f aca="false">IF(A273-7&lt;$R$2,"",C273/INDEX(Clean_Data!$C$2:$C$4314,MATCH(A273-7,Clean_Data!$A$2:$A$4314,1))-1)</f>
        <v>0.010131841112383</v>
      </c>
      <c r="O273" s="25" t="n">
        <f aca="false">IF(A273-30&lt;$R$2,"",C273/INDEX(Clean_Data!$C$2:$C$4314,MATCH(A273-30,Clean_Data!$A$2:$A$4314,1))-1)</f>
        <v>0.0361351480627907</v>
      </c>
    </row>
    <row r="274" customFormat="false" ht="15" hidden="false" customHeight="false" outlineLevel="0" collapsed="false">
      <c r="A274" s="16" t="n">
        <v>42280</v>
      </c>
      <c r="B274" s="23" t="n">
        <f aca="false">YEAR(A274)</f>
        <v>2015</v>
      </c>
      <c r="C274" s="17" t="n">
        <v>239.92</v>
      </c>
      <c r="D274" s="23" t="n">
        <f aca="false">A274-A273</f>
        <v>1</v>
      </c>
      <c r="E274" s="24" t="n">
        <f aca="false">LN(C274)</f>
        <v>5.48030553444075</v>
      </c>
      <c r="F274" s="25" t="n">
        <f aca="false">LN(C274/C273)</f>
        <v>0.0068590816802669</v>
      </c>
      <c r="G274" s="25" t="n">
        <f aca="false">IF(AND(D274=1,A274&gt;=$R$2),F274,"")</f>
        <v>0.0068590816802669</v>
      </c>
      <c r="H274" s="27" t="n">
        <f aca="false">IF(G274="","",G274^2)</f>
        <v>4.70470014965729E-005</v>
      </c>
      <c r="I274" s="25" t="n">
        <f aca="false">IF(G274="","",C274/C273-1)</f>
        <v>0.00688265905657204</v>
      </c>
      <c r="J274" s="17" t="n">
        <f aca="false">AVERAGE(C75:C274)</f>
        <v>247.0459</v>
      </c>
      <c r="K274" s="17" t="n">
        <f aca="false">MAX(K273,C274)</f>
        <v>378</v>
      </c>
      <c r="L274" s="25" t="n">
        <f aca="false">C274/K274-1</f>
        <v>-0.365291005291005</v>
      </c>
      <c r="M274" s="25" t="n">
        <f aca="false">IF(COUNT(G245:G274)&lt;20,"",_xlfn.STDEV.S(G245:G274)*SQRT($R$3))</f>
        <v>0.259107569245434</v>
      </c>
      <c r="N274" s="25" t="n">
        <f aca="false">IF(A274-7&lt;$R$2,"",C274/INDEX(Clean_Data!$C$2:$C$4314,MATCH(A274-7,Clean_Data!$A$2:$A$4314,1))-1)</f>
        <v>0.0222847160083515</v>
      </c>
      <c r="O274" s="25" t="n">
        <f aca="false">IF(A274-30&lt;$R$2,"",C274/INDEX(Clean_Data!$C$2:$C$4314,MATCH(A274-30,Clean_Data!$A$2:$A$4314,1))-1)</f>
        <v>0.0557535753575358</v>
      </c>
    </row>
    <row r="275" customFormat="false" ht="15" hidden="false" customHeight="false" outlineLevel="0" collapsed="false">
      <c r="A275" s="16" t="n">
        <v>42281</v>
      </c>
      <c r="B275" s="23" t="n">
        <f aca="false">YEAR(A275)</f>
        <v>2015</v>
      </c>
      <c r="C275" s="17" t="n">
        <v>239.87</v>
      </c>
      <c r="D275" s="23" t="n">
        <f aca="false">A275-A274</f>
        <v>1</v>
      </c>
      <c r="E275" s="24" t="n">
        <f aca="false">LN(C275)</f>
        <v>5.48009710992094</v>
      </c>
      <c r="F275" s="25" t="n">
        <f aca="false">LN(C275/C274)</f>
        <v>-0.000208424519814882</v>
      </c>
      <c r="G275" s="25" t="n">
        <f aca="false">IF(AND(D275=1,A275&gt;=$R$2),F275,"")</f>
        <v>-0.000208424519814882</v>
      </c>
      <c r="H275" s="27" t="n">
        <f aca="false">IF(G275="","",G275^2)</f>
        <v>4.3440780460064E-008</v>
      </c>
      <c r="I275" s="25" t="n">
        <f aca="false">IF(G275="","",C275/C274-1)</f>
        <v>-0.000208402800933594</v>
      </c>
      <c r="J275" s="17" t="n">
        <f aca="false">AVERAGE(C76:C275)</f>
        <v>246.95275</v>
      </c>
      <c r="K275" s="17" t="n">
        <f aca="false">MAX(K274,C275)</f>
        <v>378</v>
      </c>
      <c r="L275" s="25" t="n">
        <f aca="false">C275/K275-1</f>
        <v>-0.36542328042328</v>
      </c>
      <c r="M275" s="25" t="n">
        <f aca="false">IF(COUNT(G246:G275)&lt;20,"",_xlfn.STDEV.S(G246:G275)*SQRT($R$3))</f>
        <v>0.252440802383345</v>
      </c>
      <c r="N275" s="25" t="n">
        <f aca="false">IF(A275-7&lt;$R$2,"",C275/INDEX(Clean_Data!$C$2:$C$4314,MATCH(A275-7,Clean_Data!$A$2:$A$4314,1))-1)</f>
        <v>0.0269286754002911</v>
      </c>
      <c r="O275" s="25" t="n">
        <f aca="false">IF(A275-30&lt;$R$2,"",C275/INDEX(Clean_Data!$C$2:$C$4314,MATCH(A275-30,Clean_Data!$A$2:$A$4314,1))-1)</f>
        <v>0.0366480833225291</v>
      </c>
    </row>
    <row r="276" customFormat="false" ht="15" hidden="false" customHeight="false" outlineLevel="0" collapsed="false">
      <c r="A276" s="16" t="n">
        <v>42282</v>
      </c>
      <c r="B276" s="23" t="n">
        <f aca="false">YEAR(A276)</f>
        <v>2015</v>
      </c>
      <c r="C276" s="17" t="n">
        <v>240.95</v>
      </c>
      <c r="D276" s="23" t="n">
        <f aca="false">A276-A275</f>
        <v>1</v>
      </c>
      <c r="E276" s="24" t="n">
        <f aca="false">LN(C276)</f>
        <v>5.48458944308634</v>
      </c>
      <c r="F276" s="25" t="n">
        <f aca="false">LN(C276/C275)</f>
        <v>0.00449233316540294</v>
      </c>
      <c r="G276" s="25" t="n">
        <f aca="false">IF(AND(D276=1,A276&gt;=$R$2),F276,"")</f>
        <v>0.00449233316540294</v>
      </c>
      <c r="H276" s="27" t="n">
        <f aca="false">IF(G276="","",G276^2)</f>
        <v>2.01810572689792E-005</v>
      </c>
      <c r="I276" s="25" t="n">
        <f aca="false">IF(G276="","",C276/C275-1)</f>
        <v>0.00450243882102797</v>
      </c>
      <c r="J276" s="17" t="n">
        <f aca="false">AVERAGE(C77:C276)</f>
        <v>246.84225</v>
      </c>
      <c r="K276" s="17" t="n">
        <f aca="false">MAX(K275,C276)</f>
        <v>378</v>
      </c>
      <c r="L276" s="25" t="n">
        <f aca="false">C276/K276-1</f>
        <v>-0.362566137566138</v>
      </c>
      <c r="M276" s="25" t="n">
        <f aca="false">IF(COUNT(G247:G276)&lt;20,"",_xlfn.STDEV.S(G247:G276)*SQRT($R$3))</f>
        <v>0.243771778354365</v>
      </c>
      <c r="N276" s="25" t="n">
        <f aca="false">IF(A276-7&lt;$R$2,"",C276/INDEX(Clean_Data!$C$2:$C$4314,MATCH(A276-7,Clean_Data!$A$2:$A$4314,1))-1)</f>
        <v>0.00400016667361136</v>
      </c>
      <c r="O276" s="25" t="n">
        <f aca="false">IF(A276-30&lt;$R$2,"",C276/INDEX(Clean_Data!$C$2:$C$4314,MATCH(A276-30,Clean_Data!$A$2:$A$4314,1))-1)</f>
        <v>0.0209313164696412</v>
      </c>
    </row>
    <row r="277" customFormat="false" ht="15" hidden="false" customHeight="false" outlineLevel="0" collapsed="false">
      <c r="A277" s="16" t="n">
        <v>42283</v>
      </c>
      <c r="B277" s="23" t="n">
        <f aca="false">YEAR(A277)</f>
        <v>2015</v>
      </c>
      <c r="C277" s="17" t="n">
        <v>246.64</v>
      </c>
      <c r="D277" s="23" t="n">
        <f aca="false">A277-A276</f>
        <v>1</v>
      </c>
      <c r="E277" s="24" t="n">
        <f aca="false">LN(C277)</f>
        <v>5.5079297835779</v>
      </c>
      <c r="F277" s="25" t="n">
        <f aca="false">LN(C277/C276)</f>
        <v>0.0233403404915533</v>
      </c>
      <c r="G277" s="25" t="n">
        <f aca="false">IF(AND(D277=1,A277&gt;=$R$2),F277,"")</f>
        <v>0.0233403404915533</v>
      </c>
      <c r="H277" s="27" t="n">
        <f aca="false">IF(G277="","",G277^2)</f>
        <v>0.00054477149426164</v>
      </c>
      <c r="I277" s="25" t="n">
        <f aca="false">IF(G277="","",C277/C276-1)</f>
        <v>0.0236148578543267</v>
      </c>
      <c r="J277" s="17" t="n">
        <f aca="false">AVERAGE(C78:C277)</f>
        <v>246.7589</v>
      </c>
      <c r="K277" s="17" t="n">
        <f aca="false">MAX(K276,C277)</f>
        <v>378</v>
      </c>
      <c r="L277" s="25" t="n">
        <f aca="false">C277/K277-1</f>
        <v>-0.347513227513228</v>
      </c>
      <c r="M277" s="25" t="n">
        <f aca="false">IF(COUNT(G248:G277)&lt;20,"",_xlfn.STDEV.S(G248:G277)*SQRT($R$3))</f>
        <v>0.245149357311668</v>
      </c>
      <c r="N277" s="25" t="n">
        <f aca="false">IF(A277-7&lt;$R$2,"",C277/INDEX(Clean_Data!$C$2:$C$4314,MATCH(A277-7,Clean_Data!$A$2:$A$4314,1))-1)</f>
        <v>0.0411583435349741</v>
      </c>
      <c r="O277" s="25" t="n">
        <f aca="false">IF(A277-30&lt;$R$2,"",C277/INDEX(Clean_Data!$C$2:$C$4314,MATCH(A277-30,Clean_Data!$A$2:$A$4314,1))-1)</f>
        <v>0.0221724895354138</v>
      </c>
    </row>
    <row r="278" customFormat="false" ht="15" hidden="false" customHeight="false" outlineLevel="0" collapsed="false">
      <c r="A278" s="16" t="n">
        <v>42284</v>
      </c>
      <c r="B278" s="23" t="n">
        <f aca="false">YEAR(A278)</f>
        <v>2015</v>
      </c>
      <c r="C278" s="17" t="n">
        <v>244</v>
      </c>
      <c r="D278" s="23" t="n">
        <f aca="false">A278-A277</f>
        <v>1</v>
      </c>
      <c r="E278" s="24" t="n">
        <f aca="false">LN(C278)</f>
        <v>5.4971682252932</v>
      </c>
      <c r="F278" s="25" t="n">
        <f aca="false">LN(C278/C277)</f>
        <v>-0.010761558284693</v>
      </c>
      <c r="G278" s="25" t="n">
        <f aca="false">IF(AND(D278=1,A278&gt;=$R$2),F278,"")</f>
        <v>-0.010761558284693</v>
      </c>
      <c r="H278" s="27" t="n">
        <f aca="false">IF(G278="","",G278^2)</f>
        <v>0.000115811136714845</v>
      </c>
      <c r="I278" s="25" t="n">
        <f aca="false">IF(G278="","",C278/C277-1)</f>
        <v>-0.0107038598767434</v>
      </c>
      <c r="J278" s="17" t="n">
        <f aca="false">AVERAGE(C79:C278)</f>
        <v>246.6694</v>
      </c>
      <c r="K278" s="17" t="n">
        <f aca="false">MAX(K277,C278)</f>
        <v>378</v>
      </c>
      <c r="L278" s="25" t="n">
        <f aca="false">C278/K278-1</f>
        <v>-0.354497354497355</v>
      </c>
      <c r="M278" s="25" t="n">
        <f aca="false">IF(COUNT(G249:G278)&lt;20,"",_xlfn.STDEV.S(G249:G278)*SQRT($R$3))</f>
        <v>0.24840683642761</v>
      </c>
      <c r="N278" s="25" t="n">
        <f aca="false">IF(A278-7&lt;$R$2,"",C278/INDEX(Clean_Data!$C$2:$C$4314,MATCH(A278-7,Clean_Data!$A$2:$A$4314,1))-1)</f>
        <v>0.0289280593742094</v>
      </c>
      <c r="O278" s="25" t="n">
        <f aca="false">IF(A278-30&lt;$R$2,"",C278/INDEX(Clean_Data!$C$2:$C$4314,MATCH(A278-30,Clean_Data!$A$2:$A$4314,1))-1)</f>
        <v>0.0111474866354482</v>
      </c>
    </row>
    <row r="279" customFormat="false" ht="15" hidden="false" customHeight="false" outlineLevel="0" collapsed="false">
      <c r="A279" s="16" t="n">
        <v>42285</v>
      </c>
      <c r="B279" s="23" t="n">
        <f aca="false">YEAR(A279)</f>
        <v>2015</v>
      </c>
      <c r="C279" s="17" t="n">
        <v>242.94</v>
      </c>
      <c r="D279" s="23" t="n">
        <f aca="false">A279-A278</f>
        <v>1</v>
      </c>
      <c r="E279" s="24" t="n">
        <f aca="false">LN(C279)</f>
        <v>5.49281449927213</v>
      </c>
      <c r="F279" s="25" t="n">
        <f aca="false">LN(C279/C278)</f>
        <v>-0.00435372602107715</v>
      </c>
      <c r="G279" s="25" t="n">
        <f aca="false">IF(AND(D279=1,A279&gt;=$R$2),F279,"")</f>
        <v>-0.00435372602107715</v>
      </c>
      <c r="H279" s="27" t="n">
        <f aca="false">IF(G279="","",G279^2)</f>
        <v>1.89549302666043E-005</v>
      </c>
      <c r="I279" s="25" t="n">
        <f aca="false">IF(G279="","",C279/C278-1)</f>
        <v>-0.004344262295082</v>
      </c>
      <c r="J279" s="17" t="n">
        <f aca="false">AVERAGE(C80:C279)</f>
        <v>246.53685</v>
      </c>
      <c r="K279" s="17" t="n">
        <f aca="false">MAX(K278,C279)</f>
        <v>378</v>
      </c>
      <c r="L279" s="25" t="n">
        <f aca="false">C279/K279-1</f>
        <v>-0.357301587301587</v>
      </c>
      <c r="M279" s="25" t="n">
        <f aca="false">IF(COUNT(G250:G279)&lt;20,"",_xlfn.STDEV.S(G250:G279)*SQRT($R$3))</f>
        <v>0.245509483347784</v>
      </c>
      <c r="N279" s="25" t="n">
        <f aca="false">IF(A279-7&lt;$R$2,"",C279/INDEX(Clean_Data!$C$2:$C$4314,MATCH(A279-7,Clean_Data!$A$2:$A$4314,1))-1)</f>
        <v>0.0193001594360998</v>
      </c>
      <c r="O279" s="25" t="n">
        <f aca="false">IF(A279-30&lt;$R$2,"",C279/INDEX(Clean_Data!$C$2:$C$4314,MATCH(A279-30,Clean_Data!$A$2:$A$4314,1))-1)</f>
        <v>-0.00491521258294414</v>
      </c>
    </row>
    <row r="280" customFormat="false" ht="15" hidden="false" customHeight="false" outlineLevel="0" collapsed="false">
      <c r="A280" s="16" t="n">
        <v>42286</v>
      </c>
      <c r="B280" s="23" t="n">
        <f aca="false">YEAR(A280)</f>
        <v>2015</v>
      </c>
      <c r="C280" s="17" t="n">
        <v>244.35</v>
      </c>
      <c r="D280" s="23" t="n">
        <f aca="false">A280-A279</f>
        <v>1</v>
      </c>
      <c r="E280" s="24" t="n">
        <f aca="false">LN(C280)</f>
        <v>5.49860162371616</v>
      </c>
      <c r="F280" s="25" t="n">
        <f aca="false">LN(C280/C279)</f>
        <v>0.00578712444403906</v>
      </c>
      <c r="G280" s="25" t="n">
        <f aca="false">IF(AND(D280=1,A280&gt;=$R$2),F280,"")</f>
        <v>0.00578712444403906</v>
      </c>
      <c r="H280" s="27" t="n">
        <f aca="false">IF(G280="","",G280^2)</f>
        <v>3.34908093307944E-005</v>
      </c>
      <c r="I280" s="25" t="n">
        <f aca="false">IF(G280="","",C280/C279-1)</f>
        <v>0.00580390219807359</v>
      </c>
      <c r="J280" s="17" t="n">
        <f aca="false">AVERAGE(C81:C280)</f>
        <v>246.42095</v>
      </c>
      <c r="K280" s="17" t="n">
        <f aca="false">MAX(K279,C280)</f>
        <v>378</v>
      </c>
      <c r="L280" s="25" t="n">
        <f aca="false">C280/K280-1</f>
        <v>-0.353571428571429</v>
      </c>
      <c r="M280" s="25" t="n">
        <f aca="false">IF(COUNT(G251:G280)&lt;20,"",_xlfn.STDEV.S(G251:G280)*SQRT($R$3))</f>
        <v>0.232826430917564</v>
      </c>
      <c r="N280" s="25" t="n">
        <f aca="false">IF(A280-7&lt;$R$2,"",C280/INDEX(Clean_Data!$C$2:$C$4314,MATCH(A280-7,Clean_Data!$A$2:$A$4314,1))-1)</f>
        <v>0.0254742319959711</v>
      </c>
      <c r="O280" s="25" t="n">
        <f aca="false">IF(A280-30&lt;$R$2,"",C280/INDEX(Clean_Data!$C$2:$C$4314,MATCH(A280-30,Clean_Data!$A$2:$A$4314,1))-1)</f>
        <v>0.023455497382199</v>
      </c>
    </row>
    <row r="281" customFormat="false" ht="15" hidden="false" customHeight="false" outlineLevel="0" collapsed="false">
      <c r="A281" s="16" t="n">
        <v>42287</v>
      </c>
      <c r="B281" s="23" t="n">
        <f aca="false">YEAR(A281)</f>
        <v>2015</v>
      </c>
      <c r="C281" s="17" t="n">
        <v>246.07</v>
      </c>
      <c r="D281" s="23" t="n">
        <f aca="false">A281-A280</f>
        <v>1</v>
      </c>
      <c r="E281" s="24" t="n">
        <f aca="false">LN(C281)</f>
        <v>5.50561604830041</v>
      </c>
      <c r="F281" s="25" t="n">
        <f aca="false">LN(C281/C280)</f>
        <v>0.00701442458424492</v>
      </c>
      <c r="G281" s="25" t="n">
        <f aca="false">IF(AND(D281=1,A281&gt;=$R$2),F281,"")</f>
        <v>0.00701442458424492</v>
      </c>
      <c r="H281" s="27" t="n">
        <f aca="false">IF(G281="","",G281^2)</f>
        <v>4.92021522480596E-005</v>
      </c>
      <c r="I281" s="25" t="n">
        <f aca="false">IF(G281="","",C281/C280-1)</f>
        <v>0.00703908328217717</v>
      </c>
      <c r="J281" s="17" t="n">
        <f aca="false">AVERAGE(C82:C281)</f>
        <v>246.42055</v>
      </c>
      <c r="K281" s="17" t="n">
        <f aca="false">MAX(K280,C281)</f>
        <v>378</v>
      </c>
      <c r="L281" s="25" t="n">
        <f aca="false">C281/K281-1</f>
        <v>-0.349021164021164</v>
      </c>
      <c r="M281" s="25" t="n">
        <f aca="false">IF(COUNT(G252:G281)&lt;20,"",_xlfn.STDEV.S(G252:G281)*SQRT($R$3))</f>
        <v>0.233738768577408</v>
      </c>
      <c r="N281" s="25" t="n">
        <f aca="false">IF(A281-7&lt;$R$2,"",C281/INDEX(Clean_Data!$C$2:$C$4314,MATCH(A281-7,Clean_Data!$A$2:$A$4314,1))-1)</f>
        <v>0.0256335445148383</v>
      </c>
      <c r="O281" s="25" t="n">
        <f aca="false">IF(A281-30&lt;$R$2,"",C281/INDEX(Clean_Data!$C$2:$C$4314,MATCH(A281-30,Clean_Data!$A$2:$A$4314,1))-1)</f>
        <v>0.0316535301022973</v>
      </c>
    </row>
    <row r="282" customFormat="false" ht="15" hidden="false" customHeight="false" outlineLevel="0" collapsed="false">
      <c r="A282" s="16" t="n">
        <v>42288</v>
      </c>
      <c r="B282" s="23" t="n">
        <f aca="false">YEAR(A282)</f>
        <v>2015</v>
      </c>
      <c r="C282" s="17" t="n">
        <v>249.02</v>
      </c>
      <c r="D282" s="23" t="n">
        <f aca="false">A282-A281</f>
        <v>1</v>
      </c>
      <c r="E282" s="24" t="n">
        <f aca="false">LN(C282)</f>
        <v>5.51753321452427</v>
      </c>
      <c r="F282" s="25" t="n">
        <f aca="false">LN(C282/C281)</f>
        <v>0.0119171662238577</v>
      </c>
      <c r="G282" s="25" t="n">
        <f aca="false">IF(AND(D282=1,A282&gt;=$R$2),F282,"")</f>
        <v>0.0119171662238577</v>
      </c>
      <c r="H282" s="27" t="n">
        <f aca="false">IF(G282="","",G282^2)</f>
        <v>0.000142018850807056</v>
      </c>
      <c r="I282" s="25" t="n">
        <f aca="false">IF(G282="","",C282/C281-1)</f>
        <v>0.0119884585687</v>
      </c>
      <c r="J282" s="17" t="n">
        <f aca="false">AVERAGE(C83:C282)</f>
        <v>246.43125</v>
      </c>
      <c r="K282" s="17" t="n">
        <f aca="false">MAX(K281,C282)</f>
        <v>378</v>
      </c>
      <c r="L282" s="25" t="n">
        <f aca="false">C282/K282-1</f>
        <v>-0.341216931216931</v>
      </c>
      <c r="M282" s="25" t="n">
        <f aca="false">IF(COUNT(G253:G282)&lt;20,"",_xlfn.STDEV.S(G253:G282)*SQRT($R$3))</f>
        <v>0.234791162840395</v>
      </c>
      <c r="N282" s="25" t="n">
        <f aca="false">IF(A282-7&lt;$R$2,"",C282/INDEX(Clean_Data!$C$2:$C$4314,MATCH(A282-7,Clean_Data!$A$2:$A$4314,1))-1)</f>
        <v>0.03814566223371</v>
      </c>
      <c r="O282" s="25" t="n">
        <f aca="false">IF(A282-30&lt;$R$2,"",C282/INDEX(Clean_Data!$C$2:$C$4314,MATCH(A282-30,Clean_Data!$A$2:$A$4314,1))-1)</f>
        <v>0.0337069323370693</v>
      </c>
    </row>
    <row r="283" customFormat="false" ht="15" hidden="false" customHeight="false" outlineLevel="0" collapsed="false">
      <c r="A283" s="16" t="n">
        <v>42289</v>
      </c>
      <c r="B283" s="23" t="n">
        <f aca="false">YEAR(A283)</f>
        <v>2015</v>
      </c>
      <c r="C283" s="17" t="n">
        <v>246.39</v>
      </c>
      <c r="D283" s="23" t="n">
        <f aca="false">A283-A282</f>
        <v>1</v>
      </c>
      <c r="E283" s="24" t="n">
        <f aca="false">LN(C283)</f>
        <v>5.50691564642021</v>
      </c>
      <c r="F283" s="25" t="n">
        <f aca="false">LN(C283/C282)</f>
        <v>-0.0106175681040559</v>
      </c>
      <c r="G283" s="25" t="n">
        <f aca="false">IF(AND(D283=1,A283&gt;=$R$2),F283,"")</f>
        <v>-0.0106175681040559</v>
      </c>
      <c r="H283" s="27" t="n">
        <f aca="false">IF(G283="","",G283^2)</f>
        <v>0.000112732752444266</v>
      </c>
      <c r="I283" s="25" t="n">
        <f aca="false">IF(G283="","",C283/C282-1)</f>
        <v>-0.0105614006907077</v>
      </c>
      <c r="J283" s="17" t="n">
        <f aca="false">AVERAGE(C84:C283)</f>
        <v>246.4138</v>
      </c>
      <c r="K283" s="17" t="n">
        <f aca="false">MAX(K282,C283)</f>
        <v>378</v>
      </c>
      <c r="L283" s="25" t="n">
        <f aca="false">C283/K283-1</f>
        <v>-0.348174603174603</v>
      </c>
      <c r="M283" s="25" t="n">
        <f aca="false">IF(COUNT(G254:G283)&lt;20,"",_xlfn.STDEV.S(G254:G283)*SQRT($R$3))</f>
        <v>0.228091886779118</v>
      </c>
      <c r="N283" s="25" t="n">
        <f aca="false">IF(A283-7&lt;$R$2,"",C283/INDEX(Clean_Data!$C$2:$C$4314,MATCH(A283-7,Clean_Data!$A$2:$A$4314,1))-1)</f>
        <v>0.0225772981946462</v>
      </c>
      <c r="O283" s="25" t="n">
        <f aca="false">IF(A283-30&lt;$R$2,"",C283/INDEX(Clean_Data!$C$2:$C$4314,MATCH(A283-30,Clean_Data!$A$2:$A$4314,1))-1)</f>
        <v>0.0418181818181818</v>
      </c>
    </row>
    <row r="284" customFormat="false" ht="15" hidden="false" customHeight="false" outlineLevel="0" collapsed="false">
      <c r="A284" s="16" t="n">
        <v>42290</v>
      </c>
      <c r="B284" s="23" t="n">
        <f aca="false">YEAR(A284)</f>
        <v>2015</v>
      </c>
      <c r="C284" s="17" t="n">
        <v>250.99</v>
      </c>
      <c r="D284" s="23" t="n">
        <f aca="false">A284-A283</f>
        <v>1</v>
      </c>
      <c r="E284" s="24" t="n">
        <f aca="false">LN(C284)</f>
        <v>5.52541309770068</v>
      </c>
      <c r="F284" s="25" t="n">
        <f aca="false">LN(C284/C283)</f>
        <v>0.0184974512804639</v>
      </c>
      <c r="G284" s="25" t="n">
        <f aca="false">IF(AND(D284=1,A284&gt;=$R$2),F284,"")</f>
        <v>0.0184974512804639</v>
      </c>
      <c r="H284" s="27" t="n">
        <f aca="false">IF(G284="","",G284^2)</f>
        <v>0.000342155703873135</v>
      </c>
      <c r="I284" s="25" t="n">
        <f aca="false">IF(G284="","",C284/C283-1)</f>
        <v>0.0186695888631845</v>
      </c>
      <c r="J284" s="17" t="n">
        <f aca="false">AVERAGE(C85:C284)</f>
        <v>246.4297</v>
      </c>
      <c r="K284" s="17" t="n">
        <f aca="false">MAX(K283,C284)</f>
        <v>378</v>
      </c>
      <c r="L284" s="25" t="n">
        <f aca="false">C284/K284-1</f>
        <v>-0.336005291005291</v>
      </c>
      <c r="M284" s="25" t="n">
        <f aca="false">IF(COUNT(G255:G284)&lt;20,"",_xlfn.STDEV.S(G255:G284)*SQRT($R$3))</f>
        <v>0.215995105289551</v>
      </c>
      <c r="N284" s="25" t="n">
        <f aca="false">IF(A284-7&lt;$R$2,"",C284/INDEX(Clean_Data!$C$2:$C$4314,MATCH(A284-7,Clean_Data!$A$2:$A$4314,1))-1)</f>
        <v>0.0176370418423615</v>
      </c>
      <c r="O284" s="25" t="n">
        <f aca="false">IF(A284-30&lt;$R$2,"",C284/INDEX(Clean_Data!$C$2:$C$4314,MATCH(A284-30,Clean_Data!$A$2:$A$4314,1))-1)</f>
        <v>0.087384108829391</v>
      </c>
    </row>
    <row r="285" customFormat="false" ht="15" hidden="false" customHeight="false" outlineLevel="0" collapsed="false">
      <c r="A285" s="16" t="n">
        <v>42291</v>
      </c>
      <c r="B285" s="23" t="n">
        <f aca="false">YEAR(A285)</f>
        <v>2015</v>
      </c>
      <c r="C285" s="17" t="n">
        <v>253.27</v>
      </c>
      <c r="D285" s="23" t="n">
        <f aca="false">A285-A284</f>
        <v>1</v>
      </c>
      <c r="E285" s="24" t="n">
        <f aca="false">LN(C285)</f>
        <v>5.53445611335706</v>
      </c>
      <c r="F285" s="25" t="n">
        <f aca="false">LN(C285/C284)</f>
        <v>0.00904301565638339</v>
      </c>
      <c r="G285" s="25" t="n">
        <f aca="false">IF(AND(D285=1,A285&gt;=$R$2),F285,"")</f>
        <v>0.00904301565638339</v>
      </c>
      <c r="H285" s="27" t="n">
        <f aca="false">IF(G285="","",G285^2)</f>
        <v>8.17761321615951E-005</v>
      </c>
      <c r="I285" s="25" t="n">
        <f aca="false">IF(G285="","",C285/C284-1)</f>
        <v>0.00908402725208179</v>
      </c>
      <c r="J285" s="17" t="n">
        <f aca="false">AVERAGE(C86:C285)</f>
        <v>246.42845</v>
      </c>
      <c r="K285" s="17" t="n">
        <f aca="false">MAX(K284,C285)</f>
        <v>378</v>
      </c>
      <c r="L285" s="25" t="n">
        <f aca="false">C285/K285-1</f>
        <v>-0.329973544973545</v>
      </c>
      <c r="M285" s="25" t="n">
        <f aca="false">IF(COUNT(G256:G285)&lt;20,"",_xlfn.STDEV.S(G256:G285)*SQRT($R$3))</f>
        <v>0.216952613815286</v>
      </c>
      <c r="N285" s="25" t="n">
        <f aca="false">IF(A285-7&lt;$R$2,"",C285/INDEX(Clean_Data!$C$2:$C$4314,MATCH(A285-7,Clean_Data!$A$2:$A$4314,1))-1)</f>
        <v>0.0379918032786886</v>
      </c>
      <c r="O285" s="25" t="n">
        <f aca="false">IF(A285-30&lt;$R$2,"",C285/INDEX(Clean_Data!$C$2:$C$4314,MATCH(A285-30,Clean_Data!$A$2:$A$4314,1))-1)</f>
        <v>0.0963594649582271</v>
      </c>
    </row>
    <row r="286" customFormat="false" ht="15" hidden="false" customHeight="false" outlineLevel="0" collapsed="false">
      <c r="A286" s="16" t="n">
        <v>42292</v>
      </c>
      <c r="B286" s="23" t="n">
        <f aca="false">YEAR(A286)</f>
        <v>2015</v>
      </c>
      <c r="C286" s="17" t="n">
        <v>254.99</v>
      </c>
      <c r="D286" s="23" t="n">
        <f aca="false">A286-A285</f>
        <v>1</v>
      </c>
      <c r="E286" s="24" t="n">
        <f aca="false">LN(C286)</f>
        <v>5.5412243287032</v>
      </c>
      <c r="F286" s="25" t="n">
        <f aca="false">LN(C286/C285)</f>
        <v>0.00676821534613881</v>
      </c>
      <c r="G286" s="25" t="n">
        <f aca="false">IF(AND(D286=1,A286&gt;=$R$2),F286,"")</f>
        <v>0.00676821534613881</v>
      </c>
      <c r="H286" s="27" t="n">
        <f aca="false">IF(G286="","",G286^2)</f>
        <v>4.58087389717089E-005</v>
      </c>
      <c r="I286" s="25" t="n">
        <f aca="false">IF(G286="","",C286/C285-1)</f>
        <v>0.00679117147707986</v>
      </c>
      <c r="J286" s="17" t="n">
        <f aca="false">AVERAGE(C87:C286)</f>
        <v>246.48495</v>
      </c>
      <c r="K286" s="17" t="n">
        <f aca="false">MAX(K285,C286)</f>
        <v>378</v>
      </c>
      <c r="L286" s="25" t="n">
        <f aca="false">C286/K286-1</f>
        <v>-0.32542328042328</v>
      </c>
      <c r="M286" s="25" t="n">
        <f aca="false">IF(COUNT(G257:G286)&lt;20,"",_xlfn.STDEV.S(G257:G286)*SQRT($R$3))</f>
        <v>0.216598887722793</v>
      </c>
      <c r="N286" s="25" t="n">
        <f aca="false">IF(A286-7&lt;$R$2,"",C286/INDEX(Clean_Data!$C$2:$C$4314,MATCH(A286-7,Clean_Data!$A$2:$A$4314,1))-1)</f>
        <v>0.0496007244587142</v>
      </c>
      <c r="O286" s="25" t="n">
        <f aca="false">IF(A286-30&lt;$R$2,"",C286/INDEX(Clean_Data!$C$2:$C$4314,MATCH(A286-30,Clean_Data!$A$2:$A$4314,1))-1)</f>
        <v>0.105767562879445</v>
      </c>
    </row>
    <row r="287" customFormat="false" ht="15" hidden="false" customHeight="false" outlineLevel="0" collapsed="false">
      <c r="A287" s="16" t="n">
        <v>42293</v>
      </c>
      <c r="B287" s="23" t="n">
        <f aca="false">YEAR(A287)</f>
        <v>2015</v>
      </c>
      <c r="C287" s="17" t="n">
        <v>263.43</v>
      </c>
      <c r="D287" s="23" t="n">
        <f aca="false">A287-A286</f>
        <v>1</v>
      </c>
      <c r="E287" s="24" t="n">
        <f aca="false">LN(C287)</f>
        <v>5.57378767804001</v>
      </c>
      <c r="F287" s="25" t="n">
        <f aca="false">LN(C287/C286)</f>
        <v>0.0325633493368174</v>
      </c>
      <c r="G287" s="25" t="n">
        <f aca="false">IF(AND(D287=1,A287&gt;=$R$2),F287,"")</f>
        <v>0.0325633493368174</v>
      </c>
      <c r="H287" s="27" t="n">
        <f aca="false">IF(G287="","",G287^2)</f>
        <v>0.00106037172003161</v>
      </c>
      <c r="I287" s="25" t="n">
        <f aca="false">IF(G287="","",C287/C286-1)</f>
        <v>0.033099337228911</v>
      </c>
      <c r="J287" s="17" t="n">
        <f aca="false">AVERAGE(C88:C287)</f>
        <v>246.5582</v>
      </c>
      <c r="K287" s="17" t="n">
        <f aca="false">MAX(K286,C287)</f>
        <v>378</v>
      </c>
      <c r="L287" s="25" t="n">
        <f aca="false">C287/K287-1</f>
        <v>-0.303095238095238</v>
      </c>
      <c r="M287" s="25" t="n">
        <f aca="false">IF(COUNT(G258:G287)&lt;20,"",_xlfn.STDEV.S(G258:G287)*SQRT($R$3))</f>
        <v>0.237615691005528</v>
      </c>
      <c r="N287" s="25" t="n">
        <f aca="false">IF(A287-7&lt;$R$2,"",C287/INDEX(Clean_Data!$C$2:$C$4314,MATCH(A287-7,Clean_Data!$A$2:$A$4314,1))-1)</f>
        <v>0.0780847145488031</v>
      </c>
      <c r="O287" s="25" t="n">
        <f aca="false">IF(A287-30&lt;$R$2,"",C287/INDEX(Clean_Data!$C$2:$C$4314,MATCH(A287-30,Clean_Data!$A$2:$A$4314,1))-1)</f>
        <v>0.146693945065947</v>
      </c>
    </row>
    <row r="288" customFormat="false" ht="15" hidden="false" customHeight="false" outlineLevel="0" collapsed="false">
      <c r="A288" s="16" t="n">
        <v>42294</v>
      </c>
      <c r="B288" s="23" t="n">
        <f aca="false">YEAR(A288)</f>
        <v>2015</v>
      </c>
      <c r="C288" s="17" t="n">
        <v>272.87</v>
      </c>
      <c r="D288" s="23" t="n">
        <f aca="false">A288-A287</f>
        <v>1</v>
      </c>
      <c r="E288" s="24" t="n">
        <f aca="false">LN(C288)</f>
        <v>5.60899549129408</v>
      </c>
      <c r="F288" s="25" t="n">
        <f aca="false">LN(C288/C287)</f>
        <v>0.0352078132540645</v>
      </c>
      <c r="G288" s="25" t="n">
        <f aca="false">IF(AND(D288=1,A288&gt;=$R$2),F288,"")</f>
        <v>0.0352078132540645</v>
      </c>
      <c r="H288" s="27" t="n">
        <f aca="false">IF(G288="","",G288^2)</f>
        <v>0.00123959011413308</v>
      </c>
      <c r="I288" s="25" t="n">
        <f aca="false">IF(G288="","",C288/C287-1)</f>
        <v>0.0358349466651482</v>
      </c>
      <c r="J288" s="17" t="n">
        <f aca="false">AVERAGE(C89:C288)</f>
        <v>246.69505</v>
      </c>
      <c r="K288" s="17" t="n">
        <f aca="false">MAX(K287,C288)</f>
        <v>378</v>
      </c>
      <c r="L288" s="25" t="n">
        <f aca="false">C288/K288-1</f>
        <v>-0.278121693121693</v>
      </c>
      <c r="M288" s="25" t="n">
        <f aca="false">IF(COUNT(G259:G288)&lt;20,"",_xlfn.STDEV.S(G259:G288)*SQRT($R$3))</f>
        <v>0.258047898039014</v>
      </c>
      <c r="N288" s="25" t="n">
        <f aca="false">IF(A288-7&lt;$R$2,"",C288/INDEX(Clean_Data!$C$2:$C$4314,MATCH(A288-7,Clean_Data!$A$2:$A$4314,1))-1)</f>
        <v>0.108912098183444</v>
      </c>
      <c r="O288" s="25" t="n">
        <f aca="false">IF(A288-30&lt;$R$2,"",C288/INDEX(Clean_Data!$C$2:$C$4314,MATCH(A288-30,Clean_Data!$A$2:$A$4314,1))-1)</f>
        <v>0.169409445444416</v>
      </c>
    </row>
    <row r="289" customFormat="false" ht="15" hidden="false" customHeight="false" outlineLevel="0" collapsed="false">
      <c r="A289" s="16" t="n">
        <v>42295</v>
      </c>
      <c r="B289" s="23" t="n">
        <f aca="false">YEAR(A289)</f>
        <v>2015</v>
      </c>
      <c r="C289" s="17" t="n">
        <v>265</v>
      </c>
      <c r="D289" s="23" t="n">
        <f aca="false">A289-A288</f>
        <v>1</v>
      </c>
      <c r="E289" s="24" t="n">
        <f aca="false">LN(C289)</f>
        <v>5.57972982598622</v>
      </c>
      <c r="F289" s="25" t="n">
        <f aca="false">LN(C289/C288)</f>
        <v>-0.0292656653078561</v>
      </c>
      <c r="G289" s="25" t="n">
        <f aca="false">IF(AND(D289=1,A289&gt;=$R$2),F289,"")</f>
        <v>-0.0292656653078561</v>
      </c>
      <c r="H289" s="27" t="n">
        <f aca="false">IF(G289="","",G289^2)</f>
        <v>0.000856479165911453</v>
      </c>
      <c r="I289" s="25" t="n">
        <f aca="false">IF(G289="","",C289/C288-1)</f>
        <v>-0.028841572910177</v>
      </c>
      <c r="J289" s="17" t="n">
        <f aca="false">AVERAGE(C90:C289)</f>
        <v>246.7807</v>
      </c>
      <c r="K289" s="17" t="n">
        <f aca="false">MAX(K288,C289)</f>
        <v>378</v>
      </c>
      <c r="L289" s="25" t="n">
        <f aca="false">C289/K289-1</f>
        <v>-0.298941798941799</v>
      </c>
      <c r="M289" s="25" t="n">
        <f aca="false">IF(COUNT(G260:G289)&lt;20,"",_xlfn.STDEV.S(G260:G289)*SQRT($R$3))</f>
        <v>0.284617643742175</v>
      </c>
      <c r="N289" s="25" t="n">
        <f aca="false">IF(A289-7&lt;$R$2,"",C289/INDEX(Clean_Data!$C$2:$C$4314,MATCH(A289-7,Clean_Data!$A$2:$A$4314,1))-1)</f>
        <v>0.064171552485744</v>
      </c>
      <c r="O289" s="25" t="n">
        <f aca="false">IF(A289-30&lt;$R$2,"",C289/INDEX(Clean_Data!$C$2:$C$4314,MATCH(A289-30,Clean_Data!$A$2:$A$4314,1))-1)</f>
        <v>0.133544357943366</v>
      </c>
    </row>
    <row r="290" customFormat="false" ht="15" hidden="false" customHeight="false" outlineLevel="0" collapsed="false">
      <c r="A290" s="16" t="n">
        <v>42296</v>
      </c>
      <c r="B290" s="23" t="n">
        <f aca="false">YEAR(A290)</f>
        <v>2015</v>
      </c>
      <c r="C290" s="17" t="n">
        <v>265.17</v>
      </c>
      <c r="D290" s="23" t="n">
        <f aca="false">A290-A289</f>
        <v>1</v>
      </c>
      <c r="E290" s="24" t="n">
        <f aca="false">LN(C290)</f>
        <v>5.58037112974097</v>
      </c>
      <c r="F290" s="25" t="n">
        <f aca="false">LN(C290/C289)</f>
        <v>0.000641303754744047</v>
      </c>
      <c r="G290" s="25" t="n">
        <f aca="false">IF(AND(D290=1,A290&gt;=$R$2),F290,"")</f>
        <v>0.000641303754744047</v>
      </c>
      <c r="H290" s="27" t="n">
        <f aca="false">IF(G290="","",G290^2)</f>
        <v>4.11270505848812E-007</v>
      </c>
      <c r="I290" s="25" t="n">
        <f aca="false">IF(G290="","",C290/C289-1)</f>
        <v>0.00064150943396224</v>
      </c>
      <c r="J290" s="17" t="n">
        <f aca="false">AVERAGE(C91:C290)</f>
        <v>246.8346</v>
      </c>
      <c r="K290" s="17" t="n">
        <f aca="false">MAX(K289,C290)</f>
        <v>378</v>
      </c>
      <c r="L290" s="25" t="n">
        <f aca="false">C290/K290-1</f>
        <v>-0.298492063492064</v>
      </c>
      <c r="M290" s="25" t="n">
        <f aca="false">IF(COUNT(G261:G290)&lt;20,"",_xlfn.STDEV.S(G261:G290)*SQRT($R$3))</f>
        <v>0.283449267049167</v>
      </c>
      <c r="N290" s="25" t="n">
        <f aca="false">IF(A290-7&lt;$R$2,"",C290/INDEX(Clean_Data!$C$2:$C$4314,MATCH(A290-7,Clean_Data!$A$2:$A$4314,1))-1)</f>
        <v>0.0762206258370877</v>
      </c>
      <c r="O290" s="25" t="n">
        <f aca="false">IF(A290-30&lt;$R$2,"",C290/INDEX(Clean_Data!$C$2:$C$4314,MATCH(A290-30,Clean_Data!$A$2:$A$4314,1))-1)</f>
        <v>0.138655101339746</v>
      </c>
    </row>
    <row r="291" customFormat="false" ht="15" hidden="false" customHeight="false" outlineLevel="0" collapsed="false">
      <c r="A291" s="16" t="n">
        <v>42297</v>
      </c>
      <c r="B291" s="23" t="n">
        <f aca="false">YEAR(A291)</f>
        <v>2015</v>
      </c>
      <c r="C291" s="17" t="n">
        <v>271.14</v>
      </c>
      <c r="D291" s="23" t="n">
        <f aca="false">A291-A290</f>
        <v>1</v>
      </c>
      <c r="E291" s="24" t="n">
        <f aca="false">LN(C291)</f>
        <v>5.60263529265124</v>
      </c>
      <c r="F291" s="25" t="n">
        <f aca="false">LN(C291/C290)</f>
        <v>0.0222641629102769</v>
      </c>
      <c r="G291" s="25" t="n">
        <f aca="false">IF(AND(D291=1,A291&gt;=$R$2),F291,"")</f>
        <v>0.0222641629102769</v>
      </c>
      <c r="H291" s="27" t="n">
        <f aca="false">IF(G291="","",G291^2)</f>
        <v>0.000495692950095348</v>
      </c>
      <c r="I291" s="25" t="n">
        <f aca="false">IF(G291="","",C291/C290-1)</f>
        <v>0.0225138590338272</v>
      </c>
      <c r="J291" s="17" t="n">
        <f aca="false">AVERAGE(C92:C291)</f>
        <v>246.9161</v>
      </c>
      <c r="K291" s="17" t="n">
        <f aca="false">MAX(K290,C291)</f>
        <v>378</v>
      </c>
      <c r="L291" s="25" t="n">
        <f aca="false">C291/K291-1</f>
        <v>-0.282698412698413</v>
      </c>
      <c r="M291" s="25" t="n">
        <f aca="false">IF(COUNT(G262:G291)&lt;20,"",_xlfn.STDEV.S(G262:G291)*SQRT($R$3))</f>
        <v>0.288961816065468</v>
      </c>
      <c r="N291" s="25" t="n">
        <f aca="false">IF(A291-7&lt;$R$2,"",C291/INDEX(Clean_Data!$C$2:$C$4314,MATCH(A291-7,Clean_Data!$A$2:$A$4314,1))-1)</f>
        <v>0.0802820829515119</v>
      </c>
      <c r="O291" s="25" t="n">
        <f aca="false">IF(A291-30&lt;$R$2,"",C291/INDEX(Clean_Data!$C$2:$C$4314,MATCH(A291-30,Clean_Data!$A$2:$A$4314,1))-1)</f>
        <v>0.167499138821908</v>
      </c>
    </row>
    <row r="292" customFormat="false" ht="15" hidden="false" customHeight="false" outlineLevel="0" collapsed="false">
      <c r="A292" s="16" t="n">
        <v>42298</v>
      </c>
      <c r="B292" s="23" t="n">
        <f aca="false">YEAR(A292)</f>
        <v>2015</v>
      </c>
      <c r="C292" s="17" t="n">
        <v>268.77</v>
      </c>
      <c r="D292" s="23" t="n">
        <f aca="false">A292-A291</f>
        <v>1</v>
      </c>
      <c r="E292" s="24" t="n">
        <f aca="false">LN(C292)</f>
        <v>5.5938559952776</v>
      </c>
      <c r="F292" s="25" t="n">
        <f aca="false">LN(C292/C291)</f>
        <v>-0.00877929737364661</v>
      </c>
      <c r="G292" s="25" t="n">
        <f aca="false">IF(AND(D292=1,A292&gt;=$R$2),F292,"")</f>
        <v>-0.00877929737364661</v>
      </c>
      <c r="H292" s="27" t="n">
        <f aca="false">IF(G292="","",G292^2)</f>
        <v>7.70760623749182E-005</v>
      </c>
      <c r="I292" s="25" t="n">
        <f aca="false">IF(G292="","",C292/C291-1)</f>
        <v>-0.0087408718743085</v>
      </c>
      <c r="J292" s="17" t="n">
        <f aca="false">AVERAGE(C93:C292)</f>
        <v>246.98815</v>
      </c>
      <c r="K292" s="17" t="n">
        <f aca="false">MAX(K291,C292)</f>
        <v>378</v>
      </c>
      <c r="L292" s="25" t="n">
        <f aca="false">C292/K292-1</f>
        <v>-0.288968253968254</v>
      </c>
      <c r="M292" s="25" t="n">
        <f aca="false">IF(COUNT(G263:G292)&lt;20,"",_xlfn.STDEV.S(G263:G292)*SQRT($R$3))</f>
        <v>0.277416227579465</v>
      </c>
      <c r="N292" s="25" t="n">
        <f aca="false">IF(A292-7&lt;$R$2,"",C292/INDEX(Clean_Data!$C$2:$C$4314,MATCH(A292-7,Clean_Data!$A$2:$A$4314,1))-1)</f>
        <v>0.0611995104039167</v>
      </c>
      <c r="O292" s="25" t="n">
        <f aca="false">IF(A292-30&lt;$R$2,"",C292/INDEX(Clean_Data!$C$2:$C$4314,MATCH(A292-30,Clean_Data!$A$2:$A$4314,1))-1)</f>
        <v>0.182394087369671</v>
      </c>
    </row>
    <row r="293" customFormat="false" ht="15" hidden="false" customHeight="false" outlineLevel="0" collapsed="false">
      <c r="A293" s="16" t="n">
        <v>42299</v>
      </c>
      <c r="B293" s="23" t="n">
        <f aca="false">YEAR(A293)</f>
        <v>2015</v>
      </c>
      <c r="C293" s="17" t="n">
        <v>275.84</v>
      </c>
      <c r="D293" s="23" t="n">
        <f aca="false">A293-A292</f>
        <v>1</v>
      </c>
      <c r="E293" s="24" t="n">
        <f aca="false">LN(C293)</f>
        <v>5.61982098747533</v>
      </c>
      <c r="F293" s="25" t="n">
        <f aca="false">LN(C293/C292)</f>
        <v>0.0259649921977316</v>
      </c>
      <c r="G293" s="25" t="n">
        <f aca="false">IF(AND(D293=1,A293&gt;=$R$2),F293,"")</f>
        <v>0.0259649921977316</v>
      </c>
      <c r="H293" s="27" t="n">
        <f aca="false">IF(G293="","",G293^2)</f>
        <v>0.00067418081982826</v>
      </c>
      <c r="I293" s="25" t="n">
        <f aca="false">IF(G293="","",C293/C292-1)</f>
        <v>0.0263050191613647</v>
      </c>
      <c r="J293" s="17" t="n">
        <f aca="false">AVERAGE(C94:C293)</f>
        <v>247.06</v>
      </c>
      <c r="K293" s="17" t="n">
        <f aca="false">MAX(K292,C293)</f>
        <v>378</v>
      </c>
      <c r="L293" s="25" t="n">
        <f aca="false">C293/K293-1</f>
        <v>-0.27026455026455</v>
      </c>
      <c r="M293" s="25" t="n">
        <f aca="false">IF(COUNT(G264:G293)&lt;20,"",_xlfn.STDEV.S(G264:G293)*SQRT($R$3))</f>
        <v>0.283592048705263</v>
      </c>
      <c r="N293" s="25" t="n">
        <f aca="false">IF(A293-7&lt;$R$2,"",C293/INDEX(Clean_Data!$C$2:$C$4314,MATCH(A293-7,Clean_Data!$A$2:$A$4314,1))-1)</f>
        <v>0.0817679124671555</v>
      </c>
      <c r="O293" s="25" t="n">
        <f aca="false">IF(A293-30&lt;$R$2,"",C293/INDEX(Clean_Data!$C$2:$C$4314,MATCH(A293-30,Clean_Data!$A$2:$A$4314,1))-1)</f>
        <v>0.192666897267382</v>
      </c>
    </row>
    <row r="294" customFormat="false" ht="15" hidden="false" customHeight="false" outlineLevel="0" collapsed="false">
      <c r="A294" s="16" t="n">
        <v>42300</v>
      </c>
      <c r="B294" s="23" t="n">
        <f aca="false">YEAR(A294)</f>
        <v>2015</v>
      </c>
      <c r="C294" s="17" t="n">
        <v>278.76</v>
      </c>
      <c r="D294" s="23" t="n">
        <f aca="false">A294-A293</f>
        <v>1</v>
      </c>
      <c r="E294" s="24" t="n">
        <f aca="false">LN(C294)</f>
        <v>5.63035119657032</v>
      </c>
      <c r="F294" s="25" t="n">
        <f aca="false">LN(C294/C293)</f>
        <v>0.0105302090949899</v>
      </c>
      <c r="G294" s="25" t="n">
        <f aca="false">IF(AND(D294=1,A294&gt;=$R$2),F294,"")</f>
        <v>0.0105302090949899</v>
      </c>
      <c r="H294" s="27" t="n">
        <f aca="false">IF(G294="","",G294^2)</f>
        <v>0.000110885303584209</v>
      </c>
      <c r="I294" s="25" t="n">
        <f aca="false">IF(G294="","",C294/C293-1)</f>
        <v>0.0105858468677495</v>
      </c>
      <c r="J294" s="17" t="n">
        <f aca="false">AVERAGE(C95:C294)</f>
        <v>247.16955</v>
      </c>
      <c r="K294" s="17" t="n">
        <f aca="false">MAX(K293,C294)</f>
        <v>378</v>
      </c>
      <c r="L294" s="25" t="n">
        <f aca="false">C294/K294-1</f>
        <v>-0.262539682539683</v>
      </c>
      <c r="M294" s="25" t="n">
        <f aca="false">IF(COUNT(G265:G294)&lt;20,"",_xlfn.STDEV.S(G265:G294)*SQRT($R$3))</f>
        <v>0.281549624207725</v>
      </c>
      <c r="N294" s="25" t="n">
        <f aca="false">IF(A294-7&lt;$R$2,"",C294/INDEX(Clean_Data!$C$2:$C$4314,MATCH(A294-7,Clean_Data!$A$2:$A$4314,1))-1)</f>
        <v>0.0581938275822798</v>
      </c>
      <c r="O294" s="25" t="n">
        <f aca="false">IF(A294-30&lt;$R$2,"",C294/INDEX(Clean_Data!$C$2:$C$4314,MATCH(A294-30,Clean_Data!$A$2:$A$4314,1))-1)</f>
        <v>0.210631460088595</v>
      </c>
    </row>
    <row r="295" customFormat="false" ht="15" hidden="false" customHeight="false" outlineLevel="0" collapsed="false">
      <c r="A295" s="16" t="n">
        <v>42301</v>
      </c>
      <c r="B295" s="23" t="n">
        <f aca="false">YEAR(A295)</f>
        <v>2015</v>
      </c>
      <c r="C295" s="17" t="n">
        <v>284.29</v>
      </c>
      <c r="D295" s="23" t="n">
        <f aca="false">A295-A294</f>
        <v>1</v>
      </c>
      <c r="E295" s="24" t="n">
        <f aca="false">LN(C295)</f>
        <v>5.64999484392648</v>
      </c>
      <c r="F295" s="25" t="n">
        <f aca="false">LN(C295/C294)</f>
        <v>0.0196436473561589</v>
      </c>
      <c r="G295" s="25" t="n">
        <f aca="false">IF(AND(D295=1,A295&gt;=$R$2),F295,"")</f>
        <v>0.0196436473561589</v>
      </c>
      <c r="H295" s="27" t="n">
        <f aca="false">IF(G295="","",G295^2)</f>
        <v>0.000385872881453127</v>
      </c>
      <c r="I295" s="25" t="n">
        <f aca="false">IF(G295="","",C295/C294-1)</f>
        <v>0.0198378533505525</v>
      </c>
      <c r="J295" s="17" t="n">
        <f aca="false">AVERAGE(C96:C295)</f>
        <v>247.31965</v>
      </c>
      <c r="K295" s="17" t="n">
        <f aca="false">MAX(K294,C295)</f>
        <v>378</v>
      </c>
      <c r="L295" s="25" t="n">
        <f aca="false">C295/K295-1</f>
        <v>-0.247910052910053</v>
      </c>
      <c r="M295" s="25" t="n">
        <f aca="false">IF(COUNT(G266:G295)&lt;20,"",_xlfn.STDEV.S(G266:G295)*SQRT($R$3))</f>
        <v>0.280349296809304</v>
      </c>
      <c r="N295" s="25" t="n">
        <f aca="false">IF(A295-7&lt;$R$2,"",C295/INDEX(Clean_Data!$C$2:$C$4314,MATCH(A295-7,Clean_Data!$A$2:$A$4314,1))-1)</f>
        <v>0.0418514310843992</v>
      </c>
      <c r="O295" s="25" t="n">
        <f aca="false">IF(A295-30&lt;$R$2,"",C295/INDEX(Clean_Data!$C$2:$C$4314,MATCH(A295-30,Clean_Data!$A$2:$A$4314,1))-1)</f>
        <v>0.208356356526544</v>
      </c>
    </row>
    <row r="296" customFormat="false" ht="15" hidden="false" customHeight="false" outlineLevel="0" collapsed="false">
      <c r="A296" s="16" t="n">
        <v>42302</v>
      </c>
      <c r="B296" s="23" t="n">
        <f aca="false">YEAR(A296)</f>
        <v>2015</v>
      </c>
      <c r="C296" s="17" t="n">
        <v>284.97</v>
      </c>
      <c r="D296" s="23" t="n">
        <f aca="false">A296-A295</f>
        <v>1</v>
      </c>
      <c r="E296" s="24" t="n">
        <f aca="false">LN(C296)</f>
        <v>5.6523839115702</v>
      </c>
      <c r="F296" s="25" t="n">
        <f aca="false">LN(C296/C295)</f>
        <v>0.0023890676437239</v>
      </c>
      <c r="G296" s="25" t="n">
        <f aca="false">IF(AND(D296=1,A296&gt;=$R$2),F296,"")</f>
        <v>0.0023890676437239</v>
      </c>
      <c r="H296" s="27" t="n">
        <f aca="false">IF(G296="","",G296^2)</f>
        <v>5.70764420628847E-006</v>
      </c>
      <c r="I296" s="25" t="n">
        <f aca="false">IF(G296="","",C296/C295-1)</f>
        <v>0.00239192373984309</v>
      </c>
      <c r="J296" s="17" t="n">
        <f aca="false">AVERAGE(C97:C296)</f>
        <v>247.5116</v>
      </c>
      <c r="K296" s="17" t="n">
        <f aca="false">MAX(K295,C296)</f>
        <v>378</v>
      </c>
      <c r="L296" s="25" t="n">
        <f aca="false">C296/K296-1</f>
        <v>-0.246111111111111</v>
      </c>
      <c r="M296" s="25" t="n">
        <f aca="false">IF(COUNT(G267:G296)&lt;20,"",_xlfn.STDEV.S(G267:G296)*SQRT($R$3))</f>
        <v>0.280390641575502</v>
      </c>
      <c r="N296" s="25" t="n">
        <f aca="false">IF(A296-7&lt;$R$2,"",C296/INDEX(Clean_Data!$C$2:$C$4314,MATCH(A296-7,Clean_Data!$A$2:$A$4314,1))-1)</f>
        <v>0.0753584905660378</v>
      </c>
      <c r="O296" s="25" t="n">
        <f aca="false">IF(A296-30&lt;$R$2,"",C296/INDEX(Clean_Data!$C$2:$C$4314,MATCH(A296-30,Clean_Data!$A$2:$A$4314,1))-1)</f>
        <v>0.208063080249269</v>
      </c>
    </row>
    <row r="297" customFormat="false" ht="15" hidden="false" customHeight="false" outlineLevel="0" collapsed="false">
      <c r="A297" s="16" t="n">
        <v>42303</v>
      </c>
      <c r="B297" s="23" t="n">
        <f aca="false">YEAR(A297)</f>
        <v>2015</v>
      </c>
      <c r="C297" s="17" t="n">
        <v>287.1</v>
      </c>
      <c r="D297" s="23" t="n">
        <f aca="false">A297-A296</f>
        <v>1</v>
      </c>
      <c r="E297" s="24" t="n">
        <f aca="false">LN(C297)</f>
        <v>5.65983058712702</v>
      </c>
      <c r="F297" s="25" t="n">
        <f aca="false">LN(C297/C296)</f>
        <v>0.00744667555681743</v>
      </c>
      <c r="G297" s="25" t="n">
        <f aca="false">IF(AND(D297=1,A297&gt;=$R$2),F297,"")</f>
        <v>0.00744667555681743</v>
      </c>
      <c r="H297" s="27" t="n">
        <f aca="false">IF(G297="","",G297^2)</f>
        <v>5.54529768485022E-005</v>
      </c>
      <c r="I297" s="25" t="n">
        <f aca="false">IF(G297="","",C297/C296-1)</f>
        <v>0.00747447099694698</v>
      </c>
      <c r="J297" s="17" t="n">
        <f aca="false">AVERAGE(C98:C297)</f>
        <v>247.7234</v>
      </c>
      <c r="K297" s="17" t="n">
        <f aca="false">MAX(K296,C297)</f>
        <v>378</v>
      </c>
      <c r="L297" s="25" t="n">
        <f aca="false">C297/K297-1</f>
        <v>-0.24047619047619</v>
      </c>
      <c r="M297" s="25" t="n">
        <f aca="false">IF(COUNT(G268:G297)&lt;20,"",_xlfn.STDEV.S(G268:G297)*SQRT($R$3))</f>
        <v>0.277368872239599</v>
      </c>
      <c r="N297" s="25" t="n">
        <f aca="false">IF(A297-7&lt;$R$2,"",C297/INDEX(Clean_Data!$C$2:$C$4314,MATCH(A297-7,Clean_Data!$A$2:$A$4314,1))-1)</f>
        <v>0.0827016630840594</v>
      </c>
      <c r="O297" s="25" t="n">
        <f aca="false">IF(A297-30&lt;$R$2,"",C297/INDEX(Clean_Data!$C$2:$C$4314,MATCH(A297-30,Clean_Data!$A$2:$A$4314,1))-1)</f>
        <v>0.223315863479484</v>
      </c>
    </row>
    <row r="298" customFormat="false" ht="15" hidden="false" customHeight="false" outlineLevel="0" collapsed="false">
      <c r="A298" s="16" t="n">
        <v>42304</v>
      </c>
      <c r="B298" s="23" t="n">
        <f aca="false">YEAR(A298)</f>
        <v>2015</v>
      </c>
      <c r="C298" s="17" t="n">
        <v>295.61</v>
      </c>
      <c r="D298" s="23" t="n">
        <f aca="false">A298-A297</f>
        <v>1</v>
      </c>
      <c r="E298" s="24" t="n">
        <f aca="false">LN(C298)</f>
        <v>5.68904101800117</v>
      </c>
      <c r="F298" s="25" t="n">
        <f aca="false">LN(C298/C297)</f>
        <v>0.0292104308741472</v>
      </c>
      <c r="G298" s="25" t="n">
        <f aca="false">IF(AND(D298=1,A298&gt;=$R$2),F298,"")</f>
        <v>0.0292104308741472</v>
      </c>
      <c r="H298" s="27" t="n">
        <f aca="false">IF(G298="","",G298^2)</f>
        <v>0.00085324927185333</v>
      </c>
      <c r="I298" s="25" t="n">
        <f aca="false">IF(G298="","",C298/C297-1)</f>
        <v>0.0296412399860675</v>
      </c>
      <c r="J298" s="17" t="n">
        <f aca="false">AVERAGE(C99:C298)</f>
        <v>248.01755</v>
      </c>
      <c r="K298" s="17" t="n">
        <f aca="false">MAX(K297,C298)</f>
        <v>378</v>
      </c>
      <c r="L298" s="25" t="n">
        <f aca="false">C298/K298-1</f>
        <v>-0.217962962962963</v>
      </c>
      <c r="M298" s="25" t="n">
        <f aca="false">IF(COUNT(G269:G298)&lt;20,"",_xlfn.STDEV.S(G269:G298)*SQRT($R$3))</f>
        <v>0.284892994939414</v>
      </c>
      <c r="N298" s="25" t="n">
        <f aca="false">IF(A298-7&lt;$R$2,"",C298/INDEX(Clean_Data!$C$2:$C$4314,MATCH(A298-7,Clean_Data!$A$2:$A$4314,1))-1)</f>
        <v>0.0902485800693369</v>
      </c>
      <c r="O298" s="25" t="n">
        <f aca="false">IF(A298-30&lt;$R$2,"",C298/INDEX(Clean_Data!$C$2:$C$4314,MATCH(A298-30,Clean_Data!$A$2:$A$4314,1))-1)</f>
        <v>0.265562120044524</v>
      </c>
    </row>
    <row r="299" customFormat="false" ht="15" hidden="false" customHeight="false" outlineLevel="0" collapsed="false">
      <c r="A299" s="16" t="n">
        <v>42305</v>
      </c>
      <c r="B299" s="23" t="n">
        <f aca="false">YEAR(A299)</f>
        <v>2015</v>
      </c>
      <c r="C299" s="17" t="n">
        <v>304.09</v>
      </c>
      <c r="D299" s="23" t="n">
        <f aca="false">A299-A298</f>
        <v>1</v>
      </c>
      <c r="E299" s="24" t="n">
        <f aca="false">LN(C299)</f>
        <v>5.71732371022287</v>
      </c>
      <c r="F299" s="25" t="n">
        <f aca="false">LN(C299/C298)</f>
        <v>0.0282826922217021</v>
      </c>
      <c r="G299" s="25" t="n">
        <f aca="false">IF(AND(D299=1,A299&gt;=$R$2),F299,"")</f>
        <v>0.0282826922217021</v>
      </c>
      <c r="H299" s="27" t="n">
        <f aca="false">IF(G299="","",G299^2)</f>
        <v>0.000799910679307528</v>
      </c>
      <c r="I299" s="25" t="n">
        <f aca="false">IF(G299="","",C299/C298-1)</f>
        <v>0.0286864449781805</v>
      </c>
      <c r="J299" s="17" t="n">
        <f aca="false">AVERAGE(C100:C299)</f>
        <v>248.34845</v>
      </c>
      <c r="K299" s="17" t="n">
        <f aca="false">MAX(K298,C299)</f>
        <v>378</v>
      </c>
      <c r="L299" s="25" t="n">
        <f aca="false">C299/K299-1</f>
        <v>-0.195529100529101</v>
      </c>
      <c r="M299" s="25" t="n">
        <f aca="false">IF(COUNT(G270:G299)&lt;20,"",_xlfn.STDEV.S(G270:G299)*SQRT($R$3))</f>
        <v>0.285949898259328</v>
      </c>
      <c r="N299" s="25" t="n">
        <f aca="false">IF(A299-7&lt;$R$2,"",C299/INDEX(Clean_Data!$C$2:$C$4314,MATCH(A299-7,Clean_Data!$A$2:$A$4314,1))-1)</f>
        <v>0.131413476206422</v>
      </c>
      <c r="O299" s="25" t="n">
        <f aca="false">IF(A299-30&lt;$R$2,"",C299/INDEX(Clean_Data!$C$2:$C$4314,MATCH(A299-30,Clean_Data!$A$2:$A$4314,1))-1)</f>
        <v>0.267094462269261</v>
      </c>
    </row>
    <row r="300" customFormat="false" ht="15" hidden="false" customHeight="false" outlineLevel="0" collapsed="false">
      <c r="A300" s="16" t="n">
        <v>42306</v>
      </c>
      <c r="B300" s="23" t="n">
        <f aca="false">YEAR(A300)</f>
        <v>2015</v>
      </c>
      <c r="C300" s="17" t="n">
        <v>316.08</v>
      </c>
      <c r="D300" s="23" t="n">
        <f aca="false">A300-A299</f>
        <v>1</v>
      </c>
      <c r="E300" s="24" t="n">
        <f aca="false">LN(C300)</f>
        <v>5.75599534610314</v>
      </c>
      <c r="F300" s="25" t="n">
        <f aca="false">LN(C300/C299)</f>
        <v>0.0386716358802676</v>
      </c>
      <c r="G300" s="25" t="n">
        <f aca="false">IF(AND(D300=1,A300&gt;=$R$2),F300,"")</f>
        <v>0.0386716358802676</v>
      </c>
      <c r="H300" s="27" t="n">
        <f aca="false">IF(G300="","",G300^2)</f>
        <v>0.001495495421656</v>
      </c>
      <c r="I300" s="25" t="n">
        <f aca="false">IF(G300="","",C300/C299-1)</f>
        <v>0.0394291163800191</v>
      </c>
      <c r="J300" s="17" t="n">
        <f aca="false">AVERAGE(C101:C300)</f>
        <v>248.7411</v>
      </c>
      <c r="K300" s="17" t="n">
        <f aca="false">MAX(K299,C300)</f>
        <v>378</v>
      </c>
      <c r="L300" s="25" t="n">
        <f aca="false">C300/K300-1</f>
        <v>-0.163809523809524</v>
      </c>
      <c r="M300" s="25" t="n">
        <f aca="false">IF(COUNT(G271:G300)&lt;20,"",_xlfn.STDEV.S(G271:G300)*SQRT($R$3))</f>
        <v>0.295090315413693</v>
      </c>
      <c r="N300" s="25" t="n">
        <f aca="false">IF(A300-7&lt;$R$2,"",C300/INDEX(Clean_Data!$C$2:$C$4314,MATCH(A300-7,Clean_Data!$A$2:$A$4314,1))-1)</f>
        <v>0.145881670533643</v>
      </c>
      <c r="O300" s="25" t="n">
        <f aca="false">IF(A300-30&lt;$R$2,"",C300/INDEX(Clean_Data!$C$2:$C$4314,MATCH(A300-30,Clean_Data!$A$2:$A$4314,1))-1)</f>
        <v>0.334290176875343</v>
      </c>
    </row>
    <row r="301" customFormat="false" ht="15" hidden="false" customHeight="false" outlineLevel="0" collapsed="false">
      <c r="A301" s="16" t="n">
        <v>42307</v>
      </c>
      <c r="B301" s="23" t="n">
        <f aca="false">YEAR(A301)</f>
        <v>2015</v>
      </c>
      <c r="C301" s="17" t="n">
        <v>329.11</v>
      </c>
      <c r="D301" s="23" t="n">
        <f aca="false">A301-A300</f>
        <v>1</v>
      </c>
      <c r="E301" s="24" t="n">
        <f aca="false">LN(C301)</f>
        <v>5.79639204138859</v>
      </c>
      <c r="F301" s="25" t="n">
        <f aca="false">LN(C301/C300)</f>
        <v>0.0403966952854589</v>
      </c>
      <c r="G301" s="25" t="n">
        <f aca="false">IF(AND(D301=1,A301&gt;=$R$2),F301,"")</f>
        <v>0.0403966952854589</v>
      </c>
      <c r="H301" s="27" t="n">
        <f aca="false">IF(G301="","",G301^2)</f>
        <v>0.00163189298998622</v>
      </c>
      <c r="I301" s="25" t="n">
        <f aca="false">IF(G301="","",C301/C300-1)</f>
        <v>0.0412237408251077</v>
      </c>
      <c r="J301" s="17" t="n">
        <f aca="false">AVERAGE(C102:C301)</f>
        <v>249.258</v>
      </c>
      <c r="K301" s="17" t="n">
        <f aca="false">MAX(K300,C301)</f>
        <v>378</v>
      </c>
      <c r="L301" s="25" t="n">
        <f aca="false">C301/K301-1</f>
        <v>-0.129338624338624</v>
      </c>
      <c r="M301" s="25" t="n">
        <f aca="false">IF(COUNT(G272:G301)&lt;20,"",_xlfn.STDEV.S(G272:G301)*SQRT($R$3))</f>
        <v>0.312144058758568</v>
      </c>
      <c r="N301" s="25" t="n">
        <f aca="false">IF(A301-7&lt;$R$2,"",C301/INDEX(Clean_Data!$C$2:$C$4314,MATCH(A301-7,Clean_Data!$A$2:$A$4314,1))-1)</f>
        <v>0.180621323001865</v>
      </c>
      <c r="O301" s="25" t="n">
        <f aca="false">IF(A301-30&lt;$R$2,"",C301/INDEX(Clean_Data!$C$2:$C$4314,MATCH(A301-30,Clean_Data!$A$2:$A$4314,1))-1)</f>
        <v>0.387829973855107</v>
      </c>
    </row>
    <row r="302" customFormat="false" ht="15" hidden="false" customHeight="false" outlineLevel="0" collapsed="false">
      <c r="A302" s="16" t="n">
        <v>42308</v>
      </c>
      <c r="B302" s="23" t="n">
        <f aca="false">YEAR(A302)</f>
        <v>2015</v>
      </c>
      <c r="C302" s="17" t="n">
        <v>314.85</v>
      </c>
      <c r="D302" s="23" t="n">
        <f aca="false">A302-A301</f>
        <v>1</v>
      </c>
      <c r="E302" s="24" t="n">
        <f aca="false">LN(C302)</f>
        <v>5.75209633493475</v>
      </c>
      <c r="F302" s="25" t="n">
        <f aca="false">LN(C302/C301)</f>
        <v>-0.0442957064538424</v>
      </c>
      <c r="G302" s="25" t="n">
        <f aca="false">IF(AND(D302=1,A302&gt;=$R$2),F302,"")</f>
        <v>-0.0442957064538424</v>
      </c>
      <c r="H302" s="27" t="n">
        <f aca="false">IF(G302="","",G302^2)</f>
        <v>0.00196210961024497</v>
      </c>
      <c r="I302" s="25" t="n">
        <f aca="false">IF(G302="","",C302/C301-1)</f>
        <v>-0.043328978153201</v>
      </c>
      <c r="J302" s="17" t="n">
        <f aca="false">AVERAGE(C103:C302)</f>
        <v>249.727</v>
      </c>
      <c r="K302" s="17" t="n">
        <f aca="false">MAX(K301,C302)</f>
        <v>378</v>
      </c>
      <c r="L302" s="25" t="n">
        <f aca="false">C302/K302-1</f>
        <v>-0.167063492063492</v>
      </c>
      <c r="M302" s="25" t="n">
        <f aca="false">IF(COUNT(G273:G302)&lt;20,"",_xlfn.STDEV.S(G273:G302)*SQRT($R$3))</f>
        <v>0.366547058693625</v>
      </c>
      <c r="N302" s="25" t="n">
        <f aca="false">IF(A302-7&lt;$R$2,"",C302/INDEX(Clean_Data!$C$2:$C$4314,MATCH(A302-7,Clean_Data!$A$2:$A$4314,1))-1)</f>
        <v>0.107495866896479</v>
      </c>
      <c r="O302" s="25" t="n">
        <f aca="false">IF(A302-30&lt;$R$2,"",C302/INDEX(Clean_Data!$C$2:$C$4314,MATCH(A302-30,Clean_Data!$A$2:$A$4314,1))-1)</f>
        <v>0.321011999664345</v>
      </c>
    </row>
    <row r="303" customFormat="false" ht="15" hidden="false" customHeight="false" outlineLevel="0" collapsed="false">
      <c r="A303" s="16" t="n">
        <v>42309</v>
      </c>
      <c r="B303" s="23" t="n">
        <f aca="false">YEAR(A303)</f>
        <v>2015</v>
      </c>
      <c r="C303" s="17" t="n">
        <v>329.46</v>
      </c>
      <c r="D303" s="23" t="n">
        <f aca="false">A303-A302</f>
        <v>1</v>
      </c>
      <c r="E303" s="24" t="n">
        <f aca="false">LN(C303)</f>
        <v>5.79745495051884</v>
      </c>
      <c r="F303" s="25" t="n">
        <f aca="false">LN(C303/C302)</f>
        <v>0.0453586155840845</v>
      </c>
      <c r="G303" s="25" t="n">
        <f aca="false">IF(AND(D303=1,A303&gt;=$R$2),F303,"")</f>
        <v>0.0453586155840845</v>
      </c>
      <c r="H303" s="27" t="n">
        <f aca="false">IF(G303="","",G303^2)</f>
        <v>0.00205740400770476</v>
      </c>
      <c r="I303" s="25" t="n">
        <f aca="false">IF(G303="","",C303/C302-1)</f>
        <v>0.0464030490709861</v>
      </c>
      <c r="J303" s="17" t="n">
        <f aca="false">AVERAGE(C104:C303)</f>
        <v>250.25255</v>
      </c>
      <c r="K303" s="17" t="n">
        <f aca="false">MAX(K302,C303)</f>
        <v>378</v>
      </c>
      <c r="L303" s="25" t="n">
        <f aca="false">C303/K303-1</f>
        <v>-0.128412698412698</v>
      </c>
      <c r="M303" s="25" t="n">
        <f aca="false">IF(COUNT(G274:G303)&lt;20,"",_xlfn.STDEV.S(G274:G303)*SQRT($R$3))</f>
        <v>0.385646954894954</v>
      </c>
      <c r="N303" s="25" t="n">
        <f aca="false">IF(A303-7&lt;$R$2,"",C303/INDEX(Clean_Data!$C$2:$C$4314,MATCH(A303-7,Clean_Data!$A$2:$A$4314,1))-1)</f>
        <v>0.156121697020739</v>
      </c>
      <c r="O303" s="25" t="n">
        <f aca="false">IF(A303-30&lt;$R$2,"",C303/INDEX(Clean_Data!$C$2:$C$4314,MATCH(A303-30,Clean_Data!$A$2:$A$4314,1))-1)</f>
        <v>0.3826590565721</v>
      </c>
    </row>
    <row r="304" customFormat="false" ht="15" hidden="false" customHeight="false" outlineLevel="0" collapsed="false">
      <c r="A304" s="16" t="n">
        <v>42310</v>
      </c>
      <c r="B304" s="23" t="n">
        <f aca="false">YEAR(A304)</f>
        <v>2015</v>
      </c>
      <c r="C304" s="17" t="n">
        <v>365.21</v>
      </c>
      <c r="D304" s="23" t="n">
        <f aca="false">A304-A303</f>
        <v>1</v>
      </c>
      <c r="E304" s="24" t="n">
        <f aca="false">LN(C304)</f>
        <v>5.90047253060222</v>
      </c>
      <c r="F304" s="25" t="n">
        <f aca="false">LN(C304/C303)</f>
        <v>0.103017580083388</v>
      </c>
      <c r="G304" s="25" t="n">
        <f aca="false">IF(AND(D304=1,A304&gt;=$R$2),F304,"")</f>
        <v>0.103017580083388</v>
      </c>
      <c r="H304" s="27" t="n">
        <f aca="false">IF(G304="","",G304^2)</f>
        <v>0.0106126218062372</v>
      </c>
      <c r="I304" s="25" t="n">
        <f aca="false">IF(G304="","",C304/C303-1)</f>
        <v>0.108510896618709</v>
      </c>
      <c r="J304" s="17" t="n">
        <f aca="false">AVERAGE(C105:C304)</f>
        <v>250.93135</v>
      </c>
      <c r="K304" s="17" t="n">
        <f aca="false">MAX(K303,C304)</f>
        <v>378</v>
      </c>
      <c r="L304" s="25" t="n">
        <f aca="false">C304/K304-1</f>
        <v>-0.0338359788359789</v>
      </c>
      <c r="M304" s="25" t="n">
        <f aca="false">IF(COUNT(G275:G304)&lt;20,"",_xlfn.STDEV.S(G275:G304)*SQRT($R$3))</f>
        <v>0.501679469095204</v>
      </c>
      <c r="N304" s="25" t="n">
        <f aca="false">IF(A304-7&lt;$R$2,"",C304/INDEX(Clean_Data!$C$2:$C$4314,MATCH(A304-7,Clean_Data!$A$2:$A$4314,1))-1)</f>
        <v>0.27206548241031</v>
      </c>
      <c r="O304" s="25" t="n">
        <f aca="false">IF(A304-30&lt;$R$2,"",C304/INDEX(Clean_Data!$C$2:$C$4314,MATCH(A304-30,Clean_Data!$A$2:$A$4314,1))-1)</f>
        <v>0.522215738579527</v>
      </c>
    </row>
    <row r="305" customFormat="false" ht="15" hidden="false" customHeight="false" outlineLevel="0" collapsed="false">
      <c r="A305" s="16" t="n">
        <v>42311</v>
      </c>
      <c r="B305" s="23" t="n">
        <f aca="false">YEAR(A305)</f>
        <v>2015</v>
      </c>
      <c r="C305" s="17" t="n">
        <v>404.1</v>
      </c>
      <c r="D305" s="23" t="n">
        <f aca="false">A305-A304</f>
        <v>1</v>
      </c>
      <c r="E305" s="24" t="n">
        <f aca="false">LN(C305)</f>
        <v>6.00166237208443</v>
      </c>
      <c r="F305" s="25" t="n">
        <f aca="false">LN(C305/C304)</f>
        <v>0.101189841482204</v>
      </c>
      <c r="G305" s="25" t="n">
        <f aca="false">IF(AND(D305=1,A305&gt;=$R$2),F305,"")</f>
        <v>0.101189841482204</v>
      </c>
      <c r="H305" s="27" t="n">
        <f aca="false">IF(G305="","",G305^2)</f>
        <v>0.0102393840191936</v>
      </c>
      <c r="I305" s="25" t="n">
        <f aca="false">IF(G305="","",C305/C304-1)</f>
        <v>0.106486678897073</v>
      </c>
      <c r="J305" s="17" t="n">
        <f aca="false">AVERAGE(C106:C305)</f>
        <v>251.83375</v>
      </c>
      <c r="K305" s="17" t="n">
        <f aca="false">MAX(K304,C305)</f>
        <v>404.1</v>
      </c>
      <c r="L305" s="25" t="n">
        <f aca="false">C305/K305-1</f>
        <v>0</v>
      </c>
      <c r="M305" s="25" t="n">
        <f aca="false">IF(COUNT(G276:G305)&lt;20,"",_xlfn.STDEV.S(G276:G305)*SQRT($R$3))</f>
        <v>0.583519360945979</v>
      </c>
      <c r="N305" s="25" t="n">
        <f aca="false">IF(A305-7&lt;$R$2,"",C305/INDEX(Clean_Data!$C$2:$C$4314,MATCH(A305-7,Clean_Data!$A$2:$A$4314,1))-1)</f>
        <v>0.367003822604107</v>
      </c>
      <c r="O305" s="25" t="n">
        <f aca="false">IF(A305-30&lt;$R$2,"",C305/INDEX(Clean_Data!$C$2:$C$4314,MATCH(A305-30,Clean_Data!$A$2:$A$4314,1))-1)</f>
        <v>0.684662525534665</v>
      </c>
    </row>
    <row r="306" customFormat="false" ht="15" hidden="false" customHeight="false" outlineLevel="0" collapsed="false">
      <c r="A306" s="16" t="n">
        <v>42312</v>
      </c>
      <c r="B306" s="23" t="n">
        <f aca="false">YEAR(A306)</f>
        <v>2015</v>
      </c>
      <c r="C306" s="17" t="n">
        <v>410</v>
      </c>
      <c r="D306" s="23" t="n">
        <f aca="false">A306-A305</f>
        <v>1</v>
      </c>
      <c r="E306" s="24" t="n">
        <f aca="false">LN(C306)</f>
        <v>6.01615715969835</v>
      </c>
      <c r="F306" s="25" t="n">
        <f aca="false">LN(C306/C305)</f>
        <v>0.0144947876139253</v>
      </c>
      <c r="G306" s="25" t="n">
        <f aca="false">IF(AND(D306=1,A306&gt;=$R$2),F306,"")</f>
        <v>0.0144947876139253</v>
      </c>
      <c r="H306" s="27" t="n">
        <f aca="false">IF(G306="","",G306^2)</f>
        <v>0.000210098867972803</v>
      </c>
      <c r="I306" s="25" t="n">
        <f aca="false">IF(G306="","",C306/C305-1)</f>
        <v>0.0146003464488986</v>
      </c>
      <c r="J306" s="17" t="n">
        <f aca="false">AVERAGE(C107:C306)</f>
        <v>252.76365</v>
      </c>
      <c r="K306" s="17" t="n">
        <f aca="false">MAX(K305,C306)</f>
        <v>410</v>
      </c>
      <c r="L306" s="25" t="n">
        <f aca="false">C306/K306-1</f>
        <v>0</v>
      </c>
      <c r="M306" s="25" t="n">
        <f aca="false">IF(COUNT(G277:G306)&lt;20,"",_xlfn.STDEV.S(G277:G306)*SQRT($R$3))</f>
        <v>0.581778126509125</v>
      </c>
      <c r="N306" s="25" t="n">
        <f aca="false">IF(A306-7&lt;$R$2,"",C306/INDEX(Clean_Data!$C$2:$C$4314,MATCH(A306-7,Clean_Data!$A$2:$A$4314,1))-1)</f>
        <v>0.348285047189977</v>
      </c>
      <c r="O306" s="25" t="n">
        <f aca="false">IF(A306-30&lt;$R$2,"",C306/INDEX(Clean_Data!$C$2:$C$4314,MATCH(A306-30,Clean_Data!$A$2:$A$4314,1))-1)</f>
        <v>0.701597841875908</v>
      </c>
    </row>
    <row r="307" customFormat="false" ht="15" hidden="false" customHeight="false" outlineLevel="0" collapsed="false">
      <c r="A307" s="16" t="n">
        <v>42313</v>
      </c>
      <c r="B307" s="23" t="n">
        <f aca="false">YEAR(A307)</f>
        <v>2015</v>
      </c>
      <c r="C307" s="17" t="n">
        <v>387.21</v>
      </c>
      <c r="D307" s="23" t="n">
        <f aca="false">A307-A306</f>
        <v>1</v>
      </c>
      <c r="E307" s="24" t="n">
        <f aca="false">LN(C307)</f>
        <v>5.95896718151521</v>
      </c>
      <c r="F307" s="25" t="n">
        <f aca="false">LN(C307/C306)</f>
        <v>-0.0571899781831475</v>
      </c>
      <c r="G307" s="25" t="n">
        <f aca="false">IF(AND(D307=1,A307&gt;=$R$2),F307,"")</f>
        <v>-0.0571899781831475</v>
      </c>
      <c r="H307" s="27" t="n">
        <f aca="false">IF(G307="","",G307^2)</f>
        <v>0.00327069360458889</v>
      </c>
      <c r="I307" s="25" t="n">
        <f aca="false">IF(G307="","",C307/C306-1)</f>
        <v>-0.0555853658536586</v>
      </c>
      <c r="J307" s="17" t="n">
        <f aca="false">AVERAGE(C108:C307)</f>
        <v>253.57955</v>
      </c>
      <c r="K307" s="17" t="n">
        <f aca="false">MAX(K306,C307)</f>
        <v>410</v>
      </c>
      <c r="L307" s="25" t="n">
        <f aca="false">C307/K307-1</f>
        <v>-0.0555853658536586</v>
      </c>
      <c r="M307" s="25" t="n">
        <f aca="false">IF(COUNT(G278:G307)&lt;20,"",_xlfn.STDEV.S(G278:G307)*SQRT($R$3))</f>
        <v>0.637159962670897</v>
      </c>
      <c r="N307" s="25" t="n">
        <f aca="false">IF(A307-7&lt;$R$2,"",C307/INDEX(Clean_Data!$C$2:$C$4314,MATCH(A307-7,Clean_Data!$A$2:$A$4314,1))-1)</f>
        <v>0.225037965072134</v>
      </c>
      <c r="O307" s="25" t="n">
        <f aca="false">IF(A307-30&lt;$R$2,"",C307/INDEX(Clean_Data!$C$2:$C$4314,MATCH(A307-30,Clean_Data!$A$2:$A$4314,1))-1)</f>
        <v>0.569939993512812</v>
      </c>
    </row>
    <row r="308" customFormat="false" ht="15" hidden="false" customHeight="false" outlineLevel="0" collapsed="false">
      <c r="A308" s="16" t="n">
        <v>42314</v>
      </c>
      <c r="B308" s="23" t="n">
        <f aca="false">YEAR(A308)</f>
        <v>2015</v>
      </c>
      <c r="C308" s="17" t="n">
        <v>374.09</v>
      </c>
      <c r="D308" s="23" t="n">
        <f aca="false">A308-A307</f>
        <v>1</v>
      </c>
      <c r="E308" s="24" t="n">
        <f aca="false">LN(C308)</f>
        <v>5.92449641017619</v>
      </c>
      <c r="F308" s="25" t="n">
        <f aca="false">LN(C308/C307)</f>
        <v>-0.0344707713390166</v>
      </c>
      <c r="G308" s="25" t="n">
        <f aca="false">IF(AND(D308=1,A308&gt;=$R$2),F308,"")</f>
        <v>-0.0344707713390166</v>
      </c>
      <c r="H308" s="27" t="n">
        <f aca="false">IF(G308="","",G308^2)</f>
        <v>0.00118823407670677</v>
      </c>
      <c r="I308" s="25" t="n">
        <f aca="false">IF(G308="","",C308/C307-1)</f>
        <v>-0.0338834224322719</v>
      </c>
      <c r="J308" s="17" t="n">
        <f aca="false">AVERAGE(C109:C308)</f>
        <v>254.32315</v>
      </c>
      <c r="K308" s="17" t="n">
        <f aca="false">MAX(K307,C308)</f>
        <v>410</v>
      </c>
      <c r="L308" s="25" t="n">
        <f aca="false">C308/K308-1</f>
        <v>-0.0875853658536586</v>
      </c>
      <c r="M308" s="25" t="n">
        <f aca="false">IF(COUNT(G279:G308)&lt;20,"",_xlfn.STDEV.S(G279:G308)*SQRT($R$3))</f>
        <v>0.654375755960888</v>
      </c>
      <c r="N308" s="25" t="n">
        <f aca="false">IF(A308-7&lt;$R$2,"",C308/INDEX(Clean_Data!$C$2:$C$4314,MATCH(A308-7,Clean_Data!$A$2:$A$4314,1))-1)</f>
        <v>0.136671629546352</v>
      </c>
      <c r="O308" s="25" t="n">
        <f aca="false">IF(A308-30&lt;$R$2,"",C308/INDEX(Clean_Data!$C$2:$C$4314,MATCH(A308-30,Clean_Data!$A$2:$A$4314,1))-1)</f>
        <v>0.533155737704918</v>
      </c>
    </row>
    <row r="309" customFormat="false" ht="15" hidden="false" customHeight="false" outlineLevel="0" collapsed="false">
      <c r="A309" s="16" t="n">
        <v>42315</v>
      </c>
      <c r="B309" s="23" t="n">
        <f aca="false">YEAR(A309)</f>
        <v>2015</v>
      </c>
      <c r="C309" s="17" t="n">
        <v>384.81</v>
      </c>
      <c r="D309" s="23" t="n">
        <f aca="false">A309-A308</f>
        <v>1</v>
      </c>
      <c r="E309" s="24" t="n">
        <f aca="false">LN(C309)</f>
        <v>5.95274970597987</v>
      </c>
      <c r="F309" s="25" t="n">
        <f aca="false">LN(C309/C308)</f>
        <v>0.0282532958036797</v>
      </c>
      <c r="G309" s="25" t="n">
        <f aca="false">IF(AND(D309=1,A309&gt;=$R$2),F309,"")</f>
        <v>0.0282532958036797</v>
      </c>
      <c r="H309" s="27" t="n">
        <f aca="false">IF(G309="","",G309^2)</f>
        <v>0.000798248723770225</v>
      </c>
      <c r="I309" s="25" t="n">
        <f aca="false">IF(G309="","",C309/C308-1)</f>
        <v>0.028656205725895</v>
      </c>
      <c r="J309" s="17" t="n">
        <f aca="false">AVERAGE(C110:C309)</f>
        <v>255.06775</v>
      </c>
      <c r="K309" s="17" t="n">
        <f aca="false">MAX(K308,C309)</f>
        <v>410</v>
      </c>
      <c r="L309" s="25" t="n">
        <f aca="false">C309/K309-1</f>
        <v>-0.0614390243902438</v>
      </c>
      <c r="M309" s="25" t="n">
        <f aca="false">IF(COUNT(G280:G309)&lt;20,"",_xlfn.STDEV.S(G280:G309)*SQRT($R$3))</f>
        <v>0.652593485624463</v>
      </c>
      <c r="N309" s="25" t="n">
        <f aca="false">IF(A309-7&lt;$R$2,"",C309/INDEX(Clean_Data!$C$2:$C$4314,MATCH(A309-7,Clean_Data!$A$2:$A$4314,1))-1)</f>
        <v>0.222201048118151</v>
      </c>
      <c r="O309" s="25" t="n">
        <f aca="false">IF(A309-30&lt;$R$2,"",C309/INDEX(Clean_Data!$C$2:$C$4314,MATCH(A309-30,Clean_Data!$A$2:$A$4314,1))-1)</f>
        <v>0.583971350950852</v>
      </c>
    </row>
    <row r="310" customFormat="false" ht="15" hidden="false" customHeight="false" outlineLevel="0" collapsed="false">
      <c r="A310" s="16" t="n">
        <v>42316</v>
      </c>
      <c r="B310" s="23" t="n">
        <f aca="false">YEAR(A310)</f>
        <v>2015</v>
      </c>
      <c r="C310" s="17" t="n">
        <v>373.83</v>
      </c>
      <c r="D310" s="23" t="n">
        <f aca="false">A310-A309</f>
        <v>1</v>
      </c>
      <c r="E310" s="24" t="n">
        <f aca="false">LN(C310)</f>
        <v>5.92380114862289</v>
      </c>
      <c r="F310" s="25" t="n">
        <f aca="false">LN(C310/C309)</f>
        <v>-0.0289485573569832</v>
      </c>
      <c r="G310" s="25" t="n">
        <f aca="false">IF(AND(D310=1,A310&gt;=$R$2),F310,"")</f>
        <v>-0.0289485573569832</v>
      </c>
      <c r="H310" s="27" t="n">
        <f aca="false">IF(G310="","",G310^2)</f>
        <v>0.000838018973050547</v>
      </c>
      <c r="I310" s="25" t="n">
        <f aca="false">IF(G310="","",C310/C309-1)</f>
        <v>-0.0285335620176191</v>
      </c>
      <c r="J310" s="17" t="n">
        <f aca="false">AVERAGE(C111:C310)</f>
        <v>255.767</v>
      </c>
      <c r="K310" s="17" t="n">
        <f aca="false">MAX(K309,C310)</f>
        <v>410</v>
      </c>
      <c r="L310" s="25" t="n">
        <f aca="false">C310/K310-1</f>
        <v>-0.088219512195122</v>
      </c>
      <c r="M310" s="25" t="n">
        <f aca="false">IF(COUNT(G281:G310)&lt;20,"",_xlfn.STDEV.S(G281:G310)*SQRT($R$3))</f>
        <v>0.670002461148034</v>
      </c>
      <c r="N310" s="25" t="n">
        <f aca="false">IF(A310-7&lt;$R$2,"",C310/INDEX(Clean_Data!$C$2:$C$4314,MATCH(A310-7,Clean_Data!$A$2:$A$4314,1))-1)</f>
        <v>0.134674922600619</v>
      </c>
      <c r="O310" s="25" t="n">
        <f aca="false">IF(A310-30&lt;$R$2,"",C310/INDEX(Clean_Data!$C$2:$C$4314,MATCH(A310-30,Clean_Data!$A$2:$A$4314,1))-1)</f>
        <v>0.529895641497852</v>
      </c>
    </row>
    <row r="311" customFormat="false" ht="15" hidden="false" customHeight="false" outlineLevel="0" collapsed="false">
      <c r="A311" s="16" t="n">
        <v>42317</v>
      </c>
      <c r="B311" s="23" t="n">
        <f aca="false">YEAR(A311)</f>
        <v>2015</v>
      </c>
      <c r="C311" s="17" t="n">
        <v>379.53</v>
      </c>
      <c r="D311" s="23" t="n">
        <f aca="false">A311-A310</f>
        <v>1</v>
      </c>
      <c r="E311" s="24" t="n">
        <f aca="false">LN(C311)</f>
        <v>5.93893364509469</v>
      </c>
      <c r="F311" s="25" t="n">
        <f aca="false">LN(C311/C310)</f>
        <v>0.015132496471802</v>
      </c>
      <c r="G311" s="25" t="n">
        <f aca="false">IF(AND(D311=1,A311&gt;=$R$2),F311,"")</f>
        <v>0.015132496471802</v>
      </c>
      <c r="H311" s="27" t="n">
        <f aca="false">IF(G311="","",G311^2)</f>
        <v>0.000228992449469101</v>
      </c>
      <c r="I311" s="25" t="n">
        <f aca="false">IF(G311="","",C311/C310-1)</f>
        <v>0.0152475724259691</v>
      </c>
      <c r="J311" s="17" t="n">
        <f aca="false">AVERAGE(C112:C311)</f>
        <v>256.4847</v>
      </c>
      <c r="K311" s="17" t="n">
        <f aca="false">MAX(K310,C311)</f>
        <v>410</v>
      </c>
      <c r="L311" s="25" t="n">
        <f aca="false">C311/K311-1</f>
        <v>-0.0743170731707318</v>
      </c>
      <c r="M311" s="25" t="n">
        <f aca="false">IF(COUNT(G282:G311)&lt;20,"",_xlfn.STDEV.S(G282:G311)*SQRT($R$3))</f>
        <v>0.669508916022991</v>
      </c>
      <c r="N311" s="25" t="n">
        <f aca="false">IF(A311-7&lt;$R$2,"",C311/INDEX(Clean_Data!$C$2:$C$4314,MATCH(A311-7,Clean_Data!$A$2:$A$4314,1))-1)</f>
        <v>0.0392103173516607</v>
      </c>
      <c r="O311" s="25" t="n">
        <f aca="false">IF(A311-30&lt;$R$2,"",C311/INDEX(Clean_Data!$C$2:$C$4314,MATCH(A311-30,Clean_Data!$A$2:$A$4314,1))-1)</f>
        <v>0.542365993416508</v>
      </c>
    </row>
    <row r="312" customFormat="false" ht="15" hidden="false" customHeight="false" outlineLevel="0" collapsed="false">
      <c r="A312" s="16" t="n">
        <v>42318</v>
      </c>
      <c r="B312" s="23" t="n">
        <f aca="false">YEAR(A312)</f>
        <v>2015</v>
      </c>
      <c r="C312" s="17" t="n">
        <v>337.14</v>
      </c>
      <c r="D312" s="23" t="n">
        <f aca="false">A312-A311</f>
        <v>1</v>
      </c>
      <c r="E312" s="24" t="n">
        <f aca="false">LN(C312)</f>
        <v>5.82049827435216</v>
      </c>
      <c r="F312" s="25" t="n">
        <f aca="false">LN(C312/C311)</f>
        <v>-0.118435370742526</v>
      </c>
      <c r="G312" s="25" t="n">
        <f aca="false">IF(AND(D312=1,A312&gt;=$R$2),F312,"")</f>
        <v>-0.118435370742526</v>
      </c>
      <c r="H312" s="27" t="n">
        <f aca="false">IF(G312="","",G312^2)</f>
        <v>0.0140269370429196</v>
      </c>
      <c r="I312" s="25" t="n">
        <f aca="false">IF(G312="","",C312/C311-1)</f>
        <v>-0.111690775432772</v>
      </c>
      <c r="J312" s="17" t="n">
        <f aca="false">AVERAGE(C113:C312)</f>
        <v>257.01285</v>
      </c>
      <c r="K312" s="17" t="n">
        <f aca="false">MAX(K311,C312)</f>
        <v>410</v>
      </c>
      <c r="L312" s="25" t="n">
        <f aca="false">C312/K312-1</f>
        <v>-0.177707317073171</v>
      </c>
      <c r="M312" s="25" t="n">
        <f aca="false">IF(COUNT(G283:G312)&lt;20,"",_xlfn.STDEV.S(G283:G312)*SQRT($R$3))</f>
        <v>0.81441179131452</v>
      </c>
      <c r="N312" s="25" t="n">
        <f aca="false">IF(A312-7&lt;$R$2,"",C312/INDEX(Clean_Data!$C$2:$C$4314,MATCH(A312-7,Clean_Data!$A$2:$A$4314,1))-1)</f>
        <v>-0.165701559020045</v>
      </c>
      <c r="O312" s="25" t="n">
        <f aca="false">IF(A312-30&lt;$R$2,"",C312/INDEX(Clean_Data!$C$2:$C$4314,MATCH(A312-30,Clean_Data!$A$2:$A$4314,1))-1)</f>
        <v>0.353867159264316</v>
      </c>
    </row>
    <row r="313" customFormat="false" ht="15" hidden="false" customHeight="false" outlineLevel="0" collapsed="false">
      <c r="A313" s="16" t="n">
        <v>42319</v>
      </c>
      <c r="B313" s="23" t="n">
        <f aca="false">YEAR(A313)</f>
        <v>2015</v>
      </c>
      <c r="C313" s="17" t="n">
        <v>313.2</v>
      </c>
      <c r="D313" s="23" t="n">
        <f aca="false">A313-A312</f>
        <v>1</v>
      </c>
      <c r="E313" s="24" t="n">
        <f aca="false">LN(C313)</f>
        <v>5.74684196411665</v>
      </c>
      <c r="F313" s="25" t="n">
        <f aca="false">LN(C313/C312)</f>
        <v>-0.0736563102355138</v>
      </c>
      <c r="G313" s="25" t="n">
        <f aca="false">IF(AND(D313=1,A313&gt;=$R$2),F313,"")</f>
        <v>-0.0736563102355138</v>
      </c>
      <c r="H313" s="27" t="n">
        <f aca="false">IF(G313="","",G313^2)</f>
        <v>0.00542525203751025</v>
      </c>
      <c r="I313" s="25" t="n">
        <f aca="false">IF(G313="","",C313/C312-1)</f>
        <v>-0.0710090763481046</v>
      </c>
      <c r="J313" s="17" t="n">
        <f aca="false">AVERAGE(C114:C313)</f>
        <v>257.4436</v>
      </c>
      <c r="K313" s="17" t="n">
        <f aca="false">MAX(K312,C313)</f>
        <v>410</v>
      </c>
      <c r="L313" s="25" t="n">
        <f aca="false">C313/K313-1</f>
        <v>-0.23609756097561</v>
      </c>
      <c r="M313" s="25" t="n">
        <f aca="false">IF(COUNT(G284:G313)&lt;20,"",_xlfn.STDEV.S(G284:G313)*SQRT($R$3))</f>
        <v>0.862837781688085</v>
      </c>
      <c r="N313" s="25" t="n">
        <f aca="false">IF(A313-7&lt;$R$2,"",C313/INDEX(Clean_Data!$C$2:$C$4314,MATCH(A313-7,Clean_Data!$A$2:$A$4314,1))-1)</f>
        <v>-0.23609756097561</v>
      </c>
      <c r="O313" s="25" t="n">
        <f aca="false">IF(A313-30&lt;$R$2,"",C313/INDEX(Clean_Data!$C$2:$C$4314,MATCH(A313-30,Clean_Data!$A$2:$A$4314,1))-1)</f>
        <v>0.27115548520638</v>
      </c>
    </row>
    <row r="314" customFormat="false" ht="15" hidden="false" customHeight="false" outlineLevel="0" collapsed="false">
      <c r="A314" s="16" t="n">
        <v>42320</v>
      </c>
      <c r="B314" s="23" t="n">
        <f aca="false">YEAR(A314)</f>
        <v>2015</v>
      </c>
      <c r="C314" s="17" t="n">
        <v>336.49</v>
      </c>
      <c r="D314" s="23" t="n">
        <f aca="false">A314-A313</f>
        <v>1</v>
      </c>
      <c r="E314" s="24" t="n">
        <f aca="false">LN(C314)</f>
        <v>5.81856843096118</v>
      </c>
      <c r="F314" s="25" t="n">
        <f aca="false">LN(C314/C313)</f>
        <v>0.0717264668445347</v>
      </c>
      <c r="G314" s="25" t="n">
        <f aca="false">IF(AND(D314=1,A314&gt;=$R$2),F314,"")</f>
        <v>0.0717264668445347</v>
      </c>
      <c r="H314" s="27" t="n">
        <f aca="false">IF(G314="","",G314^2)</f>
        <v>0.00514468604600013</v>
      </c>
      <c r="I314" s="25" t="n">
        <f aca="false">IF(G314="","",C314/C313-1)</f>
        <v>0.0743614303959133</v>
      </c>
      <c r="J314" s="17" t="n">
        <f aca="false">AVERAGE(C115:C314)</f>
        <v>258.0197</v>
      </c>
      <c r="K314" s="17" t="n">
        <f aca="false">MAX(K313,C314)</f>
        <v>410</v>
      </c>
      <c r="L314" s="25" t="n">
        <f aca="false">C314/K314-1</f>
        <v>-0.179292682926829</v>
      </c>
      <c r="M314" s="25" t="n">
        <f aca="false">IF(COUNT(G285:G314)&lt;20,"",_xlfn.STDEV.S(G285:G314)*SQRT($R$3))</f>
        <v>0.890522347478939</v>
      </c>
      <c r="N314" s="25" t="n">
        <f aca="false">IF(A314-7&lt;$R$2,"",C314/INDEX(Clean_Data!$C$2:$C$4314,MATCH(A314-7,Clean_Data!$A$2:$A$4314,1))-1)</f>
        <v>-0.130988352573539</v>
      </c>
      <c r="O314" s="25" t="n">
        <f aca="false">IF(A314-30&lt;$R$2,"",C314/INDEX(Clean_Data!$C$2:$C$4314,MATCH(A314-30,Clean_Data!$A$2:$A$4314,1))-1)</f>
        <v>0.340651021953066</v>
      </c>
    </row>
    <row r="315" customFormat="false" ht="15" hidden="false" customHeight="false" outlineLevel="0" collapsed="false">
      <c r="A315" s="16" t="n">
        <v>42321</v>
      </c>
      <c r="B315" s="23" t="n">
        <f aca="false">YEAR(A315)</f>
        <v>2015</v>
      </c>
      <c r="C315" s="17" t="n">
        <v>338.07</v>
      </c>
      <c r="D315" s="23" t="n">
        <f aca="false">A315-A314</f>
        <v>1</v>
      </c>
      <c r="E315" s="24" t="n">
        <f aca="false">LN(C315)</f>
        <v>5.82325297463237</v>
      </c>
      <c r="F315" s="25" t="n">
        <f aca="false">LN(C315/C314)</f>
        <v>0.00468454367118506</v>
      </c>
      <c r="G315" s="25" t="n">
        <f aca="false">IF(AND(D315=1,A315&gt;=$R$2),F315,"")</f>
        <v>0.00468454367118506</v>
      </c>
      <c r="H315" s="27" t="n">
        <f aca="false">IF(G315="","",G315^2)</f>
        <v>2.194494940724E-005</v>
      </c>
      <c r="I315" s="25" t="n">
        <f aca="false">IF(G315="","",C315/C314-1)</f>
        <v>0.00469553329965233</v>
      </c>
      <c r="J315" s="17" t="n">
        <f aca="false">AVERAGE(C116:C315)</f>
        <v>258.57215</v>
      </c>
      <c r="K315" s="17" t="n">
        <f aca="false">MAX(K314,C315)</f>
        <v>410</v>
      </c>
      <c r="L315" s="25" t="n">
        <f aca="false">C315/K315-1</f>
        <v>-0.175439024390244</v>
      </c>
      <c r="M315" s="25" t="n">
        <f aca="false">IF(COUNT(G286:G315)&lt;20,"",_xlfn.STDEV.S(G286:G315)*SQRT($R$3))</f>
        <v>0.89069699388994</v>
      </c>
      <c r="N315" s="25" t="n">
        <f aca="false">IF(A315-7&lt;$R$2,"",C315/INDEX(Clean_Data!$C$2:$C$4314,MATCH(A315-7,Clean_Data!$A$2:$A$4314,1))-1)</f>
        <v>-0.0962869897618219</v>
      </c>
      <c r="O315" s="25" t="n">
        <f aca="false">IF(A315-30&lt;$R$2,"",C315/INDEX(Clean_Data!$C$2:$C$4314,MATCH(A315-30,Clean_Data!$A$2:$A$4314,1))-1)</f>
        <v>0.334820547242074</v>
      </c>
    </row>
    <row r="316" customFormat="false" ht="15" hidden="false" customHeight="false" outlineLevel="0" collapsed="false">
      <c r="A316" s="16" t="n">
        <v>42322</v>
      </c>
      <c r="B316" s="23" t="n">
        <f aca="false">YEAR(A316)</f>
        <v>2015</v>
      </c>
      <c r="C316" s="17" t="n">
        <v>334.71</v>
      </c>
      <c r="D316" s="23" t="n">
        <f aca="false">A316-A315</f>
        <v>1</v>
      </c>
      <c r="E316" s="24" t="n">
        <f aca="false">LN(C316)</f>
        <v>5.8132644852732</v>
      </c>
      <c r="F316" s="25" t="n">
        <f aca="false">LN(C316/C315)</f>
        <v>-0.00998848935916965</v>
      </c>
      <c r="G316" s="25" t="n">
        <f aca="false">IF(AND(D316=1,A316&gt;=$R$2),F316,"")</f>
        <v>-0.00998848935916965</v>
      </c>
      <c r="H316" s="27" t="n">
        <f aca="false">IF(G316="","",G316^2)</f>
        <v>9.97699196782453E-005</v>
      </c>
      <c r="I316" s="25" t="n">
        <f aca="false">IF(G316="","",C316/C315-1)</f>
        <v>-0.00993877007720301</v>
      </c>
      <c r="J316" s="17" t="n">
        <f aca="false">AVERAGE(C117:C316)</f>
        <v>259.1175</v>
      </c>
      <c r="K316" s="17" t="n">
        <f aca="false">MAX(K315,C316)</f>
        <v>410</v>
      </c>
      <c r="L316" s="25" t="n">
        <f aca="false">C316/K316-1</f>
        <v>-0.183634146341463</v>
      </c>
      <c r="M316" s="25" t="n">
        <f aca="false">IF(COUNT(G287:G316)&lt;20,"",_xlfn.STDEV.S(G287:G316)*SQRT($R$3))</f>
        <v>0.893287774692487</v>
      </c>
      <c r="N316" s="25" t="n">
        <f aca="false">IF(A316-7&lt;$R$2,"",C316/INDEX(Clean_Data!$C$2:$C$4314,MATCH(A316-7,Clean_Data!$A$2:$A$4314,1))-1)</f>
        <v>-0.130194121774382</v>
      </c>
      <c r="O316" s="25" t="n">
        <f aca="false">IF(A316-30&lt;$R$2,"",C316/INDEX(Clean_Data!$C$2:$C$4314,MATCH(A316-30,Clean_Data!$A$2:$A$4314,1))-1)</f>
        <v>0.31263971136123</v>
      </c>
    </row>
    <row r="317" customFormat="false" ht="15" hidden="false" customHeight="false" outlineLevel="0" collapsed="false">
      <c r="A317" s="16" t="n">
        <v>42323</v>
      </c>
      <c r="B317" s="23" t="n">
        <f aca="false">YEAR(A317)</f>
        <v>2015</v>
      </c>
      <c r="C317" s="17" t="n">
        <v>322.93</v>
      </c>
      <c r="D317" s="23" t="n">
        <f aca="false">A317-A316</f>
        <v>1</v>
      </c>
      <c r="E317" s="24" t="n">
        <f aca="false">LN(C317)</f>
        <v>5.77743558146961</v>
      </c>
      <c r="F317" s="25" t="n">
        <f aca="false">LN(C317/C316)</f>
        <v>-0.0358289038035922</v>
      </c>
      <c r="G317" s="25" t="n">
        <f aca="false">IF(AND(D317=1,A317&gt;=$R$2),F317,"")</f>
        <v>-0.0358289038035922</v>
      </c>
      <c r="H317" s="27" t="n">
        <f aca="false">IF(G317="","",G317^2)</f>
        <v>0.00128371034776706</v>
      </c>
      <c r="I317" s="25" t="n">
        <f aca="false">IF(G317="","",C317/C316-1)</f>
        <v>-0.0351946461115592</v>
      </c>
      <c r="J317" s="17" t="n">
        <f aca="false">AVERAGE(C118:C317)</f>
        <v>259.60415</v>
      </c>
      <c r="K317" s="17" t="n">
        <f aca="false">MAX(K316,C317)</f>
        <v>410</v>
      </c>
      <c r="L317" s="25" t="n">
        <f aca="false">C317/K317-1</f>
        <v>-0.212365853658537</v>
      </c>
      <c r="M317" s="25" t="n">
        <f aca="false">IF(COUNT(G288:G317)&lt;20,"",_xlfn.STDEV.S(G288:G317)*SQRT($R$3))</f>
        <v>0.90245392988625</v>
      </c>
      <c r="N317" s="25" t="n">
        <f aca="false">IF(A317-7&lt;$R$2,"",C317/INDEX(Clean_Data!$C$2:$C$4314,MATCH(A317-7,Clean_Data!$A$2:$A$4314,1))-1)</f>
        <v>-0.136158146751197</v>
      </c>
      <c r="O317" s="25" t="n">
        <f aca="false">IF(A317-30&lt;$R$2,"",C317/INDEX(Clean_Data!$C$2:$C$4314,MATCH(A317-30,Clean_Data!$A$2:$A$4314,1))-1)</f>
        <v>0.225866454086475</v>
      </c>
    </row>
    <row r="318" customFormat="false" ht="15" hidden="false" customHeight="false" outlineLevel="0" collapsed="false">
      <c r="A318" s="16" t="n">
        <v>42324</v>
      </c>
      <c r="B318" s="23" t="n">
        <f aca="false">YEAR(A318)</f>
        <v>2015</v>
      </c>
      <c r="C318" s="17" t="n">
        <v>332.89</v>
      </c>
      <c r="D318" s="23" t="n">
        <f aca="false">A318-A317</f>
        <v>1</v>
      </c>
      <c r="E318" s="24" t="n">
        <f aca="false">LN(C318)</f>
        <v>5.80781210507903</v>
      </c>
      <c r="F318" s="25" t="n">
        <f aca="false">LN(C318/C317)</f>
        <v>0.0303765236094261</v>
      </c>
      <c r="G318" s="25" t="n">
        <f aca="false">IF(AND(D318=1,A318&gt;=$R$2),F318,"")</f>
        <v>0.0303765236094261</v>
      </c>
      <c r="H318" s="27" t="n">
        <f aca="false">IF(G318="","",G318^2)</f>
        <v>0.000922733186594023</v>
      </c>
      <c r="I318" s="25" t="n">
        <f aca="false">IF(G318="","",C318/C317-1)</f>
        <v>0.0308425974669433</v>
      </c>
      <c r="J318" s="17" t="n">
        <f aca="false">AVERAGE(C119:C318)</f>
        <v>260.08455</v>
      </c>
      <c r="K318" s="17" t="n">
        <f aca="false">MAX(K317,C318)</f>
        <v>410</v>
      </c>
      <c r="L318" s="25" t="n">
        <f aca="false">C318/K318-1</f>
        <v>-0.188073170731707</v>
      </c>
      <c r="M318" s="25" t="n">
        <f aca="false">IF(COUNT(G289:G318)&lt;20,"",_xlfn.STDEV.S(G289:G318)*SQRT($R$3))</f>
        <v>0.900694638736085</v>
      </c>
      <c r="N318" s="25" t="n">
        <f aca="false">IF(A318-7&lt;$R$2,"",C318/INDEX(Clean_Data!$C$2:$C$4314,MATCH(A318-7,Clean_Data!$A$2:$A$4314,1))-1)</f>
        <v>-0.122888836192132</v>
      </c>
      <c r="O318" s="25" t="n">
        <f aca="false">IF(A318-30&lt;$R$2,"",C318/INDEX(Clean_Data!$C$2:$C$4314,MATCH(A318-30,Clean_Data!$A$2:$A$4314,1))-1)</f>
        <v>0.219958221863891</v>
      </c>
    </row>
    <row r="319" customFormat="false" ht="15" hidden="false" customHeight="false" outlineLevel="0" collapsed="false">
      <c r="A319" s="16" t="n">
        <v>42325</v>
      </c>
      <c r="B319" s="23" t="n">
        <f aca="false">YEAR(A319)</f>
        <v>2015</v>
      </c>
      <c r="C319" s="17" t="n">
        <v>336.49</v>
      </c>
      <c r="D319" s="23" t="n">
        <f aca="false">A319-A318</f>
        <v>1</v>
      </c>
      <c r="E319" s="24" t="n">
        <f aca="false">LN(C319)</f>
        <v>5.81856843096118</v>
      </c>
      <c r="F319" s="25" t="n">
        <f aca="false">LN(C319/C318)</f>
        <v>0.0107563258821508</v>
      </c>
      <c r="G319" s="25" t="n">
        <f aca="false">IF(AND(D319=1,A319&gt;=$R$2),F319,"")</f>
        <v>0.0107563258821508</v>
      </c>
      <c r="H319" s="27" t="n">
        <f aca="false">IF(G319="","",G319^2)</f>
        <v>0.000115698546483027</v>
      </c>
      <c r="I319" s="25" t="n">
        <f aca="false">IF(G319="","",C319/C318-1)</f>
        <v>0.0108143831295624</v>
      </c>
      <c r="J319" s="17" t="n">
        <f aca="false">AVERAGE(C120:C319)</f>
        <v>260.6013</v>
      </c>
      <c r="K319" s="17" t="n">
        <f aca="false">MAX(K318,C319)</f>
        <v>410</v>
      </c>
      <c r="L319" s="25" t="n">
        <f aca="false">C319/K319-1</f>
        <v>-0.179292682926829</v>
      </c>
      <c r="M319" s="25" t="n">
        <f aca="false">IF(COUNT(G290:G319)&lt;20,"",_xlfn.STDEV.S(G290:G319)*SQRT($R$3))</f>
        <v>0.891391394042797</v>
      </c>
      <c r="N319" s="25" t="n">
        <f aca="false">IF(A319-7&lt;$R$2,"",C319/INDEX(Clean_Data!$C$2:$C$4314,MATCH(A319-7,Clean_Data!$A$2:$A$4314,1))-1)</f>
        <v>-0.00192798244052905</v>
      </c>
      <c r="O319" s="25" t="n">
        <f aca="false">IF(A319-30&lt;$R$2,"",C319/INDEX(Clean_Data!$C$2:$C$4314,MATCH(A319-30,Clean_Data!$A$2:$A$4314,1))-1)</f>
        <v>0.26977358490566</v>
      </c>
    </row>
    <row r="320" customFormat="false" ht="15" hidden="false" customHeight="false" outlineLevel="0" collapsed="false">
      <c r="A320" s="16" t="n">
        <v>42326</v>
      </c>
      <c r="B320" s="23" t="n">
        <f aca="false">YEAR(A320)</f>
        <v>2015</v>
      </c>
      <c r="C320" s="17" t="n">
        <v>335.49</v>
      </c>
      <c r="D320" s="23" t="n">
        <f aca="false">A320-A319</f>
        <v>1</v>
      </c>
      <c r="E320" s="24" t="n">
        <f aca="false">LN(C320)</f>
        <v>5.81559214970821</v>
      </c>
      <c r="F320" s="25" t="n">
        <f aca="false">LN(C320/C319)</f>
        <v>-0.00297628125297601</v>
      </c>
      <c r="G320" s="25" t="n">
        <f aca="false">IF(AND(D320=1,A320&gt;=$R$2),F320,"")</f>
        <v>-0.00297628125297601</v>
      </c>
      <c r="H320" s="27" t="n">
        <f aca="false">IF(G320="","",G320^2)</f>
        <v>8.85825009681643E-006</v>
      </c>
      <c r="I320" s="25" t="n">
        <f aca="false">IF(G320="","",C320/C319-1)</f>
        <v>-0.0029718565187673</v>
      </c>
      <c r="J320" s="17" t="n">
        <f aca="false">AVERAGE(C121:C320)</f>
        <v>261.09905</v>
      </c>
      <c r="K320" s="17" t="n">
        <f aca="false">MAX(K319,C320)</f>
        <v>410</v>
      </c>
      <c r="L320" s="25" t="n">
        <f aca="false">C320/K320-1</f>
        <v>-0.181731707317073</v>
      </c>
      <c r="M320" s="25" t="n">
        <f aca="false">IF(COUNT(G291:G320)&lt;20,"",_xlfn.STDEV.S(G291:G320)*SQRT($R$3))</f>
        <v>0.89185448574291</v>
      </c>
      <c r="N320" s="25" t="n">
        <f aca="false">IF(A320-7&lt;$R$2,"",C320/INDEX(Clean_Data!$C$2:$C$4314,MATCH(A320-7,Clean_Data!$A$2:$A$4314,1))-1)</f>
        <v>0.0711685823754791</v>
      </c>
      <c r="O320" s="25" t="n">
        <f aca="false">IF(A320-30&lt;$R$2,"",C320/INDEX(Clean_Data!$C$2:$C$4314,MATCH(A320-30,Clean_Data!$A$2:$A$4314,1))-1)</f>
        <v>0.265188369725082</v>
      </c>
    </row>
    <row r="321" customFormat="false" ht="15" hidden="false" customHeight="false" outlineLevel="0" collapsed="false">
      <c r="A321" s="16" t="n">
        <v>42327</v>
      </c>
      <c r="B321" s="23" t="n">
        <f aca="false">YEAR(A321)</f>
        <v>2015</v>
      </c>
      <c r="C321" s="17" t="n">
        <v>326.41</v>
      </c>
      <c r="D321" s="23" t="n">
        <f aca="false">A321-A320</f>
        <v>1</v>
      </c>
      <c r="E321" s="24" t="n">
        <f aca="false">LN(C321)</f>
        <v>5.78815425987554</v>
      </c>
      <c r="F321" s="25" t="n">
        <f aca="false">LN(C321/C320)</f>
        <v>-0.0274378898326638</v>
      </c>
      <c r="G321" s="25" t="n">
        <f aca="false">IF(AND(D321=1,A321&gt;=$R$2),F321,"")</f>
        <v>-0.0274378898326638</v>
      </c>
      <c r="H321" s="27" t="n">
        <f aca="false">IF(G321="","",G321^2)</f>
        <v>0.000752837798469397</v>
      </c>
      <c r="I321" s="25" t="n">
        <f aca="false">IF(G321="","",C321/C320-1)</f>
        <v>-0.0270648901606605</v>
      </c>
      <c r="J321" s="17" t="n">
        <f aca="false">AVERAGE(C122:C321)</f>
        <v>261.5272</v>
      </c>
      <c r="K321" s="17" t="n">
        <f aca="false">MAX(K320,C321)</f>
        <v>410</v>
      </c>
      <c r="L321" s="25" t="n">
        <f aca="false">C321/K321-1</f>
        <v>-0.203878048780488</v>
      </c>
      <c r="M321" s="25" t="n">
        <f aca="false">IF(COUNT(G292:G321)&lt;20,"",_xlfn.STDEV.S(G292:G321)*SQRT($R$3))</f>
        <v>0.898562283144935</v>
      </c>
      <c r="N321" s="25" t="n">
        <f aca="false">IF(A321-7&lt;$R$2,"",C321/INDEX(Clean_Data!$C$2:$C$4314,MATCH(A321-7,Clean_Data!$A$2:$A$4314,1))-1)</f>
        <v>-0.0299563137091741</v>
      </c>
      <c r="O321" s="25" t="n">
        <f aca="false">IF(A321-30&lt;$R$2,"",C321/INDEX(Clean_Data!$C$2:$C$4314,MATCH(A321-30,Clean_Data!$A$2:$A$4314,1))-1)</f>
        <v>0.203843033119422</v>
      </c>
    </row>
    <row r="322" customFormat="false" ht="15" hidden="false" customHeight="false" outlineLevel="0" collapsed="false">
      <c r="A322" s="16" t="n">
        <v>42328</v>
      </c>
      <c r="B322" s="23" t="n">
        <f aca="false">YEAR(A322)</f>
        <v>2015</v>
      </c>
      <c r="C322" s="17" t="n">
        <v>322.39</v>
      </c>
      <c r="D322" s="23" t="n">
        <f aca="false">A322-A321</f>
        <v>1</v>
      </c>
      <c r="E322" s="24" t="n">
        <f aca="false">LN(C322)</f>
        <v>5.7757619927817</v>
      </c>
      <c r="F322" s="25" t="n">
        <f aca="false">LN(C322/C321)</f>
        <v>-0.0123922670938453</v>
      </c>
      <c r="G322" s="25" t="n">
        <f aca="false">IF(AND(D322=1,A322&gt;=$R$2),F322,"")</f>
        <v>-0.0123922670938453</v>
      </c>
      <c r="H322" s="27" t="n">
        <f aca="false">IF(G322="","",G322^2)</f>
        <v>0.0001535682837252</v>
      </c>
      <c r="I322" s="25" t="n">
        <f aca="false">IF(G322="","",C322/C321-1)</f>
        <v>-0.0123157991483105</v>
      </c>
      <c r="J322" s="17" t="n">
        <f aca="false">AVERAGE(C123:C322)</f>
        <v>261.9404</v>
      </c>
      <c r="K322" s="17" t="n">
        <f aca="false">MAX(K321,C322)</f>
        <v>410</v>
      </c>
      <c r="L322" s="25" t="n">
        <f aca="false">C322/K322-1</f>
        <v>-0.213682926829268</v>
      </c>
      <c r="M322" s="25" t="n">
        <f aca="false">IF(COUNT(G293:G322)&lt;20,"",_xlfn.STDEV.S(G293:G322)*SQRT($R$3))</f>
        <v>0.899407505687005</v>
      </c>
      <c r="N322" s="25" t="n">
        <f aca="false">IF(A322-7&lt;$R$2,"",C322/INDEX(Clean_Data!$C$2:$C$4314,MATCH(A322-7,Clean_Data!$A$2:$A$4314,1))-1)</f>
        <v>-0.0463809270269471</v>
      </c>
      <c r="O322" s="25" t="n">
        <f aca="false">IF(A322-30&lt;$R$2,"",C322/INDEX(Clean_Data!$C$2:$C$4314,MATCH(A322-30,Clean_Data!$A$2:$A$4314,1))-1)</f>
        <v>0.199501432451539</v>
      </c>
    </row>
    <row r="323" customFormat="false" ht="15" hidden="false" customHeight="false" outlineLevel="0" collapsed="false">
      <c r="A323" s="16" t="n">
        <v>42329</v>
      </c>
      <c r="B323" s="23" t="n">
        <f aca="false">YEAR(A323)</f>
        <v>2015</v>
      </c>
      <c r="C323" s="17" t="n">
        <v>327</v>
      </c>
      <c r="D323" s="23" t="n">
        <f aca="false">A323-A322</f>
        <v>1</v>
      </c>
      <c r="E323" s="24" t="n">
        <f aca="false">LN(C323)</f>
        <v>5.78996017089725</v>
      </c>
      <c r="F323" s="25" t="n">
        <f aca="false">LN(C323/C322)</f>
        <v>0.0141981781155558</v>
      </c>
      <c r="G323" s="25" t="n">
        <f aca="false">IF(AND(D323=1,A323&gt;=$R$2),F323,"")</f>
        <v>0.0141981781155558</v>
      </c>
      <c r="H323" s="27" t="n">
        <f aca="false">IF(G323="","",G323^2)</f>
        <v>0.000201588261801047</v>
      </c>
      <c r="I323" s="25" t="n">
        <f aca="false">IF(G323="","",C323/C322-1)</f>
        <v>0.0142994509755265</v>
      </c>
      <c r="J323" s="17" t="n">
        <f aca="false">AVERAGE(C124:C323)</f>
        <v>262.3916</v>
      </c>
      <c r="K323" s="17" t="n">
        <f aca="false">MAX(K322,C323)</f>
        <v>410</v>
      </c>
      <c r="L323" s="25" t="n">
        <f aca="false">C323/K323-1</f>
        <v>-0.202439024390244</v>
      </c>
      <c r="M323" s="25" t="n">
        <f aca="false">IF(COUNT(G294:G323)&lt;20,"",_xlfn.STDEV.S(G294:G323)*SQRT($R$3))</f>
        <v>0.897063898548515</v>
      </c>
      <c r="N323" s="25" t="n">
        <f aca="false">IF(A323-7&lt;$R$2,"",C323/INDEX(Clean_Data!$C$2:$C$4314,MATCH(A323-7,Clean_Data!$A$2:$A$4314,1))-1)</f>
        <v>-0.0230348660034059</v>
      </c>
      <c r="O323" s="25" t="n">
        <f aca="false">IF(A323-30&lt;$R$2,"",C323/INDEX(Clean_Data!$C$2:$C$4314,MATCH(A323-30,Clean_Data!$A$2:$A$4314,1))-1)</f>
        <v>0.185469837587007</v>
      </c>
    </row>
    <row r="324" customFormat="false" ht="15" hidden="false" customHeight="false" outlineLevel="0" collapsed="false">
      <c r="A324" s="16" t="n">
        <v>42330</v>
      </c>
      <c r="B324" s="23" t="n">
        <f aca="false">YEAR(A324)</f>
        <v>2015</v>
      </c>
      <c r="C324" s="17" t="n">
        <v>323.71</v>
      </c>
      <c r="D324" s="23" t="n">
        <f aca="false">A324-A323</f>
        <v>1</v>
      </c>
      <c r="E324" s="24" t="n">
        <f aca="false">LN(C324)</f>
        <v>5.779848053257</v>
      </c>
      <c r="F324" s="25" t="n">
        <f aca="false">LN(C324/C323)</f>
        <v>-0.0101121176402505</v>
      </c>
      <c r="G324" s="25" t="n">
        <f aca="false">IF(AND(D324=1,A324&gt;=$R$2),F324,"")</f>
        <v>-0.0101121176402505</v>
      </c>
      <c r="H324" s="27" t="n">
        <f aca="false">IF(G324="","",G324^2)</f>
        <v>0.000102254923170265</v>
      </c>
      <c r="I324" s="25" t="n">
        <f aca="false">IF(G324="","",C324/C323-1)</f>
        <v>-0.0100611620795108</v>
      </c>
      <c r="J324" s="17" t="n">
        <f aca="false">AVERAGE(C125:C324)</f>
        <v>262.86015</v>
      </c>
      <c r="K324" s="17" t="n">
        <f aca="false">MAX(K323,C324)</f>
        <v>410</v>
      </c>
      <c r="L324" s="25" t="n">
        <f aca="false">C324/K324-1</f>
        <v>-0.210463414634146</v>
      </c>
      <c r="M324" s="25" t="n">
        <f aca="false">IF(COUNT(G295:G324)&lt;20,"",_xlfn.STDEV.S(G295:G324)*SQRT($R$3))</f>
        <v>0.898545020580425</v>
      </c>
      <c r="N324" s="25" t="n">
        <f aca="false">IF(A324-7&lt;$R$2,"",C324/INDEX(Clean_Data!$C$2:$C$4314,MATCH(A324-7,Clean_Data!$A$2:$A$4314,1))-1)</f>
        <v>0.00241538413897735</v>
      </c>
      <c r="O324" s="25" t="n">
        <f aca="false">IF(A324-30&lt;$R$2,"",C324/INDEX(Clean_Data!$C$2:$C$4314,MATCH(A324-30,Clean_Data!$A$2:$A$4314,1))-1)</f>
        <v>0.161249820634237</v>
      </c>
    </row>
    <row r="325" customFormat="false" ht="15" hidden="false" customHeight="false" outlineLevel="0" collapsed="false">
      <c r="A325" s="16" t="n">
        <v>42331</v>
      </c>
      <c r="B325" s="23" t="n">
        <f aca="false">YEAR(A325)</f>
        <v>2015</v>
      </c>
      <c r="C325" s="17" t="n">
        <v>323</v>
      </c>
      <c r="D325" s="23" t="n">
        <f aca="false">A325-A324</f>
        <v>1</v>
      </c>
      <c r="E325" s="24" t="n">
        <f aca="false">LN(C325)</f>
        <v>5.77765232322266</v>
      </c>
      <c r="F325" s="25" t="n">
        <f aca="false">LN(C325/C324)</f>
        <v>-0.00219573003434646</v>
      </c>
      <c r="G325" s="25" t="n">
        <f aca="false">IF(AND(D325=1,A325&gt;=$R$2),F325,"")</f>
        <v>-0.00219573003434646</v>
      </c>
      <c r="H325" s="27" t="n">
        <f aca="false">IF(G325="","",G325^2)</f>
        <v>4.82123038373109E-006</v>
      </c>
      <c r="I325" s="25" t="n">
        <f aca="false">IF(G325="","",C325/C324-1)</f>
        <v>-0.0021933211825399</v>
      </c>
      <c r="J325" s="17" t="n">
        <f aca="false">AVERAGE(C126:C325)</f>
        <v>263.2852</v>
      </c>
      <c r="K325" s="17" t="n">
        <f aca="false">MAX(K324,C325)</f>
        <v>410</v>
      </c>
      <c r="L325" s="25" t="n">
        <f aca="false">C325/K325-1</f>
        <v>-0.212195121951219</v>
      </c>
      <c r="M325" s="25" t="n">
        <f aca="false">IF(COUNT(G296:G325)&lt;20,"",_xlfn.STDEV.S(G296:G325)*SQRT($R$3))</f>
        <v>0.89728846252313</v>
      </c>
      <c r="N325" s="25" t="n">
        <f aca="false">IF(A325-7&lt;$R$2,"",C325/INDEX(Clean_Data!$C$2:$C$4314,MATCH(A325-7,Clean_Data!$A$2:$A$4314,1))-1)</f>
        <v>-0.0297095136531587</v>
      </c>
      <c r="O325" s="25" t="n">
        <f aca="false">IF(A325-30&lt;$R$2,"",C325/INDEX(Clean_Data!$C$2:$C$4314,MATCH(A325-30,Clean_Data!$A$2:$A$4314,1))-1)</f>
        <v>0.136163776425481</v>
      </c>
    </row>
    <row r="326" customFormat="false" ht="15" hidden="false" customHeight="false" outlineLevel="0" collapsed="false">
      <c r="A326" s="16" t="n">
        <v>42332</v>
      </c>
      <c r="B326" s="23" t="n">
        <f aca="false">YEAR(A326)</f>
        <v>2015</v>
      </c>
      <c r="C326" s="17" t="n">
        <v>321</v>
      </c>
      <c r="D326" s="23" t="n">
        <f aca="false">A326-A325</f>
        <v>1</v>
      </c>
      <c r="E326" s="24" t="n">
        <f aca="false">LN(C326)</f>
        <v>5.77144112313002</v>
      </c>
      <c r="F326" s="25" t="n">
        <f aca="false">LN(C326/C325)</f>
        <v>-0.00621120009264064</v>
      </c>
      <c r="G326" s="25" t="n">
        <f aca="false">IF(AND(D326=1,A326&gt;=$R$2),F326,"")</f>
        <v>-0.00621120009264064</v>
      </c>
      <c r="H326" s="27" t="n">
        <f aca="false">IF(G326="","",G326^2)</f>
        <v>3.8579006590819E-005</v>
      </c>
      <c r="I326" s="25" t="n">
        <f aca="false">IF(G326="","",C326/C325-1)</f>
        <v>-0.00619195046439625</v>
      </c>
      <c r="J326" s="17" t="n">
        <f aca="false">AVERAGE(C127:C326)</f>
        <v>263.6675</v>
      </c>
      <c r="K326" s="17" t="n">
        <f aca="false">MAX(K325,C326)</f>
        <v>410</v>
      </c>
      <c r="L326" s="25" t="n">
        <f aca="false">C326/K326-1</f>
        <v>-0.217073170731707</v>
      </c>
      <c r="M326" s="25" t="n">
        <f aca="false">IF(COUNT(G297:G326)&lt;20,"",_xlfn.STDEV.S(G297:G326)*SQRT($R$3))</f>
        <v>0.898014752888502</v>
      </c>
      <c r="N326" s="25" t="n">
        <f aca="false">IF(A326-7&lt;$R$2,"",C326/INDEX(Clean_Data!$C$2:$C$4314,MATCH(A326-7,Clean_Data!$A$2:$A$4314,1))-1)</f>
        <v>-0.0460340574757051</v>
      </c>
      <c r="O326" s="25" t="n">
        <f aca="false">IF(A326-30&lt;$R$2,"",C326/INDEX(Clean_Data!$C$2:$C$4314,MATCH(A326-30,Clean_Data!$A$2:$A$4314,1))-1)</f>
        <v>0.126434361511738</v>
      </c>
    </row>
    <row r="327" customFormat="false" ht="15" hidden="false" customHeight="false" outlineLevel="0" collapsed="false">
      <c r="A327" s="16" t="n">
        <v>42333</v>
      </c>
      <c r="B327" s="23" t="n">
        <f aca="false">YEAR(A327)</f>
        <v>2015</v>
      </c>
      <c r="C327" s="17" t="n">
        <v>328.98</v>
      </c>
      <c r="D327" s="23" t="n">
        <f aca="false">A327-A326</f>
        <v>1</v>
      </c>
      <c r="E327" s="24" t="n">
        <f aca="false">LN(C327)</f>
        <v>5.79599695864401</v>
      </c>
      <c r="F327" s="25" t="n">
        <f aca="false">LN(C327/C326)</f>
        <v>0.0245558355139963</v>
      </c>
      <c r="G327" s="25" t="n">
        <f aca="false">IF(AND(D327=1,A327&gt;=$R$2),F327,"")</f>
        <v>0.0245558355139963</v>
      </c>
      <c r="H327" s="27" t="n">
        <f aca="false">IF(G327="","",G327^2)</f>
        <v>0.000602989057790442</v>
      </c>
      <c r="I327" s="25" t="n">
        <f aca="false">IF(G327="","",C327/C326-1)</f>
        <v>0.0248598130841122</v>
      </c>
      <c r="J327" s="17" t="n">
        <f aca="false">AVERAGE(C128:C327)</f>
        <v>264.0999</v>
      </c>
      <c r="K327" s="17" t="n">
        <f aca="false">MAX(K326,C327)</f>
        <v>410</v>
      </c>
      <c r="L327" s="25" t="n">
        <f aca="false">C327/K327-1</f>
        <v>-0.197609756097561</v>
      </c>
      <c r="M327" s="25" t="n">
        <f aca="false">IF(COUNT(G298:G327)&lt;20,"",_xlfn.STDEV.S(G298:G327)*SQRT($R$3))</f>
        <v>0.900827346830958</v>
      </c>
      <c r="N327" s="25" t="n">
        <f aca="false">IF(A327-7&lt;$R$2,"",C327/INDEX(Clean_Data!$C$2:$C$4314,MATCH(A327-7,Clean_Data!$A$2:$A$4314,1))-1)</f>
        <v>-0.0194044531878744</v>
      </c>
      <c r="O327" s="25" t="n">
        <f aca="false">IF(A327-30&lt;$R$2,"",C327/INDEX(Clean_Data!$C$2:$C$4314,MATCH(A327-30,Clean_Data!$A$2:$A$4314,1))-1)</f>
        <v>0.145872518286311</v>
      </c>
    </row>
    <row r="328" customFormat="false" ht="15" hidden="false" customHeight="false" outlineLevel="0" collapsed="false">
      <c r="A328" s="16" t="n">
        <v>42334</v>
      </c>
      <c r="B328" s="23" t="n">
        <f aca="false">YEAR(A328)</f>
        <v>2015</v>
      </c>
      <c r="C328" s="17" t="n">
        <v>352.57</v>
      </c>
      <c r="D328" s="23" t="n">
        <f aca="false">A328-A327</f>
        <v>1</v>
      </c>
      <c r="E328" s="24" t="n">
        <f aca="false">LN(C328)</f>
        <v>5.8652491840979</v>
      </c>
      <c r="F328" s="25" t="n">
        <f aca="false">LN(C328/C327)</f>
        <v>0.0692522254538867</v>
      </c>
      <c r="G328" s="25" t="n">
        <f aca="false">IF(AND(D328=1,A328&gt;=$R$2),F328,"")</f>
        <v>0.0692522254538867</v>
      </c>
      <c r="H328" s="27" t="n">
        <f aca="false">IF(G328="","",G328^2)</f>
        <v>0.00479587073031595</v>
      </c>
      <c r="I328" s="25" t="n">
        <f aca="false">IF(G328="","",C328/C327-1)</f>
        <v>0.0717064867165176</v>
      </c>
      <c r="J328" s="17" t="n">
        <f aca="false">AVERAGE(C129:C328)</f>
        <v>264.6549</v>
      </c>
      <c r="K328" s="17" t="n">
        <f aca="false">MAX(K327,C328)</f>
        <v>410</v>
      </c>
      <c r="L328" s="25" t="n">
        <f aca="false">C328/K328-1</f>
        <v>-0.140073170731707</v>
      </c>
      <c r="M328" s="25" t="n">
        <f aca="false">IF(COUNT(G299:G328)&lt;20,"",_xlfn.STDEV.S(G299:G328)*SQRT($R$3))</f>
        <v>0.925129684662085</v>
      </c>
      <c r="N328" s="25" t="n">
        <f aca="false">IF(A328-7&lt;$R$2,"",C328/INDEX(Clean_Data!$C$2:$C$4314,MATCH(A328-7,Clean_Data!$A$2:$A$4314,1))-1)</f>
        <v>0.0801446034128854</v>
      </c>
      <c r="O328" s="25" t="n">
        <f aca="false">IF(A328-30&lt;$R$2,"",C328/INDEX(Clean_Data!$C$2:$C$4314,MATCH(A328-30,Clean_Data!$A$2:$A$4314,1))-1)</f>
        <v>0.192686309664761</v>
      </c>
    </row>
    <row r="329" customFormat="false" ht="15" hidden="false" customHeight="false" outlineLevel="0" collapsed="false">
      <c r="A329" s="16" t="n">
        <v>42335</v>
      </c>
      <c r="B329" s="23" t="n">
        <f aca="false">YEAR(A329)</f>
        <v>2015</v>
      </c>
      <c r="C329" s="17" t="n">
        <v>358.19</v>
      </c>
      <c r="D329" s="23" t="n">
        <f aca="false">A329-A328</f>
        <v>1</v>
      </c>
      <c r="E329" s="24" t="n">
        <f aca="false">LN(C329)</f>
        <v>5.88106357187231</v>
      </c>
      <c r="F329" s="25" t="n">
        <f aca="false">LN(C329/C328)</f>
        <v>0.0158143877744149</v>
      </c>
      <c r="G329" s="25" t="n">
        <f aca="false">IF(AND(D329=1,A329&gt;=$R$2),F329,"")</f>
        <v>0.0158143877744149</v>
      </c>
      <c r="H329" s="27" t="n">
        <f aca="false">IF(G329="","",G329^2)</f>
        <v>0.000250094860679562</v>
      </c>
      <c r="I329" s="25" t="n">
        <f aca="false">IF(G329="","",C329/C328-1)</f>
        <v>0.0159400970020138</v>
      </c>
      <c r="J329" s="17" t="n">
        <f aca="false">AVERAGE(C130:C329)</f>
        <v>265.23155</v>
      </c>
      <c r="K329" s="17" t="n">
        <f aca="false">MAX(K328,C329)</f>
        <v>410</v>
      </c>
      <c r="L329" s="25" t="n">
        <f aca="false">C329/K329-1</f>
        <v>-0.126365853658537</v>
      </c>
      <c r="M329" s="25" t="n">
        <f aca="false">IF(COUNT(G300:G329)&lt;20,"",_xlfn.STDEV.S(G300:G329)*SQRT($R$3))</f>
        <v>0.92234651337606</v>
      </c>
      <c r="N329" s="25" t="n">
        <f aca="false">IF(A329-7&lt;$R$2,"",C329/INDEX(Clean_Data!$C$2:$C$4314,MATCH(A329-7,Clean_Data!$A$2:$A$4314,1))-1)</f>
        <v>0.111045627966128</v>
      </c>
      <c r="O329" s="25" t="n">
        <f aca="false">IF(A329-30&lt;$R$2,"",C329/INDEX(Clean_Data!$C$2:$C$4314,MATCH(A329-30,Clean_Data!$A$2:$A$4314,1))-1)</f>
        <v>0.177907856226775</v>
      </c>
    </row>
    <row r="330" customFormat="false" ht="15" hidden="false" customHeight="false" outlineLevel="0" collapsed="false">
      <c r="A330" s="16" t="n">
        <v>42336</v>
      </c>
      <c r="B330" s="23" t="n">
        <f aca="false">YEAR(A330)</f>
        <v>2015</v>
      </c>
      <c r="C330" s="17" t="n">
        <v>357.24</v>
      </c>
      <c r="D330" s="23" t="n">
        <f aca="false">A330-A329</f>
        <v>1</v>
      </c>
      <c r="E330" s="24" t="n">
        <f aca="false">LN(C330)</f>
        <v>5.87840782481569</v>
      </c>
      <c r="F330" s="25" t="n">
        <f aca="false">LN(C330/C329)</f>
        <v>-0.00265574705662838</v>
      </c>
      <c r="G330" s="25" t="n">
        <f aca="false">IF(AND(D330=1,A330&gt;=$R$2),F330,"")</f>
        <v>-0.00265574705662838</v>
      </c>
      <c r="H330" s="27" t="n">
        <f aca="false">IF(G330="","",G330^2)</f>
        <v>7.05299242879033E-006</v>
      </c>
      <c r="I330" s="25" t="n">
        <f aca="false">IF(G330="","",C330/C329-1)</f>
        <v>-0.00265222368016971</v>
      </c>
      <c r="J330" s="17" t="n">
        <f aca="false">AVERAGE(C131:C330)</f>
        <v>265.8076</v>
      </c>
      <c r="K330" s="17" t="n">
        <f aca="false">MAX(K329,C330)</f>
        <v>410</v>
      </c>
      <c r="L330" s="25" t="n">
        <f aca="false">C330/K330-1</f>
        <v>-0.128682926829268</v>
      </c>
      <c r="M330" s="25" t="n">
        <f aca="false">IF(COUNT(G301:G330)&lt;20,"",_xlfn.STDEV.S(G301:G330)*SQRT($R$3))</f>
        <v>0.914850096271229</v>
      </c>
      <c r="N330" s="25" t="n">
        <f aca="false">IF(A330-7&lt;$R$2,"",C330/INDEX(Clean_Data!$C$2:$C$4314,MATCH(A330-7,Clean_Data!$A$2:$A$4314,1))-1)</f>
        <v>0.0924770642201835</v>
      </c>
      <c r="O330" s="25" t="n">
        <f aca="false">IF(A330-30&lt;$R$2,"",C330/INDEX(Clean_Data!$C$2:$C$4314,MATCH(A330-30,Clean_Data!$A$2:$A$4314,1))-1)</f>
        <v>0.130220197418375</v>
      </c>
    </row>
    <row r="331" customFormat="false" ht="15" hidden="false" customHeight="false" outlineLevel="0" collapsed="false">
      <c r="A331" s="16" t="n">
        <v>42337</v>
      </c>
      <c r="B331" s="23" t="n">
        <f aca="false">YEAR(A331)</f>
        <v>2015</v>
      </c>
      <c r="C331" s="17" t="n">
        <v>372.24</v>
      </c>
      <c r="D331" s="23" t="n">
        <f aca="false">A331-A330</f>
        <v>1</v>
      </c>
      <c r="E331" s="24" t="n">
        <f aca="false">LN(C331)</f>
        <v>5.91953880753639</v>
      </c>
      <c r="F331" s="25" t="n">
        <f aca="false">LN(C331/C330)</f>
        <v>0.0411309827207078</v>
      </c>
      <c r="G331" s="25" t="n">
        <f aca="false">IF(AND(D331=1,A331&gt;=$R$2),F331,"")</f>
        <v>0.0411309827207078</v>
      </c>
      <c r="H331" s="27" t="n">
        <f aca="false">IF(G331="","",G331^2)</f>
        <v>0.00169175773957117</v>
      </c>
      <c r="I331" s="25" t="n">
        <f aca="false">IF(G331="","",C331/C330-1)</f>
        <v>0.0419885791064831</v>
      </c>
      <c r="J331" s="17" t="n">
        <f aca="false">AVERAGE(C132:C331)</f>
        <v>266.4872</v>
      </c>
      <c r="K331" s="17" t="n">
        <f aca="false">MAX(K330,C331)</f>
        <v>410</v>
      </c>
      <c r="L331" s="25" t="n">
        <f aca="false">C331/K331-1</f>
        <v>-0.0920975609756097</v>
      </c>
      <c r="M331" s="25" t="n">
        <f aca="false">IF(COUNT(G302:G331)&lt;20,"",_xlfn.STDEV.S(G302:G331)*SQRT($R$3))</f>
        <v>0.915220476729295</v>
      </c>
      <c r="N331" s="25" t="n">
        <f aca="false">IF(A331-7&lt;$R$2,"",C331/INDEX(Clean_Data!$C$2:$C$4314,MATCH(A331-7,Clean_Data!$A$2:$A$4314,1))-1)</f>
        <v>0.14991813660375</v>
      </c>
      <c r="O331" s="25" t="n">
        <f aca="false">IF(A331-30&lt;$R$2,"",C331/INDEX(Clean_Data!$C$2:$C$4314,MATCH(A331-30,Clean_Data!$A$2:$A$4314,1))-1)</f>
        <v>0.13105040867795</v>
      </c>
    </row>
    <row r="332" customFormat="false" ht="15" hidden="false" customHeight="false" outlineLevel="0" collapsed="false">
      <c r="A332" s="16" t="n">
        <v>42338</v>
      </c>
      <c r="B332" s="23" t="n">
        <f aca="false">YEAR(A332)</f>
        <v>2015</v>
      </c>
      <c r="C332" s="17" t="n">
        <v>376.86</v>
      </c>
      <c r="D332" s="23" t="n">
        <f aca="false">A332-A331</f>
        <v>1</v>
      </c>
      <c r="E332" s="24" t="n">
        <f aca="false">LN(C332)</f>
        <v>5.93187376569435</v>
      </c>
      <c r="F332" s="25" t="n">
        <f aca="false">LN(C332/C331)</f>
        <v>0.0123349581579514</v>
      </c>
      <c r="G332" s="25" t="n">
        <f aca="false">IF(AND(D332=1,A332&gt;=$R$2),F332,"")</f>
        <v>0.0123349581579514</v>
      </c>
      <c r="H332" s="27" t="n">
        <f aca="false">IF(G332="","",G332^2)</f>
        <v>0.000152151192758411</v>
      </c>
      <c r="I332" s="25" t="n">
        <f aca="false">IF(G332="","",C332/C331-1)</f>
        <v>0.0124113475177305</v>
      </c>
      <c r="J332" s="17" t="n">
        <f aca="false">AVERAGE(C133:C332)</f>
        <v>267.1842</v>
      </c>
      <c r="K332" s="17" t="n">
        <f aca="false">MAX(K331,C332)</f>
        <v>410</v>
      </c>
      <c r="L332" s="25" t="n">
        <f aca="false">C332/K332-1</f>
        <v>-0.0808292682926829</v>
      </c>
      <c r="M332" s="25" t="n">
        <f aca="false">IF(COUNT(G303:G332)&lt;20,"",_xlfn.STDEV.S(G303:G332)*SQRT($R$3))</f>
        <v>0.898693986716602</v>
      </c>
      <c r="N332" s="25" t="n">
        <f aca="false">IF(A332-7&lt;$R$2,"",C332/INDEX(Clean_Data!$C$2:$C$4314,MATCH(A332-7,Clean_Data!$A$2:$A$4314,1))-1)</f>
        <v>0.166749226006192</v>
      </c>
      <c r="O332" s="25" t="n">
        <f aca="false">IF(A332-30&lt;$R$2,"",C332/INDEX(Clean_Data!$C$2:$C$4314,MATCH(A332-30,Clean_Data!$A$2:$A$4314,1))-1)</f>
        <v>0.196950929013816</v>
      </c>
    </row>
    <row r="333" customFormat="false" ht="15" hidden="false" customHeight="false" outlineLevel="0" collapsed="false">
      <c r="A333" s="16" t="n">
        <v>42339</v>
      </c>
      <c r="B333" s="23" t="n">
        <f aca="false">YEAR(A333)</f>
        <v>2015</v>
      </c>
      <c r="C333" s="17" t="n">
        <v>362.68</v>
      </c>
      <c r="D333" s="23" t="n">
        <f aca="false">A333-A332</f>
        <v>1</v>
      </c>
      <c r="E333" s="24" t="n">
        <f aca="false">LN(C333)</f>
        <v>5.89352090277786</v>
      </c>
      <c r="F333" s="25" t="n">
        <f aca="false">LN(C333/C332)</f>
        <v>-0.038352862916489</v>
      </c>
      <c r="G333" s="25" t="n">
        <f aca="false">IF(AND(D333=1,A333&gt;=$R$2),F333,"")</f>
        <v>-0.038352862916489</v>
      </c>
      <c r="H333" s="27" t="n">
        <f aca="false">IF(G333="","",G333^2)</f>
        <v>0.001470942093891</v>
      </c>
      <c r="I333" s="25" t="n">
        <f aca="false">IF(G333="","",C333/C332-1)</f>
        <v>-0.0376267048771427</v>
      </c>
      <c r="J333" s="17" t="n">
        <f aca="false">AVERAGE(C134:C333)</f>
        <v>267.8085</v>
      </c>
      <c r="K333" s="17" t="n">
        <f aca="false">MAX(K332,C333)</f>
        <v>410</v>
      </c>
      <c r="L333" s="25" t="n">
        <f aca="false">C333/K333-1</f>
        <v>-0.115414634146341</v>
      </c>
      <c r="M333" s="25" t="n">
        <f aca="false">IF(COUNT(G304:G333)&lt;20,"",_xlfn.STDEV.S(G304:G333)*SQRT($R$3))</f>
        <v>0.89997625647884</v>
      </c>
      <c r="N333" s="25" t="n">
        <f aca="false">IF(A333-7&lt;$R$2,"",C333/INDEX(Clean_Data!$C$2:$C$4314,MATCH(A333-7,Clean_Data!$A$2:$A$4314,1))-1)</f>
        <v>0.129844236760125</v>
      </c>
      <c r="O333" s="25" t="n">
        <f aca="false">IF(A333-30&lt;$R$2,"",C333/INDEX(Clean_Data!$C$2:$C$4314,MATCH(A333-30,Clean_Data!$A$2:$A$4314,1))-1)</f>
        <v>0.100831663934924</v>
      </c>
    </row>
    <row r="334" customFormat="false" ht="15" hidden="false" customHeight="false" outlineLevel="0" collapsed="false">
      <c r="A334" s="16" t="n">
        <v>42340</v>
      </c>
      <c r="B334" s="23" t="n">
        <f aca="false">YEAR(A334)</f>
        <v>2015</v>
      </c>
      <c r="C334" s="17" t="n">
        <v>360</v>
      </c>
      <c r="D334" s="23" t="n">
        <f aca="false">A334-A333</f>
        <v>1</v>
      </c>
      <c r="E334" s="24" t="n">
        <f aca="false">LN(C334)</f>
        <v>5.88610403145016</v>
      </c>
      <c r="F334" s="25" t="n">
        <f aca="false">LN(C334/C333)</f>
        <v>-0.00741687132769975</v>
      </c>
      <c r="G334" s="25" t="n">
        <f aca="false">IF(AND(D334=1,A334&gt;=$R$2),F334,"")</f>
        <v>-0.00741687132769975</v>
      </c>
      <c r="H334" s="27" t="n">
        <f aca="false">IF(G334="","",G334^2)</f>
        <v>5.50099802916547E-005</v>
      </c>
      <c r="I334" s="25" t="n">
        <f aca="false">IF(G334="","",C334/C333-1)</f>
        <v>-0.00738943421197758</v>
      </c>
      <c r="J334" s="17" t="n">
        <f aca="false">AVERAGE(C135:C334)</f>
        <v>268.42485</v>
      </c>
      <c r="K334" s="17" t="n">
        <f aca="false">MAX(K333,C334)</f>
        <v>410</v>
      </c>
      <c r="L334" s="25" t="n">
        <f aca="false">C334/K334-1</f>
        <v>-0.121951219512195</v>
      </c>
      <c r="M334" s="25" t="n">
        <f aca="false">IF(COUNT(G305:G334)&lt;20,"",_xlfn.STDEV.S(G305:G334)*SQRT($R$3))</f>
        <v>0.825143718961289</v>
      </c>
      <c r="N334" s="25" t="n">
        <f aca="false">IF(A334-7&lt;$R$2,"",C334/INDEX(Clean_Data!$C$2:$C$4314,MATCH(A334-7,Clean_Data!$A$2:$A$4314,1))-1)</f>
        <v>0.094291446288528</v>
      </c>
      <c r="O334" s="25" t="n">
        <f aca="false">IF(A334-30&lt;$R$2,"",C334/INDEX(Clean_Data!$C$2:$C$4314,MATCH(A334-30,Clean_Data!$A$2:$A$4314,1))-1)</f>
        <v>-0.0142657649023848</v>
      </c>
    </row>
    <row r="335" customFormat="false" ht="15" hidden="false" customHeight="false" outlineLevel="0" collapsed="false">
      <c r="A335" s="16" t="n">
        <v>42341</v>
      </c>
      <c r="B335" s="23" t="n">
        <f aca="false">YEAR(A335)</f>
        <v>2015</v>
      </c>
      <c r="C335" s="17" t="n">
        <v>361.77</v>
      </c>
      <c r="D335" s="23" t="n">
        <f aca="false">A335-A334</f>
        <v>1</v>
      </c>
      <c r="E335" s="24" t="n">
        <f aca="false">LN(C335)</f>
        <v>5.89100865078361</v>
      </c>
      <c r="F335" s="25" t="n">
        <f aca="false">LN(C335/C334)</f>
        <v>0.00490461933345519</v>
      </c>
      <c r="G335" s="25" t="n">
        <f aca="false">IF(AND(D335=1,A335&gt;=$R$2),F335,"")</f>
        <v>0.00490461933345519</v>
      </c>
      <c r="H335" s="27" t="n">
        <f aca="false">IF(G335="","",G335^2)</f>
        <v>2.40552908061024E-005</v>
      </c>
      <c r="I335" s="25" t="n">
        <f aca="false">IF(G335="","",C335/C334-1)</f>
        <v>0.00491666666666668</v>
      </c>
      <c r="J335" s="17" t="n">
        <f aca="false">AVERAGE(C136:C335)</f>
        <v>269.0481</v>
      </c>
      <c r="K335" s="17" t="n">
        <f aca="false">MAX(K334,C335)</f>
        <v>410</v>
      </c>
      <c r="L335" s="25" t="n">
        <f aca="false">C335/K335-1</f>
        <v>-0.117634146341463</v>
      </c>
      <c r="M335" s="25" t="n">
        <f aca="false">IF(COUNT(G306:G335)&lt;20,"",_xlfn.STDEV.S(G306:G335)*SQRT($R$3))</f>
        <v>0.739756431478157</v>
      </c>
      <c r="N335" s="25" t="n">
        <f aca="false">IF(A335-7&lt;$R$2,"",C335/INDEX(Clean_Data!$C$2:$C$4314,MATCH(A335-7,Clean_Data!$A$2:$A$4314,1))-1)</f>
        <v>0.0260941089712681</v>
      </c>
      <c r="O335" s="25" t="n">
        <f aca="false">IF(A335-30&lt;$R$2,"",C335/INDEX(Clean_Data!$C$2:$C$4314,MATCH(A335-30,Clean_Data!$A$2:$A$4314,1))-1)</f>
        <v>-0.104751299183371</v>
      </c>
    </row>
    <row r="336" customFormat="false" ht="15" hidden="false" customHeight="false" outlineLevel="0" collapsed="false">
      <c r="A336" s="16" t="n">
        <v>42342</v>
      </c>
      <c r="B336" s="23" t="n">
        <f aca="false">YEAR(A336)</f>
        <v>2015</v>
      </c>
      <c r="C336" s="17" t="n">
        <v>363.98</v>
      </c>
      <c r="D336" s="23" t="n">
        <f aca="false">A336-A335</f>
        <v>1</v>
      </c>
      <c r="E336" s="24" t="n">
        <f aca="false">LN(C336)</f>
        <v>5.89709892107226</v>
      </c>
      <c r="F336" s="25" t="n">
        <f aca="false">LN(C336/C335)</f>
        <v>0.00609027028865003</v>
      </c>
      <c r="G336" s="25" t="n">
        <f aca="false">IF(AND(D336=1,A336&gt;=$R$2),F336,"")</f>
        <v>0.00609027028865003</v>
      </c>
      <c r="H336" s="27" t="n">
        <f aca="false">IF(G336="","",G336^2)</f>
        <v>3.70913921888133E-005</v>
      </c>
      <c r="I336" s="25" t="n">
        <f aca="false">IF(G336="","",C336/C335-1)</f>
        <v>0.0061088536915721</v>
      </c>
      <c r="J336" s="17" t="n">
        <f aca="false">AVERAGE(C137:C336)</f>
        <v>269.6978</v>
      </c>
      <c r="K336" s="17" t="n">
        <f aca="false">MAX(K335,C336)</f>
        <v>410</v>
      </c>
      <c r="L336" s="25" t="n">
        <f aca="false">C336/K336-1</f>
        <v>-0.112243902439024</v>
      </c>
      <c r="M336" s="25" t="n">
        <f aca="false">IF(COUNT(G307:G336)&lt;20,"",_xlfn.STDEV.S(G307:G336)*SQRT($R$3))</f>
        <v>0.737734435991167</v>
      </c>
      <c r="N336" s="25" t="n">
        <f aca="false">IF(A336-7&lt;$R$2,"",C336/INDEX(Clean_Data!$C$2:$C$4314,MATCH(A336-7,Clean_Data!$A$2:$A$4314,1))-1)</f>
        <v>0.0161646053770346</v>
      </c>
      <c r="O336" s="25" t="n">
        <f aca="false">IF(A336-30&lt;$R$2,"",C336/INDEX(Clean_Data!$C$2:$C$4314,MATCH(A336-30,Clean_Data!$A$2:$A$4314,1))-1)</f>
        <v>-0.112243902439024</v>
      </c>
    </row>
    <row r="337" customFormat="false" ht="15" hidden="false" customHeight="false" outlineLevel="0" collapsed="false">
      <c r="A337" s="16" t="n">
        <v>42343</v>
      </c>
      <c r="B337" s="23" t="n">
        <f aca="false">YEAR(A337)</f>
        <v>2015</v>
      </c>
      <c r="C337" s="17" t="n">
        <v>387.99</v>
      </c>
      <c r="D337" s="23" t="n">
        <f aca="false">A337-A336</f>
        <v>1</v>
      </c>
      <c r="E337" s="24" t="n">
        <f aca="false">LN(C337)</f>
        <v>5.96097956609526</v>
      </c>
      <c r="F337" s="25" t="n">
        <f aca="false">LN(C337/C336)</f>
        <v>0.0638806450230018</v>
      </c>
      <c r="G337" s="25" t="n">
        <f aca="false">IF(AND(D337=1,A337&gt;=$R$2),F337,"")</f>
        <v>0.0638806450230018</v>
      </c>
      <c r="H337" s="27" t="n">
        <f aca="false">IF(G337="","",G337^2)</f>
        <v>0.00408073680855477</v>
      </c>
      <c r="I337" s="25" t="n">
        <f aca="false">IF(G337="","",C337/C336-1)</f>
        <v>0.0659651629210396</v>
      </c>
      <c r="J337" s="17" t="n">
        <f aca="false">AVERAGE(C138:C337)</f>
        <v>270.4748</v>
      </c>
      <c r="K337" s="17" t="n">
        <f aca="false">MAX(K336,C337)</f>
        <v>410</v>
      </c>
      <c r="L337" s="25" t="n">
        <f aca="false">C337/K337-1</f>
        <v>-0.0536829268292682</v>
      </c>
      <c r="M337" s="25" t="n">
        <f aca="false">IF(COUNT(G308:G337)&lt;20,"",_xlfn.STDEV.S(G308:G337)*SQRT($R$3))</f>
        <v>0.748593812542916</v>
      </c>
      <c r="N337" s="25" t="n">
        <f aca="false">IF(A337-7&lt;$R$2,"",C337/INDEX(Clean_Data!$C$2:$C$4314,MATCH(A337-7,Clean_Data!$A$2:$A$4314,1))-1)</f>
        <v>0.0860765871682903</v>
      </c>
      <c r="O337" s="25" t="n">
        <f aca="false">IF(A337-30&lt;$R$2,"",C337/INDEX(Clean_Data!$C$2:$C$4314,MATCH(A337-30,Clean_Data!$A$2:$A$4314,1))-1)</f>
        <v>0.00201441078484543</v>
      </c>
    </row>
    <row r="338" customFormat="false" ht="15" hidden="false" customHeight="false" outlineLevel="0" collapsed="false">
      <c r="A338" s="16" t="n">
        <v>42344</v>
      </c>
      <c r="B338" s="23" t="n">
        <f aca="false">YEAR(A338)</f>
        <v>2015</v>
      </c>
      <c r="C338" s="17" t="n">
        <v>387.55</v>
      </c>
      <c r="D338" s="23" t="n">
        <f aca="false">A338-A337</f>
        <v>1</v>
      </c>
      <c r="E338" s="24" t="n">
        <f aca="false">LN(C338)</f>
        <v>5.95984487272752</v>
      </c>
      <c r="F338" s="25" t="n">
        <f aca="false">LN(C338/C337)</f>
        <v>-0.00113469336774224</v>
      </c>
      <c r="G338" s="25" t="n">
        <f aca="false">IF(AND(D338=1,A338&gt;=$R$2),F338,"")</f>
        <v>-0.00113469336774224</v>
      </c>
      <c r="H338" s="27" t="n">
        <f aca="false">IF(G338="","",G338^2)</f>
        <v>1.28752903879822E-006</v>
      </c>
      <c r="I338" s="25" t="n">
        <f aca="false">IF(G338="","",C338/C337-1)</f>
        <v>-0.00113404984664556</v>
      </c>
      <c r="J338" s="17" t="n">
        <f aca="false">AVERAGE(C139:C338)</f>
        <v>271.23985</v>
      </c>
      <c r="K338" s="17" t="n">
        <f aca="false">MAX(K337,C338)</f>
        <v>410</v>
      </c>
      <c r="L338" s="25" t="n">
        <f aca="false">C338/K338-1</f>
        <v>-0.0547560975609756</v>
      </c>
      <c r="M338" s="25" t="n">
        <f aca="false">IF(COUNT(G309:G338)&lt;20,"",_xlfn.STDEV.S(G309:G338)*SQRT($R$3))</f>
        <v>0.738194431740813</v>
      </c>
      <c r="N338" s="25" t="n">
        <f aca="false">IF(A338-7&lt;$R$2,"",C338/INDEX(Clean_Data!$C$2:$C$4314,MATCH(A338-7,Clean_Data!$A$2:$A$4314,1))-1)</f>
        <v>0.0411293788953364</v>
      </c>
      <c r="O338" s="25" t="n">
        <f aca="false">IF(A338-30&lt;$R$2,"",C338/INDEX(Clean_Data!$C$2:$C$4314,MATCH(A338-30,Clean_Data!$A$2:$A$4314,1))-1)</f>
        <v>0.0359806463685211</v>
      </c>
    </row>
    <row r="339" customFormat="false" ht="15" hidden="false" customHeight="false" outlineLevel="0" collapsed="false">
      <c r="A339" s="16" t="n">
        <v>42345</v>
      </c>
      <c r="B339" s="23" t="n">
        <f aca="false">YEAR(A339)</f>
        <v>2015</v>
      </c>
      <c r="C339" s="17" t="n">
        <v>394.73</v>
      </c>
      <c r="D339" s="23" t="n">
        <f aca="false">A339-A338</f>
        <v>1</v>
      </c>
      <c r="E339" s="24" t="n">
        <f aca="false">LN(C339)</f>
        <v>5.9782019868744</v>
      </c>
      <c r="F339" s="25" t="n">
        <f aca="false">LN(C339/C338)</f>
        <v>0.0183571141468836</v>
      </c>
      <c r="G339" s="25" t="n">
        <f aca="false">IF(AND(D339=1,A339&gt;=$R$2),F339,"")</f>
        <v>0.0183571141468836</v>
      </c>
      <c r="H339" s="27" t="n">
        <f aca="false">IF(G339="","",G339^2)</f>
        <v>0.000336983639801713</v>
      </c>
      <c r="I339" s="25" t="n">
        <f aca="false">IF(G339="","",C339/C338-1)</f>
        <v>0.0185266417236485</v>
      </c>
      <c r="J339" s="17" t="n">
        <f aca="false">AVERAGE(C140:C339)</f>
        <v>272.03465</v>
      </c>
      <c r="K339" s="17" t="n">
        <f aca="false">MAX(K338,C339)</f>
        <v>410</v>
      </c>
      <c r="L339" s="25" t="n">
        <f aca="false">C339/K339-1</f>
        <v>-0.0372439024390243</v>
      </c>
      <c r="M339" s="25" t="n">
        <f aca="false">IF(COUNT(G310:G339)&lt;20,"",_xlfn.STDEV.S(G310:G339)*SQRT($R$3))</f>
        <v>0.734423499498436</v>
      </c>
      <c r="N339" s="25" t="n">
        <f aca="false">IF(A339-7&lt;$R$2,"",C339/INDEX(Clean_Data!$C$2:$C$4314,MATCH(A339-7,Clean_Data!$A$2:$A$4314,1))-1)</f>
        <v>0.0474181393620974</v>
      </c>
      <c r="O339" s="25" t="n">
        <f aca="false">IF(A339-30&lt;$R$2,"",C339/INDEX(Clean_Data!$C$2:$C$4314,MATCH(A339-30,Clean_Data!$A$2:$A$4314,1))-1)</f>
        <v>0.0257789558483408</v>
      </c>
    </row>
    <row r="340" customFormat="false" ht="15" hidden="false" customHeight="false" outlineLevel="0" collapsed="false">
      <c r="A340" s="16" t="n">
        <v>42346</v>
      </c>
      <c r="B340" s="23" t="n">
        <f aca="false">YEAR(A340)</f>
        <v>2015</v>
      </c>
      <c r="C340" s="17" t="n">
        <v>418.94</v>
      </c>
      <c r="D340" s="23" t="n">
        <f aca="false">A340-A339</f>
        <v>1</v>
      </c>
      <c r="E340" s="24" t="n">
        <f aca="false">LN(C340)</f>
        <v>6.03772771157762</v>
      </c>
      <c r="F340" s="25" t="n">
        <f aca="false">LN(C340/C339)</f>
        <v>0.0595257247032159</v>
      </c>
      <c r="G340" s="25" t="n">
        <f aca="false">IF(AND(D340=1,A340&gt;=$R$2),F340,"")</f>
        <v>0.0595257247032159</v>
      </c>
      <c r="H340" s="27" t="n">
        <f aca="false">IF(G340="","",G340^2)</f>
        <v>0.00354331190144305</v>
      </c>
      <c r="I340" s="25" t="n">
        <f aca="false">IF(G340="","",C340/C339-1)</f>
        <v>0.0613330631064271</v>
      </c>
      <c r="J340" s="17" t="n">
        <f aca="false">AVERAGE(C141:C340)</f>
        <v>272.9271</v>
      </c>
      <c r="K340" s="17" t="n">
        <f aca="false">MAX(K339,C340)</f>
        <v>418.94</v>
      </c>
      <c r="L340" s="25" t="n">
        <f aca="false">C340/K340-1</f>
        <v>0</v>
      </c>
      <c r="M340" s="25" t="n">
        <f aca="false">IF(COUNT(G311:G340)&lt;20,"",_xlfn.STDEV.S(G311:G340)*SQRT($R$3))</f>
        <v>0.753826051975275</v>
      </c>
      <c r="N340" s="25" t="n">
        <f aca="false">IF(A340-7&lt;$R$2,"",C340/INDEX(Clean_Data!$C$2:$C$4314,MATCH(A340-7,Clean_Data!$A$2:$A$4314,1))-1)</f>
        <v>0.155122973420095</v>
      </c>
      <c r="O340" s="25" t="n">
        <f aca="false">IF(A340-30&lt;$R$2,"",C340/INDEX(Clean_Data!$C$2:$C$4314,MATCH(A340-30,Clean_Data!$A$2:$A$4314,1))-1)</f>
        <v>0.12066982318166</v>
      </c>
    </row>
    <row r="341" customFormat="false" ht="15" hidden="false" customHeight="false" outlineLevel="0" collapsed="false">
      <c r="A341" s="16" t="n">
        <v>42347</v>
      </c>
      <c r="B341" s="23" t="n">
        <f aca="false">YEAR(A341)</f>
        <v>2015</v>
      </c>
      <c r="C341" s="17" t="n">
        <v>418.39</v>
      </c>
      <c r="D341" s="23" t="n">
        <f aca="false">A341-A340</f>
        <v>1</v>
      </c>
      <c r="E341" s="24" t="n">
        <f aca="false">LN(C341)</f>
        <v>6.03641401189148</v>
      </c>
      <c r="F341" s="25" t="n">
        <f aca="false">LN(C341/C340)</f>
        <v>-0.00131369968614404</v>
      </c>
      <c r="G341" s="25" t="n">
        <f aca="false">IF(AND(D341=1,A341&gt;=$R$2),F341,"")</f>
        <v>-0.00131369968614404</v>
      </c>
      <c r="H341" s="27" t="n">
        <f aca="false">IF(G341="","",G341^2)</f>
        <v>1.72580686537495E-006</v>
      </c>
      <c r="I341" s="25" t="n">
        <f aca="false">IF(G341="","",C341/C340-1)</f>
        <v>-0.00131283716045261</v>
      </c>
      <c r="J341" s="17" t="n">
        <f aca="false">AVERAGE(C142:C341)</f>
        <v>273.82225</v>
      </c>
      <c r="K341" s="17" t="n">
        <f aca="false">MAX(K340,C341)</f>
        <v>418.94</v>
      </c>
      <c r="L341" s="25" t="n">
        <f aca="false">C341/K341-1</f>
        <v>-0.00131283716045261</v>
      </c>
      <c r="M341" s="25" t="n">
        <f aca="false">IF(COUNT(G312:G341)&lt;20,"",_xlfn.STDEV.S(G312:G341)*SQRT($R$3))</f>
        <v>0.752895720426234</v>
      </c>
      <c r="N341" s="25" t="n">
        <f aca="false">IF(A341-7&lt;$R$2,"",C341/INDEX(Clean_Data!$C$2:$C$4314,MATCH(A341-7,Clean_Data!$A$2:$A$4314,1))-1)</f>
        <v>0.162194444444444</v>
      </c>
      <c r="O341" s="25" t="n">
        <f aca="false">IF(A341-30&lt;$R$2,"",C341/INDEX(Clean_Data!$C$2:$C$4314,MATCH(A341-30,Clean_Data!$A$2:$A$4314,1))-1)</f>
        <v>0.102389797907939</v>
      </c>
    </row>
    <row r="342" customFormat="false" ht="15" hidden="false" customHeight="false" outlineLevel="0" collapsed="false">
      <c r="A342" s="16" t="n">
        <v>42348</v>
      </c>
      <c r="B342" s="23" t="n">
        <f aca="false">YEAR(A342)</f>
        <v>2015</v>
      </c>
      <c r="C342" s="17" t="n">
        <v>415.68</v>
      </c>
      <c r="D342" s="23" t="n">
        <f aca="false">A342-A341</f>
        <v>1</v>
      </c>
      <c r="E342" s="24" t="n">
        <f aca="false">LN(C342)</f>
        <v>6.02991573348224</v>
      </c>
      <c r="F342" s="25" t="n">
        <f aca="false">LN(C342/C341)</f>
        <v>-0.00649827840924136</v>
      </c>
      <c r="G342" s="25" t="n">
        <f aca="false">IF(AND(D342=1,A342&gt;=$R$2),F342,"")</f>
        <v>-0.00649827840924136</v>
      </c>
      <c r="H342" s="27" t="n">
        <f aca="false">IF(G342="","",G342^2)</f>
        <v>4.22276222840124E-005</v>
      </c>
      <c r="I342" s="25" t="n">
        <f aca="false">IF(G342="","",C342/C341-1)</f>
        <v>-0.00647721025837134</v>
      </c>
      <c r="J342" s="17" t="n">
        <f aca="false">AVERAGE(C143:C342)</f>
        <v>274.69655</v>
      </c>
      <c r="K342" s="17" t="n">
        <f aca="false">MAX(K341,C342)</f>
        <v>418.94</v>
      </c>
      <c r="L342" s="25" t="n">
        <f aca="false">C342/K342-1</f>
        <v>-0.00778154389650065</v>
      </c>
      <c r="M342" s="25" t="n">
        <f aca="false">IF(COUNT(G313:G342)&lt;20,"",_xlfn.STDEV.S(G313:G342)*SQRT($R$3))</f>
        <v>0.613534798655362</v>
      </c>
      <c r="N342" s="25" t="n">
        <f aca="false">IF(A342-7&lt;$R$2,"",C342/INDEX(Clean_Data!$C$2:$C$4314,MATCH(A342-7,Clean_Data!$A$2:$A$4314,1))-1)</f>
        <v>0.149017331453686</v>
      </c>
      <c r="O342" s="25" t="n">
        <f aca="false">IF(A342-30&lt;$R$2,"",C342/INDEX(Clean_Data!$C$2:$C$4314,MATCH(A342-30,Clean_Data!$A$2:$A$4314,1))-1)</f>
        <v>0.232959601352554</v>
      </c>
    </row>
    <row r="343" customFormat="false" ht="15" hidden="false" customHeight="false" outlineLevel="0" collapsed="false">
      <c r="A343" s="16" t="n">
        <v>42349</v>
      </c>
      <c r="B343" s="23" t="n">
        <f aca="false">YEAR(A343)</f>
        <v>2015</v>
      </c>
      <c r="C343" s="17" t="n">
        <v>452.95</v>
      </c>
      <c r="D343" s="23" t="n">
        <f aca="false">A343-A342</f>
        <v>1</v>
      </c>
      <c r="E343" s="24" t="n">
        <f aca="false">LN(C343)</f>
        <v>6.1157817441153</v>
      </c>
      <c r="F343" s="25" t="n">
        <f aca="false">LN(C343/C342)</f>
        <v>0.085866010633062</v>
      </c>
      <c r="G343" s="25" t="n">
        <f aca="false">IF(AND(D343=1,A343&gt;=$R$2),F343,"")</f>
        <v>0.085866010633062</v>
      </c>
      <c r="H343" s="27" t="n">
        <f aca="false">IF(G343="","",G343^2)</f>
        <v>0.00737297178203712</v>
      </c>
      <c r="I343" s="25" t="n">
        <f aca="false">IF(G343="","",C343/C342-1)</f>
        <v>0.0896603156274056</v>
      </c>
      <c r="J343" s="17" t="n">
        <f aca="false">AVERAGE(C144:C343)</f>
        <v>275.77415</v>
      </c>
      <c r="K343" s="17" t="n">
        <f aca="false">MAX(K342,C343)</f>
        <v>452.95</v>
      </c>
      <c r="L343" s="25" t="n">
        <f aca="false">C343/K343-1</f>
        <v>0</v>
      </c>
      <c r="M343" s="25" t="n">
        <f aca="false">IF(COUNT(G314:G343)&lt;20,"",_xlfn.STDEV.S(G314:G343)*SQRT($R$3))</f>
        <v>0.601857290584274</v>
      </c>
      <c r="N343" s="25" t="n">
        <f aca="false">IF(A343-7&lt;$R$2,"",C343/INDEX(Clean_Data!$C$2:$C$4314,MATCH(A343-7,Clean_Data!$A$2:$A$4314,1))-1)</f>
        <v>0.244436507500412</v>
      </c>
      <c r="O343" s="25" t="n">
        <f aca="false">IF(A343-30&lt;$R$2,"",C343/INDEX(Clean_Data!$C$2:$C$4314,MATCH(A343-30,Clean_Data!$A$2:$A$4314,1))-1)</f>
        <v>0.446200510855683</v>
      </c>
    </row>
    <row r="344" customFormat="false" ht="15" hidden="false" customHeight="false" outlineLevel="0" collapsed="false">
      <c r="A344" s="16" t="n">
        <v>42350</v>
      </c>
      <c r="B344" s="23" t="n">
        <f aca="false">YEAR(A344)</f>
        <v>2015</v>
      </c>
      <c r="C344" s="17" t="n">
        <v>436.87</v>
      </c>
      <c r="D344" s="23" t="n">
        <f aca="false">A344-A343</f>
        <v>1</v>
      </c>
      <c r="E344" s="24" t="n">
        <f aca="false">LN(C344)</f>
        <v>6.07963566800127</v>
      </c>
      <c r="F344" s="25" t="n">
        <f aca="false">LN(C344/C343)</f>
        <v>-0.0361460761140318</v>
      </c>
      <c r="G344" s="25" t="n">
        <f aca="false">IF(AND(D344=1,A344&gt;=$R$2),F344,"")</f>
        <v>-0.0361460761140318</v>
      </c>
      <c r="H344" s="27" t="n">
        <f aca="false">IF(G344="","",G344^2)</f>
        <v>0.00130653881844138</v>
      </c>
      <c r="I344" s="25" t="n">
        <f aca="false">IF(G344="","",C344/C343-1)</f>
        <v>-0.0355006071310299</v>
      </c>
      <c r="J344" s="17" t="n">
        <f aca="false">AVERAGE(C145:C344)</f>
        <v>276.77455</v>
      </c>
      <c r="K344" s="17" t="n">
        <f aca="false">MAX(K343,C344)</f>
        <v>452.95</v>
      </c>
      <c r="L344" s="25" t="n">
        <f aca="false">C344/K344-1</f>
        <v>-0.0355006071310299</v>
      </c>
      <c r="M344" s="25" t="n">
        <f aca="false">IF(COUNT(G315:G344)&lt;20,"",_xlfn.STDEV.S(G315:G344)*SQRT($R$3))</f>
        <v>0.585180852147428</v>
      </c>
      <c r="N344" s="25" t="n">
        <f aca="false">IF(A344-7&lt;$R$2,"",C344/INDEX(Clean_Data!$C$2:$C$4314,MATCH(A344-7,Clean_Data!$A$2:$A$4314,1))-1)</f>
        <v>0.125982628418258</v>
      </c>
      <c r="O344" s="25" t="n">
        <f aca="false">IF(A344-30&lt;$R$2,"",C344/INDEX(Clean_Data!$C$2:$C$4314,MATCH(A344-30,Clean_Data!$A$2:$A$4314,1))-1)</f>
        <v>0.298314957353859</v>
      </c>
    </row>
    <row r="345" customFormat="false" ht="15" hidden="false" customHeight="false" outlineLevel="0" collapsed="false">
      <c r="A345" s="16" t="n">
        <v>42351</v>
      </c>
      <c r="B345" s="23" t="n">
        <f aca="false">YEAR(A345)</f>
        <v>2015</v>
      </c>
      <c r="C345" s="17" t="n">
        <v>433.83</v>
      </c>
      <c r="D345" s="23" t="n">
        <f aca="false">A345-A344</f>
        <v>1</v>
      </c>
      <c r="E345" s="24" t="n">
        <f aca="false">LN(C345)</f>
        <v>6.07265275229481</v>
      </c>
      <c r="F345" s="25" t="n">
        <f aca="false">LN(C345/C344)</f>
        <v>-0.00698291570645444</v>
      </c>
      <c r="G345" s="25" t="n">
        <f aca="false">IF(AND(D345=1,A345&gt;=$R$2),F345,"")</f>
        <v>-0.00698291570645444</v>
      </c>
      <c r="H345" s="27" t="n">
        <f aca="false">IF(G345="","",G345^2)</f>
        <v>4.87611117634481E-005</v>
      </c>
      <c r="I345" s="25" t="n">
        <f aca="false">IF(G345="","",C345/C344-1)</f>
        <v>-0.00695859180076452</v>
      </c>
      <c r="J345" s="17" t="n">
        <f aca="false">AVERAGE(C146:C345)</f>
        <v>277.75695</v>
      </c>
      <c r="K345" s="17" t="n">
        <f aca="false">MAX(K344,C345)</f>
        <v>452.95</v>
      </c>
      <c r="L345" s="25" t="n">
        <f aca="false">C345/K345-1</f>
        <v>-0.0422121646980903</v>
      </c>
      <c r="M345" s="25" t="n">
        <f aca="false">IF(COUNT(G316:G345)&lt;20,"",_xlfn.STDEV.S(G316:G345)*SQRT($R$3))</f>
        <v>0.587599237142549</v>
      </c>
      <c r="N345" s="25" t="n">
        <f aca="false">IF(A345-7&lt;$R$2,"",C345/INDEX(Clean_Data!$C$2:$C$4314,MATCH(A345-7,Clean_Data!$A$2:$A$4314,1))-1)</f>
        <v>0.119416849438782</v>
      </c>
      <c r="O345" s="25" t="n">
        <f aca="false">IF(A345-30&lt;$R$2,"",C345/INDEX(Clean_Data!$C$2:$C$4314,MATCH(A345-30,Clean_Data!$A$2:$A$4314,1))-1)</f>
        <v>0.283254947200284</v>
      </c>
    </row>
    <row r="346" customFormat="false" ht="15" hidden="false" customHeight="false" outlineLevel="0" collapsed="false">
      <c r="A346" s="16" t="n">
        <v>42352</v>
      </c>
      <c r="B346" s="23" t="n">
        <f aca="false">YEAR(A346)</f>
        <v>2015</v>
      </c>
      <c r="C346" s="17" t="n">
        <v>444.01</v>
      </c>
      <c r="D346" s="23" t="n">
        <f aca="false">A346-A345</f>
        <v>1</v>
      </c>
      <c r="E346" s="24" t="n">
        <f aca="false">LN(C346)</f>
        <v>6.09584708470112</v>
      </c>
      <c r="F346" s="25" t="n">
        <f aca="false">LN(C346/C345)</f>
        <v>0.0231943324063086</v>
      </c>
      <c r="G346" s="25" t="n">
        <f aca="false">IF(AND(D346=1,A346&gt;=$R$2),F346,"")</f>
        <v>0.0231943324063086</v>
      </c>
      <c r="H346" s="27" t="n">
        <f aca="false">IF(G346="","",G346^2)</f>
        <v>0.000537977055774338</v>
      </c>
      <c r="I346" s="25" t="n">
        <f aca="false">IF(G346="","",C346/C345-1)</f>
        <v>0.0234654127192679</v>
      </c>
      <c r="J346" s="17" t="n">
        <f aca="false">AVERAGE(C147:C346)</f>
        <v>278.7903</v>
      </c>
      <c r="K346" s="17" t="n">
        <f aca="false">MAX(K345,C346)</f>
        <v>452.95</v>
      </c>
      <c r="L346" s="25" t="n">
        <f aca="false">C346/K346-1</f>
        <v>-0.0197372778452368</v>
      </c>
      <c r="M346" s="25" t="n">
        <f aca="false">IF(COUNT(G317:G346)&lt;20,"",_xlfn.STDEV.S(G317:G346)*SQRT($R$3))</f>
        <v>0.585988243272373</v>
      </c>
      <c r="N346" s="25" t="n">
        <f aca="false">IF(A346-7&lt;$R$2,"",C346/INDEX(Clean_Data!$C$2:$C$4314,MATCH(A346-7,Clean_Data!$A$2:$A$4314,1))-1)</f>
        <v>0.124844830643731</v>
      </c>
      <c r="O346" s="25" t="n">
        <f aca="false">IF(A346-30&lt;$R$2,"",C346/INDEX(Clean_Data!$C$2:$C$4314,MATCH(A346-30,Clean_Data!$A$2:$A$4314,1))-1)</f>
        <v>0.326551342953602</v>
      </c>
    </row>
    <row r="347" customFormat="false" ht="15" hidden="false" customHeight="false" outlineLevel="0" collapsed="false">
      <c r="A347" s="16" t="n">
        <v>42353</v>
      </c>
      <c r="B347" s="23" t="n">
        <f aca="false">YEAR(A347)</f>
        <v>2015</v>
      </c>
      <c r="C347" s="17" t="n">
        <v>464.27</v>
      </c>
      <c r="D347" s="23" t="n">
        <f aca="false">A347-A346</f>
        <v>1</v>
      </c>
      <c r="E347" s="24" t="n">
        <f aca="false">LN(C347)</f>
        <v>6.14046627954183</v>
      </c>
      <c r="F347" s="25" t="n">
        <f aca="false">LN(C347/C346)</f>
        <v>0.0446191948407107</v>
      </c>
      <c r="G347" s="25" t="n">
        <f aca="false">IF(AND(D347=1,A347&gt;=$R$2),F347,"")</f>
        <v>0.0446191948407107</v>
      </c>
      <c r="H347" s="27" t="n">
        <f aca="false">IF(G347="","",G347^2)</f>
        <v>0.0019908725482333</v>
      </c>
      <c r="I347" s="25" t="n">
        <f aca="false">IF(G347="","",C347/C346-1)</f>
        <v>0.0456296029368708</v>
      </c>
      <c r="J347" s="17" t="n">
        <f aca="false">AVERAGE(C148:C347)</f>
        <v>279.9272</v>
      </c>
      <c r="K347" s="17" t="n">
        <f aca="false">MAX(K346,C347)</f>
        <v>464.27</v>
      </c>
      <c r="L347" s="25" t="n">
        <f aca="false">C347/K347-1</f>
        <v>0</v>
      </c>
      <c r="M347" s="25" t="n">
        <f aca="false">IF(COUNT(G318:G347)&lt;20,"",_xlfn.STDEV.S(G318:G347)*SQRT($R$3))</f>
        <v>0.574884752435212</v>
      </c>
      <c r="N347" s="25" t="n">
        <f aca="false">IF(A347-7&lt;$R$2,"",C347/INDEX(Clean_Data!$C$2:$C$4314,MATCH(A347-7,Clean_Data!$A$2:$A$4314,1))-1)</f>
        <v>0.108201651787845</v>
      </c>
      <c r="O347" s="25" t="n">
        <f aca="false">IF(A347-30&lt;$R$2,"",C347/INDEX(Clean_Data!$C$2:$C$4314,MATCH(A347-30,Clean_Data!$A$2:$A$4314,1))-1)</f>
        <v>0.437679992568049</v>
      </c>
    </row>
    <row r="348" customFormat="false" ht="15" hidden="false" customHeight="false" outlineLevel="0" collapsed="false">
      <c r="A348" s="16" t="n">
        <v>42354</v>
      </c>
      <c r="B348" s="23" t="n">
        <f aca="false">YEAR(A348)</f>
        <v>2015</v>
      </c>
      <c r="C348" s="17" t="n">
        <v>453.97</v>
      </c>
      <c r="D348" s="23" t="n">
        <f aca="false">A348-A347</f>
        <v>1</v>
      </c>
      <c r="E348" s="24" t="n">
        <f aca="false">LN(C348)</f>
        <v>6.11803111656286</v>
      </c>
      <c r="F348" s="25" t="n">
        <f aca="false">LN(C348/C347)</f>
        <v>-0.0224351629789686</v>
      </c>
      <c r="G348" s="25" t="n">
        <f aca="false">IF(AND(D348=1,A348&gt;=$R$2),F348,"")</f>
        <v>-0.0224351629789686</v>
      </c>
      <c r="H348" s="27" t="n">
        <f aca="false">IF(G348="","",G348^2)</f>
        <v>0.000503336537892883</v>
      </c>
      <c r="I348" s="25" t="n">
        <f aca="false">IF(G348="","",C348/C347-1)</f>
        <v>-0.0221853662739353</v>
      </c>
      <c r="J348" s="17" t="n">
        <f aca="false">AVERAGE(C149:C348)</f>
        <v>281.0293</v>
      </c>
      <c r="K348" s="17" t="n">
        <f aca="false">MAX(K347,C348)</f>
        <v>464.27</v>
      </c>
      <c r="L348" s="25" t="n">
        <f aca="false">C348/K348-1</f>
        <v>-0.0221853662739353</v>
      </c>
      <c r="M348" s="25" t="n">
        <f aca="false">IF(COUNT(G319:G348)&lt;20,"",_xlfn.STDEV.S(G319:G348)*SQRT($R$3))</f>
        <v>0.58320734595127</v>
      </c>
      <c r="N348" s="25" t="n">
        <f aca="false">IF(A348-7&lt;$R$2,"",C348/INDEX(Clean_Data!$C$2:$C$4314,MATCH(A348-7,Clean_Data!$A$2:$A$4314,1))-1)</f>
        <v>0.0850402734290974</v>
      </c>
      <c r="O348" s="25" t="n">
        <f aca="false">IF(A348-30&lt;$R$2,"",C348/INDEX(Clean_Data!$C$2:$C$4314,MATCH(A348-30,Clean_Data!$A$2:$A$4314,1))-1)</f>
        <v>0.363723752590946</v>
      </c>
    </row>
    <row r="349" customFormat="false" ht="15" hidden="false" customHeight="false" outlineLevel="0" collapsed="false">
      <c r="A349" s="16" t="n">
        <v>42355</v>
      </c>
      <c r="B349" s="23" t="n">
        <f aca="false">YEAR(A349)</f>
        <v>2015</v>
      </c>
      <c r="C349" s="17" t="n">
        <v>455.5</v>
      </c>
      <c r="D349" s="23" t="n">
        <f aca="false">A349-A348</f>
        <v>1</v>
      </c>
      <c r="E349" s="24" t="n">
        <f aca="false">LN(C349)</f>
        <v>6.12139571670001</v>
      </c>
      <c r="F349" s="25" t="n">
        <f aca="false">LN(C349/C348)</f>
        <v>0.00336460013715188</v>
      </c>
      <c r="G349" s="25" t="n">
        <f aca="false">IF(AND(D349=1,A349&gt;=$R$2),F349,"")</f>
        <v>0.00336460013715188</v>
      </c>
      <c r="H349" s="27" t="n">
        <f aca="false">IF(G349="","",G349^2)</f>
        <v>1.13205340829224E-005</v>
      </c>
      <c r="I349" s="25" t="n">
        <f aca="false">IF(G349="","",C349/C348-1)</f>
        <v>0.00337026675771512</v>
      </c>
      <c r="J349" s="17" t="n">
        <f aca="false">AVERAGE(C150:C349)</f>
        <v>282.15575</v>
      </c>
      <c r="K349" s="17" t="n">
        <f aca="false">MAX(K348,C349)</f>
        <v>464.27</v>
      </c>
      <c r="L349" s="25" t="n">
        <f aca="false">C349/K349-1</f>
        <v>-0.0188898701186809</v>
      </c>
      <c r="M349" s="25" t="n">
        <f aca="false">IF(COUNT(G320:G349)&lt;20,"",_xlfn.STDEV.S(G320:G349)*SQRT($R$3))</f>
        <v>0.583710732399758</v>
      </c>
      <c r="N349" s="25" t="n">
        <f aca="false">IF(A349-7&lt;$R$2,"",C349/INDEX(Clean_Data!$C$2:$C$4314,MATCH(A349-7,Clean_Data!$A$2:$A$4314,1))-1)</f>
        <v>0.0957948421862971</v>
      </c>
      <c r="O349" s="25" t="n">
        <f aca="false">IF(A349-30&lt;$R$2,"",C349/INDEX(Clean_Data!$C$2:$C$4314,MATCH(A349-30,Clean_Data!$A$2:$A$4314,1))-1)</f>
        <v>0.353680644298493</v>
      </c>
    </row>
    <row r="350" customFormat="false" ht="15" hidden="false" customHeight="false" outlineLevel="0" collapsed="false">
      <c r="A350" s="16" t="n">
        <v>42356</v>
      </c>
      <c r="B350" s="23" t="n">
        <f aca="false">YEAR(A350)</f>
        <v>2015</v>
      </c>
      <c r="C350" s="17" t="n">
        <v>463.17</v>
      </c>
      <c r="D350" s="23" t="n">
        <f aca="false">A350-A349</f>
        <v>1</v>
      </c>
      <c r="E350" s="24" t="n">
        <f aca="false">LN(C350)</f>
        <v>6.13809415732195</v>
      </c>
      <c r="F350" s="25" t="n">
        <f aca="false">LN(C350/C349)</f>
        <v>0.016698440621932</v>
      </c>
      <c r="G350" s="25" t="n">
        <f aca="false">IF(AND(D350=1,A350&gt;=$R$2),F350,"")</f>
        <v>0.016698440621932</v>
      </c>
      <c r="H350" s="27" t="n">
        <f aca="false">IF(G350="","",G350^2)</f>
        <v>0.000278837919204188</v>
      </c>
      <c r="I350" s="25" t="n">
        <f aca="false">IF(G350="","",C350/C349-1)</f>
        <v>0.0168386388583974</v>
      </c>
      <c r="J350" s="17" t="n">
        <f aca="false">AVERAGE(C151:C350)</f>
        <v>283.3538</v>
      </c>
      <c r="K350" s="17" t="n">
        <f aca="false">MAX(K349,C350)</f>
        <v>464.27</v>
      </c>
      <c r="L350" s="25" t="n">
        <f aca="false">C350/K350-1</f>
        <v>-0.002369310961294</v>
      </c>
      <c r="M350" s="25" t="n">
        <f aca="false">IF(COUNT(G321:G350)&lt;20,"",_xlfn.STDEV.S(G321:G350)*SQRT($R$3))</f>
        <v>0.582198042041574</v>
      </c>
      <c r="N350" s="25" t="n">
        <f aca="false">IF(A350-7&lt;$R$2,"",C350/INDEX(Clean_Data!$C$2:$C$4314,MATCH(A350-7,Clean_Data!$A$2:$A$4314,1))-1)</f>
        <v>0.0225631968208413</v>
      </c>
      <c r="O350" s="25" t="n">
        <f aca="false">IF(A350-30&lt;$R$2,"",C350/INDEX(Clean_Data!$C$2:$C$4314,MATCH(A350-30,Clean_Data!$A$2:$A$4314,1))-1)</f>
        <v>0.380577662523473</v>
      </c>
    </row>
    <row r="351" customFormat="false" ht="15" hidden="false" customHeight="false" outlineLevel="0" collapsed="false">
      <c r="A351" s="16" t="n">
        <v>42357</v>
      </c>
      <c r="B351" s="23" t="n">
        <f aca="false">YEAR(A351)</f>
        <v>2015</v>
      </c>
      <c r="C351" s="17" t="n">
        <v>461.29</v>
      </c>
      <c r="D351" s="23" t="n">
        <f aca="false">A351-A350</f>
        <v>1</v>
      </c>
      <c r="E351" s="24" t="n">
        <f aca="false">LN(C351)</f>
        <v>6.13402691246191</v>
      </c>
      <c r="F351" s="25" t="n">
        <f aca="false">LN(C351/C350)</f>
        <v>-0.00406724486003638</v>
      </c>
      <c r="G351" s="25" t="n">
        <f aca="false">IF(AND(D351=1,A351&gt;=$R$2),F351,"")</f>
        <v>-0.00406724486003638</v>
      </c>
      <c r="H351" s="27" t="n">
        <f aca="false">IF(G351="","",G351^2)</f>
        <v>1.65424807514923E-005</v>
      </c>
      <c r="I351" s="25" t="n">
        <f aca="false">IF(G351="","",C351/C350-1)</f>
        <v>-0.00405898482198763</v>
      </c>
      <c r="J351" s="17" t="n">
        <f aca="false">AVERAGE(C152:C351)</f>
        <v>284.531</v>
      </c>
      <c r="K351" s="17" t="n">
        <f aca="false">MAX(K350,C351)</f>
        <v>464.27</v>
      </c>
      <c r="L351" s="25" t="n">
        <f aca="false">C351/K351-1</f>
        <v>-0.00641867878605118</v>
      </c>
      <c r="M351" s="25" t="n">
        <f aca="false">IF(COUNT(G322:G351)&lt;20,"",_xlfn.STDEV.S(G322:G351)*SQRT($R$3))</f>
        <v>0.568448793670308</v>
      </c>
      <c r="N351" s="25" t="n">
        <f aca="false">IF(A351-7&lt;$R$2,"",C351/INDEX(Clean_Data!$C$2:$C$4314,MATCH(A351-7,Clean_Data!$A$2:$A$4314,1))-1)</f>
        <v>0.0558976354521941</v>
      </c>
      <c r="O351" s="25" t="n">
        <f aca="false">IF(A351-30&lt;$R$2,"",C351/INDEX(Clean_Data!$C$2:$C$4314,MATCH(A351-30,Clean_Data!$A$2:$A$4314,1))-1)</f>
        <v>0.413222634110475</v>
      </c>
    </row>
    <row r="352" customFormat="false" ht="15" hidden="false" customHeight="false" outlineLevel="0" collapsed="false">
      <c r="A352" s="16" t="n">
        <v>42358</v>
      </c>
      <c r="B352" s="23" t="n">
        <f aca="false">YEAR(A352)</f>
        <v>2015</v>
      </c>
      <c r="C352" s="17" t="n">
        <v>442.22</v>
      </c>
      <c r="D352" s="23" t="n">
        <f aca="false">A352-A351</f>
        <v>1</v>
      </c>
      <c r="E352" s="24" t="n">
        <f aca="false">LN(C352)</f>
        <v>6.09180749580401</v>
      </c>
      <c r="F352" s="25" t="n">
        <f aca="false">LN(C352/C351)</f>
        <v>-0.0422194166578986</v>
      </c>
      <c r="G352" s="25" t="n">
        <f aca="false">IF(AND(D352=1,A352&gt;=$R$2),F352,"")</f>
        <v>-0.0422194166578986</v>
      </c>
      <c r="H352" s="27" t="n">
        <f aca="false">IF(G352="","",G352^2)</f>
        <v>0.00178247914293325</v>
      </c>
      <c r="I352" s="25" t="n">
        <f aca="false">IF(G352="","",C352/C351-1)</f>
        <v>-0.0413405883500617</v>
      </c>
      <c r="J352" s="17" t="n">
        <f aca="false">AVERAGE(C153:C352)</f>
        <v>285.6128</v>
      </c>
      <c r="K352" s="17" t="n">
        <f aca="false">MAX(K351,C352)</f>
        <v>464.27</v>
      </c>
      <c r="L352" s="25" t="n">
        <f aca="false">C352/K352-1</f>
        <v>-0.0474939151786675</v>
      </c>
      <c r="M352" s="25" t="n">
        <f aca="false">IF(COUNT(G323:G352)&lt;20,"",_xlfn.STDEV.S(G323:G352)*SQRT($R$3))</f>
        <v>0.593227509628813</v>
      </c>
      <c r="N352" s="25" t="n">
        <f aca="false">IF(A352-7&lt;$R$2,"",C352/INDEX(Clean_Data!$C$2:$C$4314,MATCH(A352-7,Clean_Data!$A$2:$A$4314,1))-1)</f>
        <v>0.0193393725652906</v>
      </c>
      <c r="O352" s="25" t="n">
        <f aca="false">IF(A352-30&lt;$R$2,"",C352/INDEX(Clean_Data!$C$2:$C$4314,MATCH(A352-30,Clean_Data!$A$2:$A$4314,1))-1)</f>
        <v>0.371692670368188</v>
      </c>
    </row>
    <row r="353" customFormat="false" ht="15" hidden="false" customHeight="false" outlineLevel="0" collapsed="false">
      <c r="A353" s="16" t="n">
        <v>42359</v>
      </c>
      <c r="B353" s="23" t="n">
        <f aca="false">YEAR(A353)</f>
        <v>2015</v>
      </c>
      <c r="C353" s="17" t="n">
        <v>436.81</v>
      </c>
      <c r="D353" s="23" t="n">
        <f aca="false">A353-A352</f>
        <v>1</v>
      </c>
      <c r="E353" s="24" t="n">
        <f aca="false">LN(C353)</f>
        <v>6.07949831794153</v>
      </c>
      <c r="F353" s="25" t="n">
        <f aca="false">LN(C353/C352)</f>
        <v>-0.0123091778624793</v>
      </c>
      <c r="G353" s="25" t="n">
        <f aca="false">IF(AND(D353=1,A353&gt;=$R$2),F353,"")</f>
        <v>-0.0123091778624793</v>
      </c>
      <c r="H353" s="27" t="n">
        <f aca="false">IF(G353="","",G353^2)</f>
        <v>0.000151515859650151</v>
      </c>
      <c r="I353" s="25" t="n">
        <f aca="false">IF(G353="","",C353/C352-1)</f>
        <v>-0.0122337298177378</v>
      </c>
      <c r="J353" s="17" t="n">
        <f aca="false">AVERAGE(C154:C353)</f>
        <v>286.674</v>
      </c>
      <c r="K353" s="17" t="n">
        <f aca="false">MAX(K352,C353)</f>
        <v>464.27</v>
      </c>
      <c r="L353" s="25" t="n">
        <f aca="false">C353/K353-1</f>
        <v>-0.0591466172701229</v>
      </c>
      <c r="M353" s="25" t="n">
        <f aca="false">IF(COUNT(G324:G353)&lt;20,"",_xlfn.STDEV.S(G324:G353)*SQRT($R$3))</f>
        <v>0.598350476832727</v>
      </c>
      <c r="N353" s="25" t="n">
        <f aca="false">IF(A353-7&lt;$R$2,"",C353/INDEX(Clean_Data!$C$2:$C$4314,MATCH(A353-7,Clean_Data!$A$2:$A$4314,1))-1)</f>
        <v>-0.016215850994347</v>
      </c>
      <c r="O353" s="25" t="n">
        <f aca="false">IF(A353-30&lt;$R$2,"",C353/INDEX(Clean_Data!$C$2:$C$4314,MATCH(A353-30,Clean_Data!$A$2:$A$4314,1))-1)</f>
        <v>0.335810397553517</v>
      </c>
    </row>
    <row r="354" customFormat="false" ht="15" hidden="false" customHeight="false" outlineLevel="0" collapsed="false">
      <c r="A354" s="16" t="n">
        <v>42360</v>
      </c>
      <c r="B354" s="23" t="n">
        <f aca="false">YEAR(A354)</f>
        <v>2015</v>
      </c>
      <c r="C354" s="17" t="n">
        <v>433.92</v>
      </c>
      <c r="D354" s="23" t="n">
        <f aca="false">A354-A353</f>
        <v>1</v>
      </c>
      <c r="E354" s="24" t="n">
        <f aca="false">LN(C354)</f>
        <v>6.07286018531198</v>
      </c>
      <c r="F354" s="25" t="n">
        <f aca="false">LN(C354/C353)</f>
        <v>-0.00663813262955453</v>
      </c>
      <c r="G354" s="25" t="n">
        <f aca="false">IF(AND(D354=1,A354&gt;=$R$2),F354,"")</f>
        <v>-0.00663813262955453</v>
      </c>
      <c r="H354" s="27" t="n">
        <f aca="false">IF(G354="","",G354^2)</f>
        <v>4.40648048075566E-005</v>
      </c>
      <c r="I354" s="25" t="n">
        <f aca="false">IF(G354="","",C354/C353-1)</f>
        <v>-0.00661614889769002</v>
      </c>
      <c r="J354" s="17" t="n">
        <f aca="false">AVERAGE(C155:C354)</f>
        <v>287.71875</v>
      </c>
      <c r="K354" s="17" t="n">
        <f aca="false">MAX(K353,C354)</f>
        <v>464.27</v>
      </c>
      <c r="L354" s="25" t="n">
        <f aca="false">C354/K354-1</f>
        <v>-0.0653714433411592</v>
      </c>
      <c r="M354" s="25" t="n">
        <f aca="false">IF(COUNT(G325:G354)&lt;20,"",_xlfn.STDEV.S(G325:G354)*SQRT($R$3))</f>
        <v>0.59702750935993</v>
      </c>
      <c r="N354" s="25" t="n">
        <f aca="false">IF(A354-7&lt;$R$2,"",C354/INDEX(Clean_Data!$C$2:$C$4314,MATCH(A354-7,Clean_Data!$A$2:$A$4314,1))-1)</f>
        <v>-0.0653714433411592</v>
      </c>
      <c r="O354" s="25" t="n">
        <f aca="false">IF(A354-30&lt;$R$2,"",C354/INDEX(Clean_Data!$C$2:$C$4314,MATCH(A354-30,Clean_Data!$A$2:$A$4314,1))-1)</f>
        <v>0.340459052855951</v>
      </c>
    </row>
    <row r="355" customFormat="false" ht="15" hidden="false" customHeight="false" outlineLevel="0" collapsed="false">
      <c r="A355" s="16" t="n">
        <v>42361</v>
      </c>
      <c r="B355" s="23" t="n">
        <f aca="false">YEAR(A355)</f>
        <v>2015</v>
      </c>
      <c r="C355" s="17" t="n">
        <v>442.43</v>
      </c>
      <c r="D355" s="23" t="n">
        <f aca="false">A355-A354</f>
        <v>1</v>
      </c>
      <c r="E355" s="24" t="n">
        <f aca="false">LN(C355)</f>
        <v>6.0922822598439</v>
      </c>
      <c r="F355" s="25" t="n">
        <f aca="false">LN(C355/C354)</f>
        <v>0.0194220745319242</v>
      </c>
      <c r="G355" s="25" t="n">
        <f aca="false">IF(AND(D355=1,A355&gt;=$R$2),F355,"")</f>
        <v>0.0194220745319242</v>
      </c>
      <c r="H355" s="27" t="n">
        <f aca="false">IF(G355="","",G355^2)</f>
        <v>0.000377216979123617</v>
      </c>
      <c r="I355" s="25" t="n">
        <f aca="false">IF(G355="","",C355/C354-1)</f>
        <v>0.0196119100294985</v>
      </c>
      <c r="J355" s="17" t="n">
        <f aca="false">AVERAGE(C156:C355)</f>
        <v>288.8035</v>
      </c>
      <c r="K355" s="17" t="n">
        <f aca="false">MAX(K354,C355)</f>
        <v>464.27</v>
      </c>
      <c r="L355" s="25" t="n">
        <f aca="false">C355/K355-1</f>
        <v>-0.0470415921769659</v>
      </c>
      <c r="M355" s="25" t="n">
        <f aca="false">IF(COUNT(G326:G355)&lt;20,"",_xlfn.STDEV.S(G326:G355)*SQRT($R$3))</f>
        <v>0.596337038609515</v>
      </c>
      <c r="N355" s="25" t="n">
        <f aca="false">IF(A355-7&lt;$R$2,"",C355/INDEX(Clean_Data!$C$2:$C$4314,MATCH(A355-7,Clean_Data!$A$2:$A$4314,1))-1)</f>
        <v>-0.0254201819503492</v>
      </c>
      <c r="O355" s="25" t="n">
        <f aca="false">IF(A355-30&lt;$R$2,"",C355/INDEX(Clean_Data!$C$2:$C$4314,MATCH(A355-30,Clean_Data!$A$2:$A$4314,1))-1)</f>
        <v>0.369752321981424</v>
      </c>
    </row>
    <row r="356" customFormat="false" ht="15" hidden="false" customHeight="false" outlineLevel="0" collapsed="false">
      <c r="A356" s="16" t="n">
        <v>42362</v>
      </c>
      <c r="B356" s="23" t="n">
        <f aca="false">YEAR(A356)</f>
        <v>2015</v>
      </c>
      <c r="C356" s="17" t="n">
        <v>455.74</v>
      </c>
      <c r="D356" s="23" t="n">
        <f aca="false">A356-A355</f>
        <v>1</v>
      </c>
      <c r="E356" s="24" t="n">
        <f aca="false">LN(C356)</f>
        <v>6.12192247146396</v>
      </c>
      <c r="F356" s="25" t="n">
        <f aca="false">LN(C356/C355)</f>
        <v>0.0296402116200594</v>
      </c>
      <c r="G356" s="25" t="n">
        <f aca="false">IF(AND(D356=1,A356&gt;=$R$2),F356,"")</f>
        <v>0.0296402116200594</v>
      </c>
      <c r="H356" s="27" t="n">
        <f aca="false">IF(G356="","",G356^2)</f>
        <v>0.000878542144881905</v>
      </c>
      <c r="I356" s="25" t="n">
        <f aca="false">IF(G356="","",C356/C355-1)</f>
        <v>0.0300838550731188</v>
      </c>
      <c r="J356" s="17" t="n">
        <f aca="false">AVERAGE(C157:C356)</f>
        <v>289.96275</v>
      </c>
      <c r="K356" s="17" t="n">
        <f aca="false">MAX(K355,C356)</f>
        <v>464.27</v>
      </c>
      <c r="L356" s="25" t="n">
        <f aca="false">C356/K356-1</f>
        <v>-0.0183729295453077</v>
      </c>
      <c r="M356" s="25" t="n">
        <f aca="false">IF(COUNT(G327:G356)&lt;20,"",_xlfn.STDEV.S(G327:G356)*SQRT($R$3))</f>
        <v>0.596813037547881</v>
      </c>
      <c r="N356" s="25" t="n">
        <f aca="false">IF(A356-7&lt;$R$2,"",C356/INDEX(Clean_Data!$C$2:$C$4314,MATCH(A356-7,Clean_Data!$A$2:$A$4314,1))-1)</f>
        <v>0.000526893523600469</v>
      </c>
      <c r="O356" s="25" t="n">
        <f aca="false">IF(A356-30&lt;$R$2,"",C356/INDEX(Clean_Data!$C$2:$C$4314,MATCH(A356-30,Clean_Data!$A$2:$A$4314,1))-1)</f>
        <v>0.419750778816199</v>
      </c>
    </row>
    <row r="357" customFormat="false" ht="15" hidden="false" customHeight="false" outlineLevel="0" collapsed="false">
      <c r="A357" s="16" t="n">
        <v>42363</v>
      </c>
      <c r="B357" s="23" t="n">
        <f aca="false">YEAR(A357)</f>
        <v>2015</v>
      </c>
      <c r="C357" s="17" t="n">
        <v>455.84</v>
      </c>
      <c r="D357" s="23" t="n">
        <f aca="false">A357-A356</f>
        <v>1</v>
      </c>
      <c r="E357" s="24" t="n">
        <f aca="false">LN(C357)</f>
        <v>6.1221418707496</v>
      </c>
      <c r="F357" s="25" t="n">
        <f aca="false">LN(C357/C356)</f>
        <v>0.000219399285638265</v>
      </c>
      <c r="G357" s="25" t="n">
        <f aca="false">IF(AND(D357=1,A357&gt;=$R$2),F357,"")</f>
        <v>0.000219399285638265</v>
      </c>
      <c r="H357" s="27" t="n">
        <f aca="false">IF(G357="","",G357^2)</f>
        <v>4.81360465385808E-008</v>
      </c>
      <c r="I357" s="25" t="n">
        <f aca="false">IF(G357="","",C357/C356-1)</f>
        <v>0.000219423355421799</v>
      </c>
      <c r="J357" s="17" t="n">
        <f aca="false">AVERAGE(C158:C357)</f>
        <v>291.09645</v>
      </c>
      <c r="K357" s="17" t="n">
        <f aca="false">MAX(K356,C357)</f>
        <v>464.27</v>
      </c>
      <c r="L357" s="25" t="n">
        <f aca="false">C357/K357-1</f>
        <v>-0.0181575376397355</v>
      </c>
      <c r="M357" s="25" t="n">
        <f aca="false">IF(COUNT(G328:G357)&lt;20,"",_xlfn.STDEV.S(G328:G357)*SQRT($R$3))</f>
        <v>0.596242814537717</v>
      </c>
      <c r="N357" s="25" t="n">
        <f aca="false">IF(A357-7&lt;$R$2,"",C357/INDEX(Clean_Data!$C$2:$C$4314,MATCH(A357-7,Clean_Data!$A$2:$A$4314,1))-1)</f>
        <v>-0.0158257227367922</v>
      </c>
      <c r="O357" s="25" t="n">
        <f aca="false">IF(A357-30&lt;$R$2,"",C357/INDEX(Clean_Data!$C$2:$C$4314,MATCH(A357-30,Clean_Data!$A$2:$A$4314,1))-1)</f>
        <v>0.38561614687823</v>
      </c>
    </row>
    <row r="358" customFormat="false" ht="15" hidden="false" customHeight="false" outlineLevel="0" collapsed="false">
      <c r="A358" s="16" t="n">
        <v>42364</v>
      </c>
      <c r="B358" s="23" t="n">
        <f aca="false">YEAR(A358)</f>
        <v>2015</v>
      </c>
      <c r="C358" s="17" t="n">
        <v>419.41</v>
      </c>
      <c r="D358" s="23" t="n">
        <f aca="false">A358-A357</f>
        <v>1</v>
      </c>
      <c r="E358" s="24" t="n">
        <f aca="false">LN(C358)</f>
        <v>6.03884896176964</v>
      </c>
      <c r="F358" s="25" t="n">
        <f aca="false">LN(C358/C357)</f>
        <v>-0.0832929089799569</v>
      </c>
      <c r="G358" s="25" t="n">
        <f aca="false">IF(AND(D358=1,A358&gt;=$R$2),F358,"")</f>
        <v>-0.0832929089799569</v>
      </c>
      <c r="H358" s="27" t="n">
        <f aca="false">IF(G358="","",G358^2)</f>
        <v>0.00693770868634338</v>
      </c>
      <c r="I358" s="25" t="n">
        <f aca="false">IF(G358="","",C358/C357-1)</f>
        <v>-0.0799183924183923</v>
      </c>
      <c r="J358" s="17" t="n">
        <f aca="false">AVERAGE(C159:C358)</f>
        <v>292.0476</v>
      </c>
      <c r="K358" s="17" t="n">
        <f aca="false">MAX(K357,C358)</f>
        <v>464.27</v>
      </c>
      <c r="L358" s="25" t="n">
        <f aca="false">C358/K358-1</f>
        <v>-0.0966248088396837</v>
      </c>
      <c r="M358" s="25" t="n">
        <f aca="false">IF(COUNT(G329:G358)&lt;20,"",_xlfn.STDEV.S(G329:G358)*SQRT($R$3))</f>
        <v>0.643774945436864</v>
      </c>
      <c r="N358" s="25" t="n">
        <f aca="false">IF(A358-7&lt;$R$2,"",C358/INDEX(Clean_Data!$C$2:$C$4314,MATCH(A358-7,Clean_Data!$A$2:$A$4314,1))-1)</f>
        <v>-0.0907888746775347</v>
      </c>
      <c r="O358" s="25" t="n">
        <f aca="false">IF(A358-30&lt;$R$2,"",C358/INDEX(Clean_Data!$C$2:$C$4314,MATCH(A358-30,Clean_Data!$A$2:$A$4314,1))-1)</f>
        <v>0.189579374308648</v>
      </c>
    </row>
    <row r="359" customFormat="false" ht="15" hidden="false" customHeight="false" outlineLevel="0" collapsed="false">
      <c r="A359" s="16" t="n">
        <v>42365</v>
      </c>
      <c r="B359" s="23" t="n">
        <f aca="false">YEAR(A359)</f>
        <v>2015</v>
      </c>
      <c r="C359" s="17" t="n">
        <v>424.72</v>
      </c>
      <c r="D359" s="23" t="n">
        <f aca="false">A359-A358</f>
        <v>1</v>
      </c>
      <c r="E359" s="24" t="n">
        <f aca="false">LN(C359)</f>
        <v>6.05143012827542</v>
      </c>
      <c r="F359" s="25" t="n">
        <f aca="false">LN(C359/C358)</f>
        <v>0.012581166505775</v>
      </c>
      <c r="G359" s="25" t="n">
        <f aca="false">IF(AND(D359=1,A359&gt;=$R$2),F359,"")</f>
        <v>0.012581166505775</v>
      </c>
      <c r="H359" s="27" t="n">
        <f aca="false">IF(G359="","",G359^2)</f>
        <v>0.000158285750646034</v>
      </c>
      <c r="I359" s="25" t="n">
        <f aca="false">IF(G359="","",C359/C358-1)</f>
        <v>0.0126606423308935</v>
      </c>
      <c r="J359" s="17" t="n">
        <f aca="false">AVERAGE(C160:C359)</f>
        <v>293.02755</v>
      </c>
      <c r="K359" s="17" t="n">
        <f aca="false">MAX(K358,C359)</f>
        <v>464.27</v>
      </c>
      <c r="L359" s="25" t="n">
        <f aca="false">C359/K359-1</f>
        <v>-0.0851874986538005</v>
      </c>
      <c r="M359" s="25" t="n">
        <f aca="false">IF(COUNT(G330:G359)&lt;20,"",_xlfn.STDEV.S(G330:G359)*SQRT($R$3))</f>
        <v>0.643239637064846</v>
      </c>
      <c r="N359" s="25" t="n">
        <f aca="false">IF(A359-7&lt;$R$2,"",C359/INDEX(Clean_Data!$C$2:$C$4314,MATCH(A359-7,Clean_Data!$A$2:$A$4314,1))-1)</f>
        <v>-0.039573063181222</v>
      </c>
      <c r="O359" s="25" t="n">
        <f aca="false">IF(A359-30&lt;$R$2,"",C359/INDEX(Clean_Data!$C$2:$C$4314,MATCH(A359-30,Clean_Data!$A$2:$A$4314,1))-1)</f>
        <v>0.185739412043887</v>
      </c>
    </row>
    <row r="360" customFormat="false" ht="15" hidden="false" customHeight="false" outlineLevel="0" collapsed="false">
      <c r="A360" s="16" t="n">
        <v>42366</v>
      </c>
      <c r="B360" s="23" t="n">
        <f aca="false">YEAR(A360)</f>
        <v>2015</v>
      </c>
      <c r="C360" s="17" t="n">
        <v>421.94</v>
      </c>
      <c r="D360" s="23" t="n">
        <f aca="false">A360-A359</f>
        <v>1</v>
      </c>
      <c r="E360" s="24" t="n">
        <f aca="false">LN(C360)</f>
        <v>6.04486312383268</v>
      </c>
      <c r="F360" s="25" t="n">
        <f aca="false">LN(C360/C359)</f>
        <v>-0.00656700444273891</v>
      </c>
      <c r="G360" s="25" t="n">
        <f aca="false">IF(AND(D360=1,A360&gt;=$R$2),F360,"")</f>
        <v>-0.00656700444273891</v>
      </c>
      <c r="H360" s="27" t="n">
        <f aca="false">IF(G360="","",G360^2)</f>
        <v>4.31255473509526E-005</v>
      </c>
      <c r="I360" s="25" t="n">
        <f aca="false">IF(G360="","",C360/C359-1)</f>
        <v>-0.00654548879261641</v>
      </c>
      <c r="J360" s="17" t="n">
        <f aca="false">AVERAGE(C161:C360)</f>
        <v>293.9888</v>
      </c>
      <c r="K360" s="17" t="n">
        <f aca="false">MAX(K359,C360)</f>
        <v>464.27</v>
      </c>
      <c r="L360" s="25" t="n">
        <f aca="false">C360/K360-1</f>
        <v>-0.0911753936287074</v>
      </c>
      <c r="M360" s="25" t="n">
        <f aca="false">IF(COUNT(G331:G360)&lt;20,"",_xlfn.STDEV.S(G331:G360)*SQRT($R$3))</f>
        <v>0.644021698670486</v>
      </c>
      <c r="N360" s="25" t="n">
        <f aca="false">IF(A360-7&lt;$R$2,"",C360/INDEX(Clean_Data!$C$2:$C$4314,MATCH(A360-7,Clean_Data!$A$2:$A$4314,1))-1)</f>
        <v>-0.0340422609372496</v>
      </c>
      <c r="O360" s="25" t="n">
        <f aca="false">IF(A360-30&lt;$R$2,"",C360/INDEX(Clean_Data!$C$2:$C$4314,MATCH(A360-30,Clean_Data!$A$2:$A$4314,1))-1)</f>
        <v>0.181110737879297</v>
      </c>
    </row>
    <row r="361" customFormat="false" ht="15" hidden="false" customHeight="false" outlineLevel="0" collapsed="false">
      <c r="A361" s="16" t="n">
        <v>42367</v>
      </c>
      <c r="B361" s="23" t="n">
        <f aca="false">YEAR(A361)</f>
        <v>2015</v>
      </c>
      <c r="C361" s="17" t="n">
        <v>433.89</v>
      </c>
      <c r="D361" s="23" t="n">
        <f aca="false">A361-A360</f>
        <v>1</v>
      </c>
      <c r="E361" s="24" t="n">
        <f aca="false">LN(C361)</f>
        <v>6.07279104575375</v>
      </c>
      <c r="F361" s="25" t="n">
        <f aca="false">LN(C361/C360)</f>
        <v>0.0279279219210731</v>
      </c>
      <c r="G361" s="25" t="n">
        <f aca="false">IF(AND(D361=1,A361&gt;=$R$2),F361,"")</f>
        <v>0.0279279219210731</v>
      </c>
      <c r="H361" s="27" t="n">
        <f aca="false">IF(G361="","",G361^2)</f>
        <v>0.000779968822829555</v>
      </c>
      <c r="I361" s="25" t="n">
        <f aca="false">IF(G361="","",C361/C360-1)</f>
        <v>0.0283215623074371</v>
      </c>
      <c r="J361" s="17" t="n">
        <f aca="false">AVERAGE(C162:C361)</f>
        <v>295.0109</v>
      </c>
      <c r="K361" s="17" t="n">
        <f aca="false">MAX(K360,C361)</f>
        <v>464.27</v>
      </c>
      <c r="L361" s="25" t="n">
        <f aca="false">C361/K361-1</f>
        <v>-0.0654360609128309</v>
      </c>
      <c r="M361" s="25" t="n">
        <f aca="false">IF(COUNT(G332:G361)&lt;20,"",_xlfn.STDEV.S(G332:G361)*SQRT($R$3))</f>
        <v>0.636442388000926</v>
      </c>
      <c r="N361" s="25" t="n">
        <f aca="false">IF(A361-7&lt;$R$2,"",C361/INDEX(Clean_Data!$C$2:$C$4314,MATCH(A361-7,Clean_Data!$A$2:$A$4314,1))-1)</f>
        <v>-6.91371681416086E-005</v>
      </c>
      <c r="O361" s="25" t="n">
        <f aca="false">IF(A361-30&lt;$R$2,"",C361/INDEX(Clean_Data!$C$2:$C$4314,MATCH(A361-30,Clean_Data!$A$2:$A$4314,1))-1)</f>
        <v>0.165618955512572</v>
      </c>
    </row>
    <row r="362" customFormat="false" ht="15" hidden="false" customHeight="false" outlineLevel="0" collapsed="false">
      <c r="A362" s="16" t="n">
        <v>42368</v>
      </c>
      <c r="B362" s="23" t="n">
        <f aca="false">YEAR(A362)</f>
        <v>2015</v>
      </c>
      <c r="C362" s="17" t="n">
        <v>427.95</v>
      </c>
      <c r="D362" s="23" t="n">
        <f aca="false">A362-A361</f>
        <v>1</v>
      </c>
      <c r="E362" s="24" t="n">
        <f aca="false">LN(C362)</f>
        <v>6.05900636632762</v>
      </c>
      <c r="F362" s="25" t="n">
        <f aca="false">LN(C362/C361)</f>
        <v>-0.0137846794261316</v>
      </c>
      <c r="G362" s="25" t="n">
        <f aca="false">IF(AND(D362=1,A362&gt;=$R$2),F362,"")</f>
        <v>-0.0137846794261316</v>
      </c>
      <c r="H362" s="27" t="n">
        <f aca="false">IF(G362="","",G362^2)</f>
        <v>0.000190017386881216</v>
      </c>
      <c r="I362" s="25" t="n">
        <f aca="false">IF(G362="","",C362/C361-1)</f>
        <v>-0.0136901057871811</v>
      </c>
      <c r="J362" s="17" t="n">
        <f aca="false">AVERAGE(C163:C362)</f>
        <v>295.9833</v>
      </c>
      <c r="K362" s="17" t="n">
        <f aca="false">MAX(K361,C362)</f>
        <v>464.27</v>
      </c>
      <c r="L362" s="25" t="n">
        <f aca="false">C362/K362-1</f>
        <v>-0.0782303401038189</v>
      </c>
      <c r="M362" s="25" t="n">
        <f aca="false">IF(COUNT(G333:G362)&lt;20,"",_xlfn.STDEV.S(G333:G362)*SQRT($R$3))</f>
        <v>0.639224552880891</v>
      </c>
      <c r="N362" s="25" t="n">
        <f aca="false">IF(A362-7&lt;$R$2,"",C362/INDEX(Clean_Data!$C$2:$C$4314,MATCH(A362-7,Clean_Data!$A$2:$A$4314,1))-1)</f>
        <v>-0.0327283412065186</v>
      </c>
      <c r="O362" s="25" t="n">
        <f aca="false">IF(A362-30&lt;$R$2,"",C362/INDEX(Clean_Data!$C$2:$C$4314,MATCH(A362-30,Clean_Data!$A$2:$A$4314,1))-1)</f>
        <v>0.135567584779494</v>
      </c>
    </row>
    <row r="363" customFormat="false" ht="15" hidden="false" customHeight="false" outlineLevel="0" collapsed="false">
      <c r="A363" s="16" t="n">
        <v>42369</v>
      </c>
      <c r="B363" s="23" t="n">
        <f aca="false">YEAR(A363)</f>
        <v>2015</v>
      </c>
      <c r="C363" s="17" t="n">
        <v>430.35</v>
      </c>
      <c r="D363" s="23" t="n">
        <f aca="false">A363-A362</f>
        <v>1</v>
      </c>
      <c r="E363" s="24" t="n">
        <f aca="false">LN(C363)</f>
        <v>6.06459883109548</v>
      </c>
      <c r="F363" s="25" t="n">
        <f aca="false">LN(C363/C362)</f>
        <v>0.00559246476786491</v>
      </c>
      <c r="G363" s="25" t="n">
        <f aca="false">IF(AND(D363=1,A363&gt;=$R$2),F363,"")</f>
        <v>0.00559246476786491</v>
      </c>
      <c r="H363" s="27" t="n">
        <f aca="false">IF(G363="","",G363^2)</f>
        <v>3.12756621798103E-005</v>
      </c>
      <c r="I363" s="25" t="n">
        <f aca="false">IF(G363="","",C363/C362-1)</f>
        <v>0.0056081317910972</v>
      </c>
      <c r="J363" s="17" t="n">
        <f aca="false">AVERAGE(C164:C363)</f>
        <v>296.96705</v>
      </c>
      <c r="K363" s="17" t="n">
        <f aca="false">MAX(K362,C363)</f>
        <v>464.27</v>
      </c>
      <c r="L363" s="25" t="n">
        <f aca="false">C363/K363-1</f>
        <v>-0.0730609343700863</v>
      </c>
      <c r="M363" s="25" t="n">
        <f aca="false">IF(COUNT(G334:G363)&lt;20,"",_xlfn.STDEV.S(G334:G363)*SQRT($R$3))</f>
        <v>0.620475649602135</v>
      </c>
      <c r="N363" s="25" t="n">
        <f aca="false">IF(A363-7&lt;$R$2,"",C363/INDEX(Clean_Data!$C$2:$C$4314,MATCH(A363-7,Clean_Data!$A$2:$A$4314,1))-1)</f>
        <v>-0.0557115899416334</v>
      </c>
      <c r="O363" s="25" t="n">
        <f aca="false">IF(A363-30&lt;$R$2,"",C363/INDEX(Clean_Data!$C$2:$C$4314,MATCH(A363-30,Clean_Data!$A$2:$A$4314,1))-1)</f>
        <v>0.186583213852432</v>
      </c>
    </row>
    <row r="364" customFormat="false" ht="15" hidden="false" customHeight="false" outlineLevel="0" collapsed="false">
      <c r="A364" s="16" t="n">
        <v>42370</v>
      </c>
      <c r="B364" s="23" t="n">
        <f aca="false">YEAR(A364)</f>
        <v>2016</v>
      </c>
      <c r="C364" s="17" t="n">
        <v>435.66</v>
      </c>
      <c r="D364" s="23" t="n">
        <f aca="false">A364-A363</f>
        <v>1</v>
      </c>
      <c r="E364" s="24" t="n">
        <f aca="false">LN(C364)</f>
        <v>6.07686212262021</v>
      </c>
      <c r="F364" s="25" t="n">
        <f aca="false">LN(C364/C363)</f>
        <v>0.012263291524727</v>
      </c>
      <c r="G364" s="25" t="n">
        <f aca="false">IF(AND(D364=1,A364&gt;=$R$2),F364,"")</f>
        <v>0.012263291524727</v>
      </c>
      <c r="H364" s="27" t="n">
        <f aca="false">IF(G364="","",G364^2)</f>
        <v>0.00015038831902044</v>
      </c>
      <c r="I364" s="25" t="n">
        <f aca="false">IF(G364="","",C364/C363-1)</f>
        <v>0.0123387940048798</v>
      </c>
      <c r="J364" s="17" t="n">
        <f aca="false">AVERAGE(C165:C364)</f>
        <v>297.9604</v>
      </c>
      <c r="K364" s="17" t="n">
        <f aca="false">MAX(K363,C364)</f>
        <v>464.27</v>
      </c>
      <c r="L364" s="25" t="n">
        <f aca="false">C364/K364-1</f>
        <v>-0.0616236241842031</v>
      </c>
      <c r="M364" s="25" t="n">
        <f aca="false">IF(COUNT(G335:G364)&lt;20,"",_xlfn.STDEV.S(G335:G364)*SQRT($R$3))</f>
        <v>0.619033876877147</v>
      </c>
      <c r="N364" s="25" t="n">
        <f aca="false">IF(A364-7&lt;$R$2,"",C364/INDEX(Clean_Data!$C$2:$C$4314,MATCH(A364-7,Clean_Data!$A$2:$A$4314,1))-1)</f>
        <v>-0.0442699192699192</v>
      </c>
      <c r="O364" s="25" t="n">
        <f aca="false">IF(A364-30&lt;$R$2,"",C364/INDEX(Clean_Data!$C$2:$C$4314,MATCH(A364-30,Clean_Data!$A$2:$A$4314,1))-1)</f>
        <v>0.210166666666667</v>
      </c>
    </row>
    <row r="365" customFormat="false" ht="15" hidden="false" customHeight="false" outlineLevel="0" collapsed="false">
      <c r="A365" s="16" t="n">
        <v>42371</v>
      </c>
      <c r="B365" s="23" t="n">
        <f aca="false">YEAR(A365)</f>
        <v>2016</v>
      </c>
      <c r="C365" s="17" t="n">
        <v>435.4</v>
      </c>
      <c r="D365" s="23" t="n">
        <f aca="false">A365-A364</f>
        <v>1</v>
      </c>
      <c r="E365" s="24" t="n">
        <f aca="false">LN(C365)</f>
        <v>6.07626514880045</v>
      </c>
      <c r="F365" s="25" t="n">
        <f aca="false">LN(C365/C364)</f>
        <v>-0.000596973819763409</v>
      </c>
      <c r="G365" s="25" t="n">
        <f aca="false">IF(AND(D365=1,A365&gt;=$R$2),F365,"")</f>
        <v>-0.000596973819763409</v>
      </c>
      <c r="H365" s="27" t="n">
        <f aca="false">IF(G365="","",G365^2)</f>
        <v>3.56377741482915E-007</v>
      </c>
      <c r="I365" s="25" t="n">
        <f aca="false">IF(G365="","",C365/C364-1)</f>
        <v>-0.000596795666345407</v>
      </c>
      <c r="J365" s="17" t="n">
        <f aca="false">AVERAGE(C166:C365)</f>
        <v>298.87785</v>
      </c>
      <c r="K365" s="17" t="n">
        <f aca="false">MAX(K364,C365)</f>
        <v>464.27</v>
      </c>
      <c r="L365" s="25" t="n">
        <f aca="false">C365/K365-1</f>
        <v>-0.0621836431386909</v>
      </c>
      <c r="M365" s="25" t="n">
        <f aca="false">IF(COUNT(G336:G365)&lt;20,"",_xlfn.STDEV.S(G336:G365)*SQRT($R$3))</f>
        <v>0.619493789705047</v>
      </c>
      <c r="N365" s="25" t="n">
        <f aca="false">IF(A365-7&lt;$R$2,"",C365/INDEX(Clean_Data!$C$2:$C$4314,MATCH(A365-7,Clean_Data!$A$2:$A$4314,1))-1)</f>
        <v>0.0381249850981138</v>
      </c>
      <c r="O365" s="25" t="n">
        <f aca="false">IF(A365-30&lt;$R$2,"",C365/INDEX(Clean_Data!$C$2:$C$4314,MATCH(A365-30,Clean_Data!$A$2:$A$4314,1))-1)</f>
        <v>0.203527102855405</v>
      </c>
    </row>
    <row r="366" customFormat="false" ht="15" hidden="false" customHeight="false" outlineLevel="0" collapsed="false">
      <c r="A366" s="16" t="n">
        <v>42372</v>
      </c>
      <c r="B366" s="23" t="n">
        <f aca="false">YEAR(A366)</f>
        <v>2016</v>
      </c>
      <c r="C366" s="17" t="n">
        <v>431.91</v>
      </c>
      <c r="D366" s="23" t="n">
        <f aca="false">A366-A365</f>
        <v>1</v>
      </c>
      <c r="E366" s="24" t="n">
        <f aca="false">LN(C366)</f>
        <v>6.06821723320637</v>
      </c>
      <c r="F366" s="25" t="n">
        <f aca="false">LN(C366/C365)</f>
        <v>-0.00804791559407342</v>
      </c>
      <c r="G366" s="25" t="n">
        <f aca="false">IF(AND(D366=1,A366&gt;=$R$2),F366,"")</f>
        <v>-0.00804791559407342</v>
      </c>
      <c r="H366" s="27" t="n">
        <f aca="false">IF(G366="","",G366^2)</f>
        <v>6.47689454093301E-005</v>
      </c>
      <c r="I366" s="25" t="n">
        <f aca="false">IF(G366="","",C366/C365-1)</f>
        <v>-0.00801561782269167</v>
      </c>
      <c r="J366" s="17" t="n">
        <f aca="false">AVERAGE(C167:C366)</f>
        <v>299.78615</v>
      </c>
      <c r="K366" s="17" t="n">
        <f aca="false">MAX(K365,C366)</f>
        <v>464.27</v>
      </c>
      <c r="L366" s="25" t="n">
        <f aca="false">C366/K366-1</f>
        <v>-0.0697008206431602</v>
      </c>
      <c r="M366" s="25" t="n">
        <f aca="false">IF(COUNT(G337:G366)&lt;20,"",_xlfn.STDEV.S(G337:G366)*SQRT($R$3))</f>
        <v>0.621477884993365</v>
      </c>
      <c r="N366" s="25" t="n">
        <f aca="false">IF(A366-7&lt;$R$2,"",C366/INDEX(Clean_Data!$C$2:$C$4314,MATCH(A366-7,Clean_Data!$A$2:$A$4314,1))-1)</f>
        <v>0.0169288001506875</v>
      </c>
      <c r="O366" s="25" t="n">
        <f aca="false">IF(A366-30&lt;$R$2,"",C366/INDEX(Clean_Data!$C$2:$C$4314,MATCH(A366-30,Clean_Data!$A$2:$A$4314,1))-1)</f>
        <v>0.186631133578768</v>
      </c>
    </row>
    <row r="367" customFormat="false" ht="15" hidden="false" customHeight="false" outlineLevel="0" collapsed="false">
      <c r="A367" s="16" t="n">
        <v>42373</v>
      </c>
      <c r="B367" s="23" t="n">
        <f aca="false">YEAR(A367)</f>
        <v>2016</v>
      </c>
      <c r="C367" s="17" t="n">
        <v>433.85</v>
      </c>
      <c r="D367" s="23" t="n">
        <f aca="false">A367-A366</f>
        <v>1</v>
      </c>
      <c r="E367" s="24" t="n">
        <f aca="false">LN(C367)</f>
        <v>6.0726988522395</v>
      </c>
      <c r="F367" s="25" t="n">
        <f aca="false">LN(C367/C366)</f>
        <v>0.00448161903312513</v>
      </c>
      <c r="G367" s="25" t="n">
        <f aca="false">IF(AND(D367=1,A367&gt;=$R$2),F367,"")</f>
        <v>0.00448161903312513</v>
      </c>
      <c r="H367" s="27" t="n">
        <f aca="false">IF(G367="","",G367^2)</f>
        <v>2.00849091580695E-005</v>
      </c>
      <c r="I367" s="25" t="n">
        <f aca="false">IF(G367="","",C367/C366-1)</f>
        <v>0.00449167650667959</v>
      </c>
      <c r="J367" s="17" t="n">
        <f aca="false">AVERAGE(C168:C367)</f>
        <v>300.70905</v>
      </c>
      <c r="K367" s="17" t="n">
        <f aca="false">MAX(K366,C367)</f>
        <v>464.27</v>
      </c>
      <c r="L367" s="25" t="n">
        <f aca="false">C367/K367-1</f>
        <v>-0.0655222176750597</v>
      </c>
      <c r="M367" s="25" t="n">
        <f aca="false">IF(COUNT(G338:G367)&lt;20,"",_xlfn.STDEV.S(G338:G367)*SQRT($R$3))</f>
        <v>0.584957219826294</v>
      </c>
      <c r="N367" s="25" t="n">
        <f aca="false">IF(A367-7&lt;$R$2,"",C367/INDEX(Clean_Data!$C$2:$C$4314,MATCH(A367-7,Clean_Data!$A$2:$A$4314,1))-1)</f>
        <v>0.0282267620988768</v>
      </c>
      <c r="O367" s="25" t="n">
        <f aca="false">IF(A367-30&lt;$R$2,"",C367/INDEX(Clean_Data!$C$2:$C$4314,MATCH(A367-30,Clean_Data!$A$2:$A$4314,1))-1)</f>
        <v>0.118198922652646</v>
      </c>
    </row>
    <row r="368" customFormat="false" ht="15" hidden="false" customHeight="false" outlineLevel="0" collapsed="false">
      <c r="A368" s="16" t="n">
        <v>42374</v>
      </c>
      <c r="B368" s="23" t="n">
        <f aca="false">YEAR(A368)</f>
        <v>2016</v>
      </c>
      <c r="C368" s="17" t="n">
        <v>433.34</v>
      </c>
      <c r="D368" s="23" t="n">
        <f aca="false">A368-A367</f>
        <v>1</v>
      </c>
      <c r="E368" s="24" t="n">
        <f aca="false">LN(C368)</f>
        <v>6.07152263927856</v>
      </c>
      <c r="F368" s="25" t="n">
        <f aca="false">LN(C368/C367)</f>
        <v>-0.00117621296093778</v>
      </c>
      <c r="G368" s="25" t="n">
        <f aca="false">IF(AND(D368=1,A368&gt;=$R$2),F368,"")</f>
        <v>-0.00117621296093778</v>
      </c>
      <c r="H368" s="27" t="n">
        <f aca="false">IF(G368="","",G368^2)</f>
        <v>1.38347692947802E-006</v>
      </c>
      <c r="I368" s="25" t="n">
        <f aca="false">IF(G368="","",C368/C367-1)</f>
        <v>-0.00117552149360389</v>
      </c>
      <c r="J368" s="17" t="n">
        <f aca="false">AVERAGE(C169:C368)</f>
        <v>301.6441</v>
      </c>
      <c r="K368" s="17" t="n">
        <f aca="false">MAX(K367,C368)</f>
        <v>464.27</v>
      </c>
      <c r="L368" s="25" t="n">
        <f aca="false">C368/K368-1</f>
        <v>-0.066620716393478</v>
      </c>
      <c r="M368" s="25" t="n">
        <f aca="false">IF(COUNT(G339:G368)&lt;20,"",_xlfn.STDEV.S(G339:G368)*SQRT($R$3))</f>
        <v>0.584961578252259</v>
      </c>
      <c r="N368" s="25" t="n">
        <f aca="false">IF(A368-7&lt;$R$2,"",C368/INDEX(Clean_Data!$C$2:$C$4314,MATCH(A368-7,Clean_Data!$A$2:$A$4314,1))-1)</f>
        <v>-0.00126760238770196</v>
      </c>
      <c r="O368" s="25" t="n">
        <f aca="false">IF(A368-30&lt;$R$2,"",C368/INDEX(Clean_Data!$C$2:$C$4314,MATCH(A368-30,Clean_Data!$A$2:$A$4314,1))-1)</f>
        <v>0.118152496452071</v>
      </c>
    </row>
    <row r="369" customFormat="false" ht="15" hidden="false" customHeight="false" outlineLevel="0" collapsed="false">
      <c r="A369" s="16" t="n">
        <v>42375</v>
      </c>
      <c r="B369" s="23" t="n">
        <f aca="false">YEAR(A369)</f>
        <v>2016</v>
      </c>
      <c r="C369" s="17" t="n">
        <v>430.87</v>
      </c>
      <c r="D369" s="23" t="n">
        <f aca="false">A369-A368</f>
        <v>1</v>
      </c>
      <c r="E369" s="24" t="n">
        <f aca="false">LN(C369)</f>
        <v>6.06580642047611</v>
      </c>
      <c r="F369" s="25" t="n">
        <f aca="false">LN(C369/C368)</f>
        <v>-0.00571621880245049</v>
      </c>
      <c r="G369" s="25" t="n">
        <f aca="false">IF(AND(D369=1,A369&gt;=$R$2),F369,"")</f>
        <v>-0.00571621880245049</v>
      </c>
      <c r="H369" s="27" t="n">
        <f aca="false">IF(G369="","",G369^2)</f>
        <v>3.26751573974885E-005</v>
      </c>
      <c r="I369" s="25" t="n">
        <f aca="false">IF(G369="","",C369/C368-1)</f>
        <v>-0.00569991230904132</v>
      </c>
      <c r="J369" s="17" t="n">
        <f aca="false">AVERAGE(C170:C369)</f>
        <v>302.5678</v>
      </c>
      <c r="K369" s="17" t="n">
        <f aca="false">MAX(K368,C369)</f>
        <v>464.27</v>
      </c>
      <c r="L369" s="25" t="n">
        <f aca="false">C369/K369-1</f>
        <v>-0.0719408964611109</v>
      </c>
      <c r="M369" s="25" t="n">
        <f aca="false">IF(COUNT(G340:G369)&lt;20,"",_xlfn.STDEV.S(G340:G369)*SQRT($R$3))</f>
        <v>0.583406080919254</v>
      </c>
      <c r="N369" s="25" t="n">
        <f aca="false">IF(A369-7&lt;$R$2,"",C369/INDEX(Clean_Data!$C$2:$C$4314,MATCH(A369-7,Clean_Data!$A$2:$A$4314,1))-1)</f>
        <v>0.00682322701250149</v>
      </c>
      <c r="O369" s="25" t="n">
        <f aca="false">IF(A369-30&lt;$R$2,"",C369/INDEX(Clean_Data!$C$2:$C$4314,MATCH(A369-30,Clean_Data!$A$2:$A$4314,1))-1)</f>
        <v>0.0915562536417298</v>
      </c>
    </row>
    <row r="370" customFormat="false" ht="15" hidden="false" customHeight="false" outlineLevel="0" collapsed="false">
      <c r="A370" s="16" t="n">
        <v>42376</v>
      </c>
      <c r="B370" s="23" t="n">
        <f aca="false">YEAR(A370)</f>
        <v>2016</v>
      </c>
      <c r="C370" s="17" t="n">
        <v>459.07</v>
      </c>
      <c r="D370" s="23" t="n">
        <f aca="false">A370-A369</f>
        <v>1</v>
      </c>
      <c r="E370" s="24" t="n">
        <f aca="false">LN(C370)</f>
        <v>6.1292027038794</v>
      </c>
      <c r="F370" s="25" t="n">
        <f aca="false">LN(C370/C369)</f>
        <v>0.0633962834032843</v>
      </c>
      <c r="G370" s="25" t="n">
        <f aca="false">IF(AND(D370=1,A370&gt;=$R$2),F370,"")</f>
        <v>0.0633962834032843</v>
      </c>
      <c r="H370" s="27" t="n">
        <f aca="false">IF(G370="","",G370^2)</f>
        <v>0.00401908874934954</v>
      </c>
      <c r="I370" s="25" t="n">
        <f aca="false">IF(G370="","",C370/C369-1)</f>
        <v>0.0654489753289855</v>
      </c>
      <c r="J370" s="17" t="n">
        <f aca="false">AVERAGE(C171:C370)</f>
        <v>303.63985</v>
      </c>
      <c r="K370" s="17" t="n">
        <f aca="false">MAX(K369,C370)</f>
        <v>464.27</v>
      </c>
      <c r="L370" s="25" t="n">
        <f aca="false">C370/K370-1</f>
        <v>-0.0112003790897538</v>
      </c>
      <c r="M370" s="25" t="n">
        <f aca="false">IF(COUNT(G341:G370)&lt;20,"",_xlfn.STDEV.S(G341:G370)*SQRT($R$3))</f>
        <v>0.588268715861388</v>
      </c>
      <c r="N370" s="25" t="n">
        <f aca="false">IF(A370-7&lt;$R$2,"",C370/INDEX(Clean_Data!$C$2:$C$4314,MATCH(A370-7,Clean_Data!$A$2:$A$4314,1))-1)</f>
        <v>0.0667363773672591</v>
      </c>
      <c r="O370" s="25" t="n">
        <f aca="false">IF(A370-30&lt;$R$2,"",C370/INDEX(Clean_Data!$C$2:$C$4314,MATCH(A370-30,Clean_Data!$A$2:$A$4314,1))-1)</f>
        <v>0.0957893731799302</v>
      </c>
    </row>
    <row r="371" customFormat="false" ht="15" hidden="false" customHeight="false" outlineLevel="0" collapsed="false">
      <c r="A371" s="16" t="n">
        <v>42377</v>
      </c>
      <c r="B371" s="23" t="n">
        <f aca="false">YEAR(A371)</f>
        <v>2016</v>
      </c>
      <c r="C371" s="17" t="n">
        <v>454.44</v>
      </c>
      <c r="D371" s="23" t="n">
        <f aca="false">A371-A370</f>
        <v>1</v>
      </c>
      <c r="E371" s="24" t="n">
        <f aca="false">LN(C371)</f>
        <v>6.1190658917017</v>
      </c>
      <c r="F371" s="25" t="n">
        <f aca="false">LN(C371/C370)</f>
        <v>-0.010136812177691</v>
      </c>
      <c r="G371" s="25" t="n">
        <f aca="false">IF(AND(D371=1,A371&gt;=$R$2),F371,"")</f>
        <v>-0.010136812177691</v>
      </c>
      <c r="H371" s="27" t="n">
        <f aca="false">IF(G371="","",G371^2)</f>
        <v>0.000102754961125785</v>
      </c>
      <c r="I371" s="25" t="n">
        <f aca="false">IF(G371="","",C371/C370-1)</f>
        <v>-0.0100856078593679</v>
      </c>
      <c r="J371" s="17" t="n">
        <f aca="false">AVERAGE(C172:C371)</f>
        <v>304.67455</v>
      </c>
      <c r="K371" s="17" t="n">
        <f aca="false">MAX(K370,C371)</f>
        <v>464.27</v>
      </c>
      <c r="L371" s="25" t="n">
        <f aca="false">C371/K371-1</f>
        <v>-0.0211730243177461</v>
      </c>
      <c r="M371" s="25" t="n">
        <f aca="false">IF(COUNT(G342:G371)&lt;20,"",_xlfn.STDEV.S(G342:G371)*SQRT($R$3))</f>
        <v>0.589895086220787</v>
      </c>
      <c r="N371" s="25" t="n">
        <f aca="false">IF(A371-7&lt;$R$2,"",C371/INDEX(Clean_Data!$C$2:$C$4314,MATCH(A371-7,Clean_Data!$A$2:$A$4314,1))-1)</f>
        <v>0.0431070100537117</v>
      </c>
      <c r="O371" s="25" t="n">
        <f aca="false">IF(A371-30&lt;$R$2,"",C371/INDEX(Clean_Data!$C$2:$C$4314,MATCH(A371-30,Clean_Data!$A$2:$A$4314,1))-1)</f>
        <v>0.0861636272377446</v>
      </c>
    </row>
    <row r="372" customFormat="false" ht="15" hidden="false" customHeight="false" outlineLevel="0" collapsed="false">
      <c r="A372" s="16" t="n">
        <v>42378</v>
      </c>
      <c r="B372" s="23" t="n">
        <f aca="false">YEAR(A372)</f>
        <v>2016</v>
      </c>
      <c r="C372" s="17" t="n">
        <v>450.38</v>
      </c>
      <c r="D372" s="23" t="n">
        <f aca="false">A372-A371</f>
        <v>1</v>
      </c>
      <c r="E372" s="24" t="n">
        <f aca="false">LN(C372)</f>
        <v>6.11009167086619</v>
      </c>
      <c r="F372" s="25" t="n">
        <f aca="false">LN(C372/C371)</f>
        <v>-0.00897422083551022</v>
      </c>
      <c r="G372" s="25" t="n">
        <f aca="false">IF(AND(D372=1,A372&gt;=$R$2),F372,"")</f>
        <v>-0.00897422083551022</v>
      </c>
      <c r="H372" s="27" t="n">
        <f aca="false">IF(G372="","",G372^2)</f>
        <v>8.05366396045057E-005</v>
      </c>
      <c r="I372" s="25" t="n">
        <f aca="false">IF(G372="","",C372/C371-1)</f>
        <v>-0.00893407270486757</v>
      </c>
      <c r="J372" s="17" t="n">
        <f aca="false">AVERAGE(C173:C372)</f>
        <v>305.70385</v>
      </c>
      <c r="K372" s="17" t="n">
        <f aca="false">MAX(K371,C372)</f>
        <v>464.27</v>
      </c>
      <c r="L372" s="25" t="n">
        <f aca="false">C372/K372-1</f>
        <v>-0.0299179356839769</v>
      </c>
      <c r="M372" s="25" t="n">
        <f aca="false">IF(COUNT(G343:G372)&lt;20,"",_xlfn.STDEV.S(G343:G372)*SQRT($R$3))</f>
        <v>0.590446878706605</v>
      </c>
      <c r="N372" s="25" t="n">
        <f aca="false">IF(A372-7&lt;$R$2,"",C372/INDEX(Clean_Data!$C$2:$C$4314,MATCH(A372-7,Clean_Data!$A$2:$A$4314,1))-1)</f>
        <v>0.0344051446945337</v>
      </c>
      <c r="O372" s="25" t="n">
        <f aca="false">IF(A372-30&lt;$R$2,"",C372/INDEX(Clean_Data!$C$2:$C$4314,MATCH(A372-30,Clean_Data!$A$2:$A$4314,1))-1)</f>
        <v>0.083477675134719</v>
      </c>
    </row>
    <row r="373" customFormat="false" ht="15" hidden="false" customHeight="false" outlineLevel="0" collapsed="false">
      <c r="A373" s="16" t="n">
        <v>42379</v>
      </c>
      <c r="B373" s="23" t="n">
        <f aca="false">YEAR(A373)</f>
        <v>2016</v>
      </c>
      <c r="C373" s="17" t="n">
        <v>449.99</v>
      </c>
      <c r="D373" s="23" t="n">
        <f aca="false">A373-A372</f>
        <v>1</v>
      </c>
      <c r="E373" s="24" t="n">
        <f aca="false">LN(C373)</f>
        <v>6.10922536029523</v>
      </c>
      <c r="F373" s="25" t="n">
        <f aca="false">LN(C373/C372)</f>
        <v>-0.000866310570967624</v>
      </c>
      <c r="G373" s="25" t="n">
        <f aca="false">IF(AND(D373=1,A373&gt;=$R$2),F373,"")</f>
        <v>-0.000866310570967624</v>
      </c>
      <c r="H373" s="27" t="n">
        <f aca="false">IF(G373="","",G373^2)</f>
        <v>7.50494005370251E-007</v>
      </c>
      <c r="I373" s="25" t="n">
        <f aca="false">IF(G373="","",C373/C372-1)</f>
        <v>-0.000865935432301623</v>
      </c>
      <c r="J373" s="17" t="n">
        <f aca="false">AVERAGE(C174:C373)</f>
        <v>306.7536</v>
      </c>
      <c r="K373" s="17" t="n">
        <f aca="false">MAX(K372,C373)</f>
        <v>464.27</v>
      </c>
      <c r="L373" s="25" t="n">
        <f aca="false">C373/K373-1</f>
        <v>-0.0307579641157085</v>
      </c>
      <c r="M373" s="25" t="n">
        <f aca="false">IF(COUNT(G344:G373)&lt;20,"",_xlfn.STDEV.S(G344:G373)*SQRT($R$3))</f>
        <v>0.508446713271196</v>
      </c>
      <c r="N373" s="25" t="n">
        <f aca="false">IF(A373-7&lt;$R$2,"",C373/INDEX(Clean_Data!$C$2:$C$4314,MATCH(A373-7,Clean_Data!$A$2:$A$4314,1))-1)</f>
        <v>0.0418605728045194</v>
      </c>
      <c r="O373" s="25" t="n">
        <f aca="false">IF(A373-30&lt;$R$2,"",C373/INDEX(Clean_Data!$C$2:$C$4314,MATCH(A373-30,Clean_Data!$A$2:$A$4314,1))-1)</f>
        <v>-0.00653493763108504</v>
      </c>
    </row>
    <row r="374" customFormat="false" ht="15" hidden="false" customHeight="false" outlineLevel="0" collapsed="false">
      <c r="A374" s="16" t="n">
        <v>42380</v>
      </c>
      <c r="B374" s="23" t="n">
        <f aca="false">YEAR(A374)</f>
        <v>2016</v>
      </c>
      <c r="C374" s="17" t="n">
        <v>449.19</v>
      </c>
      <c r="D374" s="23" t="n">
        <f aca="false">A374-A373</f>
        <v>1</v>
      </c>
      <c r="E374" s="24" t="n">
        <f aca="false">LN(C374)</f>
        <v>6.10744596081774</v>
      </c>
      <c r="F374" s="25" t="n">
        <f aca="false">LN(C374/C373)</f>
        <v>-0.00177939947748879</v>
      </c>
      <c r="G374" s="25" t="n">
        <f aca="false">IF(AND(D374=1,A374&gt;=$R$2),F374,"")</f>
        <v>-0.00177939947748879</v>
      </c>
      <c r="H374" s="27" t="n">
        <f aca="false">IF(G374="","",G374^2)</f>
        <v>3.16626250048739E-006</v>
      </c>
      <c r="I374" s="25" t="n">
        <f aca="false">IF(G374="","",C374/C373-1)</f>
        <v>-0.00177781728482862</v>
      </c>
      <c r="J374" s="17" t="n">
        <f aca="false">AVERAGE(C175:C374)</f>
        <v>307.78735</v>
      </c>
      <c r="K374" s="17" t="n">
        <f aca="false">MAX(K373,C374)</f>
        <v>464.27</v>
      </c>
      <c r="L374" s="25" t="n">
        <f aca="false">C374/K374-1</f>
        <v>-0.032481099360286</v>
      </c>
      <c r="M374" s="25" t="n">
        <f aca="false">IF(COUNT(G345:G374)&lt;20,"",_xlfn.STDEV.S(G345:G374)*SQRT($R$3))</f>
        <v>0.491738853865155</v>
      </c>
      <c r="N374" s="25" t="n">
        <f aca="false">IF(A374-7&lt;$R$2,"",C374/INDEX(Clean_Data!$C$2:$C$4314,MATCH(A374-7,Clean_Data!$A$2:$A$4314,1))-1)</f>
        <v>0.0353578425723176</v>
      </c>
      <c r="O374" s="25" t="n">
        <f aca="false">IF(A374-30&lt;$R$2,"",C374/INDEX(Clean_Data!$C$2:$C$4314,MATCH(A374-30,Clean_Data!$A$2:$A$4314,1))-1)</f>
        <v>0.0282006088767826</v>
      </c>
    </row>
    <row r="375" customFormat="false" ht="15" hidden="false" customHeight="false" outlineLevel="0" collapsed="false">
      <c r="A375" s="16" t="n">
        <v>42381</v>
      </c>
      <c r="B375" s="23" t="n">
        <f aca="false">YEAR(A375)</f>
        <v>2016</v>
      </c>
      <c r="C375" s="17" t="n">
        <v>434.01</v>
      </c>
      <c r="D375" s="23" t="n">
        <f aca="false">A375-A374</f>
        <v>1</v>
      </c>
      <c r="E375" s="24" t="n">
        <f aca="false">LN(C375)</f>
        <v>6.07306757530961</v>
      </c>
      <c r="F375" s="25" t="n">
        <f aca="false">LN(C375/C374)</f>
        <v>-0.0343783855081287</v>
      </c>
      <c r="G375" s="25" t="n">
        <f aca="false">IF(AND(D375=1,A375&gt;=$R$2),F375,"")</f>
        <v>-0.0343783855081287</v>
      </c>
      <c r="H375" s="27" t="n">
        <f aca="false">IF(G375="","",G375^2)</f>
        <v>0.00118187339014551</v>
      </c>
      <c r="I375" s="25" t="n">
        <f aca="false">IF(G375="","",C375/C374-1)</f>
        <v>-0.0337941628264209</v>
      </c>
      <c r="J375" s="17" t="n">
        <f aca="false">AVERAGE(C176:C375)</f>
        <v>308.7424</v>
      </c>
      <c r="K375" s="17" t="n">
        <f aca="false">MAX(K374,C375)</f>
        <v>464.27</v>
      </c>
      <c r="L375" s="25" t="n">
        <f aca="false">C375/K375-1</f>
        <v>-0.0651775906261443</v>
      </c>
      <c r="M375" s="25" t="n">
        <f aca="false">IF(COUNT(G346:G375)&lt;20,"",_xlfn.STDEV.S(G346:G375)*SQRT($R$3))</f>
        <v>0.506352734158808</v>
      </c>
      <c r="N375" s="25" t="n">
        <f aca="false">IF(A375-7&lt;$R$2,"",C375/INDEX(Clean_Data!$C$2:$C$4314,MATCH(A375-7,Clean_Data!$A$2:$A$4314,1))-1)</f>
        <v>0.00154613005953763</v>
      </c>
      <c r="O375" s="25" t="n">
        <f aca="false">IF(A375-30&lt;$R$2,"",C375/INDEX(Clean_Data!$C$2:$C$4314,MATCH(A375-30,Clean_Data!$A$2:$A$4314,1))-1)</f>
        <v>0.000414909065763025</v>
      </c>
    </row>
    <row r="376" customFormat="false" ht="15" hidden="false" customHeight="false" outlineLevel="0" collapsed="false">
      <c r="A376" s="16" t="n">
        <v>42382</v>
      </c>
      <c r="B376" s="23" t="n">
        <f aca="false">YEAR(A376)</f>
        <v>2016</v>
      </c>
      <c r="C376" s="17" t="n">
        <v>432.77</v>
      </c>
      <c r="D376" s="23" t="n">
        <f aca="false">A376-A375</f>
        <v>1</v>
      </c>
      <c r="E376" s="24" t="n">
        <f aca="false">LN(C376)</f>
        <v>6.07020640904847</v>
      </c>
      <c r="F376" s="25" t="n">
        <f aca="false">LN(C376/C375)</f>
        <v>-0.00286116626113826</v>
      </c>
      <c r="G376" s="25" t="n">
        <f aca="false">IF(AND(D376=1,A376&gt;=$R$2),F376,"")</f>
        <v>-0.00286116626113826</v>
      </c>
      <c r="H376" s="27" t="n">
        <f aca="false">IF(G376="","",G376^2)</f>
        <v>8.18627237387588E-006</v>
      </c>
      <c r="I376" s="25" t="n">
        <f aca="false">IF(G376="","",C376/C375-1)</f>
        <v>-0.00285707702587501</v>
      </c>
      <c r="J376" s="17" t="n">
        <f aca="false">AVERAGE(C177:C376)</f>
        <v>309.6483</v>
      </c>
      <c r="K376" s="17" t="n">
        <f aca="false">MAX(K375,C376)</f>
        <v>464.27</v>
      </c>
      <c r="L376" s="25" t="n">
        <f aca="false">C376/K376-1</f>
        <v>-0.0678484502552395</v>
      </c>
      <c r="M376" s="25" t="n">
        <f aca="false">IF(COUNT(G347:G376)&lt;20,"",_xlfn.STDEV.S(G347:G376)*SQRT($R$3))</f>
        <v>0.499448979237244</v>
      </c>
      <c r="N376" s="25" t="n">
        <f aca="false">IF(A376-7&lt;$R$2,"",C376/INDEX(Clean_Data!$C$2:$C$4314,MATCH(A376-7,Clean_Data!$A$2:$A$4314,1))-1)</f>
        <v>0.00440968273493159</v>
      </c>
      <c r="O376" s="25" t="n">
        <f aca="false">IF(A376-30&lt;$R$2,"",C376/INDEX(Clean_Data!$C$2:$C$4314,MATCH(A376-30,Clean_Data!$A$2:$A$4314,1))-1)</f>
        <v>-0.0253147451633973</v>
      </c>
    </row>
    <row r="377" customFormat="false" ht="15" hidden="false" customHeight="false" outlineLevel="0" collapsed="false">
      <c r="A377" s="16" t="n">
        <v>42383</v>
      </c>
      <c r="B377" s="23" t="n">
        <f aca="false">YEAR(A377)</f>
        <v>2016</v>
      </c>
      <c r="C377" s="17" t="n">
        <v>430.03</v>
      </c>
      <c r="D377" s="23" t="n">
        <f aca="false">A377-A376</f>
        <v>1</v>
      </c>
      <c r="E377" s="24" t="n">
        <f aca="false">LN(C377)</f>
        <v>6.06385497369583</v>
      </c>
      <c r="F377" s="25" t="n">
        <f aca="false">LN(C377/C376)</f>
        <v>-0.00635143535263655</v>
      </c>
      <c r="G377" s="25" t="n">
        <f aca="false">IF(AND(D377=1,A377&gt;=$R$2),F377,"")</f>
        <v>-0.00635143535263655</v>
      </c>
      <c r="H377" s="27" t="n">
        <f aca="false">IF(G377="","",G377^2)</f>
        <v>4.03407310387214E-005</v>
      </c>
      <c r="I377" s="25" t="n">
        <f aca="false">IF(G377="","",C377/C376-1)</f>
        <v>-0.00633130762298684</v>
      </c>
      <c r="J377" s="17" t="n">
        <f aca="false">AVERAGE(C178:C377)</f>
        <v>310.5529</v>
      </c>
      <c r="K377" s="17" t="n">
        <f aca="false">MAX(K376,C377)</f>
        <v>464.27</v>
      </c>
      <c r="L377" s="25" t="n">
        <f aca="false">C377/K377-1</f>
        <v>-0.0737501884679174</v>
      </c>
      <c r="M377" s="25" t="n">
        <f aca="false">IF(COUNT(G348:G377)&lt;20,"",_xlfn.STDEV.S(G348:G377)*SQRT($R$3))</f>
        <v>0.471924682518959</v>
      </c>
      <c r="N377" s="25" t="n">
        <f aca="false">IF(A377-7&lt;$R$2,"",C377/INDEX(Clean_Data!$C$2:$C$4314,MATCH(A377-7,Clean_Data!$A$2:$A$4314,1))-1)</f>
        <v>-0.0632583266168558</v>
      </c>
      <c r="O377" s="25" t="n">
        <f aca="false">IF(A377-30&lt;$R$2,"",C377/INDEX(Clean_Data!$C$2:$C$4314,MATCH(A377-30,Clean_Data!$A$2:$A$4314,1))-1)</f>
        <v>-0.0737501884679174</v>
      </c>
    </row>
    <row r="378" customFormat="false" ht="15" hidden="false" customHeight="false" outlineLevel="0" collapsed="false">
      <c r="A378" s="16" t="n">
        <v>42384</v>
      </c>
      <c r="B378" s="23" t="n">
        <f aca="false">YEAR(A378)</f>
        <v>2016</v>
      </c>
      <c r="C378" s="17" t="n">
        <v>357.53</v>
      </c>
      <c r="D378" s="23" t="n">
        <f aca="false">A378-A377</f>
        <v>1</v>
      </c>
      <c r="E378" s="24" t="n">
        <f aca="false">LN(C378)</f>
        <v>5.87921927469722</v>
      </c>
      <c r="F378" s="25" t="n">
        <f aca="false">LN(C378/C377)</f>
        <v>-0.184635698998613</v>
      </c>
      <c r="G378" s="25" t="n">
        <f aca="false">IF(AND(D378=1,A378&gt;=$R$2),F378,"")</f>
        <v>-0.184635698998613</v>
      </c>
      <c r="H378" s="27" t="n">
        <f aca="false">IF(G378="","",G378^2)</f>
        <v>0.0340903413447064</v>
      </c>
      <c r="I378" s="25" t="n">
        <f aca="false">IF(G378="","",C378/C377-1)</f>
        <v>-0.168592888868219</v>
      </c>
      <c r="J378" s="17" t="n">
        <f aca="false">AVERAGE(C179:C378)</f>
        <v>311.05285</v>
      </c>
      <c r="K378" s="17" t="n">
        <f aca="false">MAX(K377,C378)</f>
        <v>464.27</v>
      </c>
      <c r="L378" s="25" t="n">
        <f aca="false">C378/K378-1</f>
        <v>-0.229909320007754</v>
      </c>
      <c r="M378" s="25" t="n">
        <f aca="false">IF(COUNT(G349:G378)&lt;20,"",_xlfn.STDEV.S(G349:G378)*SQRT($R$3))</f>
        <v>0.789924972796543</v>
      </c>
      <c r="N378" s="25" t="n">
        <f aca="false">IF(A378-7&lt;$R$2,"",C378/INDEX(Clean_Data!$C$2:$C$4314,MATCH(A378-7,Clean_Data!$A$2:$A$4314,1))-1)</f>
        <v>-0.213251474342047</v>
      </c>
      <c r="O378" s="25" t="n">
        <f aca="false">IF(A378-30&lt;$R$2,"",C378/INDEX(Clean_Data!$C$2:$C$4314,MATCH(A378-30,Clean_Data!$A$2:$A$4314,1))-1)</f>
        <v>-0.212436945172589</v>
      </c>
    </row>
    <row r="379" customFormat="false" ht="15" hidden="false" customHeight="false" outlineLevel="0" collapsed="false">
      <c r="A379" s="16" t="n">
        <v>42385</v>
      </c>
      <c r="B379" s="23" t="n">
        <f aca="false">YEAR(A379)</f>
        <v>2016</v>
      </c>
      <c r="C379" s="17" t="n">
        <v>388.7</v>
      </c>
      <c r="D379" s="23" t="n">
        <f aca="false">A379-A378</f>
        <v>1</v>
      </c>
      <c r="E379" s="24" t="n">
        <f aca="false">LN(C379)</f>
        <v>5.96280783785818</v>
      </c>
      <c r="F379" s="25" t="n">
        <f aca="false">LN(C379/C378)</f>
        <v>0.0835885631609568</v>
      </c>
      <c r="G379" s="25" t="n">
        <f aca="false">IF(AND(D379=1,A379&gt;=$R$2),F379,"")</f>
        <v>0.0835885631609568</v>
      </c>
      <c r="H379" s="27" t="n">
        <f aca="false">IF(G379="","",G379^2)</f>
        <v>0.00698704789131326</v>
      </c>
      <c r="I379" s="25" t="n">
        <f aca="false">IF(G379="","",C379/C378-1)</f>
        <v>0.0871814952591392</v>
      </c>
      <c r="J379" s="17" t="n">
        <f aca="false">AVERAGE(C180:C379)</f>
        <v>311.67725</v>
      </c>
      <c r="K379" s="17" t="n">
        <f aca="false">MAX(K378,C379)</f>
        <v>464.27</v>
      </c>
      <c r="L379" s="25" t="n">
        <f aca="false">C379/K379-1</f>
        <v>-0.162771663040903</v>
      </c>
      <c r="M379" s="25" t="n">
        <f aca="false">IF(COUNT(G350:G379)&lt;20,"",_xlfn.STDEV.S(G350:G379)*SQRT($R$3))</f>
        <v>0.851560194177408</v>
      </c>
      <c r="N379" s="25" t="n">
        <f aca="false">IF(A379-7&lt;$R$2,"",C379/INDEX(Clean_Data!$C$2:$C$4314,MATCH(A379-7,Clean_Data!$A$2:$A$4314,1))-1)</f>
        <v>-0.136951019139393</v>
      </c>
      <c r="O379" s="25" t="n">
        <f aca="false">IF(A379-30&lt;$R$2,"",C379/INDEX(Clean_Data!$C$2:$C$4314,MATCH(A379-30,Clean_Data!$A$2:$A$4314,1))-1)</f>
        <v>-0.146652030735456</v>
      </c>
    </row>
    <row r="380" customFormat="false" ht="15" hidden="false" customHeight="false" outlineLevel="0" collapsed="false">
      <c r="A380" s="16" t="n">
        <v>42386</v>
      </c>
      <c r="B380" s="23" t="n">
        <f aca="false">YEAR(A380)</f>
        <v>2016</v>
      </c>
      <c r="C380" s="17" t="n">
        <v>378.46</v>
      </c>
      <c r="D380" s="23" t="n">
        <f aca="false">A380-A379</f>
        <v>1</v>
      </c>
      <c r="E380" s="24" t="n">
        <f aca="false">LN(C380)</f>
        <v>5.9361103869759</v>
      </c>
      <c r="F380" s="25" t="n">
        <f aca="false">LN(C380/C379)</f>
        <v>-0.0266974508822731</v>
      </c>
      <c r="G380" s="25" t="n">
        <f aca="false">IF(AND(D380=1,A380&gt;=$R$2),F380,"")</f>
        <v>-0.0266974508822731</v>
      </c>
      <c r="H380" s="27" t="n">
        <f aca="false">IF(G380="","",G380^2)</f>
        <v>0.000712753883611385</v>
      </c>
      <c r="I380" s="25" t="n">
        <f aca="false">IF(G380="","",C380/C379-1)</f>
        <v>-0.0263442243375354</v>
      </c>
      <c r="J380" s="17" t="n">
        <f aca="false">AVERAGE(C181:C380)</f>
        <v>312.27445</v>
      </c>
      <c r="K380" s="17" t="n">
        <f aca="false">MAX(K379,C380)</f>
        <v>464.27</v>
      </c>
      <c r="L380" s="25" t="n">
        <f aca="false">C380/K380-1</f>
        <v>-0.184827794171495</v>
      </c>
      <c r="M380" s="25" t="n">
        <f aca="false">IF(COUNT(G351:G380)&lt;20,"",_xlfn.STDEV.S(G351:G380)*SQRT($R$3))</f>
        <v>0.85091212046525</v>
      </c>
      <c r="N380" s="25" t="n">
        <f aca="false">IF(A380-7&lt;$R$2,"",C380/INDEX(Clean_Data!$C$2:$C$4314,MATCH(A380-7,Clean_Data!$A$2:$A$4314,1))-1)</f>
        <v>-0.158959087979733</v>
      </c>
      <c r="O380" s="25" t="n">
        <f aca="false">IF(A380-30&lt;$R$2,"",C380/INDEX(Clean_Data!$C$2:$C$4314,MATCH(A380-30,Clean_Data!$A$2:$A$4314,1))-1)</f>
        <v>-0.182891810782218</v>
      </c>
    </row>
    <row r="381" customFormat="false" ht="15" hidden="false" customHeight="false" outlineLevel="0" collapsed="false">
      <c r="A381" s="16" t="n">
        <v>42387</v>
      </c>
      <c r="B381" s="23" t="n">
        <f aca="false">YEAR(A381)</f>
        <v>2016</v>
      </c>
      <c r="C381" s="17" t="n">
        <v>384.89</v>
      </c>
      <c r="D381" s="23" t="n">
        <f aca="false">A381-A380</f>
        <v>1</v>
      </c>
      <c r="E381" s="24" t="n">
        <f aca="false">LN(C381)</f>
        <v>5.95295757917797</v>
      </c>
      <c r="F381" s="25" t="n">
        <f aca="false">LN(C381/C380)</f>
        <v>0.0168471922020628</v>
      </c>
      <c r="G381" s="25" t="n">
        <f aca="false">IF(AND(D381=1,A381&gt;=$R$2),F381,"")</f>
        <v>0.0168471922020628</v>
      </c>
      <c r="H381" s="27" t="n">
        <f aca="false">IF(G381="","",G381^2)</f>
        <v>0.000283827885093245</v>
      </c>
      <c r="I381" s="25" t="n">
        <f aca="false">IF(G381="","",C381/C380-1)</f>
        <v>0.0169899064630343</v>
      </c>
      <c r="J381" s="17" t="n">
        <f aca="false">AVERAGE(C182:C381)</f>
        <v>312.92465</v>
      </c>
      <c r="K381" s="17" t="n">
        <f aca="false">MAX(K380,C381)</f>
        <v>464.27</v>
      </c>
      <c r="L381" s="25" t="n">
        <f aca="false">C381/K381-1</f>
        <v>-0.170978094643203</v>
      </c>
      <c r="M381" s="25" t="n">
        <f aca="false">IF(COUNT(G352:G381)&lt;20,"",_xlfn.STDEV.S(G352:G381)*SQRT($R$3))</f>
        <v>0.854854739467991</v>
      </c>
      <c r="N381" s="25" t="n">
        <f aca="false">IF(A381-7&lt;$R$2,"",C381/INDEX(Clean_Data!$C$2:$C$4314,MATCH(A381-7,Clean_Data!$A$2:$A$4314,1))-1)</f>
        <v>-0.14314655268372</v>
      </c>
      <c r="O381" s="25" t="n">
        <f aca="false">IF(A381-30&lt;$R$2,"",C381/INDEX(Clean_Data!$C$2:$C$4314,MATCH(A381-30,Clean_Data!$A$2:$A$4314,1))-1)</f>
        <v>-0.165622493442303</v>
      </c>
    </row>
    <row r="382" customFormat="false" ht="15" hidden="false" customHeight="false" outlineLevel="0" collapsed="false">
      <c r="A382" s="16" t="n">
        <v>42388</v>
      </c>
      <c r="B382" s="23" t="n">
        <f aca="false">YEAR(A382)</f>
        <v>2016</v>
      </c>
      <c r="C382" s="17" t="n">
        <v>375.27</v>
      </c>
      <c r="D382" s="23" t="n">
        <f aca="false">A382-A381</f>
        <v>1</v>
      </c>
      <c r="E382" s="24" t="n">
        <f aca="false">LN(C382)</f>
        <v>5.92764576689476</v>
      </c>
      <c r="F382" s="25" t="n">
        <f aca="false">LN(C382/C381)</f>
        <v>-0.0253118122832075</v>
      </c>
      <c r="G382" s="25" t="n">
        <f aca="false">IF(AND(D382=1,A382&gt;=$R$2),F382,"")</f>
        <v>-0.0253118122832075</v>
      </c>
      <c r="H382" s="27" t="n">
        <f aca="false">IF(G382="","",G382^2)</f>
        <v>0.000640687841060335</v>
      </c>
      <c r="I382" s="25" t="n">
        <f aca="false">IF(G382="","",C382/C381-1)</f>
        <v>-0.0249941541739198</v>
      </c>
      <c r="J382" s="17" t="n">
        <f aca="false">AVERAGE(C183:C382)</f>
        <v>313.51625</v>
      </c>
      <c r="K382" s="17" t="n">
        <f aca="false">MAX(K381,C382)</f>
        <v>464.27</v>
      </c>
      <c r="L382" s="25" t="n">
        <f aca="false">C382/K382-1</f>
        <v>-0.191698795959248</v>
      </c>
      <c r="M382" s="25" t="n">
        <f aca="false">IF(COUNT(G353:G382)&lt;20,"",_xlfn.STDEV.S(G353:G382)*SQRT($R$3))</f>
        <v>0.847852978429688</v>
      </c>
      <c r="N382" s="25" t="n">
        <f aca="false">IF(A382-7&lt;$R$2,"",C382/INDEX(Clean_Data!$C$2:$C$4314,MATCH(A382-7,Clean_Data!$A$2:$A$4314,1))-1)</f>
        <v>-0.135342503628949</v>
      </c>
      <c r="O382" s="25" t="n">
        <f aca="false">IF(A382-30&lt;$R$2,"",C382/INDEX(Clean_Data!$C$2:$C$4314,MATCH(A382-30,Clean_Data!$A$2:$A$4314,1))-1)</f>
        <v>-0.151395233141875</v>
      </c>
    </row>
    <row r="383" customFormat="false" ht="15" hidden="false" customHeight="false" outlineLevel="0" collapsed="false">
      <c r="A383" s="16" t="n">
        <v>42389</v>
      </c>
      <c r="B383" s="23" t="n">
        <f aca="false">YEAR(A383)</f>
        <v>2016</v>
      </c>
      <c r="C383" s="17" t="n">
        <v>418.54</v>
      </c>
      <c r="D383" s="23" t="n">
        <f aca="false">A383-A382</f>
        <v>1</v>
      </c>
      <c r="E383" s="24" t="n">
        <f aca="false">LN(C383)</f>
        <v>6.03677246481252</v>
      </c>
      <c r="F383" s="25" t="n">
        <f aca="false">LN(C383/C382)</f>
        <v>0.109126697917764</v>
      </c>
      <c r="G383" s="25" t="n">
        <f aca="false">IF(AND(D383=1,A383&gt;=$R$2),F383,"")</f>
        <v>0.109126697917764</v>
      </c>
      <c r="H383" s="27" t="n">
        <f aca="false">IF(G383="","",G383^2)</f>
        <v>0.0119086361984349</v>
      </c>
      <c r="I383" s="25" t="n">
        <f aca="false">IF(G383="","",C383/C382-1)</f>
        <v>0.115303648040078</v>
      </c>
      <c r="J383" s="17" t="n">
        <f aca="false">AVERAGE(C184:C383)</f>
        <v>314.30575</v>
      </c>
      <c r="K383" s="17" t="n">
        <f aca="false">MAX(K382,C383)</f>
        <v>464.27</v>
      </c>
      <c r="L383" s="25" t="n">
        <f aca="false">C383/K383-1</f>
        <v>-0.0984987184181617</v>
      </c>
      <c r="M383" s="25" t="n">
        <f aca="false">IF(COUNT(G354:G383)&lt;20,"",_xlfn.STDEV.S(G354:G383)*SQRT($R$3))</f>
        <v>0.936681681487509</v>
      </c>
      <c r="N383" s="25" t="n">
        <f aca="false">IF(A383-7&lt;$R$2,"",C383/INDEX(Clean_Data!$C$2:$C$4314,MATCH(A383-7,Clean_Data!$A$2:$A$4314,1))-1)</f>
        <v>-0.0328812071077015</v>
      </c>
      <c r="O383" s="25" t="n">
        <f aca="false">IF(A383-30&lt;$R$2,"",C383/INDEX(Clean_Data!$C$2:$C$4314,MATCH(A383-30,Clean_Data!$A$2:$A$4314,1))-1)</f>
        <v>-0.0418259655227673</v>
      </c>
    </row>
    <row r="384" customFormat="false" ht="15" hidden="false" customHeight="false" outlineLevel="0" collapsed="false">
      <c r="A384" s="16" t="n">
        <v>42390</v>
      </c>
      <c r="B384" s="23" t="n">
        <f aca="false">YEAR(A384)</f>
        <v>2016</v>
      </c>
      <c r="C384" s="17" t="n">
        <v>409.38</v>
      </c>
      <c r="D384" s="23" t="n">
        <f aca="false">A384-A383</f>
        <v>1</v>
      </c>
      <c r="E384" s="24" t="n">
        <f aca="false">LN(C384)</f>
        <v>6.01464382005539</v>
      </c>
      <c r="F384" s="25" t="n">
        <f aca="false">LN(C384/C383)</f>
        <v>-0.0221286447571363</v>
      </c>
      <c r="G384" s="25" t="n">
        <f aca="false">IF(AND(D384=1,A384&gt;=$R$2),F384,"")</f>
        <v>-0.0221286447571363</v>
      </c>
      <c r="H384" s="27" t="n">
        <f aca="false">IF(G384="","",G384^2)</f>
        <v>0.000489676918787535</v>
      </c>
      <c r="I384" s="25" t="n">
        <f aca="false">IF(G384="","",C384/C383-1)</f>
        <v>-0.0218856023319157</v>
      </c>
      <c r="J384" s="17" t="n">
        <f aca="false">AVERAGE(C185:C384)</f>
        <v>314.99395</v>
      </c>
      <c r="K384" s="17" t="n">
        <f aca="false">MAX(K383,C384)</f>
        <v>464.27</v>
      </c>
      <c r="L384" s="25" t="n">
        <f aca="false">C384/K384-1</f>
        <v>-0.118228616968574</v>
      </c>
      <c r="M384" s="25" t="n">
        <f aca="false">IF(COUNT(G355:G384)&lt;20,"",_xlfn.STDEV.S(G355:G384)*SQRT($R$3))</f>
        <v>0.939321630762348</v>
      </c>
      <c r="N384" s="25" t="n">
        <f aca="false">IF(A384-7&lt;$R$2,"",C384/INDEX(Clean_Data!$C$2:$C$4314,MATCH(A384-7,Clean_Data!$A$2:$A$4314,1))-1)</f>
        <v>-0.0480199055879822</v>
      </c>
      <c r="O384" s="25" t="n">
        <f aca="false">IF(A384-30&lt;$R$2,"",C384/INDEX(Clean_Data!$C$2:$C$4314,MATCH(A384-30,Clean_Data!$A$2:$A$4314,1))-1)</f>
        <v>-0.0565542035398231</v>
      </c>
    </row>
    <row r="385" customFormat="false" ht="15" hidden="false" customHeight="false" outlineLevel="0" collapsed="false">
      <c r="A385" s="16" t="n">
        <v>42391</v>
      </c>
      <c r="B385" s="23" t="n">
        <f aca="false">YEAR(A385)</f>
        <v>2016</v>
      </c>
      <c r="C385" s="17" t="n">
        <v>382.9</v>
      </c>
      <c r="D385" s="23" t="n">
        <f aca="false">A385-A384</f>
        <v>1</v>
      </c>
      <c r="E385" s="24" t="n">
        <f aca="false">LN(C385)</f>
        <v>5.94777385848325</v>
      </c>
      <c r="F385" s="25" t="n">
        <f aca="false">LN(C385/C384)</f>
        <v>-0.0668699615721385</v>
      </c>
      <c r="G385" s="25" t="n">
        <f aca="false">IF(AND(D385=1,A385&gt;=$R$2),F385,"")</f>
        <v>-0.0668699615721385</v>
      </c>
      <c r="H385" s="27" t="n">
        <f aca="false">IF(G385="","",G385^2)</f>
        <v>0.00447159176065928</v>
      </c>
      <c r="I385" s="25" t="n">
        <f aca="false">IF(G385="","",C385/C384-1)</f>
        <v>-0.0646831794420832</v>
      </c>
      <c r="J385" s="17" t="n">
        <f aca="false">AVERAGE(C186:C385)</f>
        <v>315.55875</v>
      </c>
      <c r="K385" s="17" t="n">
        <f aca="false">MAX(K384,C385)</f>
        <v>464.27</v>
      </c>
      <c r="L385" s="25" t="n">
        <f aca="false">C385/K385-1</f>
        <v>-0.17526439356409</v>
      </c>
      <c r="M385" s="25" t="n">
        <f aca="false">IF(COUNT(G356:G385)&lt;20,"",_xlfn.STDEV.S(G356:G385)*SQRT($R$3))</f>
        <v>0.962558327232402</v>
      </c>
      <c r="N385" s="25" t="n">
        <f aca="false">IF(A385-7&lt;$R$2,"",C385/INDEX(Clean_Data!$C$2:$C$4314,MATCH(A385-7,Clean_Data!$A$2:$A$4314,1))-1)</f>
        <v>0.0709590803568931</v>
      </c>
      <c r="O385" s="25" t="n">
        <f aca="false">IF(A385-30&lt;$R$2,"",C385/INDEX(Clean_Data!$C$2:$C$4314,MATCH(A385-30,Clean_Data!$A$2:$A$4314,1))-1)</f>
        <v>-0.134552358565197</v>
      </c>
    </row>
    <row r="386" customFormat="false" ht="15" hidden="false" customHeight="false" outlineLevel="0" collapsed="false">
      <c r="A386" s="16" t="n">
        <v>42392</v>
      </c>
      <c r="B386" s="23" t="n">
        <f aca="false">YEAR(A386)</f>
        <v>2016</v>
      </c>
      <c r="C386" s="17" t="n">
        <v>387.5</v>
      </c>
      <c r="D386" s="23" t="n">
        <f aca="false">A386-A385</f>
        <v>1</v>
      </c>
      <c r="E386" s="24" t="n">
        <f aca="false">LN(C386)</f>
        <v>5.9597158487934</v>
      </c>
      <c r="F386" s="25" t="n">
        <f aca="false">LN(C386/C385)</f>
        <v>0.0119419903101529</v>
      </c>
      <c r="G386" s="25" t="n">
        <f aca="false">IF(AND(D386=1,A386&gt;=$R$2),F386,"")</f>
        <v>0.0119419903101529</v>
      </c>
      <c r="H386" s="27" t="n">
        <f aca="false">IF(G386="","",G386^2)</f>
        <v>0.000142611132567786</v>
      </c>
      <c r="I386" s="25" t="n">
        <f aca="false">IF(G386="","",C386/C385-1)</f>
        <v>0.0120135805693393</v>
      </c>
      <c r="J386" s="17" t="n">
        <f aca="false">AVERAGE(C187:C386)</f>
        <v>316.16535</v>
      </c>
      <c r="K386" s="17" t="n">
        <f aca="false">MAX(K385,C386)</f>
        <v>464.27</v>
      </c>
      <c r="L386" s="25" t="n">
        <f aca="false">C386/K386-1</f>
        <v>-0.165356365907769</v>
      </c>
      <c r="M386" s="25" t="n">
        <f aca="false">IF(COUNT(G357:G386)&lt;20,"",_xlfn.STDEV.S(G357:G386)*SQRT($R$3))</f>
        <v>0.956545115903851</v>
      </c>
      <c r="N386" s="25" t="n">
        <f aca="false">IF(A386-7&lt;$R$2,"",C386/INDEX(Clean_Data!$C$2:$C$4314,MATCH(A386-7,Clean_Data!$A$2:$A$4314,1))-1)</f>
        <v>-0.0030872137895549</v>
      </c>
      <c r="O386" s="25" t="n">
        <f aca="false">IF(A386-30&lt;$R$2,"",C386/INDEX(Clean_Data!$C$2:$C$4314,MATCH(A386-30,Clean_Data!$A$2:$A$4314,1))-1)</f>
        <v>-0.149734497739939</v>
      </c>
    </row>
    <row r="387" customFormat="false" ht="15" hidden="false" customHeight="false" outlineLevel="0" collapsed="false">
      <c r="A387" s="16" t="n">
        <v>42393</v>
      </c>
      <c r="B387" s="23" t="n">
        <f aca="false">YEAR(A387)</f>
        <v>2016</v>
      </c>
      <c r="C387" s="17" t="n">
        <v>403.05</v>
      </c>
      <c r="D387" s="23" t="n">
        <f aca="false">A387-A386</f>
        <v>1</v>
      </c>
      <c r="E387" s="24" t="n">
        <f aca="false">LN(C387)</f>
        <v>5.99906062372961</v>
      </c>
      <c r="F387" s="25" t="n">
        <f aca="false">LN(C387/C386)</f>
        <v>0.0393447749362082</v>
      </c>
      <c r="G387" s="25" t="n">
        <f aca="false">IF(AND(D387=1,A387&gt;=$R$2),F387,"")</f>
        <v>0.0393447749362082</v>
      </c>
      <c r="H387" s="27" t="n">
        <f aca="false">IF(G387="","",G387^2)</f>
        <v>0.00154801131478088</v>
      </c>
      <c r="I387" s="25" t="n">
        <f aca="false">IF(G387="","",C387/C386-1)</f>
        <v>0.0401290322580645</v>
      </c>
      <c r="J387" s="17" t="n">
        <f aca="false">AVERAGE(C188:C387)</f>
        <v>316.82575</v>
      </c>
      <c r="K387" s="17" t="n">
        <f aca="false">MAX(K386,C387)</f>
        <v>464.27</v>
      </c>
      <c r="L387" s="25" t="n">
        <f aca="false">C387/K387-1</f>
        <v>-0.131862924591294</v>
      </c>
      <c r="M387" s="25" t="n">
        <f aca="false">IF(COUNT(G358:G387)&lt;20,"",_xlfn.STDEV.S(G358:G387)*SQRT($R$3))</f>
        <v>0.969094654599348</v>
      </c>
      <c r="N387" s="25" t="n">
        <f aca="false">IF(A387-7&lt;$R$2,"",C387/INDEX(Clean_Data!$C$2:$C$4314,MATCH(A387-7,Clean_Data!$A$2:$A$4314,1))-1)</f>
        <v>0.0649738413570788</v>
      </c>
      <c r="O387" s="25" t="n">
        <f aca="false">IF(A387-30&lt;$R$2,"",C387/INDEX(Clean_Data!$C$2:$C$4314,MATCH(A387-30,Clean_Data!$A$2:$A$4314,1))-1)</f>
        <v>-0.115808178308178</v>
      </c>
    </row>
    <row r="388" customFormat="false" ht="15" hidden="false" customHeight="false" outlineLevel="0" collapsed="false">
      <c r="A388" s="16" t="n">
        <v>42394</v>
      </c>
      <c r="B388" s="23" t="n">
        <f aca="false">YEAR(A388)</f>
        <v>2016</v>
      </c>
      <c r="C388" s="17" t="n">
        <v>391.4</v>
      </c>
      <c r="D388" s="23" t="n">
        <f aca="false">A388-A387</f>
        <v>1</v>
      </c>
      <c r="E388" s="24" t="n">
        <f aca="false">LN(C388)</f>
        <v>5.96973005496198</v>
      </c>
      <c r="F388" s="25" t="n">
        <f aca="false">LN(C388/C387)</f>
        <v>-0.0293305687676342</v>
      </c>
      <c r="G388" s="25" t="n">
        <f aca="false">IF(AND(D388=1,A388&gt;=$R$2),F388,"")</f>
        <v>-0.0293305687676342</v>
      </c>
      <c r="H388" s="27" t="n">
        <f aca="false">IF(G388="","",G388^2)</f>
        <v>0.000860282264232916</v>
      </c>
      <c r="I388" s="25" t="n">
        <f aca="false">IF(G388="","",C388/C387-1)</f>
        <v>-0.0289046024066494</v>
      </c>
      <c r="J388" s="17" t="n">
        <f aca="false">AVERAGE(C189:C388)</f>
        <v>317.434</v>
      </c>
      <c r="K388" s="17" t="n">
        <f aca="false">MAX(K387,C388)</f>
        <v>464.27</v>
      </c>
      <c r="L388" s="25" t="n">
        <f aca="false">C388/K388-1</f>
        <v>-0.156956081590454</v>
      </c>
      <c r="M388" s="25" t="n">
        <f aca="false">IF(COUNT(G359:G388)&lt;20,"",_xlfn.STDEV.S(G359:G388)*SQRT($R$3))</f>
        <v>0.931130492533395</v>
      </c>
      <c r="N388" s="25" t="n">
        <f aca="false">IF(A388-7&lt;$R$2,"",C388/INDEX(Clean_Data!$C$2:$C$4314,MATCH(A388-7,Clean_Data!$A$2:$A$4314,1))-1)</f>
        <v>0.0169139234586504</v>
      </c>
      <c r="O388" s="25" t="n">
        <f aca="false">IF(A388-30&lt;$R$2,"",C388/INDEX(Clean_Data!$C$2:$C$4314,MATCH(A388-30,Clean_Data!$A$2:$A$4314,1))-1)</f>
        <v>-0.0667842922200235</v>
      </c>
    </row>
    <row r="389" customFormat="false" ht="15" hidden="false" customHeight="false" outlineLevel="0" collapsed="false">
      <c r="A389" s="16" t="n">
        <v>42395</v>
      </c>
      <c r="B389" s="23" t="n">
        <f aca="false">YEAR(A389)</f>
        <v>2016</v>
      </c>
      <c r="C389" s="17" t="n">
        <v>391.54</v>
      </c>
      <c r="D389" s="23" t="n">
        <f aca="false">A389-A388</f>
        <v>1</v>
      </c>
      <c r="E389" s="24" t="n">
        <f aca="false">LN(C389)</f>
        <v>5.9700876813484</v>
      </c>
      <c r="F389" s="25" t="n">
        <f aca="false">LN(C389/C388)</f>
        <v>0.000357626386420757</v>
      </c>
      <c r="G389" s="25" t="n">
        <f aca="false">IF(AND(D389=1,A389&gt;=$R$2),F389,"")</f>
        <v>0.000357626386420757</v>
      </c>
      <c r="H389" s="27" t="n">
        <f aca="false">IF(G389="","",G389^2)</f>
        <v>1.27896632264369E-007</v>
      </c>
      <c r="I389" s="25" t="n">
        <f aca="false">IF(G389="","",C389/C388-1)</f>
        <v>0.000357690342360772</v>
      </c>
      <c r="J389" s="17" t="n">
        <f aca="false">AVERAGE(C190:C389)</f>
        <v>317.95835</v>
      </c>
      <c r="K389" s="17" t="n">
        <f aca="false">MAX(K388,C389)</f>
        <v>464.27</v>
      </c>
      <c r="L389" s="25" t="n">
        <f aca="false">C389/K389-1</f>
        <v>-0.156654532922653</v>
      </c>
      <c r="M389" s="25" t="n">
        <f aca="false">IF(COUNT(G360:G389)&lt;20,"",_xlfn.STDEV.S(G360:G389)*SQRT($R$3))</f>
        <v>0.929646051291965</v>
      </c>
      <c r="N389" s="25" t="n">
        <f aca="false">IF(A389-7&lt;$R$2,"",C389/INDEX(Clean_Data!$C$2:$C$4314,MATCH(A389-7,Clean_Data!$A$2:$A$4314,1))-1)</f>
        <v>0.0433554507421325</v>
      </c>
      <c r="O389" s="25" t="n">
        <f aca="false">IF(A389-30&lt;$R$2,"",C389/INDEX(Clean_Data!$C$2:$C$4314,MATCH(A389-30,Clean_Data!$A$2:$A$4314,1))-1)</f>
        <v>-0.0781220568845357</v>
      </c>
    </row>
    <row r="390" customFormat="false" ht="15" hidden="false" customHeight="false" outlineLevel="0" collapsed="false">
      <c r="A390" s="16" t="n">
        <v>42396</v>
      </c>
      <c r="B390" s="23" t="n">
        <f aca="false">YEAR(A390)</f>
        <v>2016</v>
      </c>
      <c r="C390" s="17" t="n">
        <v>394.79</v>
      </c>
      <c r="D390" s="23" t="n">
        <f aca="false">A390-A389</f>
        <v>1</v>
      </c>
      <c r="E390" s="24" t="n">
        <f aca="false">LN(C390)</f>
        <v>5.97835397795789</v>
      </c>
      <c r="F390" s="25" t="n">
        <f aca="false">LN(C390/C389)</f>
        <v>0.00826629660948982</v>
      </c>
      <c r="G390" s="25" t="n">
        <f aca="false">IF(AND(D390=1,A390&gt;=$R$2),F390,"")</f>
        <v>0.00826629660948982</v>
      </c>
      <c r="H390" s="27" t="n">
        <f aca="false">IF(G390="","",G390^2)</f>
        <v>6.83316596360629E-005</v>
      </c>
      <c r="I390" s="25" t="n">
        <f aca="false">IF(G390="","",C390/C389-1)</f>
        <v>0.00830055677580832</v>
      </c>
      <c r="J390" s="17" t="n">
        <f aca="false">AVERAGE(C191:C390)</f>
        <v>318.46115</v>
      </c>
      <c r="K390" s="17" t="n">
        <f aca="false">MAX(K389,C390)</f>
        <v>464.27</v>
      </c>
      <c r="L390" s="25" t="n">
        <f aca="false">C390/K390-1</f>
        <v>-0.149654295991557</v>
      </c>
      <c r="M390" s="25" t="n">
        <f aca="false">IF(COUNT(G361:G390)&lt;20,"",_xlfn.STDEV.S(G361:G390)*SQRT($R$3))</f>
        <v>0.930311310858498</v>
      </c>
      <c r="N390" s="25" t="n">
        <f aca="false">IF(A390-7&lt;$R$2,"",C390/INDEX(Clean_Data!$C$2:$C$4314,MATCH(A390-7,Clean_Data!$A$2:$A$4314,1))-1)</f>
        <v>-0.056744875041812</v>
      </c>
      <c r="O390" s="25" t="n">
        <f aca="false">IF(A390-30&lt;$R$2,"",C390/INDEX(Clean_Data!$C$2:$C$4314,MATCH(A390-30,Clean_Data!$A$2:$A$4314,1))-1)</f>
        <v>-0.0643456415604113</v>
      </c>
    </row>
    <row r="391" customFormat="false" ht="15" hidden="false" customHeight="false" outlineLevel="0" collapsed="false">
      <c r="A391" s="16" t="n">
        <v>42397</v>
      </c>
      <c r="B391" s="23" t="n">
        <f aca="false">YEAR(A391)</f>
        <v>2016</v>
      </c>
      <c r="C391" s="17" t="n">
        <v>379.61</v>
      </c>
      <c r="D391" s="23" t="n">
        <f aca="false">A391-A390</f>
        <v>1</v>
      </c>
      <c r="E391" s="24" t="n">
        <f aca="false">LN(C391)</f>
        <v>5.93914440990828</v>
      </c>
      <c r="F391" s="25" t="n">
        <f aca="false">LN(C391/C390)</f>
        <v>-0.0392095680496039</v>
      </c>
      <c r="G391" s="25" t="n">
        <f aca="false">IF(AND(D391=1,A391&gt;=$R$2),F391,"")</f>
        <v>-0.0392095680496039</v>
      </c>
      <c r="H391" s="27" t="n">
        <f aca="false">IF(G391="","",G391^2)</f>
        <v>0.00153739022663652</v>
      </c>
      <c r="I391" s="25" t="n">
        <f aca="false">IF(G391="","",C391/C390-1)</f>
        <v>-0.0384508219559766</v>
      </c>
      <c r="J391" s="17" t="n">
        <f aca="false">AVERAGE(C192:C391)</f>
        <v>318.7984</v>
      </c>
      <c r="K391" s="17" t="n">
        <f aca="false">MAX(K390,C391)</f>
        <v>464.27</v>
      </c>
      <c r="L391" s="25" t="n">
        <f aca="false">C391/K391-1</f>
        <v>-0.182350787257415</v>
      </c>
      <c r="M391" s="25" t="n">
        <f aca="false">IF(COUNT(G362:G391)&lt;20,"",_xlfn.STDEV.S(G362:G391)*SQRT($R$3))</f>
        <v>0.93240250650001</v>
      </c>
      <c r="N391" s="25" t="n">
        <f aca="false">IF(A391-7&lt;$R$2,"",C391/INDEX(Clean_Data!$C$2:$C$4314,MATCH(A391-7,Clean_Data!$A$2:$A$4314,1))-1)</f>
        <v>-0.0727197225072059</v>
      </c>
      <c r="O391" s="25" t="n">
        <f aca="false">IF(A391-30&lt;$R$2,"",C391/INDEX(Clean_Data!$C$2:$C$4314,MATCH(A391-30,Clean_Data!$A$2:$A$4314,1))-1)</f>
        <v>-0.125100832008113</v>
      </c>
    </row>
    <row r="392" customFormat="false" ht="15" hidden="false" customHeight="false" outlineLevel="0" collapsed="false">
      <c r="A392" s="16" t="n">
        <v>42398</v>
      </c>
      <c r="B392" s="23" t="n">
        <f aca="false">YEAR(A392)</f>
        <v>2016</v>
      </c>
      <c r="C392" s="17" t="n">
        <v>378.68</v>
      </c>
      <c r="D392" s="23" t="n">
        <f aca="false">A392-A391</f>
        <v>1</v>
      </c>
      <c r="E392" s="24" t="n">
        <f aca="false">LN(C392)</f>
        <v>5.93669152126069</v>
      </c>
      <c r="F392" s="25" t="n">
        <f aca="false">LN(C392/C391)</f>
        <v>-0.0024528886475921</v>
      </c>
      <c r="G392" s="25" t="n">
        <f aca="false">IF(AND(D392=1,A392&gt;=$R$2),F392,"")</f>
        <v>-0.0024528886475921</v>
      </c>
      <c r="H392" s="27" t="n">
        <f aca="false">IF(G392="","",G392^2)</f>
        <v>6.01666271748622E-006</v>
      </c>
      <c r="I392" s="25" t="n">
        <f aca="false">IF(G392="","",C392/C391-1)</f>
        <v>-0.00244988277442637</v>
      </c>
      <c r="J392" s="17" t="n">
        <f aca="false">AVERAGE(C193:C392)</f>
        <v>319.2264</v>
      </c>
      <c r="K392" s="17" t="n">
        <f aca="false">MAX(K391,C392)</f>
        <v>464.27</v>
      </c>
      <c r="L392" s="25" t="n">
        <f aca="false">C392/K392-1</f>
        <v>-0.184353931979236</v>
      </c>
      <c r="M392" s="25" t="n">
        <f aca="false">IF(COUNT(G363:G392)&lt;20,"",_xlfn.STDEV.S(G363:G392)*SQRT($R$3))</f>
        <v>0.931812985635291</v>
      </c>
      <c r="N392" s="25" t="n">
        <f aca="false">IF(A392-7&lt;$R$2,"",C392/INDEX(Clean_Data!$C$2:$C$4314,MATCH(A392-7,Clean_Data!$A$2:$A$4314,1))-1)</f>
        <v>-0.0110211543483938</v>
      </c>
      <c r="O392" s="25" t="n">
        <f aca="false">IF(A392-30&lt;$R$2,"",C392/INDEX(Clean_Data!$C$2:$C$4314,MATCH(A392-30,Clean_Data!$A$2:$A$4314,1))-1)</f>
        <v>-0.115130272228064</v>
      </c>
    </row>
    <row r="393" customFormat="false" ht="15" hidden="false" customHeight="false" outlineLevel="0" collapsed="false">
      <c r="A393" s="16" t="n">
        <v>42399</v>
      </c>
      <c r="B393" s="23" t="n">
        <f aca="false">YEAR(A393)</f>
        <v>2016</v>
      </c>
      <c r="C393" s="17" t="n">
        <v>378.46</v>
      </c>
      <c r="D393" s="23" t="n">
        <f aca="false">A393-A392</f>
        <v>1</v>
      </c>
      <c r="E393" s="24" t="n">
        <f aca="false">LN(C393)</f>
        <v>5.9361103869759</v>
      </c>
      <c r="F393" s="25" t="n">
        <f aca="false">LN(C393/C392)</f>
        <v>-0.000581134284786203</v>
      </c>
      <c r="G393" s="25" t="n">
        <f aca="false">IF(AND(D393=1,A393&gt;=$R$2),F393,"")</f>
        <v>-0.000581134284786203</v>
      </c>
      <c r="H393" s="27" t="n">
        <f aca="false">IF(G393="","",G393^2)</f>
        <v>3.37717056953972E-007</v>
      </c>
      <c r="I393" s="25" t="n">
        <f aca="false">IF(G393="","",C393/C392-1)</f>
        <v>-0.000580965458962801</v>
      </c>
      <c r="J393" s="17" t="n">
        <f aca="false">AVERAGE(C194:C393)</f>
        <v>319.68115</v>
      </c>
      <c r="K393" s="17" t="n">
        <f aca="false">MAX(K392,C393)</f>
        <v>464.27</v>
      </c>
      <c r="L393" s="25" t="n">
        <f aca="false">C393/K393-1</f>
        <v>-0.184827794171495</v>
      </c>
      <c r="M393" s="25" t="n">
        <f aca="false">IF(COUNT(G364:G393)&lt;20,"",_xlfn.STDEV.S(G364:G393)*SQRT($R$3))</f>
        <v>0.931255308683433</v>
      </c>
      <c r="N393" s="25" t="n">
        <f aca="false">IF(A393-7&lt;$R$2,"",C393/INDEX(Clean_Data!$C$2:$C$4314,MATCH(A393-7,Clean_Data!$A$2:$A$4314,1))-1)</f>
        <v>-0.0233290322580646</v>
      </c>
      <c r="O393" s="25" t="n">
        <f aca="false">IF(A393-30&lt;$R$2,"",C393/INDEX(Clean_Data!$C$2:$C$4314,MATCH(A393-30,Clean_Data!$A$2:$A$4314,1))-1)</f>
        <v>-0.120576275124898</v>
      </c>
    </row>
    <row r="394" customFormat="false" ht="15" hidden="false" customHeight="false" outlineLevel="0" collapsed="false">
      <c r="A394" s="16" t="n">
        <v>42400</v>
      </c>
      <c r="B394" s="23" t="n">
        <f aca="false">YEAR(A394)</f>
        <v>2016</v>
      </c>
      <c r="C394" s="17" t="n">
        <v>367.95</v>
      </c>
      <c r="D394" s="23" t="n">
        <f aca="false">A394-A393</f>
        <v>1</v>
      </c>
      <c r="E394" s="24" t="n">
        <f aca="false">LN(C394)</f>
        <v>5.90794705937261</v>
      </c>
      <c r="F394" s="25" t="n">
        <f aca="false">LN(C394/C393)</f>
        <v>-0.0281633276032963</v>
      </c>
      <c r="G394" s="25" t="n">
        <f aca="false">IF(AND(D394=1,A394&gt;=$R$2),F394,"")</f>
        <v>-0.0281633276032963</v>
      </c>
      <c r="H394" s="27" t="n">
        <f aca="false">IF(G394="","",G394^2)</f>
        <v>0.000793173021690592</v>
      </c>
      <c r="I394" s="25" t="n">
        <f aca="false">IF(G394="","",C394/C393-1)</f>
        <v>-0.0277704380912117</v>
      </c>
      <c r="J394" s="17" t="n">
        <f aca="false">AVERAGE(C195:C394)</f>
        <v>320.0924</v>
      </c>
      <c r="K394" s="17" t="n">
        <f aca="false">MAX(K393,C394)</f>
        <v>464.27</v>
      </c>
      <c r="L394" s="25" t="n">
        <f aca="false">C394/K394-1</f>
        <v>-0.207465483447132</v>
      </c>
      <c r="M394" s="25" t="n">
        <f aca="false">IF(COUNT(G365:G394)&lt;20,"",_xlfn.STDEV.S(G365:G394)*SQRT($R$3))</f>
        <v>0.932889345709915</v>
      </c>
      <c r="N394" s="25" t="n">
        <f aca="false">IF(A394-7&lt;$R$2,"",C394/INDEX(Clean_Data!$C$2:$C$4314,MATCH(A394-7,Clean_Data!$A$2:$A$4314,1))-1)</f>
        <v>-0.0870859694826945</v>
      </c>
      <c r="O394" s="25" t="n">
        <f aca="false">IF(A394-30&lt;$R$2,"",C394/INDEX(Clean_Data!$C$2:$C$4314,MATCH(A394-30,Clean_Data!$A$2:$A$4314,1))-1)</f>
        <v>-0.155419363724005</v>
      </c>
    </row>
    <row r="395" customFormat="false" ht="15" hidden="false" customHeight="false" outlineLevel="0" collapsed="false">
      <c r="A395" s="16" t="n">
        <v>42401</v>
      </c>
      <c r="B395" s="23" t="n">
        <f aca="false">YEAR(A395)</f>
        <v>2016</v>
      </c>
      <c r="C395" s="17" t="n">
        <v>371.33</v>
      </c>
      <c r="D395" s="23" t="n">
        <f aca="false">A395-A394</f>
        <v>1</v>
      </c>
      <c r="E395" s="24" t="n">
        <f aca="false">LN(C395)</f>
        <v>5.91709115511815</v>
      </c>
      <c r="F395" s="25" t="n">
        <f aca="false">LN(C395/C394)</f>
        <v>0.00914409574553892</v>
      </c>
      <c r="G395" s="25" t="n">
        <f aca="false">IF(AND(D395=1,A395&gt;=$R$2),F395,"")</f>
        <v>0.00914409574553892</v>
      </c>
      <c r="H395" s="27" t="n">
        <f aca="false">IF(G395="","",G395^2)</f>
        <v>8.36144870035829E-005</v>
      </c>
      <c r="I395" s="25" t="n">
        <f aca="false">IF(G395="","",C395/C394-1)</f>
        <v>0.00918603071069435</v>
      </c>
      <c r="J395" s="17" t="n">
        <f aca="false">AVERAGE(C196:C395)</f>
        <v>320.55215</v>
      </c>
      <c r="K395" s="17" t="n">
        <f aca="false">MAX(K394,C395)</f>
        <v>464.27</v>
      </c>
      <c r="L395" s="25" t="n">
        <f aca="false">C395/K395-1</f>
        <v>-0.200185237038792</v>
      </c>
      <c r="M395" s="25" t="n">
        <f aca="false">IF(COUNT(G366:G395)&lt;20,"",_xlfn.STDEV.S(G366:G395)*SQRT($R$3))</f>
        <v>0.934168753399802</v>
      </c>
      <c r="N395" s="25" t="n">
        <f aca="false">IF(A395-7&lt;$R$2,"",C395/INDEX(Clean_Data!$C$2:$C$4314,MATCH(A395-7,Clean_Data!$A$2:$A$4314,1))-1)</f>
        <v>-0.0512774655084313</v>
      </c>
      <c r="O395" s="25" t="n">
        <f aca="false">IF(A395-30&lt;$R$2,"",C395/INDEX(Clean_Data!$C$2:$C$4314,MATCH(A395-30,Clean_Data!$A$2:$A$4314,1))-1)</f>
        <v>-0.147152044097382</v>
      </c>
    </row>
    <row r="396" customFormat="false" ht="15" hidden="false" customHeight="false" outlineLevel="0" collapsed="false">
      <c r="A396" s="16" t="n">
        <v>42402</v>
      </c>
      <c r="B396" s="23" t="n">
        <f aca="false">YEAR(A396)</f>
        <v>2016</v>
      </c>
      <c r="C396" s="17" t="n">
        <v>372.93</v>
      </c>
      <c r="D396" s="23" t="n">
        <f aca="false">A396-A395</f>
        <v>1</v>
      </c>
      <c r="E396" s="24" t="n">
        <f aca="false">LN(C396)</f>
        <v>5.92139073447173</v>
      </c>
      <c r="F396" s="25" t="n">
        <f aca="false">LN(C396/C395)</f>
        <v>0.00429957935358685</v>
      </c>
      <c r="G396" s="25" t="n">
        <f aca="false">IF(AND(D396=1,A396&gt;=$R$2),F396,"")</f>
        <v>0.00429957935358685</v>
      </c>
      <c r="H396" s="27" t="n">
        <f aca="false">IF(G396="","",G396^2)</f>
        <v>1.84863826177903E-005</v>
      </c>
      <c r="I396" s="25" t="n">
        <f aca="false">IF(G396="","",C396/C395-1)</f>
        <v>0.0043088358064256</v>
      </c>
      <c r="J396" s="17" t="n">
        <f aca="false">AVERAGE(C197:C396)</f>
        <v>321.0139</v>
      </c>
      <c r="K396" s="17" t="n">
        <f aca="false">MAX(K395,C396)</f>
        <v>464.27</v>
      </c>
      <c r="L396" s="25" t="n">
        <f aca="false">C396/K396-1</f>
        <v>-0.196738966549637</v>
      </c>
      <c r="M396" s="25" t="n">
        <f aca="false">IF(COUNT(G367:G396)&lt;20,"",_xlfn.STDEV.S(G367:G396)*SQRT($R$3))</f>
        <v>0.934705249452609</v>
      </c>
      <c r="N396" s="25" t="n">
        <f aca="false">IF(A396-7&lt;$R$2,"",C396/INDEX(Clean_Data!$C$2:$C$4314,MATCH(A396-7,Clean_Data!$A$2:$A$4314,1))-1)</f>
        <v>-0.0475302651070134</v>
      </c>
      <c r="O396" s="25" t="n">
        <f aca="false">IF(A396-30&lt;$R$2,"",C396/INDEX(Clean_Data!$C$2:$C$4314,MATCH(A396-30,Clean_Data!$A$2:$A$4314,1))-1)</f>
        <v>-0.136556226991734</v>
      </c>
    </row>
    <row r="397" customFormat="false" ht="15" hidden="false" customHeight="false" outlineLevel="0" collapsed="false">
      <c r="A397" s="16" t="n">
        <v>42403</v>
      </c>
      <c r="B397" s="23" t="n">
        <f aca="false">YEAR(A397)</f>
        <v>2016</v>
      </c>
      <c r="C397" s="17" t="n">
        <v>368.87</v>
      </c>
      <c r="D397" s="23" t="n">
        <f aca="false">A397-A396</f>
        <v>1</v>
      </c>
      <c r="E397" s="24" t="n">
        <f aca="false">LN(C397)</f>
        <v>5.91044427844403</v>
      </c>
      <c r="F397" s="25" t="n">
        <f aca="false">LN(C397/C396)</f>
        <v>-0.0109464560277075</v>
      </c>
      <c r="G397" s="25" t="n">
        <f aca="false">IF(AND(D397=1,A397&gt;=$R$2),F397,"")</f>
        <v>-0.0109464560277075</v>
      </c>
      <c r="H397" s="27" t="n">
        <f aca="false">IF(G397="","",G397^2)</f>
        <v>0.000119824899566535</v>
      </c>
      <c r="I397" s="25" t="n">
        <f aca="false">IF(G397="","",C397/C396-1)</f>
        <v>-0.0108867615906471</v>
      </c>
      <c r="J397" s="17" t="n">
        <f aca="false">AVERAGE(C198:C397)</f>
        <v>321.4697</v>
      </c>
      <c r="K397" s="17" t="n">
        <f aca="false">MAX(K396,C397)</f>
        <v>464.27</v>
      </c>
      <c r="L397" s="25" t="n">
        <f aca="false">C397/K397-1</f>
        <v>-0.205483877915868</v>
      </c>
      <c r="M397" s="25" t="n">
        <f aca="false">IF(COUNT(G368:G397)&lt;20,"",_xlfn.STDEV.S(G368:G397)*SQRT($R$3))</f>
        <v>0.93430651449118</v>
      </c>
      <c r="N397" s="25" t="n">
        <f aca="false">IF(A397-7&lt;$R$2,"",C397/INDEX(Clean_Data!$C$2:$C$4314,MATCH(A397-7,Clean_Data!$A$2:$A$4314,1))-1)</f>
        <v>-0.0656551584386637</v>
      </c>
      <c r="O397" s="25" t="n">
        <f aca="false">IF(A397-30&lt;$R$2,"",C397/INDEX(Clean_Data!$C$2:$C$4314,MATCH(A397-30,Clean_Data!$A$2:$A$4314,1))-1)</f>
        <v>-0.149775267949752</v>
      </c>
    </row>
    <row r="398" customFormat="false" ht="15" hidden="false" customHeight="false" outlineLevel="0" collapsed="false">
      <c r="A398" s="16" t="n">
        <v>42404</v>
      </c>
      <c r="B398" s="23" t="n">
        <f aca="false">YEAR(A398)</f>
        <v>2016</v>
      </c>
      <c r="C398" s="17" t="n">
        <v>387.99</v>
      </c>
      <c r="D398" s="23" t="n">
        <f aca="false">A398-A397</f>
        <v>1</v>
      </c>
      <c r="E398" s="24" t="n">
        <f aca="false">LN(C398)</f>
        <v>5.96097956609526</v>
      </c>
      <c r="F398" s="25" t="n">
        <f aca="false">LN(C398/C397)</f>
        <v>0.0505352876512364</v>
      </c>
      <c r="G398" s="25" t="n">
        <f aca="false">IF(AND(D398=1,A398&gt;=$R$2),F398,"")</f>
        <v>0.0505352876512364</v>
      </c>
      <c r="H398" s="27" t="n">
        <f aca="false">IF(G398="","",G398^2)</f>
        <v>0.0025538152979932</v>
      </c>
      <c r="I398" s="25" t="n">
        <f aca="false">IF(G398="","",C398/C397-1)</f>
        <v>0.051833979450755</v>
      </c>
      <c r="J398" s="17" t="n">
        <f aca="false">AVERAGE(C199:C398)</f>
        <v>322.0316</v>
      </c>
      <c r="K398" s="17" t="n">
        <f aca="false">MAX(K397,C398)</f>
        <v>464.27</v>
      </c>
      <c r="L398" s="25" t="n">
        <f aca="false">C398/K398-1</f>
        <v>-0.164300945570465</v>
      </c>
      <c r="M398" s="25" t="n">
        <f aca="false">IF(COUNT(G369:G398)&lt;20,"",_xlfn.STDEV.S(G369:G398)*SQRT($R$3))</f>
        <v>0.954448771765829</v>
      </c>
      <c r="N398" s="25" t="n">
        <f aca="false">IF(A398-7&lt;$R$2,"",C398/INDEX(Clean_Data!$C$2:$C$4314,MATCH(A398-7,Clean_Data!$A$2:$A$4314,1))-1)</f>
        <v>0.0220752877953689</v>
      </c>
      <c r="O398" s="25" t="n">
        <f aca="false">IF(A398-30&lt;$R$2,"",C398/INDEX(Clean_Data!$C$2:$C$4314,MATCH(A398-30,Clean_Data!$A$2:$A$4314,1))-1)</f>
        <v>-0.104652236119444</v>
      </c>
    </row>
    <row r="399" customFormat="false" ht="15" hidden="false" customHeight="false" outlineLevel="0" collapsed="false">
      <c r="A399" s="16" t="n">
        <v>42405</v>
      </c>
      <c r="B399" s="23" t="n">
        <f aca="false">YEAR(A399)</f>
        <v>2016</v>
      </c>
      <c r="C399" s="17" t="n">
        <v>384.5</v>
      </c>
      <c r="D399" s="23" t="n">
        <f aca="false">A399-A398</f>
        <v>1</v>
      </c>
      <c r="E399" s="24" t="n">
        <f aca="false">LN(C399)</f>
        <v>5.9519437889457</v>
      </c>
      <c r="F399" s="25" t="n">
        <f aca="false">LN(C399/C398)</f>
        <v>-0.00903577714956401</v>
      </c>
      <c r="G399" s="25" t="n">
        <f aca="false">IF(AND(D399=1,A399&gt;=$R$2),F399,"")</f>
        <v>-0.00903577714956401</v>
      </c>
      <c r="H399" s="27" t="n">
        <f aca="false">IF(G399="","",G399^2)</f>
        <v>8.16452686965832E-005</v>
      </c>
      <c r="I399" s="25" t="n">
        <f aca="false">IF(G399="","",C399/C398-1)</f>
        <v>-0.0089950771927112</v>
      </c>
      <c r="J399" s="17" t="n">
        <f aca="false">AVERAGE(C200:C399)</f>
        <v>322.5541</v>
      </c>
      <c r="K399" s="17" t="n">
        <f aca="false">MAX(K398,C399)</f>
        <v>464.27</v>
      </c>
      <c r="L399" s="25" t="n">
        <f aca="false">C399/K399-1</f>
        <v>-0.171818123074935</v>
      </c>
      <c r="M399" s="25" t="n">
        <f aca="false">IF(COUNT(G370:G399)&lt;20,"",_xlfn.STDEV.S(G370:G399)*SQRT($R$3))</f>
        <v>0.954607918825692</v>
      </c>
      <c r="N399" s="25" t="n">
        <f aca="false">IF(A399-7&lt;$R$2,"",C399/INDEX(Clean_Data!$C$2:$C$4314,MATCH(A399-7,Clean_Data!$A$2:$A$4314,1))-1)</f>
        <v>0.01536917714165</v>
      </c>
      <c r="O399" s="25" t="n">
        <f aca="false">IF(A399-30&lt;$R$2,"",C399/INDEX(Clean_Data!$C$2:$C$4314,MATCH(A399-30,Clean_Data!$A$2:$A$4314,1))-1)</f>
        <v>-0.107619467588832</v>
      </c>
    </row>
    <row r="400" customFormat="false" ht="15" hidden="false" customHeight="false" outlineLevel="0" collapsed="false">
      <c r="A400" s="16" t="n">
        <v>42406</v>
      </c>
      <c r="B400" s="23" t="n">
        <f aca="false">YEAR(A400)</f>
        <v>2016</v>
      </c>
      <c r="C400" s="17" t="n">
        <v>375.44</v>
      </c>
      <c r="D400" s="23" t="n">
        <f aca="false">A400-A399</f>
        <v>1</v>
      </c>
      <c r="E400" s="24" t="n">
        <f aca="false">LN(C400)</f>
        <v>5.92809867148616</v>
      </c>
      <c r="F400" s="25" t="n">
        <f aca="false">LN(C400/C399)</f>
        <v>-0.0238451174595364</v>
      </c>
      <c r="G400" s="25" t="n">
        <f aca="false">IF(AND(D400=1,A400&gt;=$R$2),F400,"")</f>
        <v>-0.0238451174595364</v>
      </c>
      <c r="H400" s="27" t="n">
        <f aca="false">IF(G400="","",G400^2)</f>
        <v>0.000568589626659088</v>
      </c>
      <c r="I400" s="25" t="n">
        <f aca="false">IF(G400="","",C400/C399-1)</f>
        <v>-0.0235630689206762</v>
      </c>
      <c r="J400" s="17" t="n">
        <f aca="false">AVERAGE(C201:C400)</f>
        <v>323.0447</v>
      </c>
      <c r="K400" s="17" t="n">
        <f aca="false">MAX(K399,C400)</f>
        <v>464.27</v>
      </c>
      <c r="L400" s="25" t="n">
        <f aca="false">C400/K400-1</f>
        <v>-0.191332629719775</v>
      </c>
      <c r="M400" s="25" t="n">
        <f aca="false">IF(COUNT(G371:G400)&lt;20,"",_xlfn.STDEV.S(G371:G400)*SQRT($R$3))</f>
        <v>0.92537527555068</v>
      </c>
      <c r="N400" s="25" t="n">
        <f aca="false">IF(A400-7&lt;$R$2,"",C400/INDEX(Clean_Data!$C$2:$C$4314,MATCH(A400-7,Clean_Data!$A$2:$A$4314,1))-1)</f>
        <v>-0.00797970723458219</v>
      </c>
      <c r="O400" s="25" t="n">
        <f aca="false">IF(A400-30&lt;$R$2,"",C400/INDEX(Clean_Data!$C$2:$C$4314,MATCH(A400-30,Clean_Data!$A$2:$A$4314,1))-1)</f>
        <v>-0.182172653407977</v>
      </c>
    </row>
    <row r="401" customFormat="false" ht="15" hidden="false" customHeight="false" outlineLevel="0" collapsed="false">
      <c r="A401" s="16" t="n">
        <v>42407</v>
      </c>
      <c r="B401" s="23" t="n">
        <f aca="false">YEAR(A401)</f>
        <v>2016</v>
      </c>
      <c r="C401" s="17" t="n">
        <v>377.49</v>
      </c>
      <c r="D401" s="23" t="n">
        <f aca="false">A401-A400</f>
        <v>1</v>
      </c>
      <c r="E401" s="24" t="n">
        <f aca="false">LN(C401)</f>
        <v>5.93354407827199</v>
      </c>
      <c r="F401" s="25" t="n">
        <f aca="false">LN(C401/C400)</f>
        <v>0.00544540678582413</v>
      </c>
      <c r="G401" s="25" t="n">
        <f aca="false">IF(AND(D401=1,A401&gt;=$R$2),F401,"")</f>
        <v>0.00544540678582413</v>
      </c>
      <c r="H401" s="27" t="n">
        <f aca="false">IF(G401="","",G401^2)</f>
        <v>2.96524550630995E-005</v>
      </c>
      <c r="I401" s="25" t="n">
        <f aca="false">IF(G401="","",C401/C400-1)</f>
        <v>0.00546025996164512</v>
      </c>
      <c r="J401" s="17" t="n">
        <f aca="false">AVERAGE(C202:C401)</f>
        <v>323.5427</v>
      </c>
      <c r="K401" s="17" t="n">
        <f aca="false">MAX(K400,C401)</f>
        <v>464.27</v>
      </c>
      <c r="L401" s="25" t="n">
        <f aca="false">C401/K401-1</f>
        <v>-0.186917095655545</v>
      </c>
      <c r="M401" s="25" t="n">
        <f aca="false">IF(COUNT(G372:G401)&lt;20,"",_xlfn.STDEV.S(G372:G401)*SQRT($R$3))</f>
        <v>0.926243398174088</v>
      </c>
      <c r="N401" s="25" t="n">
        <f aca="false">IF(A401-7&lt;$R$2,"",C401/INDEX(Clean_Data!$C$2:$C$4314,MATCH(A401-7,Clean_Data!$A$2:$A$4314,1))-1)</f>
        <v>0.0259274357929067</v>
      </c>
      <c r="O401" s="25" t="n">
        <f aca="false">IF(A401-30&lt;$R$2,"",C401/INDEX(Clean_Data!$C$2:$C$4314,MATCH(A401-30,Clean_Data!$A$2:$A$4314,1))-1)</f>
        <v>-0.169329284393979</v>
      </c>
    </row>
    <row r="402" customFormat="false" ht="15" hidden="false" customHeight="false" outlineLevel="0" collapsed="false">
      <c r="A402" s="16" t="n">
        <v>42408</v>
      </c>
      <c r="B402" s="23" t="n">
        <f aca="false">YEAR(A402)</f>
        <v>2016</v>
      </c>
      <c r="C402" s="17" t="n">
        <v>371.14</v>
      </c>
      <c r="D402" s="23" t="n">
        <f aca="false">A402-A401</f>
        <v>1</v>
      </c>
      <c r="E402" s="24" t="n">
        <f aca="false">LN(C402)</f>
        <v>5.91657934991619</v>
      </c>
      <c r="F402" s="25" t="n">
        <f aca="false">LN(C402/C401)</f>
        <v>-0.0169647283557935</v>
      </c>
      <c r="G402" s="25" t="n">
        <f aca="false">IF(AND(D402=1,A402&gt;=$R$2),F402,"")</f>
        <v>-0.0169647283557935</v>
      </c>
      <c r="H402" s="27" t="n">
        <f aca="false">IF(G402="","",G402^2)</f>
        <v>0.000287802008185864</v>
      </c>
      <c r="I402" s="25" t="n">
        <f aca="false">IF(G402="","",C402/C401-1)</f>
        <v>-0.0168216376592758</v>
      </c>
      <c r="J402" s="17" t="n">
        <f aca="false">AVERAGE(C203:C402)</f>
        <v>324.01145</v>
      </c>
      <c r="K402" s="17" t="n">
        <f aca="false">MAX(K401,C402)</f>
        <v>464.27</v>
      </c>
      <c r="L402" s="25" t="n">
        <f aca="false">C402/K402-1</f>
        <v>-0.200594481659379</v>
      </c>
      <c r="M402" s="25" t="n">
        <f aca="false">IF(COUNT(G373:G402)&lt;20,"",_xlfn.STDEV.S(G373:G402)*SQRT($R$3))</f>
        <v>0.926965407350421</v>
      </c>
      <c r="N402" s="25" t="n">
        <f aca="false">IF(A402-7&lt;$R$2,"",C402/INDEX(Clean_Data!$C$2:$C$4314,MATCH(A402-7,Clean_Data!$A$2:$A$4314,1))-1)</f>
        <v>-0.000511674252013039</v>
      </c>
      <c r="O402" s="25" t="n">
        <f aca="false">IF(A402-30&lt;$R$2,"",C402/INDEX(Clean_Data!$C$2:$C$4314,MATCH(A402-30,Clean_Data!$A$2:$A$4314,1))-1)</f>
        <v>-0.175940317065589</v>
      </c>
    </row>
    <row r="403" customFormat="false" ht="15" hidden="false" customHeight="false" outlineLevel="0" collapsed="false">
      <c r="A403" s="16" t="n">
        <v>42409</v>
      </c>
      <c r="B403" s="23" t="n">
        <f aca="false">YEAR(A403)</f>
        <v>2016</v>
      </c>
      <c r="C403" s="17" t="n">
        <v>372.68</v>
      </c>
      <c r="D403" s="23" t="n">
        <f aca="false">A403-A402</f>
        <v>1</v>
      </c>
      <c r="E403" s="24" t="n">
        <f aca="false">LN(C403)</f>
        <v>5.92072014258222</v>
      </c>
      <c r="F403" s="25" t="n">
        <f aca="false">LN(C403/C402)</f>
        <v>0.00414079266603139</v>
      </c>
      <c r="G403" s="25" t="n">
        <f aca="false">IF(AND(D403=1,A403&gt;=$R$2),F403,"")</f>
        <v>0.00414079266603139</v>
      </c>
      <c r="H403" s="27" t="n">
        <f aca="false">IF(G403="","",G403^2)</f>
        <v>1.71461639030593E-005</v>
      </c>
      <c r="I403" s="25" t="n">
        <f aca="false">IF(G403="","",C403/C402-1)</f>
        <v>0.00414937759336098</v>
      </c>
      <c r="J403" s="17" t="n">
        <f aca="false">AVERAGE(C204:C403)</f>
        <v>324.42925</v>
      </c>
      <c r="K403" s="17" t="n">
        <f aca="false">MAX(K402,C403)</f>
        <v>464.27</v>
      </c>
      <c r="L403" s="25" t="n">
        <f aca="false">C403/K403-1</f>
        <v>-0.197277446313567</v>
      </c>
      <c r="M403" s="25" t="n">
        <f aca="false">IF(COUNT(G374:G403)&lt;20,"",_xlfn.STDEV.S(G374:G403)*SQRT($R$3))</f>
        <v>0.927509419249141</v>
      </c>
      <c r="N403" s="25" t="n">
        <f aca="false">IF(A403-7&lt;$R$2,"",C403/INDEX(Clean_Data!$C$2:$C$4314,MATCH(A403-7,Clean_Data!$A$2:$A$4314,1))-1)</f>
        <v>-0.000670367093020152</v>
      </c>
      <c r="O403" s="25" t="n">
        <f aca="false">IF(A403-30&lt;$R$2,"",C403/INDEX(Clean_Data!$C$2:$C$4314,MATCH(A403-30,Clean_Data!$A$2:$A$4314,1))-1)</f>
        <v>-0.171803817862619</v>
      </c>
    </row>
    <row r="404" customFormat="false" ht="15" hidden="false" customHeight="false" outlineLevel="0" collapsed="false">
      <c r="A404" s="16" t="n">
        <v>42410</v>
      </c>
      <c r="B404" s="23" t="n">
        <f aca="false">YEAR(A404)</f>
        <v>2016</v>
      </c>
      <c r="C404" s="17" t="n">
        <v>378.44</v>
      </c>
      <c r="D404" s="23" t="n">
        <f aca="false">A404-A403</f>
        <v>1</v>
      </c>
      <c r="E404" s="24" t="n">
        <f aca="false">LN(C404)</f>
        <v>5.93605753983624</v>
      </c>
      <c r="F404" s="25" t="n">
        <f aca="false">LN(C404/C403)</f>
        <v>0.0153373972540193</v>
      </c>
      <c r="G404" s="25" t="n">
        <f aca="false">IF(AND(D404=1,A404&gt;=$R$2),F404,"")</f>
        <v>0.0153373972540193</v>
      </c>
      <c r="H404" s="27" t="n">
        <f aca="false">IF(G404="","",G404^2)</f>
        <v>0.000235235754527599</v>
      </c>
      <c r="I404" s="25" t="n">
        <f aca="false">IF(G404="","",C404/C403-1)</f>
        <v>0.0154556187614039</v>
      </c>
      <c r="J404" s="17" t="n">
        <f aca="false">AVERAGE(C205:C404)</f>
        <v>324.87295</v>
      </c>
      <c r="K404" s="17" t="n">
        <f aca="false">MAX(K403,C404)</f>
        <v>464.27</v>
      </c>
      <c r="L404" s="25" t="n">
        <f aca="false">C404/K404-1</f>
        <v>-0.184870872552609</v>
      </c>
      <c r="M404" s="25" t="n">
        <f aca="false">IF(COUNT(G375:G404)&lt;20,"",_xlfn.STDEV.S(G375:G404)*SQRT($R$3))</f>
        <v>0.930472492972008</v>
      </c>
      <c r="N404" s="25" t="n">
        <f aca="false">IF(A404-7&lt;$R$2,"",C404/INDEX(Clean_Data!$C$2:$C$4314,MATCH(A404-7,Clean_Data!$A$2:$A$4314,1))-1)</f>
        <v>0.025944099547266</v>
      </c>
      <c r="O404" s="25" t="n">
        <f aca="false">IF(A404-30&lt;$R$2,"",C404/INDEX(Clean_Data!$C$2:$C$4314,MATCH(A404-30,Clean_Data!$A$2:$A$4314,1))-1)</f>
        <v>-0.157505732540796</v>
      </c>
    </row>
    <row r="405" customFormat="false" ht="15" hidden="false" customHeight="false" outlineLevel="0" collapsed="false">
      <c r="A405" s="16" t="n">
        <v>42411</v>
      </c>
      <c r="B405" s="23" t="n">
        <f aca="false">YEAR(A405)</f>
        <v>2016</v>
      </c>
      <c r="C405" s="17" t="n">
        <v>378.23</v>
      </c>
      <c r="D405" s="23" t="n">
        <f aca="false">A405-A404</f>
        <v>1</v>
      </c>
      <c r="E405" s="24" t="n">
        <f aca="false">LN(C405)</f>
        <v>5.93550247618791</v>
      </c>
      <c r="F405" s="25" t="n">
        <f aca="false">LN(C405/C404)</f>
        <v>-0.000555063648331863</v>
      </c>
      <c r="G405" s="25" t="n">
        <f aca="false">IF(AND(D405=1,A405&gt;=$R$2),F405,"")</f>
        <v>-0.000555063648331863</v>
      </c>
      <c r="H405" s="27" t="n">
        <f aca="false">IF(G405="","",G405^2)</f>
        <v>3.08095653699479E-007</v>
      </c>
      <c r="I405" s="25" t="n">
        <f aca="false">IF(G405="","",C405/C404-1)</f>
        <v>-0.000554909629003175</v>
      </c>
      <c r="J405" s="17" t="n">
        <f aca="false">AVERAGE(C206:C405)</f>
        <v>325.29465</v>
      </c>
      <c r="K405" s="17" t="n">
        <f aca="false">MAX(K404,C405)</f>
        <v>464.27</v>
      </c>
      <c r="L405" s="25" t="n">
        <f aca="false">C405/K405-1</f>
        <v>-0.185323195554311</v>
      </c>
      <c r="M405" s="25" t="n">
        <f aca="false">IF(COUNT(G376:G405)&lt;20,"",_xlfn.STDEV.S(G376:G405)*SQRT($R$3))</f>
        <v>0.924819853174019</v>
      </c>
      <c r="N405" s="25" t="n">
        <f aca="false">IF(A405-7&lt;$R$2,"",C405/INDEX(Clean_Data!$C$2:$C$4314,MATCH(A405-7,Clean_Data!$A$2:$A$4314,1))-1)</f>
        <v>-0.0251552875074099</v>
      </c>
      <c r="O405" s="25" t="n">
        <f aca="false">IF(A405-30&lt;$R$2,"",C405/INDEX(Clean_Data!$C$2:$C$4314,MATCH(A405-30,Clean_Data!$A$2:$A$4314,1))-1)</f>
        <v>-0.12852238427686</v>
      </c>
    </row>
    <row r="406" customFormat="false" ht="15" hidden="false" customHeight="false" outlineLevel="0" collapsed="false">
      <c r="A406" s="16" t="n">
        <v>42412</v>
      </c>
      <c r="B406" s="23" t="n">
        <f aca="false">YEAR(A406)</f>
        <v>2016</v>
      </c>
      <c r="C406" s="17" t="n">
        <v>382.05</v>
      </c>
      <c r="D406" s="23" t="n">
        <f aca="false">A406-A405</f>
        <v>1</v>
      </c>
      <c r="E406" s="24" t="n">
        <f aca="false">LN(C406)</f>
        <v>5.94555149009358</v>
      </c>
      <c r="F406" s="25" t="n">
        <f aca="false">LN(C406/C405)</f>
        <v>0.0100490139056641</v>
      </c>
      <c r="G406" s="25" t="n">
        <f aca="false">IF(AND(D406=1,A406&gt;=$R$2),F406,"")</f>
        <v>0.0100490139056641</v>
      </c>
      <c r="H406" s="27" t="n">
        <f aca="false">IF(G406="","",G406^2)</f>
        <v>0.00010098268047623</v>
      </c>
      <c r="I406" s="25" t="n">
        <f aca="false">IF(G406="","",C406/C405-1)</f>
        <v>0.0100996748010469</v>
      </c>
      <c r="J406" s="17" t="n">
        <f aca="false">AVERAGE(C207:C406)</f>
        <v>325.73385</v>
      </c>
      <c r="K406" s="17" t="n">
        <f aca="false">MAX(K405,C406)</f>
        <v>464.27</v>
      </c>
      <c r="L406" s="25" t="n">
        <f aca="false">C406/K406-1</f>
        <v>-0.177095224761453</v>
      </c>
      <c r="M406" s="25" t="n">
        <f aca="false">IF(COUNT(G377:G406)&lt;20,"",_xlfn.STDEV.S(G377:G406)*SQRT($R$3))</f>
        <v>0.926218110585928</v>
      </c>
      <c r="N406" s="25" t="n">
        <f aca="false">IF(A406-7&lt;$R$2,"",C406/INDEX(Clean_Data!$C$2:$C$4314,MATCH(A406-7,Clean_Data!$A$2:$A$4314,1))-1)</f>
        <v>-0.00637191157347206</v>
      </c>
      <c r="O406" s="25" t="n">
        <f aca="false">IF(A406-30&lt;$R$2,"",C406/INDEX(Clean_Data!$C$2:$C$4314,MATCH(A406-30,Clean_Data!$A$2:$A$4314,1))-1)</f>
        <v>-0.117198511911639</v>
      </c>
    </row>
    <row r="407" customFormat="false" ht="15" hidden="false" customHeight="false" outlineLevel="0" collapsed="false">
      <c r="A407" s="16" t="n">
        <v>42413</v>
      </c>
      <c r="B407" s="23" t="n">
        <f aca="false">YEAR(A407)</f>
        <v>2016</v>
      </c>
      <c r="C407" s="17" t="n">
        <v>391</v>
      </c>
      <c r="D407" s="23" t="n">
        <f aca="false">A407-A406</f>
        <v>1</v>
      </c>
      <c r="E407" s="24" t="n">
        <f aca="false">LN(C407)</f>
        <v>5.96870755998537</v>
      </c>
      <c r="F407" s="25" t="n">
        <f aca="false">LN(C407/C406)</f>
        <v>0.02315606989179</v>
      </c>
      <c r="G407" s="25" t="n">
        <f aca="false">IF(AND(D407=1,A407&gt;=$R$2),F407,"")</f>
        <v>0.02315606989179</v>
      </c>
      <c r="H407" s="27" t="n">
        <f aca="false">IF(G407="","",G407^2)</f>
        <v>0.000536203572833465</v>
      </c>
      <c r="I407" s="25" t="n">
        <f aca="false">IF(G407="","",C407/C406-1)</f>
        <v>0.0234262531082319</v>
      </c>
      <c r="J407" s="17" t="n">
        <f aca="false">AVERAGE(C208:C407)</f>
        <v>326.21005</v>
      </c>
      <c r="K407" s="17" t="n">
        <f aca="false">MAX(K406,C407)</f>
        <v>464.27</v>
      </c>
      <c r="L407" s="25" t="n">
        <f aca="false">C407/K407-1</f>
        <v>-0.157817649212743</v>
      </c>
      <c r="M407" s="25" t="n">
        <f aca="false">IF(COUNT(G378:G407)&lt;20,"",_xlfn.STDEV.S(G378:G407)*SQRT($R$3))</f>
        <v>0.931043544886177</v>
      </c>
      <c r="N407" s="25" t="n">
        <f aca="false">IF(A407-7&lt;$R$2,"",C407/INDEX(Clean_Data!$C$2:$C$4314,MATCH(A407-7,Clean_Data!$A$2:$A$4314,1))-1)</f>
        <v>0.0414447048796078</v>
      </c>
      <c r="O407" s="25" t="n">
        <f aca="false">IF(A407-30&lt;$R$2,"",C407/INDEX(Clean_Data!$C$2:$C$4314,MATCH(A407-30,Clean_Data!$A$2:$A$4314,1))-1)</f>
        <v>-0.0907611096900216</v>
      </c>
    </row>
    <row r="408" customFormat="false" ht="15" hidden="false" customHeight="false" outlineLevel="0" collapsed="false">
      <c r="A408" s="16" t="n">
        <v>42414</v>
      </c>
      <c r="B408" s="23" t="n">
        <f aca="false">YEAR(A408)</f>
        <v>2016</v>
      </c>
      <c r="C408" s="17" t="n">
        <v>406.59</v>
      </c>
      <c r="D408" s="23" t="n">
        <f aca="false">A408-A407</f>
        <v>1</v>
      </c>
      <c r="E408" s="24" t="n">
        <f aca="false">LN(C408)</f>
        <v>6.00780530669603</v>
      </c>
      <c r="F408" s="25" t="n">
        <f aca="false">LN(C408/C407)</f>
        <v>0.0390977467106685</v>
      </c>
      <c r="G408" s="25" t="n">
        <f aca="false">IF(AND(D408=1,A408&gt;=$R$2),F408,"")</f>
        <v>0.0390977467106685</v>
      </c>
      <c r="H408" s="27" t="n">
        <f aca="false">IF(G408="","",G408^2)</f>
        <v>0.00152863379785159</v>
      </c>
      <c r="I408" s="25" t="n">
        <f aca="false">IF(G408="","",C408/C407-1)</f>
        <v>0.0398721227621484</v>
      </c>
      <c r="J408" s="17" t="n">
        <f aca="false">AVERAGE(C209:C408)</f>
        <v>326.79205</v>
      </c>
      <c r="K408" s="17" t="n">
        <f aca="false">MAX(K407,C408)</f>
        <v>464.27</v>
      </c>
      <c r="L408" s="25" t="n">
        <f aca="false">C408/K408-1</f>
        <v>-0.124238051134038</v>
      </c>
      <c r="M408" s="25" t="n">
        <f aca="false">IF(COUNT(G379:G408)&lt;20,"",_xlfn.STDEV.S(G379:G408)*SQRT($R$3))</f>
        <v>0.673702436108293</v>
      </c>
      <c r="N408" s="25" t="n">
        <f aca="false">IF(A408-7&lt;$R$2,"",C408/INDEX(Clean_Data!$C$2:$C$4314,MATCH(A408-7,Clean_Data!$A$2:$A$4314,1))-1)</f>
        <v>0.0770881347850274</v>
      </c>
      <c r="O408" s="25" t="n">
        <f aca="false">IF(A408-30&lt;$R$2,"",C408/INDEX(Clean_Data!$C$2:$C$4314,MATCH(A408-30,Clean_Data!$A$2:$A$4314,1))-1)</f>
        <v>0.137219254328308</v>
      </c>
    </row>
    <row r="409" customFormat="false" ht="15" hidden="false" customHeight="false" outlineLevel="0" collapsed="false">
      <c r="A409" s="16" t="n">
        <v>42415</v>
      </c>
      <c r="B409" s="23" t="n">
        <f aca="false">YEAR(A409)</f>
        <v>2016</v>
      </c>
      <c r="C409" s="17" t="n">
        <v>398.95</v>
      </c>
      <c r="D409" s="23" t="n">
        <f aca="false">A409-A408</f>
        <v>1</v>
      </c>
      <c r="E409" s="24" t="n">
        <f aca="false">LN(C409)</f>
        <v>5.98883609575429</v>
      </c>
      <c r="F409" s="25" t="n">
        <f aca="false">LN(C409/C408)</f>
        <v>-0.0189692109417443</v>
      </c>
      <c r="G409" s="25" t="n">
        <f aca="false">IF(AND(D409=1,A409&gt;=$R$2),F409,"")</f>
        <v>-0.0189692109417443</v>
      </c>
      <c r="H409" s="27" t="n">
        <f aca="false">IF(G409="","",G409^2)</f>
        <v>0.00035983096375239</v>
      </c>
      <c r="I409" s="25" t="n">
        <f aca="false">IF(G409="","",C409/C408-1)</f>
        <v>-0.0187904277035834</v>
      </c>
      <c r="J409" s="17" t="n">
        <f aca="false">AVERAGE(C210:C409)</f>
        <v>327.34435</v>
      </c>
      <c r="K409" s="17" t="n">
        <f aca="false">MAX(K408,C409)</f>
        <v>464.27</v>
      </c>
      <c r="L409" s="25" t="n">
        <f aca="false">C409/K409-1</f>
        <v>-0.140693992719754</v>
      </c>
      <c r="M409" s="25" t="n">
        <f aca="false">IF(COUNT(G380:G409)&lt;20,"",_xlfn.STDEV.S(G380:G409)*SQRT($R$3))</f>
        <v>0.614097757207147</v>
      </c>
      <c r="N409" s="25" t="n">
        <f aca="false">IF(A409-7&lt;$R$2,"",C409/INDEX(Clean_Data!$C$2:$C$4314,MATCH(A409-7,Clean_Data!$A$2:$A$4314,1))-1)</f>
        <v>0.0749312927736165</v>
      </c>
      <c r="O409" s="25" t="n">
        <f aca="false">IF(A409-30&lt;$R$2,"",C409/INDEX(Clean_Data!$C$2:$C$4314,MATCH(A409-30,Clean_Data!$A$2:$A$4314,1))-1)</f>
        <v>0.0263699511191151</v>
      </c>
    </row>
    <row r="410" customFormat="false" ht="15" hidden="false" customHeight="false" outlineLevel="0" collapsed="false">
      <c r="A410" s="16" t="n">
        <v>42416</v>
      </c>
      <c r="B410" s="23" t="n">
        <f aca="false">YEAR(A410)</f>
        <v>2016</v>
      </c>
      <c r="C410" s="17" t="n">
        <v>407.42</v>
      </c>
      <c r="D410" s="23" t="n">
        <f aca="false">A410-A409</f>
        <v>1</v>
      </c>
      <c r="E410" s="24" t="n">
        <f aca="false">LN(C410)</f>
        <v>6.00984459438941</v>
      </c>
      <c r="F410" s="25" t="n">
        <f aca="false">LN(C410/C409)</f>
        <v>0.0210084986351216</v>
      </c>
      <c r="G410" s="25" t="n">
        <f aca="false">IF(AND(D410=1,A410&gt;=$R$2),F410,"")</f>
        <v>0.0210084986351216</v>
      </c>
      <c r="H410" s="27" t="n">
        <f aca="false">IF(G410="","",G410^2)</f>
        <v>0.000441357014901904</v>
      </c>
      <c r="I410" s="25" t="n">
        <f aca="false">IF(G410="","",C410/C409-1)</f>
        <v>0.0212307306680035</v>
      </c>
      <c r="J410" s="17" t="n">
        <f aca="false">AVERAGE(C211:C410)</f>
        <v>327.9555</v>
      </c>
      <c r="K410" s="17" t="n">
        <f aca="false">MAX(K409,C410)</f>
        <v>464.27</v>
      </c>
      <c r="L410" s="25" t="n">
        <f aca="false">C410/K410-1</f>
        <v>-0.122450298317789</v>
      </c>
      <c r="M410" s="25" t="n">
        <f aca="false">IF(COUNT(G381:G410)&lt;20,"",_xlfn.STDEV.S(G381:G410)*SQRT($R$3))</f>
        <v>0.609674910027435</v>
      </c>
      <c r="N410" s="25" t="n">
        <f aca="false">IF(A410-7&lt;$R$2,"",C410/INDEX(Clean_Data!$C$2:$C$4314,MATCH(A410-7,Clean_Data!$A$2:$A$4314,1))-1)</f>
        <v>0.0932167006547171</v>
      </c>
      <c r="O410" s="25" t="n">
        <f aca="false">IF(A410-30&lt;$R$2,"",C410/INDEX(Clean_Data!$C$2:$C$4314,MATCH(A410-30,Clean_Data!$A$2:$A$4314,1))-1)</f>
        <v>0.0765206362627491</v>
      </c>
    </row>
    <row r="411" customFormat="false" ht="15" hidden="false" customHeight="false" outlineLevel="0" collapsed="false">
      <c r="A411" s="16" t="n">
        <v>42417</v>
      </c>
      <c r="B411" s="23" t="n">
        <f aca="false">YEAR(A411)</f>
        <v>2016</v>
      </c>
      <c r="C411" s="17" t="n">
        <v>415.2</v>
      </c>
      <c r="D411" s="23" t="n">
        <f aca="false">A411-A410</f>
        <v>1</v>
      </c>
      <c r="E411" s="24" t="n">
        <f aca="false">LN(C411)</f>
        <v>6.02876033185168</v>
      </c>
      <c r="F411" s="25" t="n">
        <f aca="false">LN(C411/C410)</f>
        <v>0.0189157374622673</v>
      </c>
      <c r="G411" s="25" t="n">
        <f aca="false">IF(AND(D411=1,A411&gt;=$R$2),F411,"")</f>
        <v>0.0189157374622673</v>
      </c>
      <c r="H411" s="27" t="n">
        <f aca="false">IF(G411="","",G411^2)</f>
        <v>0.000357805123741422</v>
      </c>
      <c r="I411" s="25" t="n">
        <f aca="false">IF(G411="","",C411/C410-1)</f>
        <v>0.0190957734033674</v>
      </c>
      <c r="J411" s="17" t="n">
        <f aca="false">AVERAGE(C212:C411)</f>
        <v>328.62385</v>
      </c>
      <c r="K411" s="17" t="n">
        <f aca="false">MAX(K410,C411)</f>
        <v>464.27</v>
      </c>
      <c r="L411" s="25" t="n">
        <f aca="false">C411/K411-1</f>
        <v>-0.105692808064273</v>
      </c>
      <c r="M411" s="25" t="n">
        <f aca="false">IF(COUNT(G382:G411)&lt;20,"",_xlfn.STDEV.S(G382:G411)*SQRT($R$3))</f>
        <v>0.610331725292675</v>
      </c>
      <c r="N411" s="25" t="n">
        <f aca="false">IF(A411-7&lt;$R$2,"",C411/INDEX(Clean_Data!$C$2:$C$4314,MATCH(A411-7,Clean_Data!$A$2:$A$4314,1))-1)</f>
        <v>0.0971356093436211</v>
      </c>
      <c r="O411" s="25" t="n">
        <f aca="false">IF(A411-30&lt;$R$2,"",C411/INDEX(Clean_Data!$C$2:$C$4314,MATCH(A411-30,Clean_Data!$A$2:$A$4314,1))-1)</f>
        <v>0.0787497726623192</v>
      </c>
    </row>
    <row r="412" customFormat="false" ht="15" hidden="false" customHeight="false" outlineLevel="0" collapsed="false">
      <c r="A412" s="16" t="n">
        <v>42418</v>
      </c>
      <c r="B412" s="23" t="n">
        <f aca="false">YEAR(A412)</f>
        <v>2016</v>
      </c>
      <c r="C412" s="17" t="n">
        <v>421.19</v>
      </c>
      <c r="D412" s="23" t="n">
        <f aca="false">A412-A411</f>
        <v>1</v>
      </c>
      <c r="E412" s="24" t="n">
        <f aca="false">LN(C412)</f>
        <v>6.04308403828757</v>
      </c>
      <c r="F412" s="25" t="n">
        <f aca="false">LN(C412/C411)</f>
        <v>0.0143237064358948</v>
      </c>
      <c r="G412" s="25" t="n">
        <f aca="false">IF(AND(D412=1,A412&gt;=$R$2),F412,"")</f>
        <v>0.0143237064358948</v>
      </c>
      <c r="H412" s="27" t="n">
        <f aca="false">IF(G412="","",G412^2)</f>
        <v>0.000205168566061693</v>
      </c>
      <c r="I412" s="25" t="n">
        <f aca="false">IF(G412="","",C412/C411-1)</f>
        <v>0.0144267822736031</v>
      </c>
      <c r="J412" s="17" t="n">
        <f aca="false">AVERAGE(C213:C412)</f>
        <v>329.3167</v>
      </c>
      <c r="K412" s="17" t="n">
        <f aca="false">MAX(K411,C412)</f>
        <v>464.27</v>
      </c>
      <c r="L412" s="25" t="n">
        <f aca="false">C412/K412-1</f>
        <v>-0.0927908329204988</v>
      </c>
      <c r="M412" s="25" t="n">
        <f aca="false">IF(COUNT(G383:G412)&lt;20,"",_xlfn.STDEV.S(G383:G412)*SQRT($R$3))</f>
        <v>0.603194156640523</v>
      </c>
      <c r="N412" s="25" t="n">
        <f aca="false">IF(A412-7&lt;$R$2,"",C412/INDEX(Clean_Data!$C$2:$C$4314,MATCH(A412-7,Clean_Data!$A$2:$A$4314,1))-1)</f>
        <v>0.113581683102874</v>
      </c>
      <c r="O412" s="25" t="n">
        <f aca="false">IF(A412-30&lt;$R$2,"",C412/INDEX(Clean_Data!$C$2:$C$4314,MATCH(A412-30,Clean_Data!$A$2:$A$4314,1))-1)</f>
        <v>0.122365230367469</v>
      </c>
    </row>
    <row r="413" customFormat="false" ht="15" hidden="false" customHeight="false" outlineLevel="0" collapsed="false">
      <c r="A413" s="16" t="n">
        <v>42419</v>
      </c>
      <c r="B413" s="23" t="n">
        <f aca="false">YEAR(A413)</f>
        <v>2016</v>
      </c>
      <c r="C413" s="17" t="n">
        <v>420.72</v>
      </c>
      <c r="D413" s="23" t="n">
        <f aca="false">A413-A412</f>
        <v>1</v>
      </c>
      <c r="E413" s="24" t="n">
        <f aca="false">LN(C413)</f>
        <v>6.04196752928109</v>
      </c>
      <c r="F413" s="25" t="n">
        <f aca="false">LN(C413/C412)</f>
        <v>-0.00111650900648482</v>
      </c>
      <c r="G413" s="25" t="n">
        <f aca="false">IF(AND(D413=1,A413&gt;=$R$2),F413,"")</f>
        <v>-0.00111650900648482</v>
      </c>
      <c r="H413" s="27" t="n">
        <f aca="false">IF(G413="","",G413^2)</f>
        <v>1.24659236156172E-006</v>
      </c>
      <c r="I413" s="25" t="n">
        <f aca="false">IF(G413="","",C413/C412-1)</f>
        <v>-0.00111588594221124</v>
      </c>
      <c r="J413" s="17" t="n">
        <f aca="false">AVERAGE(C214:C413)</f>
        <v>330.01555</v>
      </c>
      <c r="K413" s="17" t="n">
        <f aca="false">MAX(K412,C413)</f>
        <v>464.27</v>
      </c>
      <c r="L413" s="25" t="n">
        <f aca="false">C413/K413-1</f>
        <v>-0.093803174876688</v>
      </c>
      <c r="M413" s="25" t="n">
        <f aca="false">IF(COUNT(G384:G413)&lt;20,"",_xlfn.STDEV.S(G384:G413)*SQRT($R$3))</f>
        <v>0.468565672429205</v>
      </c>
      <c r="N413" s="25" t="n">
        <f aca="false">IF(A413-7&lt;$R$2,"",C413/INDEX(Clean_Data!$C$2:$C$4314,MATCH(A413-7,Clean_Data!$A$2:$A$4314,1))-1)</f>
        <v>0.101217118178249</v>
      </c>
      <c r="O413" s="25" t="n">
        <f aca="false">IF(A413-30&lt;$R$2,"",C413/INDEX(Clean_Data!$C$2:$C$4314,MATCH(A413-30,Clean_Data!$A$2:$A$4314,1))-1)</f>
        <v>0.00520858221436416</v>
      </c>
    </row>
    <row r="414" customFormat="false" ht="15" hidden="false" customHeight="false" outlineLevel="0" collapsed="false">
      <c r="A414" s="16" t="n">
        <v>42420</v>
      </c>
      <c r="B414" s="23" t="n">
        <f aca="false">YEAR(A414)</f>
        <v>2016</v>
      </c>
      <c r="C414" s="17" t="n">
        <v>437.46</v>
      </c>
      <c r="D414" s="23" t="n">
        <f aca="false">A414-A413</f>
        <v>1</v>
      </c>
      <c r="E414" s="24" t="n">
        <f aca="false">LN(C414)</f>
        <v>6.08098527304639</v>
      </c>
      <c r="F414" s="25" t="n">
        <f aca="false">LN(C414/C413)</f>
        <v>0.0390177437653051</v>
      </c>
      <c r="G414" s="25" t="n">
        <f aca="false">IF(AND(D414=1,A414&gt;=$R$2),F414,"")</f>
        <v>0.0390177437653051</v>
      </c>
      <c r="H414" s="27" t="n">
        <f aca="false">IF(G414="","",G414^2)</f>
        <v>0.00152238432853501</v>
      </c>
      <c r="I414" s="25" t="n">
        <f aca="false">IF(G414="","",C414/C413-1)</f>
        <v>0.0397889332572732</v>
      </c>
      <c r="J414" s="17" t="n">
        <f aca="false">AVERAGE(C215:C414)</f>
        <v>330.7753</v>
      </c>
      <c r="K414" s="17" t="n">
        <f aca="false">MAX(K413,C414)</f>
        <v>464.27</v>
      </c>
      <c r="L414" s="25" t="n">
        <f aca="false">C414/K414-1</f>
        <v>-0.0577465698839038</v>
      </c>
      <c r="M414" s="25" t="n">
        <f aca="false">IF(COUNT(G385:G414)&lt;20,"",_xlfn.STDEV.S(G385:G414)*SQRT($R$3))</f>
        <v>0.480329580348908</v>
      </c>
      <c r="N414" s="25" t="n">
        <f aca="false">IF(A414-7&lt;$R$2,"",C414/INDEX(Clean_Data!$C$2:$C$4314,MATCH(A414-7,Clean_Data!$A$2:$A$4314,1))-1)</f>
        <v>0.118823529411765</v>
      </c>
      <c r="O414" s="25" t="n">
        <f aca="false">IF(A414-30&lt;$R$2,"",C414/INDEX(Clean_Data!$C$2:$C$4314,MATCH(A414-30,Clean_Data!$A$2:$A$4314,1))-1)</f>
        <v>0.0685915286530852</v>
      </c>
    </row>
    <row r="415" customFormat="false" ht="15" hidden="false" customHeight="false" outlineLevel="0" collapsed="false">
      <c r="A415" s="16" t="n">
        <v>42421</v>
      </c>
      <c r="B415" s="23" t="n">
        <f aca="false">YEAR(A415)</f>
        <v>2016</v>
      </c>
      <c r="C415" s="17" t="n">
        <v>438.56</v>
      </c>
      <c r="D415" s="23" t="n">
        <f aca="false">A415-A414</f>
        <v>1</v>
      </c>
      <c r="E415" s="24" t="n">
        <f aca="false">LN(C415)</f>
        <v>6.08349663255448</v>
      </c>
      <c r="F415" s="25" t="n">
        <f aca="false">LN(C415/C414)</f>
        <v>0.00251135950808179</v>
      </c>
      <c r="G415" s="25" t="n">
        <f aca="false">IF(AND(D415=1,A415&gt;=$R$2),F415,"")</f>
        <v>0.00251135950808179</v>
      </c>
      <c r="H415" s="27" t="n">
        <f aca="false">IF(G415="","",G415^2)</f>
        <v>6.30692657883278E-006</v>
      </c>
      <c r="I415" s="25" t="n">
        <f aca="false">IF(G415="","",C415/C414-1)</f>
        <v>0.00251451561285609</v>
      </c>
      <c r="J415" s="17" t="n">
        <f aca="false">AVERAGE(C216:C415)</f>
        <v>331.55425</v>
      </c>
      <c r="K415" s="17" t="n">
        <f aca="false">MAX(K414,C415)</f>
        <v>464.27</v>
      </c>
      <c r="L415" s="25" t="n">
        <f aca="false">C415/K415-1</f>
        <v>-0.0553772589226097</v>
      </c>
      <c r="M415" s="25" t="n">
        <f aca="false">IF(COUNT(G386:G415)&lt;20,"",_xlfn.STDEV.S(G386:G415)*SQRT($R$3))</f>
        <v>0.410650422935031</v>
      </c>
      <c r="N415" s="25" t="n">
        <f aca="false">IF(A415-7&lt;$R$2,"",C415/INDEX(Clean_Data!$C$2:$C$4314,MATCH(A415-7,Clean_Data!$A$2:$A$4314,1))-1)</f>
        <v>0.0786295777072728</v>
      </c>
      <c r="O415" s="25" t="n">
        <f aca="false">IF(A415-30&lt;$R$2,"",C415/INDEX(Clean_Data!$C$2:$C$4314,MATCH(A415-30,Clean_Data!$A$2:$A$4314,1))-1)</f>
        <v>0.145364324889005</v>
      </c>
    </row>
    <row r="416" customFormat="false" ht="15" hidden="false" customHeight="false" outlineLevel="0" collapsed="false">
      <c r="A416" s="16" t="n">
        <v>42422</v>
      </c>
      <c r="B416" s="23" t="n">
        <f aca="false">YEAR(A416)</f>
        <v>2016</v>
      </c>
      <c r="C416" s="17" t="n">
        <v>437.55</v>
      </c>
      <c r="D416" s="23" t="n">
        <f aca="false">A416-A415</f>
        <v>1</v>
      </c>
      <c r="E416" s="24" t="n">
        <f aca="false">LN(C416)</f>
        <v>6.08119098498184</v>
      </c>
      <c r="F416" s="25" t="n">
        <f aca="false">LN(C416/C415)</f>
        <v>-0.00230564757263548</v>
      </c>
      <c r="G416" s="25" t="n">
        <f aca="false">IF(AND(D416=1,A416&gt;=$R$2),F416,"")</f>
        <v>-0.00230564757263548</v>
      </c>
      <c r="H416" s="27" t="n">
        <f aca="false">IF(G416="","",G416^2)</f>
        <v>5.31601072919987E-006</v>
      </c>
      <c r="I416" s="25" t="n">
        <f aca="false">IF(G416="","",C416/C415-1)</f>
        <v>-0.00230299160890179</v>
      </c>
      <c r="J416" s="17" t="n">
        <f aca="false">AVERAGE(C217:C416)</f>
        <v>332.34375</v>
      </c>
      <c r="K416" s="17" t="n">
        <f aca="false">MAX(K415,C416)</f>
        <v>464.27</v>
      </c>
      <c r="L416" s="25" t="n">
        <f aca="false">C416/K416-1</f>
        <v>-0.0575527171688888</v>
      </c>
      <c r="M416" s="25" t="n">
        <f aca="false">IF(COUNT(G387:G416)&lt;20,"",_xlfn.STDEV.S(G387:G416)*SQRT($R$3))</f>
        <v>0.410418243462164</v>
      </c>
      <c r="N416" s="25" t="n">
        <f aca="false">IF(A416-7&lt;$R$2,"",C416/INDEX(Clean_Data!$C$2:$C$4314,MATCH(A416-7,Clean_Data!$A$2:$A$4314,1))-1)</f>
        <v>0.096753979195388</v>
      </c>
      <c r="O416" s="25" t="n">
        <f aca="false">IF(A416-30&lt;$R$2,"",C416/INDEX(Clean_Data!$C$2:$C$4314,MATCH(A416-30,Clean_Data!$A$2:$A$4314,1))-1)</f>
        <v>0.129161290322581</v>
      </c>
    </row>
    <row r="417" customFormat="false" ht="15" hidden="false" customHeight="false" outlineLevel="0" collapsed="false">
      <c r="A417" s="16" t="n">
        <v>42423</v>
      </c>
      <c r="B417" s="23" t="n">
        <f aca="false">YEAR(A417)</f>
        <v>2016</v>
      </c>
      <c r="C417" s="17" t="n">
        <v>419.97</v>
      </c>
      <c r="D417" s="23" t="n">
        <f aca="false">A417-A416</f>
        <v>1</v>
      </c>
      <c r="E417" s="24" t="n">
        <f aca="false">LN(C417)</f>
        <v>6.04018328015484</v>
      </c>
      <c r="F417" s="25" t="n">
        <f aca="false">LN(C417/C416)</f>
        <v>-0.0410077048269965</v>
      </c>
      <c r="G417" s="25" t="n">
        <f aca="false">IF(AND(D417=1,A417&gt;=$R$2),F417,"")</f>
        <v>-0.0410077048269965</v>
      </c>
      <c r="H417" s="27" t="n">
        <f aca="false">IF(G417="","",G417^2)</f>
        <v>0.00168163185517807</v>
      </c>
      <c r="I417" s="25" t="n">
        <f aca="false">IF(G417="","",C417/C416-1)</f>
        <v>-0.0401782653411038</v>
      </c>
      <c r="J417" s="17" t="n">
        <f aca="false">AVERAGE(C218:C417)</f>
        <v>333.0439</v>
      </c>
      <c r="K417" s="17" t="n">
        <f aca="false">MAX(K416,C417)</f>
        <v>464.27</v>
      </c>
      <c r="L417" s="25" t="n">
        <f aca="false">C417/K417-1</f>
        <v>-0.0954186141684794</v>
      </c>
      <c r="M417" s="25" t="n">
        <f aca="false">IF(COUNT(G388:G417)&lt;20,"",_xlfn.STDEV.S(G388:G417)*SQRT($R$3))</f>
        <v>0.419054006576303</v>
      </c>
      <c r="N417" s="25" t="n">
        <f aca="false">IF(A417-7&lt;$R$2,"",C417/INDEX(Clean_Data!$C$2:$C$4314,MATCH(A417-7,Clean_Data!$A$2:$A$4314,1))-1)</f>
        <v>0.0308035933434785</v>
      </c>
      <c r="O417" s="25" t="n">
        <f aca="false">IF(A417-30&lt;$R$2,"",C417/INDEX(Clean_Data!$C$2:$C$4314,MATCH(A417-30,Clean_Data!$A$2:$A$4314,1))-1)</f>
        <v>0.0419799032378116</v>
      </c>
    </row>
    <row r="418" customFormat="false" ht="15" hidden="false" customHeight="false" outlineLevel="0" collapsed="false">
      <c r="A418" s="16" t="n">
        <v>42424</v>
      </c>
      <c r="B418" s="23" t="n">
        <f aca="false">YEAR(A418)</f>
        <v>2016</v>
      </c>
      <c r="C418" s="17" t="n">
        <v>423.94</v>
      </c>
      <c r="D418" s="23" t="n">
        <f aca="false">A418-A417</f>
        <v>1</v>
      </c>
      <c r="E418" s="24" t="n">
        <f aca="false">LN(C418)</f>
        <v>6.04959193578459</v>
      </c>
      <c r="F418" s="25" t="n">
        <f aca="false">LN(C418/C417)</f>
        <v>0.0094086556297472</v>
      </c>
      <c r="G418" s="25" t="n">
        <f aca="false">IF(AND(D418=1,A418&gt;=$R$2),F418,"")</f>
        <v>0.0094086556297472</v>
      </c>
      <c r="H418" s="27" t="n">
        <f aca="false">IF(G418="","",G418^2)</f>
        <v>8.85228007591737E-005</v>
      </c>
      <c r="I418" s="25" t="n">
        <f aca="false">IF(G418="","",C418/C417-1)</f>
        <v>0.00945305617067871</v>
      </c>
      <c r="J418" s="17" t="n">
        <f aca="false">AVERAGE(C219:C418)</f>
        <v>333.8535</v>
      </c>
      <c r="K418" s="17" t="n">
        <f aca="false">MAX(K417,C418)</f>
        <v>464.27</v>
      </c>
      <c r="L418" s="25" t="n">
        <f aca="false">C418/K418-1</f>
        <v>-0.0868675555172637</v>
      </c>
      <c r="M418" s="25" t="n">
        <f aca="false">IF(COUNT(G389:G418)&lt;20,"",_xlfn.STDEV.S(G389:G418)*SQRT($R$3))</f>
        <v>0.404878272102471</v>
      </c>
      <c r="N418" s="25" t="n">
        <f aca="false">IF(A418-7&lt;$R$2,"",C418/INDEX(Clean_Data!$C$2:$C$4314,MATCH(A418-7,Clean_Data!$A$2:$A$4314,1))-1)</f>
        <v>0.0210500963391138</v>
      </c>
      <c r="O418" s="25" t="n">
        <f aca="false">IF(A418-30&lt;$R$2,"",C418/INDEX(Clean_Data!$C$2:$C$4314,MATCH(A418-30,Clean_Data!$A$2:$A$4314,1))-1)</f>
        <v>0.0831374552887072</v>
      </c>
    </row>
    <row r="419" customFormat="false" ht="15" hidden="false" customHeight="false" outlineLevel="0" collapsed="false">
      <c r="A419" s="16" t="n">
        <v>42425</v>
      </c>
      <c r="B419" s="23" t="n">
        <f aca="false">YEAR(A419)</f>
        <v>2016</v>
      </c>
      <c r="C419" s="17" t="n">
        <v>423.54</v>
      </c>
      <c r="D419" s="23" t="n">
        <f aca="false">A419-A418</f>
        <v>1</v>
      </c>
      <c r="E419" s="24" t="n">
        <f aca="false">LN(C419)</f>
        <v>6.04864796063544</v>
      </c>
      <c r="F419" s="25" t="n">
        <f aca="false">LN(C419/C418)</f>
        <v>-0.00094397514915505</v>
      </c>
      <c r="G419" s="25" t="n">
        <f aca="false">IF(AND(D419=1,A419&gt;=$R$2),F419,"")</f>
        <v>-0.00094397514915505</v>
      </c>
      <c r="H419" s="27" t="n">
        <f aca="false">IF(G419="","",G419^2)</f>
        <v>8.91089082222298E-007</v>
      </c>
      <c r="I419" s="25" t="n">
        <f aca="false">IF(G419="","",C419/C418-1)</f>
        <v>-0.000943529744775185</v>
      </c>
      <c r="J419" s="17" t="n">
        <f aca="false">AVERAGE(C220:C419)</f>
        <v>334.63305</v>
      </c>
      <c r="K419" s="17" t="n">
        <f aca="false">MAX(K418,C419)</f>
        <v>464.27</v>
      </c>
      <c r="L419" s="25" t="n">
        <f aca="false">C419/K419-1</f>
        <v>-0.0877291231395524</v>
      </c>
      <c r="M419" s="25" t="n">
        <f aca="false">IF(COUNT(G390:G419)&lt;20,"",_xlfn.STDEV.S(G390:G419)*SQRT($R$3))</f>
        <v>0.404996952055549</v>
      </c>
      <c r="N419" s="25" t="n">
        <f aca="false">IF(A419-7&lt;$R$2,"",C419/INDEX(Clean_Data!$C$2:$C$4314,MATCH(A419-7,Clean_Data!$A$2:$A$4314,1))-1)</f>
        <v>0.00557942971105674</v>
      </c>
      <c r="O419" s="25" t="n">
        <f aca="false">IF(A419-30&lt;$R$2,"",C419/INDEX(Clean_Data!$C$2:$C$4314,MATCH(A419-30,Clean_Data!$A$2:$A$4314,1))-1)</f>
        <v>0.0817285590233436</v>
      </c>
    </row>
    <row r="420" customFormat="false" ht="15" hidden="false" customHeight="false" outlineLevel="0" collapsed="false">
      <c r="A420" s="16" t="n">
        <v>42426</v>
      </c>
      <c r="B420" s="23" t="n">
        <f aca="false">YEAR(A420)</f>
        <v>2016</v>
      </c>
      <c r="C420" s="17" t="n">
        <v>430.85</v>
      </c>
      <c r="D420" s="23" t="n">
        <f aca="false">A420-A419</f>
        <v>1</v>
      </c>
      <c r="E420" s="24" t="n">
        <f aca="false">LN(C420)</f>
        <v>6.06576000168578</v>
      </c>
      <c r="F420" s="25" t="n">
        <f aca="false">LN(C420/C419)</f>
        <v>0.0171120410503401</v>
      </c>
      <c r="G420" s="25" t="n">
        <f aca="false">IF(AND(D420=1,A420&gt;=$R$2),F420,"")</f>
        <v>0.0171120410503401</v>
      </c>
      <c r="H420" s="27" t="n">
        <f aca="false">IF(G420="","",G420^2)</f>
        <v>0.000292821948908525</v>
      </c>
      <c r="I420" s="25" t="n">
        <f aca="false">IF(G420="","",C420/C419-1)</f>
        <v>0.0172592907399538</v>
      </c>
      <c r="J420" s="17" t="n">
        <f aca="false">AVERAGE(C221:C420)</f>
        <v>335.46155</v>
      </c>
      <c r="K420" s="17" t="n">
        <f aca="false">MAX(K419,C420)</f>
        <v>464.27</v>
      </c>
      <c r="L420" s="25" t="n">
        <f aca="false">C420/K420-1</f>
        <v>-0.0719839748422253</v>
      </c>
      <c r="M420" s="25" t="n">
        <f aca="false">IF(COUNT(G391:G420)&lt;20,"",_xlfn.STDEV.S(G391:G420)*SQRT($R$3))</f>
        <v>0.40771569417527</v>
      </c>
      <c r="N420" s="25" t="n">
        <f aca="false">IF(A420-7&lt;$R$2,"",C420/INDEX(Clean_Data!$C$2:$C$4314,MATCH(A420-7,Clean_Data!$A$2:$A$4314,1))-1)</f>
        <v>0.0240777714394371</v>
      </c>
      <c r="O420" s="25" t="n">
        <f aca="false">IF(A420-30&lt;$R$2,"",C420/INDEX(Clean_Data!$C$2:$C$4314,MATCH(A420-30,Clean_Data!$A$2:$A$4314,1))-1)</f>
        <v>0.0913396995871223</v>
      </c>
    </row>
    <row r="421" customFormat="false" ht="15" hidden="false" customHeight="false" outlineLevel="0" collapsed="false">
      <c r="A421" s="16" t="n">
        <v>42427</v>
      </c>
      <c r="B421" s="23" t="n">
        <f aca="false">YEAR(A421)</f>
        <v>2016</v>
      </c>
      <c r="C421" s="17" t="n">
        <v>433.12</v>
      </c>
      <c r="D421" s="23" t="n">
        <f aca="false">A421-A420</f>
        <v>1</v>
      </c>
      <c r="E421" s="24" t="n">
        <f aca="false">LN(C421)</f>
        <v>6.07101482586599</v>
      </c>
      <c r="F421" s="25" t="n">
        <f aca="false">LN(C421/C420)</f>
        <v>0.0052548241802152</v>
      </c>
      <c r="G421" s="25" t="n">
        <f aca="false">IF(AND(D421=1,A421&gt;=$R$2),F421,"")</f>
        <v>0.0052548241802152</v>
      </c>
      <c r="H421" s="27" t="n">
        <f aca="false">IF(G421="","",G421^2)</f>
        <v>2.76131771649744E-005</v>
      </c>
      <c r="I421" s="25" t="n">
        <f aca="false">IF(G421="","",C421/C420-1)</f>
        <v>0.00526865498433327</v>
      </c>
      <c r="J421" s="17" t="n">
        <f aca="false">AVERAGE(C222:C421)</f>
        <v>336.2672</v>
      </c>
      <c r="K421" s="17" t="n">
        <f aca="false">MAX(K420,C421)</f>
        <v>464.27</v>
      </c>
      <c r="L421" s="25" t="n">
        <f aca="false">C421/K421-1</f>
        <v>-0.0670945785857368</v>
      </c>
      <c r="M421" s="25" t="n">
        <f aca="false">IF(COUNT(G392:G421)&lt;20,"",_xlfn.STDEV.S(G392:G421)*SQRT($R$3))</f>
        <v>0.378337424000589</v>
      </c>
      <c r="N421" s="25" t="n">
        <f aca="false">IF(A421-7&lt;$R$2,"",C421/INDEX(Clean_Data!$C$2:$C$4314,MATCH(A421-7,Clean_Data!$A$2:$A$4314,1))-1)</f>
        <v>-0.00992090705435922</v>
      </c>
      <c r="O421" s="25" t="n">
        <f aca="false">IF(A421-30&lt;$R$2,"",C421/INDEX(Clean_Data!$C$2:$C$4314,MATCH(A421-30,Clean_Data!$A$2:$A$4314,1))-1)</f>
        <v>0.140960459418877</v>
      </c>
    </row>
    <row r="422" customFormat="false" ht="15" hidden="false" customHeight="false" outlineLevel="0" collapsed="false">
      <c r="A422" s="16" t="n">
        <v>42428</v>
      </c>
      <c r="B422" s="23" t="n">
        <f aca="false">YEAR(A422)</f>
        <v>2016</v>
      </c>
      <c r="C422" s="17" t="n">
        <v>433.73</v>
      </c>
      <c r="D422" s="23" t="n">
        <f aca="false">A422-A421</f>
        <v>1</v>
      </c>
      <c r="E422" s="24" t="n">
        <f aca="false">LN(C422)</f>
        <v>6.07242222068791</v>
      </c>
      <c r="F422" s="25" t="n">
        <f aca="false">LN(C422/C421)</f>
        <v>0.00140739482191541</v>
      </c>
      <c r="G422" s="25" t="n">
        <f aca="false">IF(AND(D422=1,A422&gt;=$R$2),F422,"")</f>
        <v>0.00140739482191541</v>
      </c>
      <c r="H422" s="27" t="n">
        <f aca="false">IF(G422="","",G422^2)</f>
        <v>1.98076018475431E-006</v>
      </c>
      <c r="I422" s="25" t="n">
        <f aca="false">IF(G422="","",C422/C421-1)</f>
        <v>0.00140838566678991</v>
      </c>
      <c r="J422" s="17" t="n">
        <f aca="false">AVERAGE(C223:C422)</f>
        <v>337.10115</v>
      </c>
      <c r="K422" s="17" t="n">
        <f aca="false">MAX(K421,C422)</f>
        <v>464.27</v>
      </c>
      <c r="L422" s="25" t="n">
        <f aca="false">C422/K422-1</f>
        <v>-0.0657806879617463</v>
      </c>
      <c r="M422" s="25" t="n">
        <f aca="false">IF(COUNT(G393:G422)&lt;20,"",_xlfn.STDEV.S(G393:G422)*SQRT($R$3))</f>
        <v>0.377696992120629</v>
      </c>
      <c r="N422" s="25" t="n">
        <f aca="false">IF(A422-7&lt;$R$2,"",C422/INDEX(Clean_Data!$C$2:$C$4314,MATCH(A422-7,Clean_Data!$A$2:$A$4314,1))-1)</f>
        <v>-0.0110133163079168</v>
      </c>
      <c r="O422" s="25" t="n">
        <f aca="false">IF(A422-30&lt;$R$2,"",C422/INDEX(Clean_Data!$C$2:$C$4314,MATCH(A422-30,Clean_Data!$A$2:$A$4314,1))-1)</f>
        <v>0.145373402344988</v>
      </c>
    </row>
    <row r="423" customFormat="false" ht="15" hidden="false" customHeight="false" outlineLevel="0" collapsed="false">
      <c r="A423" s="16" t="n">
        <v>42429</v>
      </c>
      <c r="B423" s="23" t="n">
        <f aca="false">YEAR(A423)</f>
        <v>2016</v>
      </c>
      <c r="C423" s="17" t="n">
        <v>436.44</v>
      </c>
      <c r="D423" s="23" t="n">
        <f aca="false">A423-A422</f>
        <v>1</v>
      </c>
      <c r="E423" s="24" t="n">
        <f aca="false">LN(C423)</f>
        <v>6.0786509087869</v>
      </c>
      <c r="F423" s="25" t="n">
        <f aca="false">LN(C423/C422)</f>
        <v>0.00622868809899163</v>
      </c>
      <c r="G423" s="25" t="n">
        <f aca="false">IF(AND(D423=1,A423&gt;=$R$2),F423,"")</f>
        <v>0.00622868809899163</v>
      </c>
      <c r="H423" s="27" t="n">
        <f aca="false">IF(G423="","",G423^2)</f>
        <v>3.879655543452E-005</v>
      </c>
      <c r="I423" s="25" t="n">
        <f aca="false">IF(G423="","",C423/C422-1)</f>
        <v>0.00624812671477648</v>
      </c>
      <c r="J423" s="17" t="n">
        <f aca="false">AVERAGE(C224:C423)</f>
        <v>337.96</v>
      </c>
      <c r="K423" s="17" t="n">
        <f aca="false">MAX(K422,C423)</f>
        <v>464.27</v>
      </c>
      <c r="L423" s="25" t="n">
        <f aca="false">C423/K423-1</f>
        <v>-0.05994356732074</v>
      </c>
      <c r="M423" s="25" t="n">
        <f aca="false">IF(COUNT(G394:G423)&lt;20,"",_xlfn.STDEV.S(G394:G423)*SQRT($R$3))</f>
        <v>0.377285103627977</v>
      </c>
      <c r="N423" s="25" t="n">
        <f aca="false">IF(A423-7&lt;$R$2,"",C423/INDEX(Clean_Data!$C$2:$C$4314,MATCH(A423-7,Clean_Data!$A$2:$A$4314,1))-1)</f>
        <v>-0.00253685293109363</v>
      </c>
      <c r="O423" s="25" t="n">
        <f aca="false">IF(A423-30&lt;$R$2,"",C423/INDEX(Clean_Data!$C$2:$C$4314,MATCH(A423-30,Clean_Data!$A$2:$A$4314,1))-1)</f>
        <v>0.153199809755324</v>
      </c>
    </row>
    <row r="424" customFormat="false" ht="15" hidden="false" customHeight="false" outlineLevel="0" collapsed="false">
      <c r="A424" s="16" t="n">
        <v>42430</v>
      </c>
      <c r="B424" s="23" t="n">
        <f aca="false">YEAR(A424)</f>
        <v>2016</v>
      </c>
      <c r="C424" s="17" t="n">
        <v>433.08</v>
      </c>
      <c r="D424" s="23" t="n">
        <f aca="false">A424-A423</f>
        <v>1</v>
      </c>
      <c r="E424" s="24" t="n">
        <f aca="false">LN(C424)</f>
        <v>6.0709224684427</v>
      </c>
      <c r="F424" s="25" t="n">
        <f aca="false">LN(C424/C423)</f>
        <v>-0.00772844034420053</v>
      </c>
      <c r="G424" s="25" t="n">
        <f aca="false">IF(AND(D424=1,A424&gt;=$R$2),F424,"")</f>
        <v>-0.00772844034420053</v>
      </c>
      <c r="H424" s="27" t="n">
        <f aca="false">IF(G424="","",G424^2)</f>
        <v>5.97287901538664E-005</v>
      </c>
      <c r="I424" s="25" t="n">
        <f aca="false">IF(G424="","",C424/C423-1)</f>
        <v>-0.00769865273577131</v>
      </c>
      <c r="J424" s="17" t="n">
        <f aca="false">AVERAGE(C225:C424)</f>
        <v>338.79455</v>
      </c>
      <c r="K424" s="17" t="n">
        <f aca="false">MAX(K423,C424)</f>
        <v>464.27</v>
      </c>
      <c r="L424" s="25" t="n">
        <f aca="false">C424/K424-1</f>
        <v>-0.0671807353479657</v>
      </c>
      <c r="M424" s="25" t="n">
        <f aca="false">IF(COUNT(G395:G424)&lt;20,"",_xlfn.STDEV.S(G395:G424)*SQRT($R$3))</f>
        <v>0.361238843274335</v>
      </c>
      <c r="N424" s="25" t="n">
        <f aca="false">IF(A424-7&lt;$R$2,"",C424/INDEX(Clean_Data!$C$2:$C$4314,MATCH(A424-7,Clean_Data!$A$2:$A$4314,1))-1)</f>
        <v>0.0312165154653903</v>
      </c>
      <c r="O424" s="25" t="n">
        <f aca="false">IF(A424-30&lt;$R$2,"",C424/INDEX(Clean_Data!$C$2:$C$4314,MATCH(A424-30,Clean_Data!$A$2:$A$4314,1))-1)</f>
        <v>0.177007745617611</v>
      </c>
    </row>
    <row r="425" customFormat="false" ht="15" hidden="false" customHeight="false" outlineLevel="0" collapsed="false">
      <c r="A425" s="16" t="n">
        <v>42431</v>
      </c>
      <c r="B425" s="23" t="n">
        <f aca="false">YEAR(A425)</f>
        <v>2016</v>
      </c>
      <c r="C425" s="17" t="n">
        <v>420.39</v>
      </c>
      <c r="D425" s="23" t="n">
        <f aca="false">A425-A424</f>
        <v>1</v>
      </c>
      <c r="E425" s="24" t="n">
        <f aca="false">LN(C425)</f>
        <v>6.04118285185024</v>
      </c>
      <c r="F425" s="25" t="n">
        <f aca="false">LN(C425/C424)</f>
        <v>-0.0297396165924615</v>
      </c>
      <c r="G425" s="25" t="n">
        <f aca="false">IF(AND(D425=1,A425&gt;=$R$2),F425,"")</f>
        <v>-0.0297396165924615</v>
      </c>
      <c r="H425" s="27" t="n">
        <f aca="false">IF(G425="","",G425^2)</f>
        <v>0.000884444795066612</v>
      </c>
      <c r="I425" s="25" t="n">
        <f aca="false">IF(G425="","",C425/C424-1)</f>
        <v>-0.0293017456359103</v>
      </c>
      <c r="J425" s="17" t="n">
        <f aca="false">AVERAGE(C226:C425)</f>
        <v>339.5842</v>
      </c>
      <c r="K425" s="17" t="n">
        <f aca="false">MAX(K424,C425)</f>
        <v>464.27</v>
      </c>
      <c r="L425" s="25" t="n">
        <f aca="false">C425/K425-1</f>
        <v>-0.0945139681650764</v>
      </c>
      <c r="M425" s="25" t="n">
        <f aca="false">IF(COUNT(G396:G425)&lt;20,"",_xlfn.STDEV.S(G396:G425)*SQRT($R$3))</f>
        <v>0.381124552312351</v>
      </c>
      <c r="N425" s="25" t="n">
        <f aca="false">IF(A425-7&lt;$R$2,"",C425/INDEX(Clean_Data!$C$2:$C$4314,MATCH(A425-7,Clean_Data!$A$2:$A$4314,1))-1)</f>
        <v>-0.00837382648487994</v>
      </c>
      <c r="O425" s="25" t="n">
        <f aca="false">IF(A425-30&lt;$R$2,"",C425/INDEX(Clean_Data!$C$2:$C$4314,MATCH(A425-30,Clean_Data!$A$2:$A$4314,1))-1)</f>
        <v>0.132119677914524</v>
      </c>
    </row>
    <row r="426" customFormat="false" ht="15" hidden="false" customHeight="false" outlineLevel="0" collapsed="false">
      <c r="A426" s="16" t="n">
        <v>42432</v>
      </c>
      <c r="B426" s="23" t="n">
        <f aca="false">YEAR(A426)</f>
        <v>2016</v>
      </c>
      <c r="C426" s="17" t="n">
        <v>418.8</v>
      </c>
      <c r="D426" s="23" t="n">
        <f aca="false">A426-A425</f>
        <v>1</v>
      </c>
      <c r="E426" s="24" t="n">
        <f aca="false">LN(C426)</f>
        <v>6.03739347899638</v>
      </c>
      <c r="F426" s="25" t="n">
        <f aca="false">LN(C426/C425)</f>
        <v>-0.00378937285385424</v>
      </c>
      <c r="G426" s="25" t="n">
        <f aca="false">IF(AND(D426=1,A426&gt;=$R$2),F426,"")</f>
        <v>-0.00378937285385424</v>
      </c>
      <c r="H426" s="27" t="n">
        <f aca="false">IF(G426="","",G426^2)</f>
        <v>1.43593466255274E-005</v>
      </c>
      <c r="I426" s="25" t="n">
        <f aca="false">IF(G426="","",C426/C425-1)</f>
        <v>-0.00378220224077641</v>
      </c>
      <c r="J426" s="17" t="n">
        <f aca="false">AVERAGE(C227:C426)</f>
        <v>340.3822</v>
      </c>
      <c r="K426" s="17" t="n">
        <f aca="false">MAX(K425,C426)</f>
        <v>464.27</v>
      </c>
      <c r="L426" s="25" t="n">
        <f aca="false">C426/K426-1</f>
        <v>-0.0979386994636741</v>
      </c>
      <c r="M426" s="25" t="n">
        <f aca="false">IF(COUNT(G397:G426)&lt;20,"",_xlfn.STDEV.S(G397:G426)*SQRT($R$3))</f>
        <v>0.38212403085203</v>
      </c>
      <c r="N426" s="25" t="n">
        <f aca="false">IF(A426-7&lt;$R$2,"",C426/INDEX(Clean_Data!$C$2:$C$4314,MATCH(A426-7,Clean_Data!$A$2:$A$4314,1))-1)</f>
        <v>-0.0111913868819946</v>
      </c>
      <c r="O426" s="25" t="n">
        <f aca="false">IF(A426-30&lt;$R$2,"",C426/INDEX(Clean_Data!$C$2:$C$4314,MATCH(A426-30,Clean_Data!$A$2:$A$4314,1))-1)</f>
        <v>0.122998954227335</v>
      </c>
    </row>
    <row r="427" customFormat="false" ht="15" hidden="false" customHeight="false" outlineLevel="0" collapsed="false">
      <c r="A427" s="16" t="n">
        <v>42433</v>
      </c>
      <c r="B427" s="23" t="n">
        <f aca="false">YEAR(A427)</f>
        <v>2016</v>
      </c>
      <c r="C427" s="17" t="n">
        <v>407.35</v>
      </c>
      <c r="D427" s="23" t="n">
        <f aca="false">A427-A426</f>
        <v>1</v>
      </c>
      <c r="E427" s="24" t="n">
        <f aca="false">LN(C427)</f>
        <v>6.00967276675665</v>
      </c>
      <c r="F427" s="25" t="n">
        <f aca="false">LN(C427/C426)</f>
        <v>-0.027720712239731</v>
      </c>
      <c r="G427" s="25" t="n">
        <f aca="false">IF(AND(D427=1,A427&gt;=$R$2),F427,"")</f>
        <v>-0.027720712239731</v>
      </c>
      <c r="H427" s="27" t="n">
        <f aca="false">IF(G427="","",G427^2)</f>
        <v>0.000768437887077972</v>
      </c>
      <c r="I427" s="25" t="n">
        <f aca="false">IF(G427="","",C427/C426-1)</f>
        <v>-0.0273400191021967</v>
      </c>
      <c r="J427" s="17" t="n">
        <f aca="false">AVERAGE(C228:C427)</f>
        <v>341.1324</v>
      </c>
      <c r="K427" s="17" t="n">
        <f aca="false">MAX(K426,C427)</f>
        <v>464.27</v>
      </c>
      <c r="L427" s="25" t="n">
        <f aca="false">C427/K427-1</f>
        <v>-0.12260107265169</v>
      </c>
      <c r="M427" s="25" t="n">
        <f aca="false">IF(COUNT(G398:G427)&lt;20,"",_xlfn.STDEV.S(G398:G427)*SQRT($R$3))</f>
        <v>0.394584638192713</v>
      </c>
      <c r="N427" s="25" t="n">
        <f aca="false">IF(A427-7&lt;$R$2,"",C427/INDEX(Clean_Data!$C$2:$C$4314,MATCH(A427-7,Clean_Data!$A$2:$A$4314,1))-1)</f>
        <v>-0.054543344551468</v>
      </c>
      <c r="O427" s="25" t="n">
        <f aca="false">IF(A427-30&lt;$R$2,"",C427/INDEX(Clean_Data!$C$2:$C$4314,MATCH(A427-30,Clean_Data!$A$2:$A$4314,1))-1)</f>
        <v>0.104318594626833</v>
      </c>
    </row>
    <row r="428" customFormat="false" ht="15" hidden="false" customHeight="false" outlineLevel="0" collapsed="false">
      <c r="A428" s="16" t="n">
        <v>42434</v>
      </c>
      <c r="B428" s="23" t="n">
        <f aca="false">YEAR(A428)</f>
        <v>2016</v>
      </c>
      <c r="C428" s="17" t="n">
        <v>396.08</v>
      </c>
      <c r="D428" s="23" t="n">
        <f aca="false">A428-A427</f>
        <v>1</v>
      </c>
      <c r="E428" s="24" t="n">
        <f aca="false">LN(C428)</f>
        <v>5.98161621105317</v>
      </c>
      <c r="F428" s="25" t="n">
        <f aca="false">LN(C428/C427)</f>
        <v>-0.0280565557034832</v>
      </c>
      <c r="G428" s="25" t="n">
        <f aca="false">IF(AND(D428=1,A428&gt;=$R$2),F428,"")</f>
        <v>-0.0280565557034832</v>
      </c>
      <c r="H428" s="27" t="n">
        <f aca="false">IF(G428="","",G428^2)</f>
        <v>0.000787170317942658</v>
      </c>
      <c r="I428" s="25" t="n">
        <f aca="false">IF(G428="","",C428/C427-1)</f>
        <v>-0.0276666257518106</v>
      </c>
      <c r="J428" s="17" t="n">
        <f aca="false">AVERAGE(C229:C428)</f>
        <v>342.00285</v>
      </c>
      <c r="K428" s="17" t="n">
        <f aca="false">MAX(K427,C428)</f>
        <v>464.27</v>
      </c>
      <c r="L428" s="25" t="n">
        <f aca="false">C428/K428-1</f>
        <v>-0.146875740409675</v>
      </c>
      <c r="M428" s="25" t="n">
        <f aca="false">IF(COUNT(G399:G428)&lt;20,"",_xlfn.STDEV.S(G399:G428)*SQRT($R$3))</f>
        <v>0.370693840499448</v>
      </c>
      <c r="N428" s="25" t="n">
        <f aca="false">IF(A428-7&lt;$R$2,"",C428/INDEX(Clean_Data!$C$2:$C$4314,MATCH(A428-7,Clean_Data!$A$2:$A$4314,1))-1)</f>
        <v>-0.0855190247506465</v>
      </c>
      <c r="O428" s="25" t="n">
        <f aca="false">IF(A428-30&lt;$R$2,"",C428/INDEX(Clean_Data!$C$2:$C$4314,MATCH(A428-30,Clean_Data!$A$2:$A$4314,1))-1)</f>
        <v>0.020851052862187</v>
      </c>
    </row>
    <row r="429" customFormat="false" ht="15" hidden="false" customHeight="false" outlineLevel="0" collapsed="false">
      <c r="A429" s="16" t="n">
        <v>42435</v>
      </c>
      <c r="B429" s="23" t="n">
        <f aca="false">YEAR(A429)</f>
        <v>2016</v>
      </c>
      <c r="C429" s="17" t="n">
        <v>403.24</v>
      </c>
      <c r="D429" s="23" t="n">
        <f aca="false">A429-A428</f>
        <v>1</v>
      </c>
      <c r="E429" s="24" t="n">
        <f aca="false">LN(C429)</f>
        <v>5.99953191818574</v>
      </c>
      <c r="F429" s="25" t="n">
        <f aca="false">LN(C429/C428)</f>
        <v>0.0179157071325732</v>
      </c>
      <c r="G429" s="25" t="n">
        <f aca="false">IF(AND(D429=1,A429&gt;=$R$2),F429,"")</f>
        <v>0.0179157071325732</v>
      </c>
      <c r="H429" s="27" t="n">
        <f aca="false">IF(G429="","",G429^2)</f>
        <v>0.000320972562060134</v>
      </c>
      <c r="I429" s="25" t="n">
        <f aca="false">IF(G429="","",C429/C428-1)</f>
        <v>0.0180771561300748</v>
      </c>
      <c r="J429" s="17" t="n">
        <f aca="false">AVERAGE(C230:C429)</f>
        <v>342.88235</v>
      </c>
      <c r="K429" s="17" t="n">
        <f aca="false">MAX(K428,C429)</f>
        <v>464.27</v>
      </c>
      <c r="L429" s="25" t="n">
        <f aca="false">C429/K429-1</f>
        <v>-0.131453679970707</v>
      </c>
      <c r="M429" s="25" t="n">
        <f aca="false">IF(COUNT(G400:G429)&lt;20,"",_xlfn.STDEV.S(G400:G429)*SQRT($R$3))</f>
        <v>0.373704044493141</v>
      </c>
      <c r="N429" s="25" t="n">
        <f aca="false">IF(A429-7&lt;$R$2,"",C429/INDEX(Clean_Data!$C$2:$C$4314,MATCH(A429-7,Clean_Data!$A$2:$A$4314,1))-1)</f>
        <v>-0.0702971894957692</v>
      </c>
      <c r="O429" s="25" t="n">
        <f aca="false">IF(A429-30&lt;$R$2,"",C429/INDEX(Clean_Data!$C$2:$C$4314,MATCH(A429-30,Clean_Data!$A$2:$A$4314,1))-1)</f>
        <v>0.048738621586476</v>
      </c>
    </row>
    <row r="430" customFormat="false" ht="15" hidden="false" customHeight="false" outlineLevel="0" collapsed="false">
      <c r="A430" s="16" t="n">
        <v>42436</v>
      </c>
      <c r="B430" s="23" t="n">
        <f aca="false">YEAR(A430)</f>
        <v>2016</v>
      </c>
      <c r="C430" s="17" t="n">
        <v>412.21</v>
      </c>
      <c r="D430" s="23" t="n">
        <f aca="false">A430-A429</f>
        <v>1</v>
      </c>
      <c r="E430" s="24" t="n">
        <f aca="false">LN(C430)</f>
        <v>6.02153292823002</v>
      </c>
      <c r="F430" s="25" t="n">
        <f aca="false">LN(C430/C429)</f>
        <v>0.0220010100442752</v>
      </c>
      <c r="G430" s="25" t="n">
        <f aca="false">IF(AND(D430=1,A430&gt;=$R$2),F430,"")</f>
        <v>0.0220010100442752</v>
      </c>
      <c r="H430" s="27" t="n">
        <f aca="false">IF(G430="","",G430^2)</f>
        <v>0.0004840444429683</v>
      </c>
      <c r="I430" s="25" t="n">
        <f aca="false">IF(G430="","",C430/C429-1)</f>
        <v>0.0222448169824421</v>
      </c>
      <c r="J430" s="17" t="n">
        <f aca="false">AVERAGE(C231:C430)</f>
        <v>343.7656</v>
      </c>
      <c r="K430" s="17" t="n">
        <f aca="false">MAX(K429,C430)</f>
        <v>464.27</v>
      </c>
      <c r="L430" s="25" t="n">
        <f aca="false">C430/K430-1</f>
        <v>-0.112133026040881</v>
      </c>
      <c r="M430" s="25" t="n">
        <f aca="false">IF(COUNT(G401:G430)&lt;20,"",_xlfn.STDEV.S(G401:G430)*SQRT($R$3))</f>
        <v>0.368616526407708</v>
      </c>
      <c r="N430" s="25" t="n">
        <f aca="false">IF(A430-7&lt;$R$2,"",C430/INDEX(Clean_Data!$C$2:$C$4314,MATCH(A430-7,Clean_Data!$A$2:$A$4314,1))-1)</f>
        <v>-0.0555173677939694</v>
      </c>
      <c r="O430" s="25" t="n">
        <f aca="false">IF(A430-30&lt;$R$2,"",C430/INDEX(Clean_Data!$C$2:$C$4314,MATCH(A430-30,Clean_Data!$A$2:$A$4314,1))-1)</f>
        <v>0.0979384189217984</v>
      </c>
    </row>
    <row r="431" customFormat="false" ht="15" hidden="false" customHeight="false" outlineLevel="0" collapsed="false">
      <c r="A431" s="16" t="n">
        <v>42437</v>
      </c>
      <c r="B431" s="23" t="n">
        <f aca="false">YEAR(A431)</f>
        <v>2016</v>
      </c>
      <c r="C431" s="17" t="n">
        <v>411.18</v>
      </c>
      <c r="D431" s="23" t="n">
        <f aca="false">A431-A430</f>
        <v>1</v>
      </c>
      <c r="E431" s="24" t="n">
        <f aca="false">LN(C431)</f>
        <v>6.01903107482579</v>
      </c>
      <c r="F431" s="25" t="n">
        <f aca="false">LN(C431/C430)</f>
        <v>-0.00250185340422873</v>
      </c>
      <c r="G431" s="25" t="n">
        <f aca="false">IF(AND(D431=1,A431&gt;=$R$2),F431,"")</f>
        <v>-0.00250185340422873</v>
      </c>
      <c r="H431" s="27" t="n">
        <f aca="false">IF(G431="","",G431^2)</f>
        <v>6.25927045625091E-006</v>
      </c>
      <c r="I431" s="25" t="n">
        <f aca="false">IF(G431="","",C431/C430-1)</f>
        <v>-0.00249872637733184</v>
      </c>
      <c r="J431" s="17" t="n">
        <f aca="false">AVERAGE(C232:C431)</f>
        <v>344.65725</v>
      </c>
      <c r="K431" s="17" t="n">
        <f aca="false">MAX(K430,C431)</f>
        <v>464.27</v>
      </c>
      <c r="L431" s="25" t="n">
        <f aca="false">C431/K431-1</f>
        <v>-0.114351562668275</v>
      </c>
      <c r="M431" s="25" t="n">
        <f aca="false">IF(COUNT(G402:G431)&lt;20,"",_xlfn.STDEV.S(G402:G431)*SQRT($R$3))</f>
        <v>0.369026110855685</v>
      </c>
      <c r="N431" s="25" t="n">
        <f aca="false">IF(A431-7&lt;$R$2,"",C431/INDEX(Clean_Data!$C$2:$C$4314,MATCH(A431-7,Clean_Data!$A$2:$A$4314,1))-1)</f>
        <v>-0.0505680243834857</v>
      </c>
      <c r="O431" s="25" t="n">
        <f aca="false">IF(A431-30&lt;$R$2,"",C431/INDEX(Clean_Data!$C$2:$C$4314,MATCH(A431-30,Clean_Data!$A$2:$A$4314,1))-1)</f>
        <v>0.0892473972820471</v>
      </c>
    </row>
    <row r="432" customFormat="false" ht="15" hidden="false" customHeight="false" outlineLevel="0" collapsed="false">
      <c r="A432" s="16" t="n">
        <v>42438</v>
      </c>
      <c r="B432" s="23" t="n">
        <f aca="false">YEAR(A432)</f>
        <v>2016</v>
      </c>
      <c r="C432" s="17" t="n">
        <v>412.8</v>
      </c>
      <c r="D432" s="23" t="n">
        <f aca="false">A432-A431</f>
        <v>1</v>
      </c>
      <c r="E432" s="24" t="n">
        <f aca="false">LN(C432)</f>
        <v>6.02296321416735</v>
      </c>
      <c r="F432" s="25" t="n">
        <f aca="false">LN(C432/C431)</f>
        <v>0.00393213934156558</v>
      </c>
      <c r="G432" s="25" t="n">
        <f aca="false">IF(AND(D432=1,A432&gt;=$R$2),F432,"")</f>
        <v>0.00393213934156558</v>
      </c>
      <c r="H432" s="27" t="n">
        <f aca="false">IF(G432="","",G432^2)</f>
        <v>1.54617198014878E-005</v>
      </c>
      <c r="I432" s="25" t="n">
        <f aca="false">IF(G432="","",C432/C431-1)</f>
        <v>0.00393988034437465</v>
      </c>
      <c r="J432" s="17" t="n">
        <f aca="false">AVERAGE(C233:C432)</f>
        <v>345.5655</v>
      </c>
      <c r="K432" s="17" t="n">
        <f aca="false">MAX(K431,C432)</f>
        <v>464.27</v>
      </c>
      <c r="L432" s="25" t="n">
        <f aca="false">C432/K432-1</f>
        <v>-0.110862213798005</v>
      </c>
      <c r="M432" s="25" t="n">
        <f aca="false">IF(COUNT(G403:G432)&lt;20,"",_xlfn.STDEV.S(G403:G432)*SQRT($R$3))</f>
        <v>0.362036452209609</v>
      </c>
      <c r="N432" s="25" t="n">
        <f aca="false">IF(A432-7&lt;$R$2,"",C432/INDEX(Clean_Data!$C$2:$C$4314,MATCH(A432-7,Clean_Data!$A$2:$A$4314,1))-1)</f>
        <v>-0.0180546635267251</v>
      </c>
      <c r="O432" s="25" t="n">
        <f aca="false">IF(A432-30&lt;$R$2,"",C432/INDEX(Clean_Data!$C$2:$C$4314,MATCH(A432-30,Clean_Data!$A$2:$A$4314,1))-1)</f>
        <v>0.112248747103519</v>
      </c>
    </row>
    <row r="433" customFormat="false" ht="15" hidden="false" customHeight="false" outlineLevel="0" collapsed="false">
      <c r="A433" s="16" t="n">
        <v>42439</v>
      </c>
      <c r="B433" s="23" t="n">
        <f aca="false">YEAR(A433)</f>
        <v>2016</v>
      </c>
      <c r="C433" s="17" t="n">
        <v>415.98</v>
      </c>
      <c r="D433" s="23" t="n">
        <f aca="false">A433-A432</f>
        <v>1</v>
      </c>
      <c r="E433" s="24" t="n">
        <f aca="false">LN(C433)</f>
        <v>6.03063718218245</v>
      </c>
      <c r="F433" s="25" t="n">
        <f aca="false">LN(C433/C432)</f>
        <v>0.00767396801510105</v>
      </c>
      <c r="G433" s="25" t="n">
        <f aca="false">IF(AND(D433=1,A433&gt;=$R$2),F433,"")</f>
        <v>0.00767396801510105</v>
      </c>
      <c r="H433" s="27" t="n">
        <f aca="false">IF(G433="","",G433^2)</f>
        <v>5.8889785096794E-005</v>
      </c>
      <c r="I433" s="25" t="n">
        <f aca="false">IF(G433="","",C433/C432-1)</f>
        <v>0.007703488372093</v>
      </c>
      <c r="J433" s="17" t="n">
        <f aca="false">AVERAGE(C234:C433)</f>
        <v>346.49935</v>
      </c>
      <c r="K433" s="17" t="n">
        <f aca="false">MAX(K432,C433)</f>
        <v>464.27</v>
      </c>
      <c r="L433" s="25" t="n">
        <f aca="false">C433/K433-1</f>
        <v>-0.10401275120081</v>
      </c>
      <c r="M433" s="25" t="n">
        <f aca="false">IF(COUNT(G404:G433)&lt;20,"",_xlfn.STDEV.S(G404:G433)*SQRT($R$3))</f>
        <v>0.36231914352146</v>
      </c>
      <c r="N433" s="25" t="n">
        <f aca="false">IF(A433-7&lt;$R$2,"",C433/INDEX(Clean_Data!$C$2:$C$4314,MATCH(A433-7,Clean_Data!$A$2:$A$4314,1))-1)</f>
        <v>-0.00673352435530084</v>
      </c>
      <c r="O433" s="25" t="n">
        <f aca="false">IF(A433-30&lt;$R$2,"",C433/INDEX(Clean_Data!$C$2:$C$4314,MATCH(A433-30,Clean_Data!$A$2:$A$4314,1))-1)</f>
        <v>0.116185467425137</v>
      </c>
    </row>
    <row r="434" customFormat="false" ht="15" hidden="false" customHeight="false" outlineLevel="0" collapsed="false">
      <c r="A434" s="16" t="n">
        <v>42440</v>
      </c>
      <c r="B434" s="23" t="n">
        <f aca="false">YEAR(A434)</f>
        <v>2016</v>
      </c>
      <c r="C434" s="17" t="n">
        <v>419.39</v>
      </c>
      <c r="D434" s="23" t="n">
        <f aca="false">A434-A433</f>
        <v>1</v>
      </c>
      <c r="E434" s="24" t="n">
        <f aca="false">LN(C434)</f>
        <v>6.03880127459748</v>
      </c>
      <c r="F434" s="25" t="n">
        <f aca="false">LN(C434/C433)</f>
        <v>0.00816409241502732</v>
      </c>
      <c r="G434" s="25" t="n">
        <f aca="false">IF(AND(D434=1,A434&gt;=$R$2),F434,"")</f>
        <v>0.00816409241502732</v>
      </c>
      <c r="H434" s="27" t="n">
        <f aca="false">IF(G434="","",G434^2)</f>
        <v>6.66524049611067E-005</v>
      </c>
      <c r="I434" s="25" t="n">
        <f aca="false">IF(G434="","",C434/C433-1)</f>
        <v>0.00819750949564879</v>
      </c>
      <c r="J434" s="17" t="n">
        <f aca="false">AVERAGE(C235:C434)</f>
        <v>347.5405</v>
      </c>
      <c r="K434" s="17" t="n">
        <f aca="false">MAX(K433,C434)</f>
        <v>464.27</v>
      </c>
      <c r="L434" s="25" t="n">
        <f aca="false">C434/K434-1</f>
        <v>-0.0966678872207982</v>
      </c>
      <c r="M434" s="25" t="n">
        <f aca="false">IF(COUNT(G405:G434)&lt;20,"",_xlfn.STDEV.S(G405:G434)*SQRT($R$3))</f>
        <v>0.360268423971274</v>
      </c>
      <c r="N434" s="25" t="n">
        <f aca="false">IF(A434-7&lt;$R$2,"",C434/INDEX(Clean_Data!$C$2:$C$4314,MATCH(A434-7,Clean_Data!$A$2:$A$4314,1))-1)</f>
        <v>0.0295568921075242</v>
      </c>
      <c r="O434" s="25" t="n">
        <f aca="false">IF(A434-30&lt;$R$2,"",C434/INDEX(Clean_Data!$C$2:$C$4314,MATCH(A434-30,Clean_Data!$A$2:$A$4314,1))-1)</f>
        <v>0.108207377655639</v>
      </c>
    </row>
    <row r="435" customFormat="false" ht="15" hidden="false" customHeight="false" outlineLevel="0" collapsed="false">
      <c r="A435" s="16" t="n">
        <v>42441</v>
      </c>
      <c r="B435" s="23" t="n">
        <f aca="false">YEAR(A435)</f>
        <v>2016</v>
      </c>
      <c r="C435" s="17" t="n">
        <v>410.58</v>
      </c>
      <c r="D435" s="23" t="n">
        <f aca="false">A435-A434</f>
        <v>1</v>
      </c>
      <c r="E435" s="24" t="n">
        <f aca="false">LN(C435)</f>
        <v>6.01757079419246</v>
      </c>
      <c r="F435" s="25" t="n">
        <f aca="false">LN(C435/C434)</f>
        <v>-0.02123048040502</v>
      </c>
      <c r="G435" s="25" t="n">
        <f aca="false">IF(AND(D435=1,A435&gt;=$R$2),F435,"")</f>
        <v>-0.02123048040502</v>
      </c>
      <c r="H435" s="27" t="n">
        <f aca="false">IF(G435="","",G435^2)</f>
        <v>0.000450733298227939</v>
      </c>
      <c r="I435" s="25" t="n">
        <f aca="false">IF(G435="","",C435/C434-1)</f>
        <v>-0.0210067002074441</v>
      </c>
      <c r="J435" s="17" t="n">
        <f aca="false">AVERAGE(C236:C435)</f>
        <v>348.47475</v>
      </c>
      <c r="K435" s="17" t="n">
        <f aca="false">MAX(K434,C435)</f>
        <v>464.27</v>
      </c>
      <c r="L435" s="25" t="n">
        <f aca="false">C435/K435-1</f>
        <v>-0.115643914101708</v>
      </c>
      <c r="M435" s="25" t="n">
        <f aca="false">IF(COUNT(G406:G435)&lt;20,"",_xlfn.STDEV.S(G406:G435)*SQRT($R$3))</f>
        <v>0.37022367981938</v>
      </c>
      <c r="N435" s="25" t="n">
        <f aca="false">IF(A435-7&lt;$R$2,"",C435/INDEX(Clean_Data!$C$2:$C$4314,MATCH(A435-7,Clean_Data!$A$2:$A$4314,1))-1)</f>
        <v>0.0366087659058776</v>
      </c>
      <c r="O435" s="25" t="n">
        <f aca="false">IF(A435-30&lt;$R$2,"",C435/INDEX(Clean_Data!$C$2:$C$4314,MATCH(A435-30,Clean_Data!$A$2:$A$4314,1))-1)</f>
        <v>0.0855299685376623</v>
      </c>
    </row>
    <row r="436" customFormat="false" ht="15" hidden="false" customHeight="false" outlineLevel="0" collapsed="false">
      <c r="A436" s="16" t="n">
        <v>42442</v>
      </c>
      <c r="B436" s="23" t="n">
        <f aca="false">YEAR(A436)</f>
        <v>2016</v>
      </c>
      <c r="C436" s="17" t="n">
        <v>412.52</v>
      </c>
      <c r="D436" s="23" t="n">
        <f aca="false">A436-A435</f>
        <v>1</v>
      </c>
      <c r="E436" s="24" t="n">
        <f aca="false">LN(C436)</f>
        <v>6.02228468944787</v>
      </c>
      <c r="F436" s="25" t="n">
        <f aca="false">LN(C436/C435)</f>
        <v>0.00471389525540682</v>
      </c>
      <c r="G436" s="25" t="n">
        <f aca="false">IF(AND(D436=1,A436&gt;=$R$2),F436,"")</f>
        <v>0.00471389525540682</v>
      </c>
      <c r="H436" s="27" t="n">
        <f aca="false">IF(G436="","",G436^2)</f>
        <v>2.22208084789469E-005</v>
      </c>
      <c r="I436" s="25" t="n">
        <f aca="false">IF(G436="","",C436/C435-1)</f>
        <v>0.00472502313799983</v>
      </c>
      <c r="J436" s="17" t="n">
        <f aca="false">AVERAGE(C237:C436)</f>
        <v>349.4033</v>
      </c>
      <c r="K436" s="17" t="n">
        <f aca="false">MAX(K435,C436)</f>
        <v>464.27</v>
      </c>
      <c r="L436" s="25" t="n">
        <f aca="false">C436/K436-1</f>
        <v>-0.111465311133608</v>
      </c>
      <c r="M436" s="25" t="n">
        <f aca="false">IF(COUNT(G407:G436)&lt;20,"",_xlfn.STDEV.S(G407:G436)*SQRT($R$3))</f>
        <v>0.369363919227769</v>
      </c>
      <c r="N436" s="25" t="n">
        <f aca="false">IF(A436-7&lt;$R$2,"",C436/INDEX(Clean_Data!$C$2:$C$4314,MATCH(A436-7,Clean_Data!$A$2:$A$4314,1))-1)</f>
        <v>0.0230135899216346</v>
      </c>
      <c r="O436" s="25" t="n">
        <f aca="false">IF(A436-30&lt;$R$2,"",C436/INDEX(Clean_Data!$C$2:$C$4314,MATCH(A436-30,Clean_Data!$A$2:$A$4314,1))-1)</f>
        <v>0.0797539589059022</v>
      </c>
    </row>
    <row r="437" customFormat="false" ht="15" hidden="false" customHeight="false" outlineLevel="0" collapsed="false">
      <c r="A437" s="16" t="n">
        <v>42443</v>
      </c>
      <c r="B437" s="23" t="n">
        <f aca="false">YEAR(A437)</f>
        <v>2016</v>
      </c>
      <c r="C437" s="17" t="n">
        <v>415.02</v>
      </c>
      <c r="D437" s="23" t="n">
        <f aca="false">A437-A436</f>
        <v>1</v>
      </c>
      <c r="E437" s="24" t="n">
        <f aca="false">LN(C437)</f>
        <v>6.02832671184055</v>
      </c>
      <c r="F437" s="25" t="n">
        <f aca="false">LN(C437/C436)</f>
        <v>0.00604202239268013</v>
      </c>
      <c r="G437" s="25" t="n">
        <f aca="false">IF(AND(D437=1,A437&gt;=$R$2),F437,"")</f>
        <v>0.00604202239268013</v>
      </c>
      <c r="H437" s="27" t="n">
        <f aca="false">IF(G437="","",G437^2)</f>
        <v>3.65060345936482E-005</v>
      </c>
      <c r="I437" s="25" t="n">
        <f aca="false">IF(G437="","",C437/C436-1)</f>
        <v>0.00606031222728598</v>
      </c>
      <c r="J437" s="17" t="n">
        <f aca="false">AVERAGE(C238:C437)</f>
        <v>350.3494</v>
      </c>
      <c r="K437" s="17" t="n">
        <f aca="false">MAX(K436,C437)</f>
        <v>464.27</v>
      </c>
      <c r="L437" s="25" t="n">
        <f aca="false">C437/K437-1</f>
        <v>-0.106080513494303</v>
      </c>
      <c r="M437" s="25" t="n">
        <f aca="false">IF(COUNT(G408:G437)&lt;20,"",_xlfn.STDEV.S(G408:G437)*SQRT($R$3))</f>
        <v>0.362104159588739</v>
      </c>
      <c r="N437" s="25" t="n">
        <f aca="false">IF(A437-7&lt;$R$2,"",C437/INDEX(Clean_Data!$C$2:$C$4314,MATCH(A437-7,Clean_Data!$A$2:$A$4314,1))-1)</f>
        <v>0.0068169137090317</v>
      </c>
      <c r="O437" s="25" t="n">
        <f aca="false">IF(A437-30&lt;$R$2,"",C437/INDEX(Clean_Data!$C$2:$C$4314,MATCH(A437-30,Clean_Data!$A$2:$A$4314,1))-1)</f>
        <v>0.0614322250639385</v>
      </c>
    </row>
    <row r="438" customFormat="false" ht="15" hidden="false" customHeight="false" outlineLevel="0" collapsed="false">
      <c r="A438" s="16" t="n">
        <v>42444</v>
      </c>
      <c r="B438" s="23" t="n">
        <f aca="false">YEAR(A438)</f>
        <v>2016</v>
      </c>
      <c r="C438" s="17" t="n">
        <v>415.41</v>
      </c>
      <c r="D438" s="23" t="n">
        <f aca="false">A438-A437</f>
        <v>1</v>
      </c>
      <c r="E438" s="24" t="n">
        <f aca="false">LN(C438)</f>
        <v>6.02926598433473</v>
      </c>
      <c r="F438" s="25" t="n">
        <f aca="false">LN(C438/C437)</f>
        <v>0.000939272494183922</v>
      </c>
      <c r="G438" s="25" t="n">
        <f aca="false">IF(AND(D438=1,A438&gt;=$R$2),F438,"")</f>
        <v>0.000939272494183922</v>
      </c>
      <c r="H438" s="27" t="n">
        <f aca="false">IF(G438="","",G438^2)</f>
        <v>8.82232818330486E-007</v>
      </c>
      <c r="I438" s="25" t="n">
        <f aca="false">IF(G438="","",C438/C437-1)</f>
        <v>0.000939713748735027</v>
      </c>
      <c r="J438" s="17" t="n">
        <f aca="false">AVERAGE(C239:C438)</f>
        <v>351.2687</v>
      </c>
      <c r="K438" s="17" t="n">
        <f aca="false">MAX(K437,C438)</f>
        <v>464.27</v>
      </c>
      <c r="L438" s="25" t="n">
        <f aca="false">C438/K438-1</f>
        <v>-0.105240485062571</v>
      </c>
      <c r="M438" s="25" t="n">
        <f aca="false">IF(COUNT(G409:G438)&lt;20,"",_xlfn.STDEV.S(G409:G438)*SQRT($R$3))</f>
        <v>0.336435481656779</v>
      </c>
      <c r="N438" s="25" t="n">
        <f aca="false">IF(A438-7&lt;$R$2,"",C438/INDEX(Clean_Data!$C$2:$C$4314,MATCH(A438-7,Clean_Data!$A$2:$A$4314,1))-1)</f>
        <v>0.0102874653436451</v>
      </c>
      <c r="O438" s="25" t="n">
        <f aca="false">IF(A438-30&lt;$R$2,"",C438/INDEX(Clean_Data!$C$2:$C$4314,MATCH(A438-30,Clean_Data!$A$2:$A$4314,1))-1)</f>
        <v>0.0216926141813623</v>
      </c>
    </row>
    <row r="439" customFormat="false" ht="15" hidden="false" customHeight="false" outlineLevel="0" collapsed="false">
      <c r="A439" s="16" t="n">
        <v>42445</v>
      </c>
      <c r="B439" s="23" t="n">
        <f aca="false">YEAR(A439)</f>
        <v>2016</v>
      </c>
      <c r="C439" s="17" t="n">
        <v>416.07</v>
      </c>
      <c r="D439" s="23" t="n">
        <f aca="false">A439-A438</f>
        <v>1</v>
      </c>
      <c r="E439" s="24" t="n">
        <f aca="false">LN(C439)</f>
        <v>6.03085351533635</v>
      </c>
      <c r="F439" s="25" t="n">
        <f aca="false">LN(C439/C438)</f>
        <v>0.00158753100162117</v>
      </c>
      <c r="G439" s="25" t="n">
        <f aca="false">IF(AND(D439=1,A439&gt;=$R$2),F439,"")</f>
        <v>0.00158753100162117</v>
      </c>
      <c r="H439" s="27" t="n">
        <f aca="false">IF(G439="","",G439^2)</f>
        <v>2.52025468110831E-006</v>
      </c>
      <c r="I439" s="25" t="n">
        <f aca="false">IF(G439="","",C439/C438-1)</f>
        <v>0.00158879179605687</v>
      </c>
      <c r="J439" s="17" t="n">
        <f aca="false">AVERAGE(C240:C439)</f>
        <v>352.196</v>
      </c>
      <c r="K439" s="17" t="n">
        <f aca="false">MAX(K438,C439)</f>
        <v>464.27</v>
      </c>
      <c r="L439" s="25" t="n">
        <f aca="false">C439/K439-1</f>
        <v>-0.103818898485795</v>
      </c>
      <c r="M439" s="25" t="n">
        <f aca="false">IF(COUNT(G410:G439)&lt;20,"",_xlfn.STDEV.S(G410:G439)*SQRT($R$3))</f>
        <v>0.328852835717623</v>
      </c>
      <c r="N439" s="25" t="n">
        <f aca="false">IF(A439-7&lt;$R$2,"",C439/INDEX(Clean_Data!$C$2:$C$4314,MATCH(A439-7,Clean_Data!$A$2:$A$4314,1))-1)</f>
        <v>0.007921511627907</v>
      </c>
      <c r="O439" s="25" t="n">
        <f aca="false">IF(A439-30&lt;$R$2,"",C439/INDEX(Clean_Data!$C$2:$C$4314,MATCH(A439-30,Clean_Data!$A$2:$A$4314,1))-1)</f>
        <v>0.0429126456949494</v>
      </c>
    </row>
    <row r="440" customFormat="false" ht="15" hidden="false" customHeight="false" outlineLevel="0" collapsed="false">
      <c r="A440" s="16" t="n">
        <v>42446</v>
      </c>
      <c r="B440" s="23" t="n">
        <f aca="false">YEAR(A440)</f>
        <v>2016</v>
      </c>
      <c r="C440" s="17" t="n">
        <v>418.41</v>
      </c>
      <c r="D440" s="23" t="n">
        <f aca="false">A440-A439</f>
        <v>1</v>
      </c>
      <c r="E440" s="24" t="n">
        <f aca="false">LN(C440)</f>
        <v>6.03646181303871</v>
      </c>
      <c r="F440" s="25" t="n">
        <f aca="false">LN(C440/C439)</f>
        <v>0.00560829770235946</v>
      </c>
      <c r="G440" s="25" t="n">
        <f aca="false">IF(AND(D440=1,A440&gt;=$R$2),F440,"")</f>
        <v>0.00560829770235946</v>
      </c>
      <c r="H440" s="27" t="n">
        <f aca="false">IF(G440="","",G440^2)</f>
        <v>3.14530031182904E-005</v>
      </c>
      <c r="I440" s="25" t="n">
        <f aca="false">IF(G440="","",C440/C439-1)</f>
        <v>0.00562405364481955</v>
      </c>
      <c r="J440" s="17" t="n">
        <f aca="false">AVERAGE(C241:C440)</f>
        <v>353.1411</v>
      </c>
      <c r="K440" s="17" t="n">
        <f aca="false">MAX(K439,C440)</f>
        <v>464.27</v>
      </c>
      <c r="L440" s="25" t="n">
        <f aca="false">C440/K440-1</f>
        <v>-0.0987787278954057</v>
      </c>
      <c r="M440" s="25" t="n">
        <f aca="false">IF(COUNT(G411:G440)&lt;20,"",_xlfn.STDEV.S(G411:G440)*SQRT($R$3))</f>
        <v>0.321603015409728</v>
      </c>
      <c r="N440" s="25" t="n">
        <f aca="false">IF(A440-7&lt;$R$2,"",C440/INDEX(Clean_Data!$C$2:$C$4314,MATCH(A440-7,Clean_Data!$A$2:$A$4314,1))-1)</f>
        <v>0.0058416270012982</v>
      </c>
      <c r="O440" s="25" t="n">
        <f aca="false">IF(A440-30&lt;$R$2,"",C440/INDEX(Clean_Data!$C$2:$C$4314,MATCH(A440-30,Clean_Data!$A$2:$A$4314,1))-1)</f>
        <v>0.0269746207844486</v>
      </c>
    </row>
    <row r="441" customFormat="false" ht="15" hidden="false" customHeight="false" outlineLevel="0" collapsed="false">
      <c r="A441" s="16" t="n">
        <v>42447</v>
      </c>
      <c r="B441" s="23" t="n">
        <f aca="false">YEAR(A441)</f>
        <v>2016</v>
      </c>
      <c r="C441" s="17" t="n">
        <v>409.65</v>
      </c>
      <c r="D441" s="23" t="n">
        <f aca="false">A441-A440</f>
        <v>1</v>
      </c>
      <c r="E441" s="24" t="n">
        <f aca="false">LN(C441)</f>
        <v>6.01530313658782</v>
      </c>
      <c r="F441" s="25" t="n">
        <f aca="false">LN(C441/C440)</f>
        <v>-0.0211586764508892</v>
      </c>
      <c r="G441" s="25" t="n">
        <f aca="false">IF(AND(D441=1,A441&gt;=$R$2),F441,"")</f>
        <v>-0.0211586764508892</v>
      </c>
      <c r="H441" s="27" t="n">
        <f aca="false">IF(G441="","",G441^2)</f>
        <v>0.000447689589153412</v>
      </c>
      <c r="I441" s="25" t="n">
        <f aca="false">IF(G441="","",C441/C440-1)</f>
        <v>-0.0209364020936403</v>
      </c>
      <c r="J441" s="17" t="n">
        <f aca="false">AVERAGE(C242:C441)</f>
        <v>354.0356</v>
      </c>
      <c r="K441" s="17" t="n">
        <f aca="false">MAX(K440,C441)</f>
        <v>464.27</v>
      </c>
      <c r="L441" s="25" t="n">
        <f aca="false">C441/K441-1</f>
        <v>-0.117647058823529</v>
      </c>
      <c r="M441" s="25" t="n">
        <f aca="false">IF(COUNT(G412:G441)&lt;20,"",_xlfn.STDEV.S(G412:G441)*SQRT($R$3))</f>
        <v>0.323699028759142</v>
      </c>
      <c r="N441" s="25" t="n">
        <f aca="false">IF(A441-7&lt;$R$2,"",C441/INDEX(Clean_Data!$C$2:$C$4314,MATCH(A441-7,Clean_Data!$A$2:$A$4314,1))-1)</f>
        <v>-0.0232242065857555</v>
      </c>
      <c r="O441" s="25" t="n">
        <f aca="false">IF(A441-30&lt;$R$2,"",C441/INDEX(Clean_Data!$C$2:$C$4314,MATCH(A441-30,Clean_Data!$A$2:$A$4314,1))-1)</f>
        <v>-0.0133670520231214</v>
      </c>
    </row>
    <row r="442" customFormat="false" ht="15" hidden="false" customHeight="false" outlineLevel="0" collapsed="false">
      <c r="A442" s="16" t="n">
        <v>42448</v>
      </c>
      <c r="B442" s="23" t="n">
        <f aca="false">YEAR(A442)</f>
        <v>2016</v>
      </c>
      <c r="C442" s="17" t="n">
        <v>410.2</v>
      </c>
      <c r="D442" s="23" t="n">
        <f aca="false">A442-A441</f>
        <v>1</v>
      </c>
      <c r="E442" s="24" t="n">
        <f aca="false">LN(C442)</f>
        <v>6.01664484563828</v>
      </c>
      <c r="F442" s="25" t="n">
        <f aca="false">LN(C442/C441)</f>
        <v>0.00134170905045653</v>
      </c>
      <c r="G442" s="25" t="n">
        <f aca="false">IF(AND(D442=1,A442&gt;=$R$2),F442,"")</f>
        <v>0.00134170905045653</v>
      </c>
      <c r="H442" s="27" t="n">
        <f aca="false">IF(G442="","",G442^2)</f>
        <v>1.80018317607696E-006</v>
      </c>
      <c r="I442" s="25" t="n">
        <f aca="false">IF(G442="","",C442/C441-1)</f>
        <v>0.00134260954473331</v>
      </c>
      <c r="J442" s="17" t="n">
        <f aca="false">AVERAGE(C243:C442)</f>
        <v>354.9455</v>
      </c>
      <c r="K442" s="17" t="n">
        <f aca="false">MAX(K441,C442)</f>
        <v>464.27</v>
      </c>
      <c r="L442" s="25" t="n">
        <f aca="false">C442/K442-1</f>
        <v>-0.116462403342882</v>
      </c>
      <c r="M442" s="25" t="n">
        <f aca="false">IF(COUNT(G413:G442)&lt;20,"",_xlfn.STDEV.S(G413:G442)*SQRT($R$3))</f>
        <v>0.31938085445098</v>
      </c>
      <c r="N442" s="25" t="n">
        <f aca="false">IF(A442-7&lt;$R$2,"",C442/INDEX(Clean_Data!$C$2:$C$4314,MATCH(A442-7,Clean_Data!$A$2:$A$4314,1))-1)</f>
        <v>-0.000925519996103019</v>
      </c>
      <c r="O442" s="25" t="n">
        <f aca="false">IF(A442-30&lt;$R$2,"",C442/INDEX(Clean_Data!$C$2:$C$4314,MATCH(A442-30,Clean_Data!$A$2:$A$4314,1))-1)</f>
        <v>-0.026092737244474</v>
      </c>
    </row>
    <row r="443" customFormat="false" ht="15" hidden="false" customHeight="false" outlineLevel="0" collapsed="false">
      <c r="A443" s="16" t="n">
        <v>42449</v>
      </c>
      <c r="B443" s="23" t="n">
        <f aca="false">YEAR(A443)</f>
        <v>2016</v>
      </c>
      <c r="C443" s="17" t="n">
        <v>411.27</v>
      </c>
      <c r="D443" s="23" t="n">
        <f aca="false">A443-A442</f>
        <v>1</v>
      </c>
      <c r="E443" s="24" t="n">
        <f aca="false">LN(C443)</f>
        <v>6.01924993311592</v>
      </c>
      <c r="F443" s="25" t="n">
        <f aca="false">LN(C443/C442)</f>
        <v>0.00260508747763836</v>
      </c>
      <c r="G443" s="25" t="n">
        <f aca="false">IF(AND(D443=1,A443&gt;=$R$2),F443,"")</f>
        <v>0.00260508747763836</v>
      </c>
      <c r="H443" s="27" t="n">
        <f aca="false">IF(G443="","",G443^2)</f>
        <v>6.78648076614819E-006</v>
      </c>
      <c r="I443" s="25" t="n">
        <f aca="false">IF(G443="","",C443/C442-1)</f>
        <v>0.00260848366650412</v>
      </c>
      <c r="J443" s="17" t="n">
        <f aca="false">AVERAGE(C244:C443)</f>
        <v>355.852</v>
      </c>
      <c r="K443" s="17" t="n">
        <f aca="false">MAX(K442,C443)</f>
        <v>464.27</v>
      </c>
      <c r="L443" s="25" t="n">
        <f aca="false">C443/K443-1</f>
        <v>-0.11415770995326</v>
      </c>
      <c r="M443" s="25" t="n">
        <f aca="false">IF(COUNT(G414:G443)&lt;20,"",_xlfn.STDEV.S(G414:G443)*SQRT($R$3))</f>
        <v>0.319610087118599</v>
      </c>
      <c r="N443" s="25" t="n">
        <f aca="false">IF(A443-7&lt;$R$2,"",C443/INDEX(Clean_Data!$C$2:$C$4314,MATCH(A443-7,Clean_Data!$A$2:$A$4314,1))-1)</f>
        <v>-0.00303015611364299</v>
      </c>
      <c r="O443" s="25" t="n">
        <f aca="false">IF(A443-30&lt;$R$2,"",C443/INDEX(Clean_Data!$C$2:$C$4314,MATCH(A443-30,Clean_Data!$A$2:$A$4314,1))-1)</f>
        <v>-0.0224614945807189</v>
      </c>
    </row>
    <row r="444" customFormat="false" ht="15" hidden="false" customHeight="false" outlineLevel="0" collapsed="false">
      <c r="A444" s="16" t="n">
        <v>42450</v>
      </c>
      <c r="B444" s="23" t="n">
        <f aca="false">YEAR(A444)</f>
        <v>2016</v>
      </c>
      <c r="C444" s="17" t="n">
        <v>412</v>
      </c>
      <c r="D444" s="23" t="n">
        <f aca="false">A444-A443</f>
        <v>1</v>
      </c>
      <c r="E444" s="24" t="n">
        <f aca="false">LN(C444)</f>
        <v>6.02102334934953</v>
      </c>
      <c r="F444" s="25" t="n">
        <f aca="false">LN(C444/C443)</f>
        <v>0.0017734162336078</v>
      </c>
      <c r="G444" s="25" t="n">
        <f aca="false">IF(AND(D444=1,A444&gt;=$R$2),F444,"")</f>
        <v>0.0017734162336078</v>
      </c>
      <c r="H444" s="27" t="n">
        <f aca="false">IF(G444="","",G444^2)</f>
        <v>3.14500513762367E-006</v>
      </c>
      <c r="I444" s="25" t="n">
        <f aca="false">IF(G444="","",C444/C443-1)</f>
        <v>0.00177498966615608</v>
      </c>
      <c r="J444" s="17" t="n">
        <f aca="false">AVERAGE(C245:C444)</f>
        <v>356.77575</v>
      </c>
      <c r="K444" s="17" t="n">
        <f aca="false">MAX(K443,C444)</f>
        <v>464.27</v>
      </c>
      <c r="L444" s="25" t="n">
        <f aca="false">C444/K444-1</f>
        <v>-0.112585349042583</v>
      </c>
      <c r="M444" s="25" t="n">
        <f aca="false">IF(COUNT(G415:G444)&lt;20,"",_xlfn.STDEV.S(G415:G444)*SQRT($R$3))</f>
        <v>0.28589725255539</v>
      </c>
      <c r="N444" s="25" t="n">
        <f aca="false">IF(A444-7&lt;$R$2,"",C444/INDEX(Clean_Data!$C$2:$C$4314,MATCH(A444-7,Clean_Data!$A$2:$A$4314,1))-1)</f>
        <v>-0.00727675774661463</v>
      </c>
      <c r="O444" s="25" t="n">
        <f aca="false">IF(A444-30&lt;$R$2,"",C444/INDEX(Clean_Data!$C$2:$C$4314,MATCH(A444-30,Clean_Data!$A$2:$A$4314,1))-1)</f>
        <v>-0.0581996068211951</v>
      </c>
    </row>
    <row r="445" customFormat="false" ht="15" hidden="false" customHeight="false" outlineLevel="0" collapsed="false">
      <c r="A445" s="16" t="n">
        <v>42451</v>
      </c>
      <c r="B445" s="23" t="n">
        <f aca="false">YEAR(A445)</f>
        <v>2016</v>
      </c>
      <c r="C445" s="17" t="n">
        <v>416.66</v>
      </c>
      <c r="D445" s="23" t="n">
        <f aca="false">A445-A444</f>
        <v>1</v>
      </c>
      <c r="E445" s="24" t="n">
        <f aca="false">LN(C445)</f>
        <v>6.03227054150024</v>
      </c>
      <c r="F445" s="25" t="n">
        <f aca="false">LN(C445/C444)</f>
        <v>0.0112471921507093</v>
      </c>
      <c r="G445" s="25" t="n">
        <f aca="false">IF(AND(D445=1,A445&gt;=$R$2),F445,"")</f>
        <v>0.0112471921507093</v>
      </c>
      <c r="H445" s="27" t="n">
        <f aca="false">IF(G445="","",G445^2)</f>
        <v>0.000126499331274977</v>
      </c>
      <c r="I445" s="25" t="n">
        <f aca="false">IF(G445="","",C445/C444-1)</f>
        <v>0.0113106796116504</v>
      </c>
      <c r="J445" s="17" t="n">
        <f aca="false">AVERAGE(C246:C445)</f>
        <v>357.7021</v>
      </c>
      <c r="K445" s="17" t="n">
        <f aca="false">MAX(K444,C445)</f>
        <v>464.27</v>
      </c>
      <c r="L445" s="25" t="n">
        <f aca="false">C445/K445-1</f>
        <v>-0.102548086242919</v>
      </c>
      <c r="M445" s="25" t="n">
        <f aca="false">IF(COUNT(G416:G445)&lt;20,"",_xlfn.STDEV.S(G416:G445)*SQRT($R$3))</f>
        <v>0.289236085682666</v>
      </c>
      <c r="N445" s="25" t="n">
        <f aca="false">IF(A445-7&lt;$R$2,"",C445/INDEX(Clean_Data!$C$2:$C$4314,MATCH(A445-7,Clean_Data!$A$2:$A$4314,1))-1)</f>
        <v>0.00300907537131989</v>
      </c>
      <c r="O445" s="25" t="n">
        <f aca="false">IF(A445-30&lt;$R$2,"",C445/INDEX(Clean_Data!$C$2:$C$4314,MATCH(A445-30,Clean_Data!$A$2:$A$4314,1))-1)</f>
        <v>-0.04993615468807</v>
      </c>
    </row>
    <row r="446" customFormat="false" ht="15" hidden="false" customHeight="false" outlineLevel="0" collapsed="false">
      <c r="A446" s="16" t="n">
        <v>42452</v>
      </c>
      <c r="B446" s="23" t="n">
        <f aca="false">YEAR(A446)</f>
        <v>2016</v>
      </c>
      <c r="C446" s="17" t="n">
        <v>417.53</v>
      </c>
      <c r="D446" s="23" t="n">
        <f aca="false">A446-A445</f>
        <v>1</v>
      </c>
      <c r="E446" s="24" t="n">
        <f aca="false">LN(C446)</f>
        <v>6.0343563979968</v>
      </c>
      <c r="F446" s="25" t="n">
        <f aca="false">LN(C446/C445)</f>
        <v>0.00208585649656015</v>
      </c>
      <c r="G446" s="25" t="n">
        <f aca="false">IF(AND(D446=1,A446&gt;=$R$2),F446,"")</f>
        <v>0.00208585649656015</v>
      </c>
      <c r="H446" s="27" t="n">
        <f aca="false">IF(G446="","",G446^2)</f>
        <v>4.35079732424219E-006</v>
      </c>
      <c r="I446" s="25" t="n">
        <f aca="false">IF(G446="","",C446/C445-1)</f>
        <v>0.00208803340853447</v>
      </c>
      <c r="J446" s="17" t="n">
        <f aca="false">AVERAGE(C247:C446)</f>
        <v>358.6097</v>
      </c>
      <c r="K446" s="17" t="n">
        <f aca="false">MAX(K445,C446)</f>
        <v>464.27</v>
      </c>
      <c r="L446" s="25" t="n">
        <f aca="false">C446/K446-1</f>
        <v>-0.100674176664441</v>
      </c>
      <c r="M446" s="25" t="n">
        <f aca="false">IF(COUNT(G417:G446)&lt;20,"",_xlfn.STDEV.S(G417:G446)*SQRT($R$3))</f>
        <v>0.28952725798588</v>
      </c>
      <c r="N446" s="25" t="n">
        <f aca="false">IF(A446-7&lt;$R$2,"",C446/INDEX(Clean_Data!$C$2:$C$4314,MATCH(A446-7,Clean_Data!$A$2:$A$4314,1))-1)</f>
        <v>0.00350902492369065</v>
      </c>
      <c r="O446" s="25" t="n">
        <f aca="false">IF(A446-30&lt;$R$2,"",C446/INDEX(Clean_Data!$C$2:$C$4314,MATCH(A446-30,Clean_Data!$A$2:$A$4314,1))-1)</f>
        <v>-0.0457547708833277</v>
      </c>
    </row>
    <row r="447" customFormat="false" ht="15" hidden="false" customHeight="false" outlineLevel="0" collapsed="false">
      <c r="A447" s="16" t="n">
        <v>42453</v>
      </c>
      <c r="B447" s="23" t="n">
        <f aca="false">YEAR(A447)</f>
        <v>2016</v>
      </c>
      <c r="C447" s="17" t="n">
        <v>412.95</v>
      </c>
      <c r="D447" s="23" t="n">
        <f aca="false">A447-A446</f>
        <v>1</v>
      </c>
      <c r="E447" s="24" t="n">
        <f aca="false">LN(C447)</f>
        <v>6.02332652025673</v>
      </c>
      <c r="F447" s="25" t="n">
        <f aca="false">LN(C447/C446)</f>
        <v>-0.0110298777400699</v>
      </c>
      <c r="G447" s="25" t="n">
        <f aca="false">IF(AND(D447=1,A447&gt;=$R$2),F447,"")</f>
        <v>-0.0110298777400699</v>
      </c>
      <c r="H447" s="27" t="n">
        <f aca="false">IF(G447="","",G447^2)</f>
        <v>0.000121658202960889</v>
      </c>
      <c r="I447" s="25" t="n">
        <f aca="false">IF(G447="","",C447/C446-1)</f>
        <v>-0.0109692716691016</v>
      </c>
      <c r="J447" s="17" t="n">
        <f aca="false">AVERAGE(C248:C447)</f>
        <v>359.468</v>
      </c>
      <c r="K447" s="17" t="n">
        <f aca="false">MAX(K446,C447)</f>
        <v>464.27</v>
      </c>
      <c r="L447" s="25" t="n">
        <f aca="false">C447/K447-1</f>
        <v>-0.110539125939647</v>
      </c>
      <c r="M447" s="25" t="n">
        <f aca="false">IF(COUNT(G418:G447)&lt;20,"",_xlfn.STDEV.S(G418:G447)*SQRT($R$3))</f>
        <v>0.254937094127166</v>
      </c>
      <c r="N447" s="25" t="n">
        <f aca="false">IF(A447-7&lt;$R$2,"",C447/INDEX(Clean_Data!$C$2:$C$4314,MATCH(A447-7,Clean_Data!$A$2:$A$4314,1))-1)</f>
        <v>-0.0130494013049403</v>
      </c>
      <c r="O447" s="25" t="n">
        <f aca="false">IF(A447-30&lt;$R$2,"",C447/INDEX(Clean_Data!$C$2:$C$4314,MATCH(A447-30,Clean_Data!$A$2:$A$4314,1))-1)</f>
        <v>-0.0167154796771198</v>
      </c>
    </row>
    <row r="448" customFormat="false" ht="15" hidden="false" customHeight="false" outlineLevel="0" collapsed="false">
      <c r="A448" s="16" t="n">
        <v>42454</v>
      </c>
      <c r="B448" s="23" t="n">
        <f aca="false">YEAR(A448)</f>
        <v>2016</v>
      </c>
      <c r="C448" s="17" t="n">
        <v>416.41</v>
      </c>
      <c r="D448" s="23" t="n">
        <f aca="false">A448-A447</f>
        <v>1</v>
      </c>
      <c r="E448" s="24" t="n">
        <f aca="false">LN(C448)</f>
        <v>6.03167035182229</v>
      </c>
      <c r="F448" s="25" t="n">
        <f aca="false">LN(C448/C447)</f>
        <v>0.00834383156556013</v>
      </c>
      <c r="G448" s="25" t="n">
        <f aca="false">IF(AND(D448=1,A448&gt;=$R$2),F448,"")</f>
        <v>0.00834383156556013</v>
      </c>
      <c r="H448" s="27" t="n">
        <f aca="false">IF(G448="","",G448^2)</f>
        <v>6.96195251944376E-005</v>
      </c>
      <c r="I448" s="25" t="n">
        <f aca="false">IF(G448="","",C448/C447-1)</f>
        <v>0.00837873834604674</v>
      </c>
      <c r="J448" s="17" t="n">
        <f aca="false">AVERAGE(C249:C448)</f>
        <v>360.3435</v>
      </c>
      <c r="K448" s="17" t="n">
        <f aca="false">MAX(K447,C448)</f>
        <v>464.27</v>
      </c>
      <c r="L448" s="25" t="n">
        <f aca="false">C448/K448-1</f>
        <v>-0.103086566006849</v>
      </c>
      <c r="M448" s="25" t="n">
        <f aca="false">IF(COUNT(G419:G448)&lt;20,"",_xlfn.STDEV.S(G419:G448)*SQRT($R$3))</f>
        <v>0.25443951082325</v>
      </c>
      <c r="N448" s="25" t="n">
        <f aca="false">IF(A448-7&lt;$R$2,"",C448/INDEX(Clean_Data!$C$2:$C$4314,MATCH(A448-7,Clean_Data!$A$2:$A$4314,1))-1)</f>
        <v>0.0165018918589042</v>
      </c>
      <c r="O448" s="25" t="n">
        <f aca="false">IF(A448-30&lt;$R$2,"",C448/INDEX(Clean_Data!$C$2:$C$4314,MATCH(A448-30,Clean_Data!$A$2:$A$4314,1))-1)</f>
        <v>-0.0177619474453932</v>
      </c>
    </row>
    <row r="449" customFormat="false" ht="15" hidden="false" customHeight="false" outlineLevel="0" collapsed="false">
      <c r="A449" s="16" t="n">
        <v>42455</v>
      </c>
      <c r="B449" s="23" t="n">
        <f aca="false">YEAR(A449)</f>
        <v>2016</v>
      </c>
      <c r="C449" s="17" t="n">
        <v>416.97</v>
      </c>
      <c r="D449" s="23" t="n">
        <f aca="false">A449-A448</f>
        <v>1</v>
      </c>
      <c r="E449" s="24" t="n">
        <f aca="false">LN(C449)</f>
        <v>6.03301427676478</v>
      </c>
      <c r="F449" s="25" t="n">
        <f aca="false">LN(C449/C448)</f>
        <v>0.00134392494249021</v>
      </c>
      <c r="G449" s="25" t="n">
        <f aca="false">IF(AND(D449=1,A449&gt;=$R$2),F449,"")</f>
        <v>0.00134392494249021</v>
      </c>
      <c r="H449" s="27" t="n">
        <f aca="false">IF(G449="","",G449^2)</f>
        <v>1.80613425104731E-006</v>
      </c>
      <c r="I449" s="25" t="n">
        <f aca="false">IF(G449="","",C449/C448-1)</f>
        <v>0.00134482841430317</v>
      </c>
      <c r="J449" s="17" t="n">
        <f aca="false">AVERAGE(C250:C449)</f>
        <v>361.20765</v>
      </c>
      <c r="K449" s="17" t="n">
        <f aca="false">MAX(K448,C449)</f>
        <v>464.27</v>
      </c>
      <c r="L449" s="25" t="n">
        <f aca="false">C449/K449-1</f>
        <v>-0.101880371335645</v>
      </c>
      <c r="M449" s="25" t="n">
        <f aca="false">IF(COUNT(G420:G449)&lt;20,"",_xlfn.STDEV.S(G420:G449)*SQRT($R$3))</f>
        <v>0.254525421482567</v>
      </c>
      <c r="N449" s="25" t="n">
        <f aca="false">IF(A449-7&lt;$R$2,"",C449/INDEX(Clean_Data!$C$2:$C$4314,MATCH(A449-7,Clean_Data!$A$2:$A$4314,1))-1)</f>
        <v>0.0165041443198442</v>
      </c>
      <c r="O449" s="25" t="n">
        <f aca="false">IF(A449-30&lt;$R$2,"",C449/INDEX(Clean_Data!$C$2:$C$4314,MATCH(A449-30,Clean_Data!$A$2:$A$4314,1))-1)</f>
        <v>-0.0155121121971951</v>
      </c>
    </row>
    <row r="450" customFormat="false" ht="15" hidden="false" customHeight="false" outlineLevel="0" collapsed="false">
      <c r="A450" s="16" t="n">
        <v>42456</v>
      </c>
      <c r="B450" s="23" t="n">
        <f aca="false">YEAR(A450)</f>
        <v>2016</v>
      </c>
      <c r="C450" s="17" t="n">
        <v>425.3</v>
      </c>
      <c r="D450" s="23" t="n">
        <f aca="false">A450-A449</f>
        <v>1</v>
      </c>
      <c r="E450" s="24" t="n">
        <f aca="false">LN(C450)</f>
        <v>6.05279480225959</v>
      </c>
      <c r="F450" s="25" t="n">
        <f aca="false">LN(C450/C449)</f>
        <v>0.0197805254948115</v>
      </c>
      <c r="G450" s="25" t="n">
        <f aca="false">IF(AND(D450=1,A450&gt;=$R$2),F450,"")</f>
        <v>0.0197805254948115</v>
      </c>
      <c r="H450" s="27" t="n">
        <f aca="false">IF(G450="","",G450^2)</f>
        <v>0.000391269188850889</v>
      </c>
      <c r="I450" s="25" t="n">
        <f aca="false">IF(G450="","",C450/C449-1)</f>
        <v>0.0199774564117323</v>
      </c>
      <c r="J450" s="17" t="n">
        <f aca="false">AVERAGE(C251:C450)</f>
        <v>362.1404</v>
      </c>
      <c r="K450" s="17" t="n">
        <f aca="false">MAX(K449,C450)</f>
        <v>464.27</v>
      </c>
      <c r="L450" s="25" t="n">
        <f aca="false">C450/K450-1</f>
        <v>-0.0839382256014818</v>
      </c>
      <c r="M450" s="25" t="n">
        <f aca="false">IF(COUNT(G421:G450)&lt;20,"",_xlfn.STDEV.S(G421:G450)*SQRT($R$3))</f>
        <v>0.257010281909319</v>
      </c>
      <c r="N450" s="25" t="n">
        <f aca="false">IF(A450-7&lt;$R$2,"",C450/INDEX(Clean_Data!$C$2:$C$4314,MATCH(A450-7,Clean_Data!$A$2:$A$4314,1))-1)</f>
        <v>0.0341138424879035</v>
      </c>
      <c r="O450" s="25" t="n">
        <f aca="false">IF(A450-30&lt;$R$2,"",C450/INDEX(Clean_Data!$C$2:$C$4314,MATCH(A450-30,Clean_Data!$A$2:$A$4314,1))-1)</f>
        <v>-0.0128815132876872</v>
      </c>
    </row>
    <row r="451" customFormat="false" ht="15" hidden="false" customHeight="false" outlineLevel="0" collapsed="false">
      <c r="A451" s="16" t="n">
        <v>42457</v>
      </c>
      <c r="B451" s="23" t="n">
        <f aca="false">YEAR(A451)</f>
        <v>2016</v>
      </c>
      <c r="C451" s="17" t="n">
        <v>423</v>
      </c>
      <c r="D451" s="23" t="n">
        <f aca="false">A451-A450</f>
        <v>1</v>
      </c>
      <c r="E451" s="24" t="n">
        <f aca="false">LN(C451)</f>
        <v>6.04737217904628</v>
      </c>
      <c r="F451" s="25" t="n">
        <f aca="false">LN(C451/C450)</f>
        <v>-0.0054226232133099</v>
      </c>
      <c r="G451" s="25" t="n">
        <f aca="false">IF(AND(D451=1,A451&gt;=$R$2),F451,"")</f>
        <v>-0.0054226232133099</v>
      </c>
      <c r="H451" s="27" t="n">
        <f aca="false">IF(G451="","",G451^2)</f>
        <v>2.94048425135273E-005</v>
      </c>
      <c r="I451" s="25" t="n">
        <f aca="false">IF(G451="","",C451/C450-1)</f>
        <v>-0.00540794733129557</v>
      </c>
      <c r="J451" s="17" t="n">
        <f aca="false">AVERAGE(C252:C451)</f>
        <v>363.0628</v>
      </c>
      <c r="K451" s="17" t="n">
        <f aca="false">MAX(K450,C451)</f>
        <v>464.27</v>
      </c>
      <c r="L451" s="25" t="n">
        <f aca="false">C451/K451-1</f>
        <v>-0.0888922394296422</v>
      </c>
      <c r="M451" s="25" t="n">
        <f aca="false">IF(COUNT(G422:G451)&lt;20,"",_xlfn.STDEV.S(G422:G451)*SQRT($R$3))</f>
        <v>0.256734972459961</v>
      </c>
      <c r="N451" s="25" t="n">
        <f aca="false">IF(A451-7&lt;$R$2,"",C451/INDEX(Clean_Data!$C$2:$C$4314,MATCH(A451-7,Clean_Data!$A$2:$A$4314,1))-1)</f>
        <v>0.0266990291262137</v>
      </c>
      <c r="O451" s="25" t="n">
        <f aca="false">IF(A451-30&lt;$R$2,"",C451/INDEX(Clean_Data!$C$2:$C$4314,MATCH(A451-30,Clean_Data!$A$2:$A$4314,1))-1)</f>
        <v>-0.023365349094939</v>
      </c>
    </row>
    <row r="452" customFormat="false" ht="15" hidden="false" customHeight="false" outlineLevel="0" collapsed="false">
      <c r="A452" s="16" t="n">
        <v>42458</v>
      </c>
      <c r="B452" s="23" t="n">
        <f aca="false">YEAR(A452)</f>
        <v>2016</v>
      </c>
      <c r="C452" s="17" t="n">
        <v>416.39</v>
      </c>
      <c r="D452" s="23" t="n">
        <f aca="false">A452-A451</f>
        <v>1</v>
      </c>
      <c r="E452" s="24" t="n">
        <f aca="false">LN(C452)</f>
        <v>6.0316223210826</v>
      </c>
      <c r="F452" s="25" t="n">
        <f aca="false">LN(C452/C451)</f>
        <v>-0.0157498579636744</v>
      </c>
      <c r="G452" s="25" t="n">
        <f aca="false">IF(AND(D452=1,A452&gt;=$R$2),F452,"")</f>
        <v>-0.0157498579636744</v>
      </c>
      <c r="H452" s="27" t="n">
        <f aca="false">IF(G452="","",G452^2)</f>
        <v>0.000248058025875919</v>
      </c>
      <c r="I452" s="25" t="n">
        <f aca="false">IF(G452="","",C452/C451-1)</f>
        <v>-0.0156264775413711</v>
      </c>
      <c r="J452" s="17" t="n">
        <f aca="false">AVERAGE(C253:C452)</f>
        <v>363.94025</v>
      </c>
      <c r="K452" s="17" t="n">
        <f aca="false">MAX(K451,C452)</f>
        <v>464.27</v>
      </c>
      <c r="L452" s="25" t="n">
        <f aca="false">C452/K452-1</f>
        <v>-0.103129644387964</v>
      </c>
      <c r="M452" s="25" t="n">
        <f aca="false">IF(COUNT(G423:G452)&lt;20,"",_xlfn.STDEV.S(G423:G452)*SQRT($R$3))</f>
        <v>0.261813211747936</v>
      </c>
      <c r="N452" s="25" t="n">
        <f aca="false">IF(A452-7&lt;$R$2,"",C452/INDEX(Clean_Data!$C$2:$C$4314,MATCH(A452-7,Clean_Data!$A$2:$A$4314,1))-1)</f>
        <v>-0.000648010368165974</v>
      </c>
      <c r="O452" s="25" t="n">
        <f aca="false">IF(A452-30&lt;$R$2,"",C452/INDEX(Clean_Data!$C$2:$C$4314,MATCH(A452-30,Clean_Data!$A$2:$A$4314,1))-1)</f>
        <v>-0.0399787886473152</v>
      </c>
    </row>
    <row r="453" customFormat="false" ht="15" hidden="false" customHeight="false" outlineLevel="0" collapsed="false">
      <c r="A453" s="16" t="n">
        <v>42459</v>
      </c>
      <c r="B453" s="23" t="n">
        <f aca="false">YEAR(A453)</f>
        <v>2016</v>
      </c>
      <c r="C453" s="17" t="n">
        <v>412.79</v>
      </c>
      <c r="D453" s="23" t="n">
        <f aca="false">A453-A452</f>
        <v>1</v>
      </c>
      <c r="E453" s="24" t="n">
        <f aca="false">LN(C453)</f>
        <v>6.02293898906773</v>
      </c>
      <c r="F453" s="25" t="n">
        <f aca="false">LN(C453/C452)</f>
        <v>-0.00868333201487733</v>
      </c>
      <c r="G453" s="25" t="n">
        <f aca="false">IF(AND(D453=1,A453&gt;=$R$2),F453,"")</f>
        <v>-0.00868333201487733</v>
      </c>
      <c r="H453" s="27" t="n">
        <f aca="false">IF(G453="","",G453^2)</f>
        <v>7.54002548805936E-005</v>
      </c>
      <c r="I453" s="25" t="n">
        <f aca="false">IF(G453="","",C453/C452-1)</f>
        <v>-0.00864574077187241</v>
      </c>
      <c r="J453" s="17" t="n">
        <f aca="false">AVERAGE(C254:C453)</f>
        <v>364.8217</v>
      </c>
      <c r="K453" s="17" t="n">
        <f aca="false">MAX(K452,C453)</f>
        <v>464.27</v>
      </c>
      <c r="L453" s="25" t="n">
        <f aca="false">C453/K453-1</f>
        <v>-0.110883752988563</v>
      </c>
      <c r="M453" s="25" t="n">
        <f aca="false">IF(COUNT(G424:G453)&lt;20,"",_xlfn.STDEV.S(G424:G453)*SQRT($R$3))</f>
        <v>0.261539792526415</v>
      </c>
      <c r="N453" s="25" t="n">
        <f aca="false">IF(A453-7&lt;$R$2,"",C453/INDEX(Clean_Data!$C$2:$C$4314,MATCH(A453-7,Clean_Data!$A$2:$A$4314,1))-1)</f>
        <v>-0.0113524776662753</v>
      </c>
      <c r="O453" s="25" t="n">
        <f aca="false">IF(A453-30&lt;$R$2,"",C453/INDEX(Clean_Data!$C$2:$C$4314,MATCH(A453-30,Clean_Data!$A$2:$A$4314,1))-1)</f>
        <v>-0.0541884336907708</v>
      </c>
    </row>
    <row r="454" customFormat="false" ht="15" hidden="false" customHeight="false" outlineLevel="0" collapsed="false">
      <c r="A454" s="16" t="n">
        <v>42460</v>
      </c>
      <c r="B454" s="23" t="n">
        <f aca="false">YEAR(A454)</f>
        <v>2016</v>
      </c>
      <c r="C454" s="17" t="n">
        <v>416.03</v>
      </c>
      <c r="D454" s="23" t="n">
        <f aca="false">A454-A453</f>
        <v>1</v>
      </c>
      <c r="E454" s="24" t="n">
        <f aca="false">LN(C454)</f>
        <v>6.03075737304569</v>
      </c>
      <c r="F454" s="25" t="n">
        <f aca="false">LN(C454/C453)</f>
        <v>0.00781838397796305</v>
      </c>
      <c r="G454" s="25" t="n">
        <f aca="false">IF(AND(D454=1,A454&gt;=$R$2),F454,"")</f>
        <v>0.00781838397796305</v>
      </c>
      <c r="H454" s="27" t="n">
        <f aca="false">IF(G454="","",G454^2)</f>
        <v>6.11271280268693E-005</v>
      </c>
      <c r="I454" s="25" t="n">
        <f aca="false">IF(G454="","",C454/C453-1)</f>
        <v>0.00784902735046855</v>
      </c>
      <c r="J454" s="17" t="n">
        <f aca="false">AVERAGE(C255:C454)</f>
        <v>365.74775</v>
      </c>
      <c r="K454" s="17" t="n">
        <f aca="false">MAX(K453,C454)</f>
        <v>464.27</v>
      </c>
      <c r="L454" s="25" t="n">
        <f aca="false">C454/K454-1</f>
        <v>-0.103905055248024</v>
      </c>
      <c r="M454" s="25" t="n">
        <f aca="false">IF(COUNT(G425:G454)&lt;20,"",_xlfn.STDEV.S(G425:G454)*SQRT($R$3))</f>
        <v>0.262766098318261</v>
      </c>
      <c r="N454" s="25" t="n">
        <f aca="false">IF(A454-7&lt;$R$2,"",C454/INDEX(Clean_Data!$C$2:$C$4314,MATCH(A454-7,Clean_Data!$A$2:$A$4314,1))-1)</f>
        <v>0.00745853008838848</v>
      </c>
      <c r="O454" s="25" t="n">
        <f aca="false">IF(A454-30&lt;$R$2,"",C454/INDEX(Clean_Data!$C$2:$C$4314,MATCH(A454-30,Clean_Data!$A$2:$A$4314,1))-1)</f>
        <v>-0.0393691696684215</v>
      </c>
    </row>
    <row r="455" customFormat="false" ht="15" hidden="false" customHeight="false" outlineLevel="0" collapsed="false">
      <c r="A455" s="16" t="n">
        <v>42461</v>
      </c>
      <c r="B455" s="23" t="n">
        <f aca="false">YEAR(A455)</f>
        <v>2016</v>
      </c>
      <c r="C455" s="17" t="n">
        <v>417.68</v>
      </c>
      <c r="D455" s="23" t="n">
        <f aca="false">A455-A454</f>
        <v>1</v>
      </c>
      <c r="E455" s="24" t="n">
        <f aca="false">LN(C455)</f>
        <v>6.0347155891023</v>
      </c>
      <c r="F455" s="25" t="n">
        <f aca="false">LN(C455/C454)</f>
        <v>0.00395821605660771</v>
      </c>
      <c r="G455" s="25" t="n">
        <f aca="false">IF(AND(D455=1,A455&gt;=$R$2),F455,"")</f>
        <v>0.00395821605660771</v>
      </c>
      <c r="H455" s="27" t="n">
        <f aca="false">IF(G455="","",G455^2)</f>
        <v>1.56674743507871E-005</v>
      </c>
      <c r="I455" s="25" t="n">
        <f aca="false">IF(G455="","",C455/C454-1)</f>
        <v>0.00396606013989387</v>
      </c>
      <c r="J455" s="17" t="n">
        <f aca="false">AVERAGE(C256:C455)</f>
        <v>366.6811</v>
      </c>
      <c r="K455" s="17" t="n">
        <f aca="false">MAX(K454,C455)</f>
        <v>464.27</v>
      </c>
      <c r="L455" s="25" t="n">
        <f aca="false">C455/K455-1</f>
        <v>-0.100351088806083</v>
      </c>
      <c r="M455" s="25" t="n">
        <f aca="false">IF(COUNT(G426:G455)&lt;20,"",_xlfn.STDEV.S(G426:G455)*SQRT($R$3))</f>
        <v>0.242426650311173</v>
      </c>
      <c r="N455" s="25" t="n">
        <f aca="false">IF(A455-7&lt;$R$2,"",C455/INDEX(Clean_Data!$C$2:$C$4314,MATCH(A455-7,Clean_Data!$A$2:$A$4314,1))-1)</f>
        <v>0.00304987872529483</v>
      </c>
      <c r="O455" s="25" t="n">
        <f aca="false">IF(A455-30&lt;$R$2,"",C455/INDEX(Clean_Data!$C$2:$C$4314,MATCH(A455-30,Clean_Data!$A$2:$A$4314,1))-1)</f>
        <v>-0.00644639501415345</v>
      </c>
    </row>
    <row r="456" customFormat="false" ht="15" hidden="false" customHeight="false" outlineLevel="0" collapsed="false">
      <c r="A456" s="16" t="n">
        <v>42462</v>
      </c>
      <c r="B456" s="23" t="n">
        <f aca="false">YEAR(A456)</f>
        <v>2016</v>
      </c>
      <c r="C456" s="17" t="n">
        <v>419.95</v>
      </c>
      <c r="D456" s="23" t="n">
        <f aca="false">A456-A455</f>
        <v>1</v>
      </c>
      <c r="E456" s="24" t="n">
        <f aca="false">LN(C456)</f>
        <v>6.04013565657164</v>
      </c>
      <c r="F456" s="25" t="n">
        <f aca="false">LN(C456/C455)</f>
        <v>0.00542006746933911</v>
      </c>
      <c r="G456" s="25" t="n">
        <f aca="false">IF(AND(D456=1,A456&gt;=$R$2),F456,"")</f>
        <v>0.00542006746933911</v>
      </c>
      <c r="H456" s="27" t="n">
        <f aca="false">IF(G456="","",G456^2)</f>
        <v>2.93771313721881E-005</v>
      </c>
      <c r="I456" s="25" t="n">
        <f aca="false">IF(G456="","",C456/C455-1)</f>
        <v>0.00543478260869557</v>
      </c>
      <c r="J456" s="17" t="n">
        <f aca="false">AVERAGE(C257:C456)</f>
        <v>367.62785</v>
      </c>
      <c r="K456" s="17" t="n">
        <f aca="false">MAX(K455,C456)</f>
        <v>464.27</v>
      </c>
      <c r="L456" s="25" t="n">
        <f aca="false">C456/K456-1</f>
        <v>-0.095461692549594</v>
      </c>
      <c r="M456" s="25" t="n">
        <f aca="false">IF(COUNT(G427:G456)&lt;20,"",_xlfn.STDEV.S(G427:G456)*SQRT($R$3))</f>
        <v>0.242845816214786</v>
      </c>
      <c r="N456" s="25" t="n">
        <f aca="false">IF(A456-7&lt;$R$2,"",C456/INDEX(Clean_Data!$C$2:$C$4314,MATCH(A456-7,Clean_Data!$A$2:$A$4314,1))-1)</f>
        <v>0.00714679713168809</v>
      </c>
      <c r="O456" s="25" t="n">
        <f aca="false">IF(A456-30&lt;$R$2,"",C456/INDEX(Clean_Data!$C$2:$C$4314,MATCH(A456-30,Clean_Data!$A$2:$A$4314,1))-1)</f>
        <v>0.00274594078319002</v>
      </c>
    </row>
    <row r="457" customFormat="false" ht="15" hidden="false" customHeight="false" outlineLevel="0" collapsed="false">
      <c r="A457" s="16" t="n">
        <v>42463</v>
      </c>
      <c r="B457" s="23" t="n">
        <f aca="false">YEAR(A457)</f>
        <v>2016</v>
      </c>
      <c r="C457" s="17" t="n">
        <v>420.16</v>
      </c>
      <c r="D457" s="23" t="n">
        <f aca="false">A457-A456</f>
        <v>1</v>
      </c>
      <c r="E457" s="24" t="n">
        <f aca="false">LN(C457)</f>
        <v>6.04063559111443</v>
      </c>
      <c r="F457" s="25" t="n">
        <f aca="false">LN(C457/C456)</f>
        <v>0.000499934542795306</v>
      </c>
      <c r="G457" s="25" t="n">
        <f aca="false">IF(AND(D457=1,A457&gt;=$R$2),F457,"")</f>
        <v>0.000499934542795306</v>
      </c>
      <c r="H457" s="27" t="n">
        <f aca="false">IF(G457="","",G457^2)</f>
        <v>2.49934547079952E-007</v>
      </c>
      <c r="I457" s="25" t="n">
        <f aca="false">IF(G457="","",C457/C456-1)</f>
        <v>0.000500059530896602</v>
      </c>
      <c r="J457" s="17" t="n">
        <f aca="false">AVERAGE(C258:C457)</f>
        <v>368.58</v>
      </c>
      <c r="K457" s="17" t="n">
        <f aca="false">MAX(K456,C457)</f>
        <v>464.27</v>
      </c>
      <c r="L457" s="25" t="n">
        <f aca="false">C457/K457-1</f>
        <v>-0.0950093695478923</v>
      </c>
      <c r="M457" s="25" t="n">
        <f aca="false">IF(COUNT(G428:G457)&lt;20,"",_xlfn.STDEV.S(G428:G457)*SQRT($R$3))</f>
        <v>0.221148052102977</v>
      </c>
      <c r="N457" s="25" t="n">
        <f aca="false">IF(A457-7&lt;$R$2,"",C457/INDEX(Clean_Data!$C$2:$C$4314,MATCH(A457-7,Clean_Data!$A$2:$A$4314,1))-1)</f>
        <v>-0.0120855866447214</v>
      </c>
      <c r="O457" s="25" t="n">
        <f aca="false">IF(A457-30&lt;$R$2,"",C457/INDEX(Clean_Data!$C$2:$C$4314,MATCH(A457-30,Clean_Data!$A$2:$A$4314,1))-1)</f>
        <v>0.0314471584632381</v>
      </c>
    </row>
    <row r="458" customFormat="false" ht="15" hidden="false" customHeight="false" outlineLevel="0" collapsed="false">
      <c r="A458" s="16" t="n">
        <v>42464</v>
      </c>
      <c r="B458" s="23" t="n">
        <f aca="false">YEAR(A458)</f>
        <v>2016</v>
      </c>
      <c r="C458" s="17" t="n">
        <v>419.47</v>
      </c>
      <c r="D458" s="23" t="n">
        <f aca="false">A458-A457</f>
        <v>1</v>
      </c>
      <c r="E458" s="24" t="n">
        <f aca="false">LN(C458)</f>
        <v>6.03899200964324</v>
      </c>
      <c r="F458" s="25" t="n">
        <f aca="false">LN(C458/C457)</f>
        <v>-0.00164358147119137</v>
      </c>
      <c r="G458" s="25" t="n">
        <f aca="false">IF(AND(D458=1,A458&gt;=$R$2),F458,"")</f>
        <v>-0.00164358147119137</v>
      </c>
      <c r="H458" s="27" t="n">
        <f aca="false">IF(G458="","",G458^2)</f>
        <v>2.7013600524436E-006</v>
      </c>
      <c r="I458" s="25" t="n">
        <f aca="false">IF(G458="","",C458/C457-1)</f>
        <v>-0.00164223153084542</v>
      </c>
      <c r="J458" s="17" t="n">
        <f aca="false">AVERAGE(C259:C458)</f>
        <v>369.51065</v>
      </c>
      <c r="K458" s="17" t="n">
        <f aca="false">MAX(K457,C458)</f>
        <v>464.27</v>
      </c>
      <c r="L458" s="25" t="n">
        <f aca="false">C458/K458-1</f>
        <v>-0.0964955736963404</v>
      </c>
      <c r="M458" s="25" t="n">
        <f aca="false">IF(COUNT(G429:G458)&lt;20,"",_xlfn.STDEV.S(G429:G458)*SQRT($R$3))</f>
        <v>0.195074511641045</v>
      </c>
      <c r="N458" s="25" t="n">
        <f aca="false">IF(A458-7&lt;$R$2,"",C458/INDEX(Clean_Data!$C$2:$C$4314,MATCH(A458-7,Clean_Data!$A$2:$A$4314,1))-1)</f>
        <v>-0.00834515366430255</v>
      </c>
      <c r="O458" s="25" t="n">
        <f aca="false">IF(A458-30&lt;$R$2,"",C458/INDEX(Clean_Data!$C$2:$C$4314,MATCH(A458-30,Clean_Data!$A$2:$A$4314,1))-1)</f>
        <v>0.0590537265198952</v>
      </c>
    </row>
    <row r="459" customFormat="false" ht="15" hidden="false" customHeight="false" outlineLevel="0" collapsed="false">
      <c r="A459" s="16" t="n">
        <v>42465</v>
      </c>
      <c r="B459" s="23" t="n">
        <f aca="false">YEAR(A459)</f>
        <v>2016</v>
      </c>
      <c r="C459" s="17" t="n">
        <v>422.36</v>
      </c>
      <c r="D459" s="23" t="n">
        <f aca="false">A459-A458</f>
        <v>1</v>
      </c>
      <c r="E459" s="24" t="n">
        <f aca="false">LN(C459)</f>
        <v>6.04585803093831</v>
      </c>
      <c r="F459" s="25" t="n">
        <f aca="false">LN(C459/C458)</f>
        <v>0.00686602129507358</v>
      </c>
      <c r="G459" s="25" t="n">
        <f aca="false">IF(AND(D459=1,A459&gt;=$R$2),F459,"")</f>
        <v>0.00686602129507358</v>
      </c>
      <c r="H459" s="27" t="n">
        <f aca="false">IF(G459="","",G459^2)</f>
        <v>4.71422484244039E-005</v>
      </c>
      <c r="I459" s="25" t="n">
        <f aca="false">IF(G459="","",C459/C458-1)</f>
        <v>0.00688964645862633</v>
      </c>
      <c r="J459" s="17" t="n">
        <f aca="false">AVERAGE(C260:C459)</f>
        <v>370.45355</v>
      </c>
      <c r="K459" s="17" t="n">
        <f aca="false">MAX(K458,C459)</f>
        <v>464.27</v>
      </c>
      <c r="L459" s="25" t="n">
        <f aca="false">C459/K459-1</f>
        <v>-0.0902707476253042</v>
      </c>
      <c r="M459" s="25" t="n">
        <f aca="false">IF(COUNT(G430:G459)&lt;20,"",_xlfn.STDEV.S(G430:G459)*SQRT($R$3))</f>
        <v>0.187318766168451</v>
      </c>
      <c r="N459" s="25" t="n">
        <f aca="false">IF(A459-7&lt;$R$2,"",C459/INDEX(Clean_Data!$C$2:$C$4314,MATCH(A459-7,Clean_Data!$A$2:$A$4314,1))-1)</f>
        <v>0.0143375201133553</v>
      </c>
      <c r="O459" s="25" t="n">
        <f aca="false">IF(A459-30&lt;$R$2,"",C459/INDEX(Clean_Data!$C$2:$C$4314,MATCH(A459-30,Clean_Data!$A$2:$A$4314,1))-1)</f>
        <v>0.0474159309592301</v>
      </c>
    </row>
    <row r="460" customFormat="false" ht="15" hidden="false" customHeight="false" outlineLevel="0" collapsed="false">
      <c r="A460" s="16" t="n">
        <v>42466</v>
      </c>
      <c r="B460" s="23" t="n">
        <f aca="false">YEAR(A460)</f>
        <v>2016</v>
      </c>
      <c r="C460" s="17" t="n">
        <v>421.46</v>
      </c>
      <c r="D460" s="23" t="n">
        <f aca="false">A460-A459</f>
        <v>1</v>
      </c>
      <c r="E460" s="24" t="n">
        <f aca="false">LN(C460)</f>
        <v>6.04372487376907</v>
      </c>
      <c r="F460" s="25" t="n">
        <f aca="false">LN(C460/C459)</f>
        <v>-0.00213315716924696</v>
      </c>
      <c r="G460" s="25" t="n">
        <f aca="false">IF(AND(D460=1,A460&gt;=$R$2),F460,"")</f>
        <v>-0.00213315716924696</v>
      </c>
      <c r="H460" s="27" t="n">
        <f aca="false">IF(G460="","",G460^2)</f>
        <v>4.5503595087097E-006</v>
      </c>
      <c r="I460" s="25" t="n">
        <f aca="false">IF(G460="","",C460/C459-1)</f>
        <v>-0.00213088360640223</v>
      </c>
      <c r="J460" s="17" t="n">
        <f aca="false">AVERAGE(C261:C460)</f>
        <v>371.39645</v>
      </c>
      <c r="K460" s="17" t="n">
        <f aca="false">MAX(K459,C460)</f>
        <v>464.27</v>
      </c>
      <c r="L460" s="25" t="n">
        <f aca="false">C460/K460-1</f>
        <v>-0.0922092747754539</v>
      </c>
      <c r="M460" s="25" t="n">
        <f aca="false">IF(COUNT(G431:G460)&lt;20,"",_xlfn.STDEV.S(G431:G460)*SQRT($R$3))</f>
        <v>0.172473392634153</v>
      </c>
      <c r="N460" s="25" t="n">
        <f aca="false">IF(A460-7&lt;$R$2,"",C460/INDEX(Clean_Data!$C$2:$C$4314,MATCH(A460-7,Clean_Data!$A$2:$A$4314,1))-1)</f>
        <v>0.0210034157804209</v>
      </c>
      <c r="O460" s="25" t="n">
        <f aca="false">IF(A460-30&lt;$R$2,"",C460/INDEX(Clean_Data!$C$2:$C$4314,MATCH(A460-30,Clean_Data!$A$2:$A$4314,1))-1)</f>
        <v>0.0224400184372044</v>
      </c>
    </row>
    <row r="461" customFormat="false" ht="15" hidden="false" customHeight="false" outlineLevel="0" collapsed="false">
      <c r="A461" s="16" t="n">
        <v>42467</v>
      </c>
      <c r="B461" s="23" t="n">
        <f aca="false">YEAR(A461)</f>
        <v>2016</v>
      </c>
      <c r="C461" s="17" t="n">
        <v>421.99</v>
      </c>
      <c r="D461" s="23" t="n">
        <f aca="false">A461-A460</f>
        <v>1</v>
      </c>
      <c r="E461" s="24" t="n">
        <f aca="false">LN(C461)</f>
        <v>6.04498161707278</v>
      </c>
      <c r="F461" s="25" t="n">
        <f aca="false">LN(C461/C460)</f>
        <v>0.00125674330370985</v>
      </c>
      <c r="G461" s="25" t="n">
        <f aca="false">IF(AND(D461=1,A461&gt;=$R$2),F461,"")</f>
        <v>0.00125674330370985</v>
      </c>
      <c r="H461" s="27" t="n">
        <f aca="false">IF(G461="","",G461^2)</f>
        <v>1.57940373141954E-006</v>
      </c>
      <c r="I461" s="25" t="n">
        <f aca="false">IF(G461="","",C461/C460-1)</f>
        <v>0.00125753333649703</v>
      </c>
      <c r="J461" s="17" t="n">
        <f aca="false">AVERAGE(C262:C461)</f>
        <v>372.3452</v>
      </c>
      <c r="K461" s="17" t="n">
        <f aca="false">MAX(K460,C461)</f>
        <v>464.27</v>
      </c>
      <c r="L461" s="25" t="n">
        <f aca="false">C461/K461-1</f>
        <v>-0.0910676976759213</v>
      </c>
      <c r="M461" s="25" t="n">
        <f aca="false">IF(COUNT(G432:G461)&lt;20,"",_xlfn.STDEV.S(G432:G461)*SQRT($R$3))</f>
        <v>0.1720821151314</v>
      </c>
      <c r="N461" s="25" t="n">
        <f aca="false">IF(A461-7&lt;$R$2,"",C461/INDEX(Clean_Data!$C$2:$C$4314,MATCH(A461-7,Clean_Data!$A$2:$A$4314,1))-1)</f>
        <v>0.0143258899598588</v>
      </c>
      <c r="O461" s="25" t="n">
        <f aca="false">IF(A461-30&lt;$R$2,"",C461/INDEX(Clean_Data!$C$2:$C$4314,MATCH(A461-30,Clean_Data!$A$2:$A$4314,1))-1)</f>
        <v>0.0262901892115375</v>
      </c>
    </row>
    <row r="462" customFormat="false" ht="15" hidden="false" customHeight="false" outlineLevel="0" collapsed="false">
      <c r="A462" s="16" t="n">
        <v>42468</v>
      </c>
      <c r="B462" s="23" t="n">
        <f aca="false">YEAR(A462)</f>
        <v>2016</v>
      </c>
      <c r="C462" s="17" t="n">
        <v>419.48</v>
      </c>
      <c r="D462" s="23" t="n">
        <f aca="false">A462-A461</f>
        <v>1</v>
      </c>
      <c r="E462" s="24" t="n">
        <f aca="false">LN(C462)</f>
        <v>6.0390158489662</v>
      </c>
      <c r="F462" s="25" t="n">
        <f aca="false">LN(C462/C461)</f>
        <v>-0.00596576810657212</v>
      </c>
      <c r="G462" s="25" t="n">
        <f aca="false">IF(AND(D462=1,A462&gt;=$R$2),F462,"")</f>
        <v>-0.00596576810657212</v>
      </c>
      <c r="H462" s="27" t="n">
        <f aca="false">IF(G462="","",G462^2)</f>
        <v>3.55903891013931E-005</v>
      </c>
      <c r="I462" s="25" t="n">
        <f aca="false">IF(G462="","",C462/C461-1)</f>
        <v>-0.00594800824664088</v>
      </c>
      <c r="J462" s="17" t="n">
        <f aca="false">AVERAGE(C263:C462)</f>
        <v>373.30605</v>
      </c>
      <c r="K462" s="17" t="n">
        <f aca="false">MAX(K461,C462)</f>
        <v>464.27</v>
      </c>
      <c r="L462" s="25" t="n">
        <f aca="false">C462/K462-1</f>
        <v>-0.0964740345057832</v>
      </c>
      <c r="M462" s="25" t="n">
        <f aca="false">IF(COUNT(G433:G462)&lt;20,"",_xlfn.STDEV.S(G433:G462)*SQRT($R$3))</f>
        <v>0.173320567425632</v>
      </c>
      <c r="N462" s="25" t="n">
        <f aca="false">IF(A462-7&lt;$R$2,"",C462/INDEX(Clean_Data!$C$2:$C$4314,MATCH(A462-7,Clean_Data!$A$2:$A$4314,1))-1)</f>
        <v>0.00430951924918599</v>
      </c>
      <c r="O462" s="25" t="n">
        <f aca="false">IF(A462-30&lt;$R$2,"",C462/INDEX(Clean_Data!$C$2:$C$4314,MATCH(A462-30,Clean_Data!$A$2:$A$4314,1))-1)</f>
        <v>0.0161821705426357</v>
      </c>
    </row>
    <row r="463" customFormat="false" ht="15" hidden="false" customHeight="false" outlineLevel="0" collapsed="false">
      <c r="A463" s="16" t="n">
        <v>42469</v>
      </c>
      <c r="B463" s="23" t="n">
        <f aca="false">YEAR(A463)</f>
        <v>2016</v>
      </c>
      <c r="C463" s="17" t="n">
        <v>419.46</v>
      </c>
      <c r="D463" s="23" t="n">
        <f aca="false">A463-A462</f>
        <v>1</v>
      </c>
      <c r="E463" s="24" t="n">
        <f aca="false">LN(C463)</f>
        <v>6.03896816975195</v>
      </c>
      <c r="F463" s="25" t="n">
        <f aca="false">LN(C463/C462)</f>
        <v>-4.76792142556328E-005</v>
      </c>
      <c r="G463" s="25" t="n">
        <f aca="false">IF(AND(D463=1,A463&gt;=$R$2),F463,"")</f>
        <v>-4.76792142556328E-005</v>
      </c>
      <c r="H463" s="27" t="n">
        <f aca="false">IF(G463="","",G463^2)</f>
        <v>2.27330747203454E-009</v>
      </c>
      <c r="I463" s="25" t="n">
        <f aca="false">IF(G463="","",C463/C462-1)</f>
        <v>-4.76780776199615E-005</v>
      </c>
      <c r="J463" s="17" t="n">
        <f aca="false">AVERAGE(C264:C463)</f>
        <v>374.24695</v>
      </c>
      <c r="K463" s="17" t="n">
        <f aca="false">MAX(K462,C463)</f>
        <v>464.27</v>
      </c>
      <c r="L463" s="25" t="n">
        <f aca="false">C463/K463-1</f>
        <v>-0.0965171128868977</v>
      </c>
      <c r="M463" s="25" t="n">
        <f aca="false">IF(COUNT(G434:G463)&lt;20,"",_xlfn.STDEV.S(G434:G463)*SQRT($R$3))</f>
        <v>0.171399651242556</v>
      </c>
      <c r="N463" s="25" t="n">
        <f aca="false">IF(A463-7&lt;$R$2,"",C463/INDEX(Clean_Data!$C$2:$C$4314,MATCH(A463-7,Clean_Data!$A$2:$A$4314,1))-1)</f>
        <v>-0.00116680557209192</v>
      </c>
      <c r="O463" s="25" t="n">
        <f aca="false">IF(A463-30&lt;$R$2,"",C463/INDEX(Clean_Data!$C$2:$C$4314,MATCH(A463-30,Clean_Data!$A$2:$A$4314,1))-1)</f>
        <v>0.00836578681667377</v>
      </c>
    </row>
    <row r="464" customFormat="false" ht="15" hidden="false" customHeight="false" outlineLevel="0" collapsed="false">
      <c r="A464" s="16" t="n">
        <v>42470</v>
      </c>
      <c r="B464" s="23" t="n">
        <f aca="false">YEAR(A464)</f>
        <v>2016</v>
      </c>
      <c r="C464" s="17" t="n">
        <v>423.4</v>
      </c>
      <c r="D464" s="23" t="n">
        <f aca="false">A464-A463</f>
        <v>1</v>
      </c>
      <c r="E464" s="24" t="n">
        <f aca="false">LN(C464)</f>
        <v>6.04831735870077</v>
      </c>
      <c r="F464" s="25" t="n">
        <f aca="false">LN(C464/C463)</f>
        <v>0.00934918894881604</v>
      </c>
      <c r="G464" s="25" t="n">
        <f aca="false">IF(AND(D464=1,A464&gt;=$R$2),F464,"")</f>
        <v>0.00934918894881604</v>
      </c>
      <c r="H464" s="27" t="n">
        <f aca="false">IF(G464="","",G464^2)</f>
        <v>8.74073340006639E-005</v>
      </c>
      <c r="I464" s="25" t="n">
        <f aca="false">IF(G464="","",C464/C463-1)</f>
        <v>0.00939302913269446</v>
      </c>
      <c r="J464" s="17" t="n">
        <f aca="false">AVERAGE(C265:C464)</f>
        <v>375.21265</v>
      </c>
      <c r="K464" s="17" t="n">
        <f aca="false">MAX(K463,C464)</f>
        <v>464.27</v>
      </c>
      <c r="L464" s="25" t="n">
        <f aca="false">C464/K464-1</f>
        <v>-0.0880306718073535</v>
      </c>
      <c r="M464" s="25" t="n">
        <f aca="false">IF(COUNT(G435:G464)&lt;20,"",_xlfn.STDEV.S(G435:G464)*SQRT($R$3))</f>
        <v>0.172134228990888</v>
      </c>
      <c r="N464" s="25" t="n">
        <f aca="false">IF(A464-7&lt;$R$2,"",C464/INDEX(Clean_Data!$C$2:$C$4314,MATCH(A464-7,Clean_Data!$A$2:$A$4314,1))-1)</f>
        <v>0.00771134805788254</v>
      </c>
      <c r="O464" s="25" t="n">
        <f aca="false">IF(A464-30&lt;$R$2,"",C464/INDEX(Clean_Data!$C$2:$C$4314,MATCH(A464-30,Clean_Data!$A$2:$A$4314,1))-1)</f>
        <v>0.00956150599680483</v>
      </c>
    </row>
    <row r="465" customFormat="false" ht="15" hidden="false" customHeight="false" outlineLevel="0" collapsed="false">
      <c r="A465" s="16" t="n">
        <v>42471</v>
      </c>
      <c r="B465" s="23" t="n">
        <f aca="false">YEAR(A465)</f>
        <v>2016</v>
      </c>
      <c r="C465" s="17" t="n">
        <v>423.94</v>
      </c>
      <c r="D465" s="23" t="n">
        <f aca="false">A465-A464</f>
        <v>1</v>
      </c>
      <c r="E465" s="24" t="n">
        <f aca="false">LN(C465)</f>
        <v>6.04959193578459</v>
      </c>
      <c r="F465" s="25" t="n">
        <f aca="false">LN(C465/C464)</f>
        <v>0.00127457708382617</v>
      </c>
      <c r="G465" s="25" t="n">
        <f aca="false">IF(AND(D465=1,A465&gt;=$R$2),F465,"")</f>
        <v>0.00127457708382617</v>
      </c>
      <c r="H465" s="27" t="n">
        <f aca="false">IF(G465="","",G465^2)</f>
        <v>1.62454674261483E-006</v>
      </c>
      <c r="I465" s="25" t="n">
        <f aca="false">IF(G465="","",C465/C464-1)</f>
        <v>0.00127538970240915</v>
      </c>
      <c r="J465" s="17" t="n">
        <f aca="false">AVERAGE(C266:C465)</f>
        <v>376.156</v>
      </c>
      <c r="K465" s="17" t="n">
        <f aca="false">MAX(K464,C465)</f>
        <v>464.27</v>
      </c>
      <c r="L465" s="25" t="n">
        <f aca="false">C465/K465-1</f>
        <v>-0.0868675555172637</v>
      </c>
      <c r="M465" s="25" t="n">
        <f aca="false">IF(COUNT(G436:G465)&lt;20,"",_xlfn.STDEV.S(G436:G465)*SQRT($R$3))</f>
        <v>0.153575492521235</v>
      </c>
      <c r="N465" s="25" t="n">
        <f aca="false">IF(A465-7&lt;$R$2,"",C465/INDEX(Clean_Data!$C$2:$C$4314,MATCH(A465-7,Clean_Data!$A$2:$A$4314,1))-1)</f>
        <v>0.0106563043841037</v>
      </c>
      <c r="O465" s="25" t="n">
        <f aca="false">IF(A465-30&lt;$R$2,"",C465/INDEX(Clean_Data!$C$2:$C$4314,MATCH(A465-30,Clean_Data!$A$2:$A$4314,1))-1)</f>
        <v>0.0325393345998344</v>
      </c>
    </row>
    <row r="466" customFormat="false" ht="15" hidden="false" customHeight="false" outlineLevel="0" collapsed="false">
      <c r="A466" s="16" t="n">
        <v>42472</v>
      </c>
      <c r="B466" s="23" t="n">
        <f aca="false">YEAR(A466)</f>
        <v>2016</v>
      </c>
      <c r="C466" s="17" t="n">
        <v>427.8</v>
      </c>
      <c r="D466" s="23" t="n">
        <f aca="false">A466-A465</f>
        <v>1</v>
      </c>
      <c r="E466" s="24" t="n">
        <f aca="false">LN(C466)</f>
        <v>6.05865579664831</v>
      </c>
      <c r="F466" s="25" t="n">
        <f aca="false">LN(C466/C465)</f>
        <v>0.00906386086371438</v>
      </c>
      <c r="G466" s="25" t="n">
        <f aca="false">IF(AND(D466=1,A466&gt;=$R$2),F466,"")</f>
        <v>0.00906386086371438</v>
      </c>
      <c r="H466" s="27" t="n">
        <f aca="false">IF(G466="","",G466^2)</f>
        <v>8.21535737567732E-005</v>
      </c>
      <c r="I466" s="25" t="n">
        <f aca="false">IF(G466="","",C466/C465-1)</f>
        <v>0.00910506203708072</v>
      </c>
      <c r="J466" s="17" t="n">
        <f aca="false">AVERAGE(C267:C466)</f>
        <v>377.11555</v>
      </c>
      <c r="K466" s="17" t="n">
        <f aca="false">MAX(K465,C466)</f>
        <v>464.27</v>
      </c>
      <c r="L466" s="25" t="n">
        <f aca="false">C466/K466-1</f>
        <v>-0.0785534279621771</v>
      </c>
      <c r="M466" s="25" t="n">
        <f aca="false">IF(COUNT(G437:G466)&lt;20,"",_xlfn.STDEV.S(G437:G466)*SQRT($R$3))</f>
        <v>0.155611513775729</v>
      </c>
      <c r="N466" s="25" t="n">
        <f aca="false">IF(A466-7&lt;$R$2,"",C466/INDEX(Clean_Data!$C$2:$C$4314,MATCH(A466-7,Clean_Data!$A$2:$A$4314,1))-1)</f>
        <v>0.012880007576475</v>
      </c>
      <c r="O466" s="25" t="n">
        <f aca="false">IF(A466-30&lt;$R$2,"",C466/INDEX(Clean_Data!$C$2:$C$4314,MATCH(A466-30,Clean_Data!$A$2:$A$4314,1))-1)</f>
        <v>0.0370406283331719</v>
      </c>
    </row>
    <row r="467" customFormat="false" ht="15" hidden="false" customHeight="false" outlineLevel="0" collapsed="false">
      <c r="A467" s="16" t="n">
        <v>42473</v>
      </c>
      <c r="B467" s="23" t="n">
        <f aca="false">YEAR(A467)</f>
        <v>2016</v>
      </c>
      <c r="C467" s="17" t="n">
        <v>425.58</v>
      </c>
      <c r="D467" s="23" t="n">
        <f aca="false">A467-A466</f>
        <v>1</v>
      </c>
      <c r="E467" s="24" t="n">
        <f aca="false">LN(C467)</f>
        <v>6.05345294444205</v>
      </c>
      <c r="F467" s="25" t="n">
        <f aca="false">LN(C467/C466)</f>
        <v>-0.00520285220625497</v>
      </c>
      <c r="G467" s="25" t="n">
        <f aca="false">IF(AND(D467=1,A467&gt;=$R$2),F467,"")</f>
        <v>-0.00520285220625497</v>
      </c>
      <c r="H467" s="27" t="n">
        <f aca="false">IF(G467="","",G467^2)</f>
        <v>2.70696710801322E-005</v>
      </c>
      <c r="I467" s="25" t="n">
        <f aca="false">IF(G467="","",C467/C466-1)</f>
        <v>-0.00518934081346434</v>
      </c>
      <c r="J467" s="17" t="n">
        <f aca="false">AVERAGE(C268:C467)</f>
        <v>378.07</v>
      </c>
      <c r="K467" s="17" t="n">
        <f aca="false">MAX(K466,C467)</f>
        <v>464.27</v>
      </c>
      <c r="L467" s="25" t="n">
        <f aca="false">C467/K467-1</f>
        <v>-0.0833351282658797</v>
      </c>
      <c r="M467" s="25" t="n">
        <f aca="false">IF(COUNT(G438:G467)&lt;20,"",_xlfn.STDEV.S(G438:G467)*SQRT($R$3))</f>
        <v>0.156161134084167</v>
      </c>
      <c r="N467" s="25" t="n">
        <f aca="false">IF(A467-7&lt;$R$2,"",C467/INDEX(Clean_Data!$C$2:$C$4314,MATCH(A467-7,Clean_Data!$A$2:$A$4314,1))-1)</f>
        <v>0.00977554216295729</v>
      </c>
      <c r="O467" s="25" t="n">
        <f aca="false">IF(A467-30&lt;$R$2,"",C467/INDEX(Clean_Data!$C$2:$C$4314,MATCH(A467-30,Clean_Data!$A$2:$A$4314,1))-1)</f>
        <v>0.0254445568888246</v>
      </c>
    </row>
    <row r="468" customFormat="false" ht="15" hidden="false" customHeight="false" outlineLevel="0" collapsed="false">
      <c r="A468" s="16" t="n">
        <v>42474</v>
      </c>
      <c r="B468" s="23" t="n">
        <f aca="false">YEAR(A468)</f>
        <v>2016</v>
      </c>
      <c r="C468" s="17" t="n">
        <v>426.32</v>
      </c>
      <c r="D468" s="23" t="n">
        <f aca="false">A468-A467</f>
        <v>1</v>
      </c>
      <c r="E468" s="24" t="n">
        <f aca="false">LN(C468)</f>
        <v>6.05519023798853</v>
      </c>
      <c r="F468" s="25" t="n">
        <f aca="false">LN(C468/C467)</f>
        <v>0.00173729354647649</v>
      </c>
      <c r="G468" s="25" t="n">
        <f aca="false">IF(AND(D468=1,A468&gt;=$R$2),F468,"")</f>
        <v>0.00173729354647649</v>
      </c>
      <c r="H468" s="27" t="n">
        <f aca="false">IF(G468="","",G468^2)</f>
        <v>3.01818886662885E-006</v>
      </c>
      <c r="I468" s="25" t="n">
        <f aca="false">IF(G468="","",C468/C467-1)</f>
        <v>0.00173880351520284</v>
      </c>
      <c r="J468" s="17" t="n">
        <f aca="false">AVERAGE(C269:C468)</f>
        <v>379.0337</v>
      </c>
      <c r="K468" s="17" t="n">
        <f aca="false">MAX(K467,C468)</f>
        <v>464.27</v>
      </c>
      <c r="L468" s="25" t="n">
        <f aca="false">C468/K468-1</f>
        <v>-0.0817412281646456</v>
      </c>
      <c r="M468" s="25" t="n">
        <f aca="false">IF(COUNT(G439:G468)&lt;20,"",_xlfn.STDEV.S(G439:G468)*SQRT($R$3))</f>
        <v>0.156192482474608</v>
      </c>
      <c r="N468" s="25" t="n">
        <f aca="false">IF(A468-7&lt;$R$2,"",C468/INDEX(Clean_Data!$C$2:$C$4314,MATCH(A468-7,Clean_Data!$A$2:$A$4314,1))-1)</f>
        <v>0.0102609066565558</v>
      </c>
      <c r="O468" s="25" t="n">
        <f aca="false">IF(A468-30&lt;$R$2,"",C468/INDEX(Clean_Data!$C$2:$C$4314,MATCH(A468-30,Clean_Data!$A$2:$A$4314,1))-1)</f>
        <v>0.0262632098408799</v>
      </c>
    </row>
    <row r="469" customFormat="false" ht="15" hidden="false" customHeight="false" outlineLevel="0" collapsed="false">
      <c r="A469" s="16" t="n">
        <v>42475</v>
      </c>
      <c r="B469" s="23" t="n">
        <f aca="false">YEAR(A469)</f>
        <v>2016</v>
      </c>
      <c r="C469" s="17" t="n">
        <v>430.93</v>
      </c>
      <c r="D469" s="23" t="n">
        <f aca="false">A469-A468</f>
        <v>1</v>
      </c>
      <c r="E469" s="24" t="n">
        <f aca="false">LN(C469)</f>
        <v>6.06594566392029</v>
      </c>
      <c r="F469" s="25" t="n">
        <f aca="false">LN(C469/C468)</f>
        <v>0.0107554259317632</v>
      </c>
      <c r="G469" s="25" t="n">
        <f aca="false">IF(AND(D469=1,A469&gt;=$R$2),F469,"")</f>
        <v>0.0107554259317632</v>
      </c>
      <c r="H469" s="27" t="n">
        <f aca="false">IF(G469="","",G469^2)</f>
        <v>0.000115679186973644</v>
      </c>
      <c r="I469" s="25" t="n">
        <f aca="false">IF(G469="","",C469/C468-1)</f>
        <v>0.0108134734471759</v>
      </c>
      <c r="J469" s="17" t="n">
        <f aca="false">AVERAGE(C270:C469)</f>
        <v>379.9884</v>
      </c>
      <c r="K469" s="17" t="n">
        <f aca="false">MAX(K468,C469)</f>
        <v>464.27</v>
      </c>
      <c r="L469" s="25" t="n">
        <f aca="false">C469/K469-1</f>
        <v>-0.0718116613177676</v>
      </c>
      <c r="M469" s="25" t="n">
        <f aca="false">IF(COUNT(G440:G469)&lt;20,"",_xlfn.STDEV.S(G440:G469)*SQRT($R$3))</f>
        <v>0.159955137092025</v>
      </c>
      <c r="N469" s="25" t="n">
        <f aca="false">IF(A469-7&lt;$R$2,"",C469/INDEX(Clean_Data!$C$2:$C$4314,MATCH(A469-7,Clean_Data!$A$2:$A$4314,1))-1)</f>
        <v>0.0272956994373987</v>
      </c>
      <c r="O469" s="25" t="n">
        <f aca="false">IF(A469-30&lt;$R$2,"",C469/INDEX(Clean_Data!$C$2:$C$4314,MATCH(A469-30,Clean_Data!$A$2:$A$4314,1))-1)</f>
        <v>0.0357151440863317</v>
      </c>
    </row>
    <row r="470" customFormat="false" ht="15" hidden="false" customHeight="false" outlineLevel="0" collapsed="false">
      <c r="A470" s="16" t="n">
        <v>42476</v>
      </c>
      <c r="B470" s="23" t="n">
        <f aca="false">YEAR(A470)</f>
        <v>2016</v>
      </c>
      <c r="C470" s="17" t="n">
        <v>433.39</v>
      </c>
      <c r="D470" s="23" t="n">
        <f aca="false">A470-A469</f>
        <v>1</v>
      </c>
      <c r="E470" s="24" t="n">
        <f aca="false">LN(C470)</f>
        <v>6.07163801546274</v>
      </c>
      <c r="F470" s="25" t="n">
        <f aca="false">LN(C470/C469)</f>
        <v>0.00569235154244715</v>
      </c>
      <c r="G470" s="25" t="n">
        <f aca="false">IF(AND(D470=1,A470&gt;=$R$2),F470,"")</f>
        <v>0.00569235154244715</v>
      </c>
      <c r="H470" s="27" t="n">
        <f aca="false">IF(G470="","",G470^2)</f>
        <v>3.24028660828005E-005</v>
      </c>
      <c r="I470" s="25" t="n">
        <f aca="false">IF(G470="","",C470/C469-1)</f>
        <v>0.0057085837607036</v>
      </c>
      <c r="J470" s="17" t="n">
        <f aca="false">AVERAGE(C271:C470)</f>
        <v>380.9709</v>
      </c>
      <c r="K470" s="17" t="n">
        <f aca="false">MAX(K469,C470)</f>
        <v>464.27</v>
      </c>
      <c r="L470" s="25" t="n">
        <f aca="false">C470/K470-1</f>
        <v>-0.0665130204406919</v>
      </c>
      <c r="M470" s="25" t="n">
        <f aca="false">IF(COUNT(G441:G470)&lt;20,"",_xlfn.STDEV.S(G441:G470)*SQRT($R$3))</f>
        <v>0.159984759002489</v>
      </c>
      <c r="N470" s="25" t="n">
        <f aca="false">IF(A470-7&lt;$R$2,"",C470/INDEX(Clean_Data!$C$2:$C$4314,MATCH(A470-7,Clean_Data!$A$2:$A$4314,1))-1)</f>
        <v>0.0332093644209222</v>
      </c>
      <c r="O470" s="25" t="n">
        <f aca="false">IF(A470-30&lt;$R$2,"",C470/INDEX(Clean_Data!$C$2:$C$4314,MATCH(A470-30,Clean_Data!$A$2:$A$4314,1))-1)</f>
        <v>0.0358022035802204</v>
      </c>
    </row>
    <row r="471" customFormat="false" ht="15" hidden="false" customHeight="false" outlineLevel="0" collapsed="false">
      <c r="A471" s="16" t="n">
        <v>42477</v>
      </c>
      <c r="B471" s="23" t="n">
        <f aca="false">YEAR(A471)</f>
        <v>2016</v>
      </c>
      <c r="C471" s="17" t="n">
        <v>431</v>
      </c>
      <c r="D471" s="23" t="n">
        <f aca="false">A471-A470</f>
        <v>1</v>
      </c>
      <c r="E471" s="24" t="n">
        <f aca="false">LN(C471)</f>
        <v>6.06610809010375</v>
      </c>
      <c r="F471" s="25" t="n">
        <f aca="false">LN(C471/C470)</f>
        <v>-0.00552992535898933</v>
      </c>
      <c r="G471" s="25" t="n">
        <f aca="false">IF(AND(D471=1,A471&gt;=$R$2),F471,"")</f>
        <v>-0.00552992535898933</v>
      </c>
      <c r="H471" s="27" t="n">
        <f aca="false">IF(G471="","",G471^2)</f>
        <v>3.05800744759933E-005</v>
      </c>
      <c r="I471" s="25" t="n">
        <f aca="false">IF(G471="","",C471/C470-1)</f>
        <v>-0.00551466346708507</v>
      </c>
      <c r="J471" s="17" t="n">
        <f aca="false">AVERAGE(C272:C471)</f>
        <v>381.9402</v>
      </c>
      <c r="K471" s="17" t="n">
        <f aca="false">MAX(K470,C471)</f>
        <v>464.27</v>
      </c>
      <c r="L471" s="25" t="n">
        <f aca="false">C471/K471-1</f>
        <v>-0.0716608869838671</v>
      </c>
      <c r="M471" s="25" t="n">
        <f aca="false">IF(COUNT(G442:G471)&lt;20,"",_xlfn.STDEV.S(G442:G471)*SQRT($R$3))</f>
        <v>0.140646818294021</v>
      </c>
      <c r="N471" s="25" t="n">
        <f aca="false">IF(A471-7&lt;$R$2,"",C471/INDEX(Clean_Data!$C$2:$C$4314,MATCH(A471-7,Clean_Data!$A$2:$A$4314,1))-1)</f>
        <v>0.0179499291450167</v>
      </c>
      <c r="O471" s="25" t="n">
        <f aca="false">IF(A471-30&lt;$R$2,"",C471/INDEX(Clean_Data!$C$2:$C$4314,MATCH(A471-30,Clean_Data!$A$2:$A$4314,1))-1)</f>
        <v>0.0521176614182839</v>
      </c>
    </row>
    <row r="472" customFormat="false" ht="15" hidden="false" customHeight="false" outlineLevel="0" collapsed="false">
      <c r="A472" s="16" t="n">
        <v>42478</v>
      </c>
      <c r="B472" s="23" t="n">
        <f aca="false">YEAR(A472)</f>
        <v>2016</v>
      </c>
      <c r="C472" s="17" t="n">
        <v>430.97</v>
      </c>
      <c r="D472" s="23" t="n">
        <f aca="false">A472-A471</f>
        <v>1</v>
      </c>
      <c r="E472" s="24" t="n">
        <f aca="false">LN(C472)</f>
        <v>6.06603848211272</v>
      </c>
      <c r="F472" s="25" t="n">
        <f aca="false">LN(C472/C471)</f>
        <v>-6.96079910253711E-005</v>
      </c>
      <c r="G472" s="25" t="n">
        <f aca="false">IF(AND(D472=1,A472&gt;=$R$2),F472,"")</f>
        <v>-6.96079910253711E-005</v>
      </c>
      <c r="H472" s="27" t="n">
        <f aca="false">IF(G472="","",G472^2)</f>
        <v>4.84527241458815E-009</v>
      </c>
      <c r="I472" s="25" t="n">
        <f aca="false">IF(G472="","",C472/C471-1)</f>
        <v>-6.96055684453745E-005</v>
      </c>
      <c r="J472" s="17" t="n">
        <f aca="false">AVERAGE(C273:C472)</f>
        <v>382.90335</v>
      </c>
      <c r="K472" s="17" t="n">
        <f aca="false">MAX(K471,C472)</f>
        <v>464.27</v>
      </c>
      <c r="L472" s="25" t="n">
        <f aca="false">C472/K472-1</f>
        <v>-0.0717255045555387</v>
      </c>
      <c r="M472" s="25" t="n">
        <f aca="false">IF(COUNT(G443:G472)&lt;20,"",_xlfn.STDEV.S(G443:G472)*SQRT($R$3))</f>
        <v>0.140777338430272</v>
      </c>
      <c r="N472" s="25" t="n">
        <f aca="false">IF(A472-7&lt;$R$2,"",C472/INDEX(Clean_Data!$C$2:$C$4314,MATCH(A472-7,Clean_Data!$A$2:$A$4314,1))-1)</f>
        <v>0.0165825352644242</v>
      </c>
      <c r="O472" s="25" t="n">
        <f aca="false">IF(A472-30&lt;$R$2,"",C472/INDEX(Clean_Data!$C$2:$C$4314,MATCH(A472-30,Clean_Data!$A$2:$A$4314,1))-1)</f>
        <v>0.0506338371526085</v>
      </c>
    </row>
    <row r="473" customFormat="false" ht="15" hidden="false" customHeight="false" outlineLevel="0" collapsed="false">
      <c r="A473" s="16" t="n">
        <v>42479</v>
      </c>
      <c r="B473" s="23" t="n">
        <f aca="false">YEAR(A473)</f>
        <v>2016</v>
      </c>
      <c r="C473" s="17" t="n">
        <v>437.06</v>
      </c>
      <c r="D473" s="23" t="n">
        <f aca="false">A473-A472</f>
        <v>1</v>
      </c>
      <c r="E473" s="24" t="n">
        <f aca="false">LN(C473)</f>
        <v>6.08007048544201</v>
      </c>
      <c r="F473" s="25" t="n">
        <f aca="false">LN(C473/C472)</f>
        <v>0.014032003329284</v>
      </c>
      <c r="G473" s="25" t="n">
        <f aca="false">IF(AND(D473=1,A473&gt;=$R$2),F473,"")</f>
        <v>0.014032003329284</v>
      </c>
      <c r="H473" s="27" t="n">
        <f aca="false">IF(G473="","",G473^2)</f>
        <v>0.000196897117433036</v>
      </c>
      <c r="I473" s="25" t="n">
        <f aca="false">IF(G473="","",C473/C472-1)</f>
        <v>0.0141309139847321</v>
      </c>
      <c r="J473" s="17" t="n">
        <f aca="false">AVERAGE(C274:C473)</f>
        <v>383.89725</v>
      </c>
      <c r="K473" s="17" t="n">
        <f aca="false">MAX(K472,C473)</f>
        <v>464.27</v>
      </c>
      <c r="L473" s="25" t="n">
        <f aca="false">C473/K473-1</f>
        <v>-0.0586081375061924</v>
      </c>
      <c r="M473" s="25" t="n">
        <f aca="false">IF(COUNT(G444:G473)&lt;20,"",_xlfn.STDEV.S(G444:G473)*SQRT($R$3))</f>
        <v>0.147250325603929</v>
      </c>
      <c r="N473" s="25" t="n">
        <f aca="false">IF(A473-7&lt;$R$2,"",C473/INDEX(Clean_Data!$C$2:$C$4314,MATCH(A473-7,Clean_Data!$A$2:$A$4314,1))-1)</f>
        <v>0.0216456287985038</v>
      </c>
      <c r="O473" s="25" t="n">
        <f aca="false">IF(A473-30&lt;$R$2,"",C473/INDEX(Clean_Data!$C$2:$C$4314,MATCH(A473-30,Clean_Data!$A$2:$A$4314,1))-1)</f>
        <v>0.0627081965618694</v>
      </c>
    </row>
    <row r="474" customFormat="false" ht="15" hidden="false" customHeight="false" outlineLevel="0" collapsed="false">
      <c r="A474" s="16" t="n">
        <v>42480</v>
      </c>
      <c r="B474" s="23" t="n">
        <f aca="false">YEAR(A474)</f>
        <v>2016</v>
      </c>
      <c r="C474" s="17" t="n">
        <v>442.96</v>
      </c>
      <c r="D474" s="23" t="n">
        <f aca="false">A474-A473</f>
        <v>1</v>
      </c>
      <c r="E474" s="24" t="n">
        <f aca="false">LN(C474)</f>
        <v>6.09347947251471</v>
      </c>
      <c r="F474" s="25" t="n">
        <f aca="false">LN(C474/C473)</f>
        <v>0.0134089870727054</v>
      </c>
      <c r="G474" s="25" t="n">
        <f aca="false">IF(AND(D474=1,A474&gt;=$R$2),F474,"")</f>
        <v>0.0134089870727054</v>
      </c>
      <c r="H474" s="27" t="n">
        <f aca="false">IF(G474="","",G474^2)</f>
        <v>0.000179800934315982</v>
      </c>
      <c r="I474" s="25" t="n">
        <f aca="false">IF(G474="","",C474/C473-1)</f>
        <v>0.0134992907152336</v>
      </c>
      <c r="J474" s="17" t="n">
        <f aca="false">AVERAGE(C275:C474)</f>
        <v>384.91245</v>
      </c>
      <c r="K474" s="17" t="n">
        <f aca="false">MAX(K473,C474)</f>
        <v>464.27</v>
      </c>
      <c r="L474" s="25" t="n">
        <f aca="false">C474/K474-1</f>
        <v>-0.0459000150774334</v>
      </c>
      <c r="M474" s="25" t="n">
        <f aca="false">IF(COUNT(G445:G474)&lt;20,"",_xlfn.STDEV.S(G445:G474)*SQRT($R$3))</f>
        <v>0.152497489715971</v>
      </c>
      <c r="N474" s="25" t="n">
        <f aca="false">IF(A474-7&lt;$R$2,"",C474/INDEX(Clean_Data!$C$2:$C$4314,MATCH(A474-7,Clean_Data!$A$2:$A$4314,1))-1)</f>
        <v>0.0408383852624654</v>
      </c>
      <c r="O474" s="25" t="n">
        <f aca="false">IF(A474-30&lt;$R$2,"",C474/INDEX(Clean_Data!$C$2:$C$4314,MATCH(A474-30,Clean_Data!$A$2:$A$4314,1))-1)</f>
        <v>0.075145631067961</v>
      </c>
    </row>
    <row r="475" customFormat="false" ht="15" hidden="false" customHeight="false" outlineLevel="0" collapsed="false">
      <c r="A475" s="16" t="n">
        <v>42481</v>
      </c>
      <c r="B475" s="23" t="n">
        <f aca="false">YEAR(A475)</f>
        <v>2016</v>
      </c>
      <c r="C475" s="17" t="n">
        <v>452.25</v>
      </c>
      <c r="D475" s="23" t="n">
        <f aca="false">A475-A474</f>
        <v>1</v>
      </c>
      <c r="E475" s="24" t="n">
        <f aca="false">LN(C475)</f>
        <v>6.11423512427541</v>
      </c>
      <c r="F475" s="25" t="n">
        <f aca="false">LN(C475/C474)</f>
        <v>0.0207556517606929</v>
      </c>
      <c r="G475" s="25" t="n">
        <f aca="false">IF(AND(D475=1,A475&gt;=$R$2),F475,"")</f>
        <v>0.0207556517606929</v>
      </c>
      <c r="H475" s="27" t="n">
        <f aca="false">IF(G475="","",G475^2)</f>
        <v>0.000430797080011155</v>
      </c>
      <c r="I475" s="25" t="n">
        <f aca="false">IF(G475="","",C475/C474-1)</f>
        <v>0.0209725483113601</v>
      </c>
      <c r="J475" s="17" t="n">
        <f aca="false">AVERAGE(C276:C475)</f>
        <v>385.97435</v>
      </c>
      <c r="K475" s="17" t="n">
        <f aca="false">MAX(K474,C475)</f>
        <v>464.27</v>
      </c>
      <c r="L475" s="25" t="n">
        <f aca="false">C475/K475-1</f>
        <v>-0.025890107049777</v>
      </c>
      <c r="M475" s="25" t="n">
        <f aca="false">IF(COUNT(G446:G475)&lt;20,"",_xlfn.STDEV.S(G446:G475)*SQRT($R$3))</f>
        <v>0.162694273397136</v>
      </c>
      <c r="N475" s="25" t="n">
        <f aca="false">IF(A475-7&lt;$R$2,"",C475/INDEX(Clean_Data!$C$2:$C$4314,MATCH(A475-7,Clean_Data!$A$2:$A$4314,1))-1)</f>
        <v>0.0608228560705573</v>
      </c>
      <c r="O475" s="25" t="n">
        <f aca="false">IF(A475-30&lt;$R$2,"",C475/INDEX(Clean_Data!$C$2:$C$4314,MATCH(A475-30,Clean_Data!$A$2:$A$4314,1))-1)</f>
        <v>0.0854173666778668</v>
      </c>
    </row>
    <row r="476" customFormat="false" ht="15" hidden="false" customHeight="false" outlineLevel="0" collapsed="false">
      <c r="A476" s="16" t="n">
        <v>42482</v>
      </c>
      <c r="B476" s="23" t="n">
        <f aca="false">YEAR(A476)</f>
        <v>2016</v>
      </c>
      <c r="C476" s="17" t="n">
        <v>448.41</v>
      </c>
      <c r="D476" s="23" t="n">
        <f aca="false">A476-A475</f>
        <v>1</v>
      </c>
      <c r="E476" s="24" t="n">
        <f aca="false">LN(C476)</f>
        <v>6.10570799246583</v>
      </c>
      <c r="F476" s="25" t="n">
        <f aca="false">LN(C476/C475)</f>
        <v>-0.00852713180957163</v>
      </c>
      <c r="G476" s="25" t="n">
        <f aca="false">IF(AND(D476=1,A476&gt;=$R$2),F476,"")</f>
        <v>-0.00852713180957163</v>
      </c>
      <c r="H476" s="27" t="n">
        <f aca="false">IF(G476="","",G476^2)</f>
        <v>7.27119768978083E-005</v>
      </c>
      <c r="I476" s="25" t="n">
        <f aca="false">IF(G476="","",C476/C475-1)</f>
        <v>-0.00849087893864009</v>
      </c>
      <c r="J476" s="17" t="n">
        <f aca="false">AVERAGE(C277:C476)</f>
        <v>387.01165</v>
      </c>
      <c r="K476" s="17" t="n">
        <f aca="false">MAX(K475,C476)</f>
        <v>464.27</v>
      </c>
      <c r="L476" s="25" t="n">
        <f aca="false">C476/K476-1</f>
        <v>-0.034161156223749</v>
      </c>
      <c r="M476" s="25" t="n">
        <f aca="false">IF(COUNT(G447:G476)&lt;20,"",_xlfn.STDEV.S(G447:G476)*SQRT($R$3))</f>
        <v>0.167369311430784</v>
      </c>
      <c r="N476" s="25" t="n">
        <f aca="false">IF(A476-7&lt;$R$2,"",C476/INDEX(Clean_Data!$C$2:$C$4314,MATCH(A476-7,Clean_Data!$A$2:$A$4314,1))-1)</f>
        <v>0.0405634325760564</v>
      </c>
      <c r="O476" s="25" t="n">
        <f aca="false">IF(A476-30&lt;$R$2,"",C476/INDEX(Clean_Data!$C$2:$C$4314,MATCH(A476-30,Clean_Data!$A$2:$A$4314,1))-1)</f>
        <v>0.0739587574545544</v>
      </c>
    </row>
    <row r="477" customFormat="false" ht="15" hidden="false" customHeight="false" outlineLevel="0" collapsed="false">
      <c r="A477" s="16" t="n">
        <v>42483</v>
      </c>
      <c r="B477" s="23" t="n">
        <f aca="false">YEAR(A477)</f>
        <v>2016</v>
      </c>
      <c r="C477" s="17" t="n">
        <v>455.69</v>
      </c>
      <c r="D477" s="23" t="n">
        <f aca="false">A477-A476</f>
        <v>1</v>
      </c>
      <c r="E477" s="24" t="n">
        <f aca="false">LN(C477)</f>
        <v>6.12181275376748</v>
      </c>
      <c r="F477" s="25" t="n">
        <f aca="false">LN(C477/C476)</f>
        <v>0.0161047613016496</v>
      </c>
      <c r="G477" s="25" t="n">
        <f aca="false">IF(AND(D477=1,A477&gt;=$R$2),F477,"")</f>
        <v>0.0161047613016496</v>
      </c>
      <c r="H477" s="27" t="n">
        <f aca="false">IF(G477="","",G477^2)</f>
        <v>0.000259363336583111</v>
      </c>
      <c r="I477" s="25" t="n">
        <f aca="false">IF(G477="","",C477/C476-1)</f>
        <v>0.016235141945987</v>
      </c>
      <c r="J477" s="17" t="n">
        <f aca="false">AVERAGE(C278:C477)</f>
        <v>388.0569</v>
      </c>
      <c r="K477" s="17" t="n">
        <f aca="false">MAX(K476,C477)</f>
        <v>464.27</v>
      </c>
      <c r="L477" s="25" t="n">
        <f aca="false">C477/K477-1</f>
        <v>-0.0184806254980937</v>
      </c>
      <c r="M477" s="25" t="n">
        <f aca="false">IF(COUNT(G448:G477)&lt;20,"",_xlfn.STDEV.S(G448:G477)*SQRT($R$3))</f>
        <v>0.166769977904087</v>
      </c>
      <c r="N477" s="25" t="n">
        <f aca="false">IF(A477-7&lt;$R$2,"",C477/INDEX(Clean_Data!$C$2:$C$4314,MATCH(A477-7,Clean_Data!$A$2:$A$4314,1))-1)</f>
        <v>0.0514548097556473</v>
      </c>
      <c r="O477" s="25" t="n">
        <f aca="false">IF(A477-30&lt;$R$2,"",C477/INDEX(Clean_Data!$C$2:$C$4314,MATCH(A477-30,Clean_Data!$A$2:$A$4314,1))-1)</f>
        <v>0.10349921297978</v>
      </c>
    </row>
    <row r="478" customFormat="false" ht="15" hidden="false" customHeight="false" outlineLevel="0" collapsed="false">
      <c r="A478" s="16" t="n">
        <v>42484</v>
      </c>
      <c r="B478" s="23" t="n">
        <f aca="false">YEAR(A478)</f>
        <v>2016</v>
      </c>
      <c r="C478" s="17" t="n">
        <v>464.46</v>
      </c>
      <c r="D478" s="23" t="n">
        <f aca="false">A478-A477</f>
        <v>1</v>
      </c>
      <c r="E478" s="24" t="n">
        <f aca="false">LN(C478)</f>
        <v>6.14087544044468</v>
      </c>
      <c r="F478" s="25" t="n">
        <f aca="false">LN(C478/C477)</f>
        <v>0.0190626866771946</v>
      </c>
      <c r="G478" s="25" t="n">
        <f aca="false">IF(AND(D478=1,A478&gt;=$R$2),F478,"")</f>
        <v>0.0190626866771946</v>
      </c>
      <c r="H478" s="27" t="n">
        <f aca="false">IF(G478="","",G478^2)</f>
        <v>0.000363386023352893</v>
      </c>
      <c r="I478" s="25" t="n">
        <f aca="false">IF(G478="","",C478/C477-1)</f>
        <v>0.0192455397309574</v>
      </c>
      <c r="J478" s="17" t="n">
        <f aca="false">AVERAGE(C279:C478)</f>
        <v>389.1592</v>
      </c>
      <c r="K478" s="17" t="n">
        <f aca="false">MAX(K477,C478)</f>
        <v>464.46</v>
      </c>
      <c r="L478" s="25" t="n">
        <f aca="false">C478/K478-1</f>
        <v>0</v>
      </c>
      <c r="M478" s="25" t="n">
        <f aca="false">IF(COUNT(G449:G478)&lt;20,"",_xlfn.STDEV.S(G449:G478)*SQRT($R$3))</f>
        <v>0.174858930174493</v>
      </c>
      <c r="N478" s="25" t="n">
        <f aca="false">IF(A478-7&lt;$R$2,"",C478/INDEX(Clean_Data!$C$2:$C$4314,MATCH(A478-7,Clean_Data!$A$2:$A$4314,1))-1)</f>
        <v>0.0776334106728538</v>
      </c>
      <c r="O478" s="25" t="n">
        <f aca="false">IF(A478-30&lt;$R$2,"",C478/INDEX(Clean_Data!$C$2:$C$4314,MATCH(A478-30,Clean_Data!$A$2:$A$4314,1))-1)</f>
        <v>0.115391080905838</v>
      </c>
    </row>
    <row r="479" customFormat="false" ht="15" hidden="false" customHeight="false" outlineLevel="0" collapsed="false">
      <c r="A479" s="16" t="n">
        <v>42485</v>
      </c>
      <c r="B479" s="23" t="n">
        <f aca="false">YEAR(A479)</f>
        <v>2016</v>
      </c>
      <c r="C479" s="17" t="n">
        <v>466.17</v>
      </c>
      <c r="D479" s="23" t="n">
        <f aca="false">A479-A478</f>
        <v>1</v>
      </c>
      <c r="E479" s="24" t="n">
        <f aca="false">LN(C479)</f>
        <v>6.14455037446675</v>
      </c>
      <c r="F479" s="25" t="n">
        <f aca="false">LN(C479/C478)</f>
        <v>0.00367493402207554</v>
      </c>
      <c r="G479" s="25" t="n">
        <f aca="false">IF(AND(D479=1,A479&gt;=$R$2),F479,"")</f>
        <v>0.00367493402207554</v>
      </c>
      <c r="H479" s="27" t="n">
        <f aca="false">IF(G479="","",G479^2)</f>
        <v>1.35051400666083E-005</v>
      </c>
      <c r="I479" s="25" t="n">
        <f aca="false">IF(G479="","",C479/C478-1)</f>
        <v>0.00368169487146375</v>
      </c>
      <c r="J479" s="17" t="n">
        <f aca="false">AVERAGE(C280:C479)</f>
        <v>390.27535</v>
      </c>
      <c r="K479" s="17" t="n">
        <f aca="false">MAX(K478,C479)</f>
        <v>466.17</v>
      </c>
      <c r="L479" s="25" t="n">
        <f aca="false">C479/K479-1</f>
        <v>0</v>
      </c>
      <c r="M479" s="25" t="n">
        <f aca="false">IF(COUNT(G450:G479)&lt;20,"",_xlfn.STDEV.S(G450:G479)*SQRT($R$3))</f>
        <v>0.174662581184439</v>
      </c>
      <c r="N479" s="25" t="n">
        <f aca="false">IF(A479-7&lt;$R$2,"",C479/INDEX(Clean_Data!$C$2:$C$4314,MATCH(A479-7,Clean_Data!$A$2:$A$4314,1))-1)</f>
        <v>0.0816762187623268</v>
      </c>
      <c r="O479" s="25" t="n">
        <f aca="false">IF(A479-30&lt;$R$2,"",C479/INDEX(Clean_Data!$C$2:$C$4314,MATCH(A479-30,Clean_Data!$A$2:$A$4314,1))-1)</f>
        <v>0.117994100294985</v>
      </c>
    </row>
    <row r="480" customFormat="false" ht="15" hidden="false" customHeight="false" outlineLevel="0" collapsed="false">
      <c r="A480" s="16" t="n">
        <v>42486</v>
      </c>
      <c r="B480" s="23" t="n">
        <f aca="false">YEAR(A480)</f>
        <v>2016</v>
      </c>
      <c r="C480" s="17" t="n">
        <v>470.59</v>
      </c>
      <c r="D480" s="23" t="n">
        <f aca="false">A480-A479</f>
        <v>1</v>
      </c>
      <c r="E480" s="24" t="n">
        <f aca="false">LN(C480)</f>
        <v>6.15398722659873</v>
      </c>
      <c r="F480" s="25" t="n">
        <f aca="false">LN(C480/C479)</f>
        <v>0.00943685213197301</v>
      </c>
      <c r="G480" s="25" t="n">
        <f aca="false">IF(AND(D480=1,A480&gt;=$R$2),F480,"")</f>
        <v>0.00943685213197301</v>
      </c>
      <c r="H480" s="27" t="n">
        <f aca="false">IF(G480="","",G480^2)</f>
        <v>8.90541781607236E-005</v>
      </c>
      <c r="I480" s="25" t="n">
        <f aca="false">IF(G480="","",C480/C479-1)</f>
        <v>0.00948151961730681</v>
      </c>
      <c r="J480" s="17" t="n">
        <f aca="false">AVERAGE(C281:C480)</f>
        <v>391.40655</v>
      </c>
      <c r="K480" s="17" t="n">
        <f aca="false">MAX(K479,C480)</f>
        <v>470.59</v>
      </c>
      <c r="L480" s="25" t="n">
        <f aca="false">C480/K480-1</f>
        <v>0</v>
      </c>
      <c r="M480" s="25" t="n">
        <f aca="false">IF(COUNT(G451:G480)&lt;20,"",_xlfn.STDEV.S(G451:G480)*SQRT($R$3))</f>
        <v>0.166212004874434</v>
      </c>
      <c r="N480" s="25" t="n">
        <f aca="false">IF(A480-7&lt;$R$2,"",C480/INDEX(Clean_Data!$C$2:$C$4314,MATCH(A480-7,Clean_Data!$A$2:$A$4314,1))-1)</f>
        <v>0.0767171555392852</v>
      </c>
      <c r="O480" s="25" t="n">
        <f aca="false">IF(A480-30&lt;$R$2,"",C480/INDEX(Clean_Data!$C$2:$C$4314,MATCH(A480-30,Clean_Data!$A$2:$A$4314,1))-1)</f>
        <v>0.106489536797555</v>
      </c>
    </row>
    <row r="481" customFormat="false" ht="15" hidden="false" customHeight="false" outlineLevel="0" collapsed="false">
      <c r="A481" s="16" t="n">
        <v>42487</v>
      </c>
      <c r="B481" s="23" t="n">
        <f aca="false">YEAR(A481)</f>
        <v>2016</v>
      </c>
      <c r="C481" s="17" t="n">
        <v>445.31</v>
      </c>
      <c r="D481" s="23" t="n">
        <f aca="false">A481-A480</f>
        <v>1</v>
      </c>
      <c r="E481" s="24" t="n">
        <f aca="false">LN(C481)</f>
        <v>6.09877066884622</v>
      </c>
      <c r="F481" s="25" t="n">
        <f aca="false">LN(C481/C480)</f>
        <v>-0.055216557752502</v>
      </c>
      <c r="G481" s="25" t="n">
        <f aca="false">IF(AND(D481=1,A481&gt;=$R$2),F481,"")</f>
        <v>-0.055216557752502</v>
      </c>
      <c r="H481" s="27" t="n">
        <f aca="false">IF(G481="","",G481^2)</f>
        <v>0.00304886825003539</v>
      </c>
      <c r="I481" s="25" t="n">
        <f aca="false">IF(G481="","",C481/C480-1)</f>
        <v>-0.0537197985507554</v>
      </c>
      <c r="J481" s="17" t="n">
        <f aca="false">AVERAGE(C282:C481)</f>
        <v>392.40275</v>
      </c>
      <c r="K481" s="17" t="n">
        <f aca="false">MAX(K480,C481)</f>
        <v>470.59</v>
      </c>
      <c r="L481" s="25" t="n">
        <f aca="false">C481/K481-1</f>
        <v>-0.0537197985507554</v>
      </c>
      <c r="M481" s="25" t="n">
        <f aca="false">IF(COUNT(G452:G481)&lt;20,"",_xlfn.STDEV.S(G452:G481)*SQRT($R$3))</f>
        <v>0.262331338546419</v>
      </c>
      <c r="N481" s="25" t="n">
        <f aca="false">IF(A481-7&lt;$R$2,"",C481/INDEX(Clean_Data!$C$2:$C$4314,MATCH(A481-7,Clean_Data!$A$2:$A$4314,1))-1)</f>
        <v>0.00530521943290596</v>
      </c>
      <c r="O481" s="25" t="n">
        <f aca="false">IF(A481-30&lt;$R$2,"",C481/INDEX(Clean_Data!$C$2:$C$4314,MATCH(A481-30,Clean_Data!$A$2:$A$4314,1))-1)</f>
        <v>0.05274231678487</v>
      </c>
    </row>
    <row r="482" customFormat="false" ht="15" hidden="false" customHeight="false" outlineLevel="0" collapsed="false">
      <c r="A482" s="16" t="n">
        <v>42488</v>
      </c>
      <c r="B482" s="23" t="n">
        <f aca="false">YEAR(A482)</f>
        <v>2016</v>
      </c>
      <c r="C482" s="17" t="n">
        <v>451.68</v>
      </c>
      <c r="D482" s="23" t="n">
        <f aca="false">A482-A481</f>
        <v>1</v>
      </c>
      <c r="E482" s="24" t="n">
        <f aca="false">LN(C482)</f>
        <v>6.11297396450518</v>
      </c>
      <c r="F482" s="25" t="n">
        <f aca="false">LN(C482/C481)</f>
        <v>0.0142032956589556</v>
      </c>
      <c r="G482" s="25" t="n">
        <f aca="false">IF(AND(D482=1,A482&gt;=$R$2),F482,"")</f>
        <v>0.0142032956589556</v>
      </c>
      <c r="H482" s="27" t="n">
        <f aca="false">IF(G482="","",G482^2)</f>
        <v>0.000201733607575708</v>
      </c>
      <c r="I482" s="25" t="n">
        <f aca="false">IF(G482="","",C482/C481-1)</f>
        <v>0.0143046417102692</v>
      </c>
      <c r="J482" s="17" t="n">
        <f aca="false">AVERAGE(C283:C482)</f>
        <v>393.41605</v>
      </c>
      <c r="K482" s="17" t="n">
        <f aca="false">MAX(K481,C482)</f>
        <v>470.59</v>
      </c>
      <c r="L482" s="25" t="n">
        <f aca="false">C482/K482-1</f>
        <v>-0.0401835993115025</v>
      </c>
      <c r="M482" s="25" t="n">
        <f aca="false">IF(COUNT(G453:G482)&lt;20,"",_xlfn.STDEV.S(G453:G482)*SQRT($R$3))</f>
        <v>0.258004788504648</v>
      </c>
      <c r="N482" s="25" t="n">
        <f aca="false">IF(A482-7&lt;$R$2,"",C482/INDEX(Clean_Data!$C$2:$C$4314,MATCH(A482-7,Clean_Data!$A$2:$A$4314,1))-1)</f>
        <v>-0.0012603648424544</v>
      </c>
      <c r="O482" s="25" t="n">
        <f aca="false">IF(A482-30&lt;$R$2,"",C482/INDEX(Clean_Data!$C$2:$C$4314,MATCH(A482-30,Clean_Data!$A$2:$A$4314,1))-1)</f>
        <v>0.0847522755109393</v>
      </c>
    </row>
    <row r="483" customFormat="false" ht="15" hidden="false" customHeight="false" outlineLevel="0" collapsed="false">
      <c r="A483" s="16" t="n">
        <v>42489</v>
      </c>
      <c r="B483" s="23" t="n">
        <f aca="false">YEAR(A483)</f>
        <v>2016</v>
      </c>
      <c r="C483" s="17" t="n">
        <v>458.82</v>
      </c>
      <c r="D483" s="23" t="n">
        <f aca="false">A483-A482</f>
        <v>1</v>
      </c>
      <c r="E483" s="24" t="n">
        <f aca="false">LN(C483)</f>
        <v>6.12865797628419</v>
      </c>
      <c r="F483" s="25" t="n">
        <f aca="false">LN(C483/C482)</f>
        <v>0.0156840117790095</v>
      </c>
      <c r="G483" s="25" t="n">
        <f aca="false">IF(AND(D483=1,A483&gt;=$R$2),F483,"")</f>
        <v>0.0156840117790095</v>
      </c>
      <c r="H483" s="27" t="n">
        <f aca="false">IF(G483="","",G483^2)</f>
        <v>0.000245988225484108</v>
      </c>
      <c r="I483" s="25" t="n">
        <f aca="false">IF(G483="","",C483/C482-1)</f>
        <v>0.0158076514346439</v>
      </c>
      <c r="J483" s="17" t="n">
        <f aca="false">AVERAGE(C284:C483)</f>
        <v>394.4782</v>
      </c>
      <c r="K483" s="17" t="n">
        <f aca="false">MAX(K482,C483)</f>
        <v>470.59</v>
      </c>
      <c r="L483" s="25" t="n">
        <f aca="false">C483/K483-1</f>
        <v>-0.0250111562081642</v>
      </c>
      <c r="M483" s="25" t="n">
        <f aca="false">IF(COUNT(G454:G483)&lt;20,"",_xlfn.STDEV.S(G454:G483)*SQRT($R$3))</f>
        <v>0.258459064786838</v>
      </c>
      <c r="N483" s="25" t="n">
        <f aca="false">IF(A483-7&lt;$R$2,"",C483/INDEX(Clean_Data!$C$2:$C$4314,MATCH(A483-7,Clean_Data!$A$2:$A$4314,1))-1)</f>
        <v>0.0232153609419949</v>
      </c>
      <c r="O483" s="25" t="n">
        <f aca="false">IF(A483-30&lt;$R$2,"",C483/INDEX(Clean_Data!$C$2:$C$4314,MATCH(A483-30,Clean_Data!$A$2:$A$4314,1))-1)</f>
        <v>0.111509484241382</v>
      </c>
    </row>
    <row r="484" customFormat="false" ht="15" hidden="false" customHeight="false" outlineLevel="0" collapsed="false">
      <c r="A484" s="16" t="n">
        <v>42490</v>
      </c>
      <c r="B484" s="23" t="n">
        <f aca="false">YEAR(A484)</f>
        <v>2016</v>
      </c>
      <c r="C484" s="17" t="n">
        <v>454.02</v>
      </c>
      <c r="D484" s="23" t="n">
        <f aca="false">A484-A483</f>
        <v>1</v>
      </c>
      <c r="E484" s="24" t="n">
        <f aca="false">LN(C484)</f>
        <v>6.11814124993449</v>
      </c>
      <c r="F484" s="25" t="n">
        <f aca="false">LN(C484/C483)</f>
        <v>-0.0105167263497036</v>
      </c>
      <c r="G484" s="25" t="n">
        <f aca="false">IF(AND(D484=1,A484&gt;=$R$2),F484,"")</f>
        <v>-0.0105167263497036</v>
      </c>
      <c r="H484" s="27" t="n">
        <f aca="false">IF(G484="","",G484^2)</f>
        <v>0.00011060153311455</v>
      </c>
      <c r="I484" s="25" t="n">
        <f aca="false">IF(G484="","",C484/C483-1)</f>
        <v>-0.0104616189355303</v>
      </c>
      <c r="J484" s="17" t="n">
        <f aca="false">AVERAGE(C285:C484)</f>
        <v>395.49335</v>
      </c>
      <c r="K484" s="17" t="n">
        <f aca="false">MAX(K483,C484)</f>
        <v>470.59</v>
      </c>
      <c r="L484" s="25" t="n">
        <f aca="false">C484/K484-1</f>
        <v>-0.0352111179583077</v>
      </c>
      <c r="M484" s="25" t="n">
        <f aca="false">IF(COUNT(G455:G484)&lt;20,"",_xlfn.STDEV.S(G455:G484)*SQRT($R$3))</f>
        <v>0.262505602983637</v>
      </c>
      <c r="N484" s="25" t="n">
        <f aca="false">IF(A484-7&lt;$R$2,"",C484/INDEX(Clean_Data!$C$2:$C$4314,MATCH(A484-7,Clean_Data!$A$2:$A$4314,1))-1)</f>
        <v>-0.00366477210384253</v>
      </c>
      <c r="O484" s="25" t="n">
        <f aca="false">IF(A484-30&lt;$R$2,"",C484/INDEX(Clean_Data!$C$2:$C$4314,MATCH(A484-30,Clean_Data!$A$2:$A$4314,1))-1)</f>
        <v>0.0913155301300388</v>
      </c>
    </row>
    <row r="485" customFormat="false" ht="15" hidden="false" customHeight="false" outlineLevel="0" collapsed="false">
      <c r="A485" s="16" t="n">
        <v>42491</v>
      </c>
      <c r="B485" s="23" t="n">
        <f aca="false">YEAR(A485)</f>
        <v>2016</v>
      </c>
      <c r="C485" s="17" t="n">
        <v>456.98</v>
      </c>
      <c r="D485" s="23" t="n">
        <f aca="false">A485-A484</f>
        <v>1</v>
      </c>
      <c r="E485" s="24" t="n">
        <f aca="false">LN(C485)</f>
        <v>6.1246396262604</v>
      </c>
      <c r="F485" s="25" t="n">
        <f aca="false">LN(C485/C484)</f>
        <v>0.00649837632591324</v>
      </c>
      <c r="G485" s="25" t="n">
        <f aca="false">IF(AND(D485=1,A485&gt;=$R$2),F485,"")</f>
        <v>0.00649837632591324</v>
      </c>
      <c r="H485" s="27" t="n">
        <f aca="false">IF(G485="","",G485^2)</f>
        <v>4.22288948731896E-005</v>
      </c>
      <c r="I485" s="25" t="n">
        <f aca="false">IF(G485="","",C485/C484-1)</f>
        <v>0.00651953658429161</v>
      </c>
      <c r="J485" s="17" t="n">
        <f aca="false">AVERAGE(C286:C485)</f>
        <v>396.5119</v>
      </c>
      <c r="K485" s="17" t="n">
        <f aca="false">MAX(K484,C485)</f>
        <v>470.59</v>
      </c>
      <c r="L485" s="25" t="n">
        <f aca="false">C485/K485-1</f>
        <v>-0.0289211415457191</v>
      </c>
      <c r="M485" s="25" t="n">
        <f aca="false">IF(COUNT(G456:G485)&lt;20,"",_xlfn.STDEV.S(G456:G485)*SQRT($R$3))</f>
        <v>0.262782309507723</v>
      </c>
      <c r="N485" s="25" t="n">
        <f aca="false">IF(A485-7&lt;$R$2,"",C485/INDEX(Clean_Data!$C$2:$C$4314,MATCH(A485-7,Clean_Data!$A$2:$A$4314,1))-1)</f>
        <v>-0.0161047237652326</v>
      </c>
      <c r="O485" s="25" t="n">
        <f aca="false">IF(A485-30&lt;$R$2,"",C485/INDEX(Clean_Data!$C$2:$C$4314,MATCH(A485-30,Clean_Data!$A$2:$A$4314,1))-1)</f>
        <v>0.094091170273894</v>
      </c>
    </row>
    <row r="486" customFormat="false" ht="15" hidden="false" customHeight="false" outlineLevel="0" collapsed="false">
      <c r="A486" s="16" t="n">
        <v>42492</v>
      </c>
      <c r="B486" s="23" t="n">
        <f aca="false">YEAR(A486)</f>
        <v>2016</v>
      </c>
      <c r="C486" s="17" t="n">
        <v>446.42</v>
      </c>
      <c r="D486" s="23" t="n">
        <f aca="false">A486-A485</f>
        <v>1</v>
      </c>
      <c r="E486" s="24" t="n">
        <f aca="false">LN(C486)</f>
        <v>6.10126021293087</v>
      </c>
      <c r="F486" s="25" t="n">
        <f aca="false">LN(C486/C485)</f>
        <v>-0.023379413329532</v>
      </c>
      <c r="G486" s="25" t="n">
        <f aca="false">IF(AND(D486=1,A486&gt;=$R$2),F486,"")</f>
        <v>-0.023379413329532</v>
      </c>
      <c r="H486" s="27" t="n">
        <f aca="false">IF(G486="","",G486^2)</f>
        <v>0.0005465969676331</v>
      </c>
      <c r="I486" s="25" t="n">
        <f aca="false">IF(G486="","",C486/C485-1)</f>
        <v>-0.0231082323077596</v>
      </c>
      <c r="J486" s="17" t="n">
        <f aca="false">AVERAGE(C287:C486)</f>
        <v>397.46905</v>
      </c>
      <c r="K486" s="17" t="n">
        <f aca="false">MAX(K485,C486)</f>
        <v>470.59</v>
      </c>
      <c r="L486" s="25" t="n">
        <f aca="false">C486/K486-1</f>
        <v>-0.0513610573960347</v>
      </c>
      <c r="M486" s="25" t="n">
        <f aca="false">IF(COUNT(G457:G486)&lt;20,"",_xlfn.STDEV.S(G457:G486)*SQRT($R$3))</f>
        <v>0.27818955561556</v>
      </c>
      <c r="N486" s="25" t="n">
        <f aca="false">IF(A486-7&lt;$R$2,"",C486/INDEX(Clean_Data!$C$2:$C$4314,MATCH(A486-7,Clean_Data!$A$2:$A$4314,1))-1)</f>
        <v>-0.0423665186519939</v>
      </c>
      <c r="O486" s="25" t="n">
        <f aca="false">IF(A486-30&lt;$R$2,"",C486/INDEX(Clean_Data!$C$2:$C$4314,MATCH(A486-30,Clean_Data!$A$2:$A$4314,1))-1)</f>
        <v>0.0630313132515776</v>
      </c>
    </row>
    <row r="487" customFormat="false" ht="15" hidden="false" customHeight="false" outlineLevel="0" collapsed="false">
      <c r="A487" s="16" t="n">
        <v>42493</v>
      </c>
      <c r="B487" s="23" t="n">
        <f aca="false">YEAR(A487)</f>
        <v>2016</v>
      </c>
      <c r="C487" s="17" t="n">
        <v>452.21</v>
      </c>
      <c r="D487" s="23" t="n">
        <f aca="false">A487-A486</f>
        <v>1</v>
      </c>
      <c r="E487" s="24" t="n">
        <f aca="false">LN(C487)</f>
        <v>6.11414667370816</v>
      </c>
      <c r="F487" s="25" t="n">
        <f aca="false">LN(C487/C486)</f>
        <v>0.0128864607772914</v>
      </c>
      <c r="G487" s="25" t="n">
        <f aca="false">IF(AND(D487=1,A487&gt;=$R$2),F487,"")</f>
        <v>0.0128864607772914</v>
      </c>
      <c r="H487" s="27" t="n">
        <f aca="false">IF(G487="","",G487^2)</f>
        <v>0.000166060871364669</v>
      </c>
      <c r="I487" s="25" t="n">
        <f aca="false">IF(G487="","",C487/C486-1)</f>
        <v>0.0129698490211012</v>
      </c>
      <c r="J487" s="17" t="n">
        <f aca="false">AVERAGE(C288:C487)</f>
        <v>398.41295</v>
      </c>
      <c r="K487" s="17" t="n">
        <f aca="false">MAX(K486,C487)</f>
        <v>470.59</v>
      </c>
      <c r="L487" s="25" t="n">
        <f aca="false">C487/K487-1</f>
        <v>-0.0390573535349242</v>
      </c>
      <c r="M487" s="25" t="n">
        <f aca="false">IF(COUNT(G458:G487)&lt;20,"",_xlfn.STDEV.S(G458:G487)*SQRT($R$3))</f>
        <v>0.280671882893273</v>
      </c>
      <c r="N487" s="25" t="n">
        <f aca="false">IF(A487-7&lt;$R$2,"",C487/INDEX(Clean_Data!$C$2:$C$4314,MATCH(A487-7,Clean_Data!$A$2:$A$4314,1))-1)</f>
        <v>-0.0390573535349242</v>
      </c>
      <c r="O487" s="25" t="n">
        <f aca="false">IF(A487-30&lt;$R$2,"",C487/INDEX(Clean_Data!$C$2:$C$4314,MATCH(A487-30,Clean_Data!$A$2:$A$4314,1))-1)</f>
        <v>0.07628046458492</v>
      </c>
    </row>
    <row r="488" customFormat="false" ht="15" hidden="false" customHeight="false" outlineLevel="0" collapsed="false">
      <c r="A488" s="16" t="n">
        <v>42494</v>
      </c>
      <c r="B488" s="23" t="n">
        <f aca="false">YEAR(A488)</f>
        <v>2016</v>
      </c>
      <c r="C488" s="17" t="n">
        <v>448.68</v>
      </c>
      <c r="D488" s="23" t="n">
        <f aca="false">A488-A487</f>
        <v>1</v>
      </c>
      <c r="E488" s="24" t="n">
        <f aca="false">LN(C488)</f>
        <v>6.10630993877702</v>
      </c>
      <c r="F488" s="25" t="n">
        <f aca="false">LN(C488/C487)</f>
        <v>-0.00783673493113483</v>
      </c>
      <c r="G488" s="25" t="n">
        <f aca="false">IF(AND(D488=1,A488&gt;=$R$2),F488,"")</f>
        <v>-0.00783673493113483</v>
      </c>
      <c r="H488" s="27" t="n">
        <f aca="false">IF(G488="","",G488^2)</f>
        <v>6.14144143808688E-005</v>
      </c>
      <c r="I488" s="25" t="n">
        <f aca="false">IF(G488="","",C488/C487-1)</f>
        <v>-0.0078061077817827</v>
      </c>
      <c r="J488" s="17" t="n">
        <f aca="false">AVERAGE(C289:C488)</f>
        <v>399.292</v>
      </c>
      <c r="K488" s="17" t="n">
        <f aca="false">MAX(K487,C488)</f>
        <v>470.59</v>
      </c>
      <c r="L488" s="25" t="n">
        <f aca="false">C488/K488-1</f>
        <v>-0.0465585754053421</v>
      </c>
      <c r="M488" s="25" t="n">
        <f aca="false">IF(COUNT(G459:G488)&lt;20,"",_xlfn.STDEV.S(G459:G488)*SQRT($R$3))</f>
        <v>0.282633319482981</v>
      </c>
      <c r="N488" s="25" t="n">
        <f aca="false">IF(A488-7&lt;$R$2,"",C488/INDEX(Clean_Data!$C$2:$C$4314,MATCH(A488-7,Clean_Data!$A$2:$A$4314,1))-1)</f>
        <v>0.00756776178392582</v>
      </c>
      <c r="O488" s="25" t="n">
        <f aca="false">IF(A488-30&lt;$R$2,"",C488/INDEX(Clean_Data!$C$2:$C$4314,MATCH(A488-30,Clean_Data!$A$2:$A$4314,1))-1)</f>
        <v>0.069635492407085</v>
      </c>
    </row>
    <row r="489" customFormat="false" ht="15" hidden="false" customHeight="false" outlineLevel="0" collapsed="false">
      <c r="A489" s="16" t="n">
        <v>42495</v>
      </c>
      <c r="B489" s="23" t="n">
        <f aca="false">YEAR(A489)</f>
        <v>2016</v>
      </c>
      <c r="C489" s="17" t="n">
        <v>449.98</v>
      </c>
      <c r="D489" s="23" t="n">
        <f aca="false">A489-A488</f>
        <v>1</v>
      </c>
      <c r="E489" s="24" t="n">
        <f aca="false">LN(C489)</f>
        <v>6.10920313733224</v>
      </c>
      <c r="F489" s="25" t="n">
        <f aca="false">LN(C489/C488)</f>
        <v>0.00289319855521486</v>
      </c>
      <c r="G489" s="25" t="n">
        <f aca="false">IF(AND(D489=1,A489&gt;=$R$2),F489,"")</f>
        <v>0.00289319855521486</v>
      </c>
      <c r="H489" s="27" t="n">
        <f aca="false">IF(G489="","",G489^2)</f>
        <v>8.37059787989735E-006</v>
      </c>
      <c r="I489" s="25" t="n">
        <f aca="false">IF(G489="","",C489/C488-1)</f>
        <v>0.00289738789337624</v>
      </c>
      <c r="J489" s="17" t="n">
        <f aca="false">AVERAGE(C290:C489)</f>
        <v>400.2169</v>
      </c>
      <c r="K489" s="17" t="n">
        <f aca="false">MAX(K488,C489)</f>
        <v>470.59</v>
      </c>
      <c r="L489" s="25" t="n">
        <f aca="false">C489/K489-1</f>
        <v>-0.0437960857646783</v>
      </c>
      <c r="M489" s="25" t="n">
        <f aca="false">IF(COUNT(G460:G489)&lt;20,"",_xlfn.STDEV.S(G460:G489)*SQRT($R$3))</f>
        <v>0.282154902584431</v>
      </c>
      <c r="N489" s="25" t="n">
        <f aca="false">IF(A489-7&lt;$R$2,"",C489/INDEX(Clean_Data!$C$2:$C$4314,MATCH(A489-7,Clean_Data!$A$2:$A$4314,1))-1)</f>
        <v>-0.00376372653205803</v>
      </c>
      <c r="O489" s="25" t="n">
        <f aca="false">IF(A489-30&lt;$R$2,"",C489/INDEX(Clean_Data!$C$2:$C$4314,MATCH(A489-30,Clean_Data!$A$2:$A$4314,1))-1)</f>
        <v>0.0653944502320296</v>
      </c>
    </row>
    <row r="490" customFormat="false" ht="15" hidden="false" customHeight="false" outlineLevel="0" collapsed="false">
      <c r="A490" s="16" t="n">
        <v>42496</v>
      </c>
      <c r="B490" s="23" t="n">
        <f aca="false">YEAR(A490)</f>
        <v>2016</v>
      </c>
      <c r="C490" s="17" t="n">
        <v>462.31</v>
      </c>
      <c r="D490" s="23" t="n">
        <f aca="false">A490-A489</f>
        <v>1</v>
      </c>
      <c r="E490" s="24" t="n">
        <f aca="false">LN(C490)</f>
        <v>6.13623566173579</v>
      </c>
      <c r="F490" s="25" t="n">
        <f aca="false">LN(C490/C489)</f>
        <v>0.0270325244035532</v>
      </c>
      <c r="G490" s="25" t="n">
        <f aca="false">IF(AND(D490=1,A490&gt;=$R$2),F490,"")</f>
        <v>0.0270325244035532</v>
      </c>
      <c r="H490" s="27" t="n">
        <f aca="false">IF(G490="","",G490^2)</f>
        <v>0.000730757375628697</v>
      </c>
      <c r="I490" s="25" t="n">
        <f aca="false">IF(G490="","",C490/C489-1)</f>
        <v>0.0274012178319036</v>
      </c>
      <c r="J490" s="17" t="n">
        <f aca="false">AVERAGE(C291:C490)</f>
        <v>401.2026</v>
      </c>
      <c r="K490" s="17" t="n">
        <f aca="false">MAX(K489,C490)</f>
        <v>470.59</v>
      </c>
      <c r="L490" s="25" t="n">
        <f aca="false">C490/K490-1</f>
        <v>-0.0175949340189974</v>
      </c>
      <c r="M490" s="25" t="n">
        <f aca="false">IF(COUNT(G461:G490)&lt;20,"",_xlfn.STDEV.S(G461:G490)*SQRT($R$3))</f>
        <v>0.294693909906254</v>
      </c>
      <c r="N490" s="25" t="n">
        <f aca="false">IF(A490-7&lt;$R$2,"",C490/INDEX(Clean_Data!$C$2:$C$4314,MATCH(A490-7,Clean_Data!$A$2:$A$4314,1))-1)</f>
        <v>0.00760646876770843</v>
      </c>
      <c r="O490" s="25" t="n">
        <f aca="false">IF(A490-30&lt;$R$2,"",C490/INDEX(Clean_Data!$C$2:$C$4314,MATCH(A490-30,Clean_Data!$A$2:$A$4314,1))-1)</f>
        <v>0.0969249750866037</v>
      </c>
    </row>
    <row r="491" customFormat="false" ht="15" hidden="false" customHeight="false" outlineLevel="0" collapsed="false">
      <c r="A491" s="16" t="n">
        <v>42497</v>
      </c>
      <c r="B491" s="23" t="n">
        <f aca="false">YEAR(A491)</f>
        <v>2016</v>
      </c>
      <c r="C491" s="17" t="n">
        <v>461.91</v>
      </c>
      <c r="D491" s="23" t="n">
        <f aca="false">A491-A490</f>
        <v>1</v>
      </c>
      <c r="E491" s="24" t="n">
        <f aca="false">LN(C491)</f>
        <v>6.13537006690994</v>
      </c>
      <c r="F491" s="25" t="n">
        <f aca="false">LN(C491/C490)</f>
        <v>-0.000865594825853408</v>
      </c>
      <c r="G491" s="25" t="n">
        <f aca="false">IF(AND(D491=1,A491&gt;=$R$2),F491,"")</f>
        <v>-0.000865594825853408</v>
      </c>
      <c r="H491" s="27" t="n">
        <f aca="false">IF(G491="","",G491^2)</f>
        <v>7.49254402544191E-007</v>
      </c>
      <c r="I491" s="25" t="n">
        <f aca="false">IF(G491="","",C491/C490-1)</f>
        <v>-0.000865220306720538</v>
      </c>
      <c r="J491" s="17" t="n">
        <f aca="false">AVERAGE(C292:C491)</f>
        <v>402.15645</v>
      </c>
      <c r="K491" s="17" t="n">
        <f aca="false">MAX(K490,C491)</f>
        <v>470.59</v>
      </c>
      <c r="L491" s="25" t="n">
        <f aca="false">C491/K491-1</f>
        <v>-0.0184449308315093</v>
      </c>
      <c r="M491" s="25" t="n">
        <f aca="false">IF(COUNT(G462:G491)&lt;20,"",_xlfn.STDEV.S(G462:G491)*SQRT($R$3))</f>
        <v>0.29495238043596</v>
      </c>
      <c r="N491" s="25" t="n">
        <f aca="false">IF(A491-7&lt;$R$2,"",C491/INDEX(Clean_Data!$C$2:$C$4314,MATCH(A491-7,Clean_Data!$A$2:$A$4314,1))-1)</f>
        <v>0.0173780890709661</v>
      </c>
      <c r="O491" s="25" t="n">
        <f aca="false">IF(A491-30&lt;$R$2,"",C491/INDEX(Clean_Data!$C$2:$C$4314,MATCH(A491-30,Clean_Data!$A$2:$A$4314,1))-1)</f>
        <v>0.0945993980900022</v>
      </c>
    </row>
    <row r="492" customFormat="false" ht="15" hidden="false" customHeight="false" outlineLevel="0" collapsed="false">
      <c r="A492" s="16" t="n">
        <v>42498</v>
      </c>
      <c r="B492" s="23" t="n">
        <f aca="false">YEAR(A492)</f>
        <v>2016</v>
      </c>
      <c r="C492" s="17" t="n">
        <v>462.79</v>
      </c>
      <c r="D492" s="23" t="n">
        <f aca="false">A492-A491</f>
        <v>1</v>
      </c>
      <c r="E492" s="24" t="n">
        <f aca="false">LN(C492)</f>
        <v>6.1372733874802</v>
      </c>
      <c r="F492" s="25" t="n">
        <f aca="false">LN(C492/C491)</f>
        <v>0.00190332057025947</v>
      </c>
      <c r="G492" s="25" t="n">
        <f aca="false">IF(AND(D492=1,A492&gt;=$R$2),F492,"")</f>
        <v>0.00190332057025947</v>
      </c>
      <c r="H492" s="27" t="n">
        <f aca="false">IF(G492="","",G492^2)</f>
        <v>3.62262919317282E-006</v>
      </c>
      <c r="I492" s="25" t="n">
        <f aca="false">IF(G492="","",C492/C491-1)</f>
        <v>0.00190513303457385</v>
      </c>
      <c r="J492" s="17" t="n">
        <f aca="false">AVERAGE(C293:C492)</f>
        <v>403.12655</v>
      </c>
      <c r="K492" s="17" t="n">
        <f aca="false">MAX(K491,C492)</f>
        <v>470.59</v>
      </c>
      <c r="L492" s="25" t="n">
        <f aca="false">C492/K492-1</f>
        <v>-0.016574937843983</v>
      </c>
      <c r="M492" s="25" t="n">
        <f aca="false">IF(COUNT(G463:G492)&lt;20,"",_xlfn.STDEV.S(G463:G492)*SQRT($R$3))</f>
        <v>0.29320941007396</v>
      </c>
      <c r="N492" s="25" t="n">
        <f aca="false">IF(A492-7&lt;$R$2,"",C492/INDEX(Clean_Data!$C$2:$C$4314,MATCH(A492-7,Clean_Data!$A$2:$A$4314,1))-1)</f>
        <v>0.012713904328417</v>
      </c>
      <c r="O492" s="25" t="n">
        <f aca="false">IF(A492-30&lt;$R$2,"",C492/INDEX(Clean_Data!$C$2:$C$4314,MATCH(A492-30,Clean_Data!$A$2:$A$4314,1))-1)</f>
        <v>0.103246877085916</v>
      </c>
    </row>
    <row r="493" customFormat="false" ht="15" hidden="false" customHeight="false" outlineLevel="0" collapsed="false">
      <c r="A493" s="16" t="n">
        <v>42499</v>
      </c>
      <c r="B493" s="23" t="n">
        <f aca="false">YEAR(A493)</f>
        <v>2016</v>
      </c>
      <c r="C493" s="17" t="n">
        <v>464.16</v>
      </c>
      <c r="D493" s="23" t="n">
        <f aca="false">A493-A492</f>
        <v>1</v>
      </c>
      <c r="E493" s="24" t="n">
        <f aca="false">LN(C493)</f>
        <v>6.14022932037309</v>
      </c>
      <c r="F493" s="25" t="n">
        <f aca="false">LN(C493/C492)</f>
        <v>0.00295593289289731</v>
      </c>
      <c r="G493" s="25" t="n">
        <f aca="false">IF(AND(D493=1,A493&gt;=$R$2),F493,"")</f>
        <v>0.00295593289289731</v>
      </c>
      <c r="H493" s="27" t="n">
        <f aca="false">IF(G493="","",G493^2)</f>
        <v>8.73753926731227E-006</v>
      </c>
      <c r="I493" s="25" t="n">
        <f aca="false">IF(G493="","",C493/C492-1)</f>
        <v>0.0029603059703105</v>
      </c>
      <c r="J493" s="17" t="n">
        <f aca="false">AVERAGE(C294:C493)</f>
        <v>404.06815</v>
      </c>
      <c r="K493" s="17" t="n">
        <f aca="false">MAX(K492,C493)</f>
        <v>470.59</v>
      </c>
      <c r="L493" s="25" t="n">
        <f aca="false">C493/K493-1</f>
        <v>-0.0136636987611295</v>
      </c>
      <c r="M493" s="25" t="n">
        <f aca="false">IF(COUNT(G464:G493)&lt;20,"",_xlfn.STDEV.S(G464:G493)*SQRT($R$3))</f>
        <v>0.292968055110118</v>
      </c>
      <c r="N493" s="25" t="n">
        <f aca="false">IF(A493-7&lt;$R$2,"",C493/INDEX(Clean_Data!$C$2:$C$4314,MATCH(A493-7,Clean_Data!$A$2:$A$4314,1))-1)</f>
        <v>0.0397383629765691</v>
      </c>
      <c r="O493" s="25" t="n">
        <f aca="false">IF(A493-30&lt;$R$2,"",C493/INDEX(Clean_Data!$C$2:$C$4314,MATCH(A493-30,Clean_Data!$A$2:$A$4314,1))-1)</f>
        <v>0.106565584322701</v>
      </c>
    </row>
    <row r="494" customFormat="false" ht="15" hidden="false" customHeight="false" outlineLevel="0" collapsed="false">
      <c r="A494" s="16" t="n">
        <v>42500</v>
      </c>
      <c r="B494" s="23" t="n">
        <f aca="false">YEAR(A494)</f>
        <v>2016</v>
      </c>
      <c r="C494" s="17" t="n">
        <v>452.78</v>
      </c>
      <c r="D494" s="23" t="n">
        <f aca="false">A494-A493</f>
        <v>1</v>
      </c>
      <c r="E494" s="24" t="n">
        <f aca="false">LN(C494)</f>
        <v>6.11540635630216</v>
      </c>
      <c r="F494" s="25" t="n">
        <f aca="false">LN(C494/C493)</f>
        <v>-0.0248229640709343</v>
      </c>
      <c r="G494" s="25" t="n">
        <f aca="false">IF(AND(D494=1,A494&gt;=$R$2),F494,"")</f>
        <v>-0.0248229640709343</v>
      </c>
      <c r="H494" s="27" t="n">
        <f aca="false">IF(G494="","",G494^2)</f>
        <v>0.000616179545266893</v>
      </c>
      <c r="I494" s="25" t="n">
        <f aca="false">IF(G494="","",C494/C493-1)</f>
        <v>-0.0245174077904172</v>
      </c>
      <c r="J494" s="17" t="n">
        <f aca="false">AVERAGE(C295:C494)</f>
        <v>404.93825</v>
      </c>
      <c r="K494" s="17" t="n">
        <f aca="false">MAX(K493,C494)</f>
        <v>470.59</v>
      </c>
      <c r="L494" s="25" t="n">
        <f aca="false">C494/K494-1</f>
        <v>-0.0378461080770948</v>
      </c>
      <c r="M494" s="25" t="n">
        <f aca="false">IF(COUNT(G465:G494)&lt;20,"",_xlfn.STDEV.S(G465:G494)*SQRT($R$3))</f>
        <v>0.308056951410811</v>
      </c>
      <c r="N494" s="25" t="n">
        <f aca="false">IF(A494-7&lt;$R$2,"",C494/INDEX(Clean_Data!$C$2:$C$4314,MATCH(A494-7,Clean_Data!$A$2:$A$4314,1))-1)</f>
        <v>0.00126047632737003</v>
      </c>
      <c r="O494" s="25" t="n">
        <f aca="false">IF(A494-30&lt;$R$2,"",C494/INDEX(Clean_Data!$C$2:$C$4314,MATCH(A494-30,Clean_Data!$A$2:$A$4314,1))-1)</f>
        <v>0.0693906471421824</v>
      </c>
    </row>
    <row r="495" customFormat="false" ht="15" hidden="false" customHeight="false" outlineLevel="0" collapsed="false">
      <c r="A495" s="16" t="n">
        <v>42501</v>
      </c>
      <c r="B495" s="23" t="n">
        <f aca="false">YEAR(A495)</f>
        <v>2016</v>
      </c>
      <c r="C495" s="17" t="n">
        <v>454.37</v>
      </c>
      <c r="D495" s="23" t="n">
        <f aca="false">A495-A494</f>
        <v>1</v>
      </c>
      <c r="E495" s="24" t="n">
        <f aca="false">LN(C495)</f>
        <v>6.11891184410069</v>
      </c>
      <c r="F495" s="25" t="n">
        <f aca="false">LN(C495/C494)</f>
        <v>0.00350548779853076</v>
      </c>
      <c r="G495" s="25" t="n">
        <f aca="false">IF(AND(D495=1,A495&gt;=$R$2),F495,"")</f>
        <v>0.00350548779853076</v>
      </c>
      <c r="H495" s="27" t="n">
        <f aca="false">IF(G495="","",G495^2)</f>
        <v>1.2288444705648E-005</v>
      </c>
      <c r="I495" s="25" t="n">
        <f aca="false">IF(G495="","",C495/C494-1)</f>
        <v>0.00351163920667874</v>
      </c>
      <c r="J495" s="17" t="n">
        <f aca="false">AVERAGE(C296:C495)</f>
        <v>405.78865</v>
      </c>
      <c r="K495" s="17" t="n">
        <f aca="false">MAX(K494,C495)</f>
        <v>470.59</v>
      </c>
      <c r="L495" s="25" t="n">
        <f aca="false">C495/K495-1</f>
        <v>-0.0344673707473596</v>
      </c>
      <c r="M495" s="25" t="n">
        <f aca="false">IF(COUNT(G466:G495)&lt;20,"",_xlfn.STDEV.S(G466:G495)*SQRT($R$3))</f>
        <v>0.308067574561718</v>
      </c>
      <c r="N495" s="25" t="n">
        <f aca="false">IF(A495-7&lt;$R$2,"",C495/INDEX(Clean_Data!$C$2:$C$4314,MATCH(A495-7,Clean_Data!$A$2:$A$4314,1))-1)</f>
        <v>0.0126816439333155</v>
      </c>
      <c r="O495" s="25" t="n">
        <f aca="false">IF(A495-30&lt;$R$2,"",C495/INDEX(Clean_Data!$C$2:$C$4314,MATCH(A495-30,Clean_Data!$A$2:$A$4314,1))-1)</f>
        <v>0.0717790253337736</v>
      </c>
    </row>
    <row r="496" customFormat="false" ht="15" hidden="false" customHeight="false" outlineLevel="0" collapsed="false">
      <c r="A496" s="16" t="n">
        <v>42502</v>
      </c>
      <c r="B496" s="23" t="n">
        <f aca="false">YEAR(A496)</f>
        <v>2016</v>
      </c>
      <c r="C496" s="17" t="n">
        <v>456.48</v>
      </c>
      <c r="D496" s="23" t="n">
        <f aca="false">A496-A495</f>
        <v>1</v>
      </c>
      <c r="E496" s="24" t="n">
        <f aca="false">LN(C496)</f>
        <v>6.12354488746519</v>
      </c>
      <c r="F496" s="25" t="n">
        <f aca="false">LN(C496/C495)</f>
        <v>0.0046330433644993</v>
      </c>
      <c r="G496" s="25" t="n">
        <f aca="false">IF(AND(D496=1,A496&gt;=$R$2),F496,"")</f>
        <v>0.0046330433644993</v>
      </c>
      <c r="H496" s="27" t="n">
        <f aca="false">IF(G496="","",G496^2)</f>
        <v>2.1465090817331E-005</v>
      </c>
      <c r="I496" s="25" t="n">
        <f aca="false">IF(G496="","",C496/C495-1)</f>
        <v>0.00464379250390645</v>
      </c>
      <c r="J496" s="17" t="n">
        <f aca="false">AVERAGE(C297:C496)</f>
        <v>406.6462</v>
      </c>
      <c r="K496" s="17" t="n">
        <f aca="false">MAX(K495,C496)</f>
        <v>470.59</v>
      </c>
      <c r="L496" s="25" t="n">
        <f aca="false">C496/K496-1</f>
        <v>-0.029983637561359</v>
      </c>
      <c r="M496" s="25" t="n">
        <f aca="false">IF(COUNT(G467:G496)&lt;20,"",_xlfn.STDEV.S(G467:G496)*SQRT($R$3))</f>
        <v>0.307231630261865</v>
      </c>
      <c r="N496" s="25" t="n">
        <f aca="false">IF(A496-7&lt;$R$2,"",C496/INDEX(Clean_Data!$C$2:$C$4314,MATCH(A496-7,Clean_Data!$A$2:$A$4314,1))-1)</f>
        <v>0.0144450864482866</v>
      </c>
      <c r="O496" s="25" t="n">
        <f aca="false">IF(A496-30&lt;$R$2,"",C496/INDEX(Clean_Data!$C$2:$C$4314,MATCH(A496-30,Clean_Data!$A$2:$A$4314,1))-1)</f>
        <v>0.0670406732117812</v>
      </c>
    </row>
    <row r="497" customFormat="false" ht="15" hidden="false" customHeight="false" outlineLevel="0" collapsed="false">
      <c r="A497" s="16" t="n">
        <v>42503</v>
      </c>
      <c r="B497" s="23" t="n">
        <f aca="false">YEAR(A497)</f>
        <v>2016</v>
      </c>
      <c r="C497" s="17" t="n">
        <v>457.98</v>
      </c>
      <c r="D497" s="23" t="n">
        <f aca="false">A497-A496</f>
        <v>1</v>
      </c>
      <c r="E497" s="24" t="n">
        <f aca="false">LN(C497)</f>
        <v>6.12682551503843</v>
      </c>
      <c r="F497" s="25" t="n">
        <f aca="false">LN(C497/C496)</f>
        <v>0.00328062757324423</v>
      </c>
      <c r="G497" s="25" t="n">
        <f aca="false">IF(AND(D497=1,A497&gt;=$R$2),F497,"")</f>
        <v>0.00328062757324423</v>
      </c>
      <c r="H497" s="27" t="n">
        <f aca="false">IF(G497="","",G497^2)</f>
        <v>1.07625172743303E-005</v>
      </c>
      <c r="I497" s="25" t="n">
        <f aca="false">IF(G497="","",C497/C496-1)</f>
        <v>0.00328601472134604</v>
      </c>
      <c r="J497" s="17" t="n">
        <f aca="false">AVERAGE(C298:C497)</f>
        <v>407.5006</v>
      </c>
      <c r="K497" s="17" t="n">
        <f aca="false">MAX(K496,C497)</f>
        <v>470.59</v>
      </c>
      <c r="L497" s="25" t="n">
        <f aca="false">C497/K497-1</f>
        <v>-0.0267961495144392</v>
      </c>
      <c r="M497" s="25" t="n">
        <f aca="false">IF(COUNT(G468:G497)&lt;20,"",_xlfn.STDEV.S(G468:G497)*SQRT($R$3))</f>
        <v>0.306094648598604</v>
      </c>
      <c r="N497" s="25" t="n">
        <f aca="false">IF(A497-7&lt;$R$2,"",C497/INDEX(Clean_Data!$C$2:$C$4314,MATCH(A497-7,Clean_Data!$A$2:$A$4314,1))-1)</f>
        <v>-0.00936600982025049</v>
      </c>
      <c r="O497" s="25" t="n">
        <f aca="false">IF(A497-30&lt;$R$2,"",C497/INDEX(Clean_Data!$C$2:$C$4314,MATCH(A497-30,Clean_Data!$A$2:$A$4314,1))-1)</f>
        <v>0.0761313971521218</v>
      </c>
    </row>
    <row r="498" customFormat="false" ht="15" hidden="false" customHeight="false" outlineLevel="0" collapsed="false">
      <c r="A498" s="16" t="n">
        <v>42504</v>
      </c>
      <c r="B498" s="23" t="n">
        <f aca="false">YEAR(A498)</f>
        <v>2016</v>
      </c>
      <c r="C498" s="17" t="n">
        <v>458.9</v>
      </c>
      <c r="D498" s="23" t="n">
        <f aca="false">A498-A497</f>
        <v>1</v>
      </c>
      <c r="E498" s="24" t="n">
        <f aca="false">LN(C498)</f>
        <v>6.12883232140079</v>
      </c>
      <c r="F498" s="25" t="n">
        <f aca="false">LN(C498/C497)</f>
        <v>0.0020068063623537</v>
      </c>
      <c r="G498" s="25" t="n">
        <f aca="false">IF(AND(D498=1,A498&gt;=$R$2),F498,"")</f>
        <v>0.0020068063623537</v>
      </c>
      <c r="H498" s="27" t="n">
        <f aca="false">IF(G498="","",G498^2)</f>
        <v>4.02727177598327E-006</v>
      </c>
      <c r="I498" s="25" t="n">
        <f aca="false">IF(G498="","",C498/C497-1)</f>
        <v>0.00200882134591018</v>
      </c>
      <c r="J498" s="17" t="n">
        <f aca="false">AVERAGE(C299:C498)</f>
        <v>408.31705</v>
      </c>
      <c r="K498" s="17" t="n">
        <f aca="false">MAX(K497,C498)</f>
        <v>470.59</v>
      </c>
      <c r="L498" s="25" t="n">
        <f aca="false">C498/K498-1</f>
        <v>-0.0248411568456618</v>
      </c>
      <c r="M498" s="25" t="n">
        <f aca="false">IF(COUNT(G469:G498)&lt;20,"",_xlfn.STDEV.S(G469:G498)*SQRT($R$3))</f>
        <v>0.306088240976556</v>
      </c>
      <c r="N498" s="25" t="n">
        <f aca="false">IF(A498-7&lt;$R$2,"",C498/INDEX(Clean_Data!$C$2:$C$4314,MATCH(A498-7,Clean_Data!$A$2:$A$4314,1))-1)</f>
        <v>-0.0065164209478038</v>
      </c>
      <c r="O498" s="25" t="n">
        <f aca="false">IF(A498-30&lt;$R$2,"",C498/INDEX(Clean_Data!$C$2:$C$4314,MATCH(A498-30,Clean_Data!$A$2:$A$4314,1))-1)</f>
        <v>0.0764214674422967</v>
      </c>
    </row>
    <row r="499" customFormat="false" ht="15" hidden="false" customHeight="false" outlineLevel="0" collapsed="false">
      <c r="A499" s="16" t="n">
        <v>42505</v>
      </c>
      <c r="B499" s="23" t="n">
        <f aca="false">YEAR(A499)</f>
        <v>2016</v>
      </c>
      <c r="C499" s="17" t="n">
        <v>461.47</v>
      </c>
      <c r="D499" s="23" t="n">
        <f aca="false">A499-A498</f>
        <v>1</v>
      </c>
      <c r="E499" s="24" t="n">
        <f aca="false">LN(C499)</f>
        <v>6.13441704641285</v>
      </c>
      <c r="F499" s="25" t="n">
        <f aca="false">LN(C499/C498)</f>
        <v>0.00558472501205732</v>
      </c>
      <c r="G499" s="25" t="n">
        <f aca="false">IF(AND(D499=1,A499&gt;=$R$2),F499,"")</f>
        <v>0.00558472501205732</v>
      </c>
      <c r="H499" s="27" t="n">
        <f aca="false">IF(G499="","",G499^2)</f>
        <v>3.11891534602986E-005</v>
      </c>
      <c r="I499" s="25" t="n">
        <f aca="false">IF(G499="","",C499/C498-1)</f>
        <v>0.00560034865983883</v>
      </c>
      <c r="J499" s="17" t="n">
        <f aca="false">AVERAGE(C300:C499)</f>
        <v>409.10395</v>
      </c>
      <c r="K499" s="17" t="n">
        <f aca="false">MAX(K498,C499)</f>
        <v>470.59</v>
      </c>
      <c r="L499" s="25" t="n">
        <f aca="false">C499/K499-1</f>
        <v>-0.0193799273252724</v>
      </c>
      <c r="M499" s="25" t="n">
        <f aca="false">IF(COUNT(G470:G499)&lt;20,"",_xlfn.STDEV.S(G470:G499)*SQRT($R$3))</f>
        <v>0.304852245172324</v>
      </c>
      <c r="N499" s="25" t="n">
        <f aca="false">IF(A499-7&lt;$R$2,"",C499/INDEX(Clean_Data!$C$2:$C$4314,MATCH(A499-7,Clean_Data!$A$2:$A$4314,1))-1)</f>
        <v>-0.00285226560643059</v>
      </c>
      <c r="O499" s="25" t="n">
        <f aca="false">IF(A499-30&lt;$R$2,"",C499/INDEX(Clean_Data!$C$2:$C$4314,MATCH(A499-30,Clean_Data!$A$2:$A$4314,1))-1)</f>
        <v>0.0708699788828813</v>
      </c>
    </row>
    <row r="500" customFormat="false" ht="15" hidden="false" customHeight="false" outlineLevel="0" collapsed="false">
      <c r="A500" s="16" t="n">
        <v>42506</v>
      </c>
      <c r="B500" s="23" t="n">
        <f aca="false">YEAR(A500)</f>
        <v>2016</v>
      </c>
      <c r="C500" s="17" t="n">
        <v>455.66</v>
      </c>
      <c r="D500" s="23" t="n">
        <f aca="false">A500-A499</f>
        <v>1</v>
      </c>
      <c r="E500" s="24" t="n">
        <f aca="false">LN(C500)</f>
        <v>6.1217469173709</v>
      </c>
      <c r="F500" s="25" t="n">
        <f aca="false">LN(C500/C499)</f>
        <v>-0.0126701290419409</v>
      </c>
      <c r="G500" s="25" t="n">
        <f aca="false">IF(AND(D500=1,A500&gt;=$R$2),F500,"")</f>
        <v>-0.0126701290419409</v>
      </c>
      <c r="H500" s="27" t="n">
        <f aca="false">IF(G500="","",G500^2)</f>
        <v>0.000160532169939435</v>
      </c>
      <c r="I500" s="25" t="n">
        <f aca="false">IF(G500="","",C500/C499-1)</f>
        <v>-0.0125902008797971</v>
      </c>
      <c r="J500" s="17" t="n">
        <f aca="false">AVERAGE(C301:C500)</f>
        <v>409.80185</v>
      </c>
      <c r="K500" s="17" t="n">
        <f aca="false">MAX(K499,C500)</f>
        <v>470.59</v>
      </c>
      <c r="L500" s="25" t="n">
        <f aca="false">C500/K500-1</f>
        <v>-0.0317261310270085</v>
      </c>
      <c r="M500" s="25" t="n">
        <f aca="false">IF(COUNT(G471:G500)&lt;20,"",_xlfn.STDEV.S(G471:G500)*SQRT($R$3))</f>
        <v>0.308967752410275</v>
      </c>
      <c r="N500" s="25" t="n">
        <f aca="false">IF(A500-7&lt;$R$2,"",C500/INDEX(Clean_Data!$C$2:$C$4314,MATCH(A500-7,Clean_Data!$A$2:$A$4314,1))-1)</f>
        <v>-0.0183126508100655</v>
      </c>
      <c r="O500" s="25" t="n">
        <f aca="false">IF(A500-30&lt;$R$2,"",C500/INDEX(Clean_Data!$C$2:$C$4314,MATCH(A500-30,Clean_Data!$A$2:$A$4314,1))-1)</f>
        <v>0.0513855880384875</v>
      </c>
    </row>
    <row r="501" customFormat="false" ht="15" hidden="false" customHeight="false" outlineLevel="0" collapsed="false">
      <c r="A501" s="16" t="n">
        <v>42507</v>
      </c>
      <c r="B501" s="23" t="n">
        <f aca="false">YEAR(A501)</f>
        <v>2016</v>
      </c>
      <c r="C501" s="17" t="n">
        <v>454.19</v>
      </c>
      <c r="D501" s="23" t="n">
        <f aca="false">A501-A500</f>
        <v>1</v>
      </c>
      <c r="E501" s="24" t="n">
        <f aca="false">LN(C501)</f>
        <v>6.11851561269637</v>
      </c>
      <c r="F501" s="25" t="n">
        <f aca="false">LN(C501/C500)</f>
        <v>-0.00323130467453478</v>
      </c>
      <c r="G501" s="25" t="n">
        <f aca="false">IF(AND(D501=1,A501&gt;=$R$2),F501,"")</f>
        <v>-0.00323130467453478</v>
      </c>
      <c r="H501" s="27" t="n">
        <f aca="false">IF(G501="","",G501^2)</f>
        <v>1.04413298996703E-005</v>
      </c>
      <c r="I501" s="25" t="n">
        <f aca="false">IF(G501="","",C501/C500-1)</f>
        <v>-0.00322608962823168</v>
      </c>
      <c r="J501" s="17" t="n">
        <f aca="false">AVERAGE(C302:C501)</f>
        <v>410.42725</v>
      </c>
      <c r="K501" s="17" t="n">
        <f aca="false">MAX(K500,C501)</f>
        <v>470.59</v>
      </c>
      <c r="L501" s="25" t="n">
        <f aca="false">C501/K501-1</f>
        <v>-0.0348498693129901</v>
      </c>
      <c r="M501" s="25" t="n">
        <f aca="false">IF(COUNT(G472:G501)&lt;20,"",_xlfn.STDEV.S(G472:G501)*SQRT($R$3))</f>
        <v>0.308397046823935</v>
      </c>
      <c r="N501" s="25" t="n">
        <f aca="false">IF(A501-7&lt;$R$2,"",C501/INDEX(Clean_Data!$C$2:$C$4314,MATCH(A501-7,Clean_Data!$A$2:$A$4314,1))-1)</f>
        <v>0.00311409514554528</v>
      </c>
      <c r="O501" s="25" t="n">
        <f aca="false">IF(A501-30&lt;$R$2,"",C501/INDEX(Clean_Data!$C$2:$C$4314,MATCH(A501-30,Clean_Data!$A$2:$A$4314,1))-1)</f>
        <v>0.0538051044083527</v>
      </c>
    </row>
    <row r="502" customFormat="false" ht="15" hidden="false" customHeight="false" outlineLevel="0" collapsed="false">
      <c r="A502" s="16" t="n">
        <v>42508</v>
      </c>
      <c r="B502" s="23" t="n">
        <f aca="false">YEAR(A502)</f>
        <v>2016</v>
      </c>
      <c r="C502" s="17" t="n">
        <v>455.56</v>
      </c>
      <c r="D502" s="23" t="n">
        <f aca="false">A502-A501</f>
        <v>1</v>
      </c>
      <c r="E502" s="24" t="n">
        <f aca="false">LN(C502)</f>
        <v>6.12152743140615</v>
      </c>
      <c r="F502" s="25" t="n">
        <f aca="false">LN(C502/C501)</f>
        <v>0.00301181870978093</v>
      </c>
      <c r="G502" s="25" t="n">
        <f aca="false">IF(AND(D502=1,A502&gt;=$R$2),F502,"")</f>
        <v>0.00301181870978093</v>
      </c>
      <c r="H502" s="27" t="n">
        <f aca="false">IF(G502="","",G502^2)</f>
        <v>9.07105194058646E-006</v>
      </c>
      <c r="I502" s="25" t="n">
        <f aca="false">IF(G502="","",C502/C501-1)</f>
        <v>0.00301635879257578</v>
      </c>
      <c r="J502" s="17" t="n">
        <f aca="false">AVERAGE(C303:C502)</f>
        <v>411.1308</v>
      </c>
      <c r="K502" s="17" t="n">
        <f aca="false">MAX(K501,C502)</f>
        <v>470.59</v>
      </c>
      <c r="L502" s="25" t="n">
        <f aca="false">C502/K502-1</f>
        <v>-0.0319386302301365</v>
      </c>
      <c r="M502" s="25" t="n">
        <f aca="false">IF(COUNT(G473:G502)&lt;20,"",_xlfn.STDEV.S(G473:G502)*SQRT($R$3))</f>
        <v>0.308355899855302</v>
      </c>
      <c r="N502" s="25" t="n">
        <f aca="false">IF(A502-7&lt;$R$2,"",C502/INDEX(Clean_Data!$C$2:$C$4314,MATCH(A502-7,Clean_Data!$A$2:$A$4314,1))-1)</f>
        <v>0.00261901093822226</v>
      </c>
      <c r="O502" s="25" t="n">
        <f aca="false">IF(A502-30&lt;$R$2,"",C502/INDEX(Clean_Data!$C$2:$C$4314,MATCH(A502-30,Clean_Data!$A$2:$A$4314,1))-1)</f>
        <v>0.0570573357774322</v>
      </c>
    </row>
    <row r="503" customFormat="false" ht="15" hidden="false" customHeight="false" outlineLevel="0" collapsed="false">
      <c r="A503" s="16" t="n">
        <v>42509</v>
      </c>
      <c r="B503" s="23" t="n">
        <f aca="false">YEAR(A503)</f>
        <v>2016</v>
      </c>
      <c r="C503" s="17" t="n">
        <v>438.38</v>
      </c>
      <c r="D503" s="23" t="n">
        <f aca="false">A503-A502</f>
        <v>1</v>
      </c>
      <c r="E503" s="24" t="n">
        <f aca="false">LN(C503)</f>
        <v>6.08308611415521</v>
      </c>
      <c r="F503" s="25" t="n">
        <f aca="false">LN(C503/C502)</f>
        <v>-0.0384413172509446</v>
      </c>
      <c r="G503" s="25" t="n">
        <f aca="false">IF(AND(D503=1,A503&gt;=$R$2),F503,"")</f>
        <v>-0.0384413172509446</v>
      </c>
      <c r="H503" s="27" t="n">
        <f aca="false">IF(G503="","",G503^2)</f>
        <v>0.00147773487198777</v>
      </c>
      <c r="I503" s="25" t="n">
        <f aca="false">IF(G503="","",C503/C502-1)</f>
        <v>-0.0377118272016859</v>
      </c>
      <c r="J503" s="17" t="n">
        <f aca="false">AVERAGE(C304:C503)</f>
        <v>411.6754</v>
      </c>
      <c r="K503" s="17" t="n">
        <f aca="false">MAX(K502,C503)</f>
        <v>470.59</v>
      </c>
      <c r="L503" s="25" t="n">
        <f aca="false">C503/K503-1</f>
        <v>-0.068445993327525</v>
      </c>
      <c r="M503" s="25" t="n">
        <f aca="false">IF(COUNT(G474:G503)&lt;20,"",_xlfn.STDEV.S(G474:G503)*SQRT($R$3))</f>
        <v>0.335398582098806</v>
      </c>
      <c r="N503" s="25" t="n">
        <f aca="false">IF(A503-7&lt;$R$2,"",C503/INDEX(Clean_Data!$C$2:$C$4314,MATCH(A503-7,Clean_Data!$A$2:$A$4314,1))-1)</f>
        <v>-0.0396512443042412</v>
      </c>
      <c r="O503" s="25" t="n">
        <f aca="false">IF(A503-30&lt;$R$2,"",C503/INDEX(Clean_Data!$C$2:$C$4314,MATCH(A503-30,Clean_Data!$A$2:$A$4314,1))-1)</f>
        <v>0.00302018029561157</v>
      </c>
    </row>
    <row r="504" customFormat="false" ht="15" hidden="false" customHeight="false" outlineLevel="0" collapsed="false">
      <c r="A504" s="16" t="n">
        <v>42510</v>
      </c>
      <c r="B504" s="23" t="n">
        <f aca="false">YEAR(A504)</f>
        <v>2016</v>
      </c>
      <c r="C504" s="17" t="n">
        <v>445.65</v>
      </c>
      <c r="D504" s="23" t="n">
        <f aca="false">A504-A503</f>
        <v>1</v>
      </c>
      <c r="E504" s="24" t="n">
        <f aca="false">LN(C504)</f>
        <v>6.09953389057673</v>
      </c>
      <c r="F504" s="25" t="n">
        <f aca="false">LN(C504/C503)</f>
        <v>0.0164477764215207</v>
      </c>
      <c r="G504" s="25" t="n">
        <f aca="false">IF(AND(D504=1,A504&gt;=$R$2),F504,"")</f>
        <v>0.0164477764215207</v>
      </c>
      <c r="H504" s="27" t="n">
        <f aca="false">IF(G504="","",G504^2)</f>
        <v>0.000270529349212331</v>
      </c>
      <c r="I504" s="25" t="n">
        <f aca="false">IF(G504="","",C504/C503-1)</f>
        <v>0.0165837857566495</v>
      </c>
      <c r="J504" s="17" t="n">
        <f aca="false">AVERAGE(C305:C504)</f>
        <v>412.0776</v>
      </c>
      <c r="K504" s="17" t="n">
        <f aca="false">MAX(K503,C504)</f>
        <v>470.59</v>
      </c>
      <c r="L504" s="25" t="n">
        <f aca="false">C504/K504-1</f>
        <v>-0.0529973012601203</v>
      </c>
      <c r="M504" s="25" t="n">
        <f aca="false">IF(COUNT(G475:G504)&lt;20,"",_xlfn.STDEV.S(G475:G504)*SQRT($R$3))</f>
        <v>0.33707947449154</v>
      </c>
      <c r="N504" s="25" t="n">
        <f aca="false">IF(A504-7&lt;$R$2,"",C504/INDEX(Clean_Data!$C$2:$C$4314,MATCH(A504-7,Clean_Data!$A$2:$A$4314,1))-1)</f>
        <v>-0.0269225730381241</v>
      </c>
      <c r="O504" s="25" t="n">
        <f aca="false">IF(A504-30&lt;$R$2,"",C504/INDEX(Clean_Data!$C$2:$C$4314,MATCH(A504-30,Clean_Data!$A$2:$A$4314,1))-1)</f>
        <v>0.00607278309553916</v>
      </c>
    </row>
    <row r="505" customFormat="false" ht="15" hidden="false" customHeight="false" outlineLevel="0" collapsed="false">
      <c r="A505" s="16" t="n">
        <v>42511</v>
      </c>
      <c r="B505" s="23" t="n">
        <f aca="false">YEAR(A505)</f>
        <v>2016</v>
      </c>
      <c r="C505" s="17" t="n">
        <v>446.28</v>
      </c>
      <c r="D505" s="23" t="n">
        <f aca="false">A505-A504</f>
        <v>1</v>
      </c>
      <c r="E505" s="24" t="n">
        <f aca="false">LN(C505)</f>
        <v>6.10094655772498</v>
      </c>
      <c r="F505" s="25" t="n">
        <f aca="false">LN(C505/C504)</f>
        <v>0.00141266714825265</v>
      </c>
      <c r="G505" s="25" t="n">
        <f aca="false">IF(AND(D505=1,A505&gt;=$R$2),F505,"")</f>
        <v>0.00141266714825265</v>
      </c>
      <c r="H505" s="27" t="n">
        <f aca="false">IF(G505="","",G505^2)</f>
        <v>1.99562847175228E-006</v>
      </c>
      <c r="I505" s="25" t="n">
        <f aca="false">IF(G505="","",C505/C504-1)</f>
        <v>0.00141366543251431</v>
      </c>
      <c r="J505" s="17" t="n">
        <f aca="false">AVERAGE(C306:C505)</f>
        <v>412.2885</v>
      </c>
      <c r="K505" s="17" t="n">
        <f aca="false">MAX(K504,C505)</f>
        <v>470.59</v>
      </c>
      <c r="L505" s="25" t="n">
        <f aca="false">C505/K505-1</f>
        <v>-0.0516585562804139</v>
      </c>
      <c r="M505" s="25" t="n">
        <f aca="false">IF(COUNT(G476:G505)&lt;20,"",_xlfn.STDEV.S(G476:G505)*SQRT($R$3))</f>
        <v>0.328887339468857</v>
      </c>
      <c r="N505" s="25" t="n">
        <f aca="false">IF(A505-7&lt;$R$2,"",C505/INDEX(Clean_Data!$C$2:$C$4314,MATCH(A505-7,Clean_Data!$A$2:$A$4314,1))-1)</f>
        <v>-0.0275005447809981</v>
      </c>
      <c r="O505" s="25" t="n">
        <f aca="false">IF(A505-30&lt;$R$2,"",C505/INDEX(Clean_Data!$C$2:$C$4314,MATCH(A505-30,Clean_Data!$A$2:$A$4314,1))-1)</f>
        <v>-0.0132006633499171</v>
      </c>
    </row>
    <row r="506" customFormat="false" ht="15" hidden="false" customHeight="false" outlineLevel="0" collapsed="false">
      <c r="A506" s="16" t="n">
        <v>42512</v>
      </c>
      <c r="B506" s="23" t="n">
        <f aca="false">YEAR(A506)</f>
        <v>2016</v>
      </c>
      <c r="C506" s="17" t="n">
        <v>442.48</v>
      </c>
      <c r="D506" s="23" t="n">
        <f aca="false">A506-A505</f>
        <v>1</v>
      </c>
      <c r="E506" s="24" t="n">
        <f aca="false">LN(C506)</f>
        <v>6.09239526568642</v>
      </c>
      <c r="F506" s="25" t="n">
        <f aca="false">LN(C506/C505)</f>
        <v>-0.00855129203855635</v>
      </c>
      <c r="G506" s="25" t="n">
        <f aca="false">IF(AND(D506=1,A506&gt;=$R$2),F506,"")</f>
        <v>-0.00855129203855635</v>
      </c>
      <c r="H506" s="27" t="n">
        <f aca="false">IF(G506="","",G506^2)</f>
        <v>7.31245955286772E-005</v>
      </c>
      <c r="I506" s="25" t="n">
        <f aca="false">IF(G506="","",C506/C505-1)</f>
        <v>-0.0085148337366675</v>
      </c>
      <c r="J506" s="17" t="n">
        <f aca="false">AVERAGE(C307:C506)</f>
        <v>412.4509</v>
      </c>
      <c r="K506" s="17" t="n">
        <f aca="false">MAX(K505,C506)</f>
        <v>470.59</v>
      </c>
      <c r="L506" s="25" t="n">
        <f aca="false">C506/K506-1</f>
        <v>-0.0597335259992774</v>
      </c>
      <c r="M506" s="25" t="n">
        <f aca="false">IF(COUNT(G477:G506)&lt;20,"",_xlfn.STDEV.S(G477:G506)*SQRT($R$3))</f>
        <v>0.328894824724637</v>
      </c>
      <c r="N506" s="25" t="n">
        <f aca="false">IF(A506-7&lt;$R$2,"",C506/INDEX(Clean_Data!$C$2:$C$4314,MATCH(A506-7,Clean_Data!$A$2:$A$4314,1))-1)</f>
        <v>-0.0411511040804387</v>
      </c>
      <c r="O506" s="25" t="n">
        <f aca="false">IF(A506-30&lt;$R$2,"",C506/INDEX(Clean_Data!$C$2:$C$4314,MATCH(A506-30,Clean_Data!$A$2:$A$4314,1))-1)</f>
        <v>-0.0132245043598492</v>
      </c>
    </row>
    <row r="507" customFormat="false" ht="15" hidden="false" customHeight="false" outlineLevel="0" collapsed="false">
      <c r="A507" s="16" t="n">
        <v>42513</v>
      </c>
      <c r="B507" s="23" t="n">
        <f aca="false">YEAR(A507)</f>
        <v>2016</v>
      </c>
      <c r="C507" s="17" t="n">
        <v>445.67</v>
      </c>
      <c r="D507" s="23" t="n">
        <f aca="false">A507-A506</f>
        <v>1</v>
      </c>
      <c r="E507" s="24" t="n">
        <f aca="false">LN(C507)</f>
        <v>6.09957876783743</v>
      </c>
      <c r="F507" s="25" t="n">
        <f aca="false">LN(C507/C506)</f>
        <v>0.00718350215100322</v>
      </c>
      <c r="G507" s="25" t="n">
        <f aca="false">IF(AND(D507=1,A507&gt;=$R$2),F507,"")</f>
        <v>0.00718350215100322</v>
      </c>
      <c r="H507" s="27" t="n">
        <f aca="false">IF(G507="","",G507^2)</f>
        <v>5.16027031534678E-005</v>
      </c>
      <c r="I507" s="25" t="n">
        <f aca="false">IF(G507="","",C507/C506-1)</f>
        <v>0.00720936539504602</v>
      </c>
      <c r="J507" s="17" t="n">
        <f aca="false">AVERAGE(C308:C507)</f>
        <v>412.7432</v>
      </c>
      <c r="K507" s="17" t="n">
        <f aca="false">MAX(K506,C507)</f>
        <v>470.59</v>
      </c>
      <c r="L507" s="25" t="n">
        <f aca="false">C507/K507-1</f>
        <v>-0.0529548014194946</v>
      </c>
      <c r="M507" s="25" t="n">
        <f aca="false">IF(COUNT(G478:G507)&lt;20,"",_xlfn.STDEV.S(G478:G507)*SQRT($R$3))</f>
        <v>0.32469037899693</v>
      </c>
      <c r="N507" s="25" t="n">
        <f aca="false">IF(A507-7&lt;$R$2,"",C507/INDEX(Clean_Data!$C$2:$C$4314,MATCH(A507-7,Clean_Data!$A$2:$A$4314,1))-1)</f>
        <v>-0.0219242417592065</v>
      </c>
      <c r="O507" s="25" t="n">
        <f aca="false">IF(A507-30&lt;$R$2,"",C507/INDEX(Clean_Data!$C$2:$C$4314,MATCH(A507-30,Clean_Data!$A$2:$A$4314,1))-1)</f>
        <v>-0.0219886326230551</v>
      </c>
    </row>
    <row r="508" customFormat="false" ht="15" hidden="false" customHeight="false" outlineLevel="0" collapsed="false">
      <c r="A508" s="16" t="n">
        <v>42514</v>
      </c>
      <c r="B508" s="23" t="n">
        <f aca="false">YEAR(A508)</f>
        <v>2016</v>
      </c>
      <c r="C508" s="17" t="n">
        <v>446.99</v>
      </c>
      <c r="D508" s="23" t="n">
        <f aca="false">A508-A507</f>
        <v>1</v>
      </c>
      <c r="E508" s="24" t="n">
        <f aca="false">LN(C508)</f>
        <v>6.10253622299867</v>
      </c>
      <c r="F508" s="25" t="n">
        <f aca="false">LN(C508/C507)</f>
        <v>0.00295745516124708</v>
      </c>
      <c r="G508" s="25" t="n">
        <f aca="false">IF(AND(D508=1,A508&gt;=$R$2),F508,"")</f>
        <v>0.00295745516124708</v>
      </c>
      <c r="H508" s="27" t="n">
        <f aca="false">IF(G508="","",G508^2)</f>
        <v>8.74654103078701E-006</v>
      </c>
      <c r="I508" s="25" t="n">
        <f aca="false">IF(G508="","",C508/C507-1)</f>
        <v>0.00296183274620243</v>
      </c>
      <c r="J508" s="17" t="n">
        <f aca="false">AVERAGE(C309:C508)</f>
        <v>413.1077</v>
      </c>
      <c r="K508" s="17" t="n">
        <f aca="false">MAX(K507,C508)</f>
        <v>470.59</v>
      </c>
      <c r="L508" s="25" t="n">
        <f aca="false">C508/K508-1</f>
        <v>-0.0501498119382051</v>
      </c>
      <c r="M508" s="25" t="n">
        <f aca="false">IF(COUNT(G479:G508)&lt;20,"",_xlfn.STDEV.S(G479:G508)*SQRT($R$3))</f>
        <v>0.317097770012238</v>
      </c>
      <c r="N508" s="25" t="n">
        <f aca="false">IF(A508-7&lt;$R$2,"",C508/INDEX(Clean_Data!$C$2:$C$4314,MATCH(A508-7,Clean_Data!$A$2:$A$4314,1))-1)</f>
        <v>-0.015852396574121</v>
      </c>
      <c r="O508" s="25" t="n">
        <f aca="false">IF(A508-30&lt;$R$2,"",C508/INDEX(Clean_Data!$C$2:$C$4314,MATCH(A508-30,Clean_Data!$A$2:$A$4314,1))-1)</f>
        <v>-0.0376135727511519</v>
      </c>
    </row>
    <row r="509" customFormat="false" ht="15" hidden="false" customHeight="false" outlineLevel="0" collapsed="false">
      <c r="A509" s="16" t="n">
        <v>42515</v>
      </c>
      <c r="B509" s="23" t="n">
        <f aca="false">YEAR(A509)</f>
        <v>2016</v>
      </c>
      <c r="C509" s="17" t="n">
        <v>451.49</v>
      </c>
      <c r="D509" s="23" t="n">
        <f aca="false">A509-A508</f>
        <v>1</v>
      </c>
      <c r="E509" s="24" t="n">
        <f aca="false">LN(C509)</f>
        <v>6.11255322421752</v>
      </c>
      <c r="F509" s="25" t="n">
        <f aca="false">LN(C509/C508)</f>
        <v>0.0100170012188466</v>
      </c>
      <c r="G509" s="25" t="n">
        <f aca="false">IF(AND(D509=1,A509&gt;=$R$2),F509,"")</f>
        <v>0.0100170012188466</v>
      </c>
      <c r="H509" s="27" t="n">
        <f aca="false">IF(G509="","",G509^2)</f>
        <v>0.000100340313418373</v>
      </c>
      <c r="I509" s="25" t="n">
        <f aca="false">IF(G509="","",C509/C508-1)</f>
        <v>0.0100673393140787</v>
      </c>
      <c r="J509" s="17" t="n">
        <f aca="false">AVERAGE(C310:C509)</f>
        <v>413.4411</v>
      </c>
      <c r="K509" s="17" t="n">
        <f aca="false">MAX(K508,C509)</f>
        <v>470.59</v>
      </c>
      <c r="L509" s="25" t="n">
        <f aca="false">C509/K509-1</f>
        <v>-0.0405873477974457</v>
      </c>
      <c r="M509" s="25" t="n">
        <f aca="false">IF(COUNT(G480:G509)&lt;20,"",_xlfn.STDEV.S(G480:G509)*SQRT($R$3))</f>
        <v>0.319109806898258</v>
      </c>
      <c r="N509" s="25" t="n">
        <f aca="false">IF(A509-7&lt;$R$2,"",C509/INDEX(Clean_Data!$C$2:$C$4314,MATCH(A509-7,Clean_Data!$A$2:$A$4314,1))-1)</f>
        <v>-0.00893405917991041</v>
      </c>
      <c r="O509" s="25" t="n">
        <f aca="false">IF(A509-30&lt;$R$2,"",C509/INDEX(Clean_Data!$C$2:$C$4314,MATCH(A509-30,Clean_Data!$A$2:$A$4314,1))-1)</f>
        <v>-0.0314906579144947</v>
      </c>
    </row>
    <row r="510" customFormat="false" ht="15" hidden="false" customHeight="false" outlineLevel="0" collapsed="false">
      <c r="A510" s="16" t="n">
        <v>42516</v>
      </c>
      <c r="B510" s="23" t="n">
        <f aca="false">YEAR(A510)</f>
        <v>2016</v>
      </c>
      <c r="C510" s="17" t="n">
        <v>454.97</v>
      </c>
      <c r="D510" s="23" t="n">
        <f aca="false">A510-A509</f>
        <v>1</v>
      </c>
      <c r="E510" s="24" t="n">
        <f aca="false">LN(C510)</f>
        <v>6.12023148271127</v>
      </c>
      <c r="F510" s="25" t="n">
        <f aca="false">LN(C510/C509)</f>
        <v>0.00767825849375089</v>
      </c>
      <c r="G510" s="25" t="n">
        <f aca="false">IF(AND(D510=1,A510&gt;=$R$2),F510,"")</f>
        <v>0.00767825849375089</v>
      </c>
      <c r="H510" s="27" t="n">
        <f aca="false">IF(G510="","",G510^2)</f>
        <v>5.89556534968577E-005</v>
      </c>
      <c r="I510" s="25" t="n">
        <f aca="false">IF(G510="","",C510/C509-1)</f>
        <v>0.00770781191167025</v>
      </c>
      <c r="J510" s="17" t="n">
        <f aca="false">AVERAGE(C311:C510)</f>
        <v>413.8468</v>
      </c>
      <c r="K510" s="17" t="n">
        <f aca="false">MAX(K509,C510)</f>
        <v>470.59</v>
      </c>
      <c r="L510" s="25" t="n">
        <f aca="false">C510/K510-1</f>
        <v>-0.0331923755285917</v>
      </c>
      <c r="M510" s="25" t="n">
        <f aca="false">IF(COUNT(G481:G510)&lt;20,"",_xlfn.STDEV.S(G481:G510)*SQRT($R$3))</f>
        <v>0.318439523400301</v>
      </c>
      <c r="N510" s="25" t="n">
        <f aca="false">IF(A510-7&lt;$R$2,"",C510/INDEX(Clean_Data!$C$2:$C$4314,MATCH(A510-7,Clean_Data!$A$2:$A$4314,1))-1)</f>
        <v>0.0378438797390392</v>
      </c>
      <c r="O510" s="25" t="n">
        <f aca="false">IF(A510-30&lt;$R$2,"",C510/INDEX(Clean_Data!$C$2:$C$4314,MATCH(A510-30,Clean_Data!$A$2:$A$4314,1))-1)</f>
        <v>-0.0331923755285917</v>
      </c>
    </row>
    <row r="511" customFormat="false" ht="15" hidden="false" customHeight="false" outlineLevel="0" collapsed="false">
      <c r="A511" s="16" t="n">
        <v>42517</v>
      </c>
      <c r="B511" s="23" t="n">
        <f aca="false">YEAR(A511)</f>
        <v>2016</v>
      </c>
      <c r="C511" s="17" t="n">
        <v>471.27</v>
      </c>
      <c r="D511" s="23" t="n">
        <f aca="false">A511-A510</f>
        <v>1</v>
      </c>
      <c r="E511" s="24" t="n">
        <f aca="false">LN(C511)</f>
        <v>6.15543117817996</v>
      </c>
      <c r="F511" s="25" t="n">
        <f aca="false">LN(C511/C510)</f>
        <v>0.0351996954686876</v>
      </c>
      <c r="G511" s="25" t="n">
        <f aca="false">IF(AND(D511=1,A511&gt;=$R$2),F511,"")</f>
        <v>0.0351996954686876</v>
      </c>
      <c r="H511" s="27" t="n">
        <f aca="false">IF(G511="","",G511^2)</f>
        <v>0.00123901856108835</v>
      </c>
      <c r="I511" s="25" t="n">
        <f aca="false">IF(G511="","",C511/C510-1)</f>
        <v>0.0358265380134952</v>
      </c>
      <c r="J511" s="17" t="n">
        <f aca="false">AVERAGE(C312:C511)</f>
        <v>414.3055</v>
      </c>
      <c r="K511" s="17" t="n">
        <f aca="false">MAX(K510,C511)</f>
        <v>471.27</v>
      </c>
      <c r="L511" s="25" t="n">
        <f aca="false">C511/K511-1</f>
        <v>0</v>
      </c>
      <c r="M511" s="25" t="n">
        <f aca="false">IF(COUNT(G482:G511)&lt;20,"",_xlfn.STDEV.S(G482:G511)*SQRT($R$3))</f>
        <v>0.278847153657908</v>
      </c>
      <c r="N511" s="25" t="n">
        <f aca="false">IF(A511-7&lt;$R$2,"",C511/INDEX(Clean_Data!$C$2:$C$4314,MATCH(A511-7,Clean_Data!$A$2:$A$4314,1))-1)</f>
        <v>0.0574890609222485</v>
      </c>
      <c r="O511" s="25" t="n">
        <f aca="false">IF(A511-30&lt;$R$2,"",C511/INDEX(Clean_Data!$C$2:$C$4314,MATCH(A511-30,Clean_Data!$A$2:$A$4314,1))-1)</f>
        <v>0.0582964676292919</v>
      </c>
    </row>
    <row r="512" customFormat="false" ht="15" hidden="false" customHeight="false" outlineLevel="0" collapsed="false">
      <c r="A512" s="16" t="n">
        <v>42518</v>
      </c>
      <c r="B512" s="23" t="n">
        <f aca="false">YEAR(A512)</f>
        <v>2016</v>
      </c>
      <c r="C512" s="17" t="n">
        <v>523.25</v>
      </c>
      <c r="D512" s="23" t="n">
        <f aca="false">A512-A511</f>
        <v>1</v>
      </c>
      <c r="E512" s="24" t="n">
        <f aca="false">LN(C512)</f>
        <v>6.26005936132611</v>
      </c>
      <c r="F512" s="25" t="n">
        <f aca="false">LN(C512/C511)</f>
        <v>0.104628183146151</v>
      </c>
      <c r="G512" s="25" t="n">
        <f aca="false">IF(AND(D512=1,A512&gt;=$R$2),F512,"")</f>
        <v>0.104628183146151</v>
      </c>
      <c r="H512" s="27" t="n">
        <f aca="false">IF(G512="","",G512^2)</f>
        <v>0.0109470567084645</v>
      </c>
      <c r="I512" s="25" t="n">
        <f aca="false">IF(G512="","",C512/C511-1)</f>
        <v>0.110297706198145</v>
      </c>
      <c r="J512" s="17" t="n">
        <f aca="false">AVERAGE(C313:C512)</f>
        <v>415.23605</v>
      </c>
      <c r="K512" s="17" t="n">
        <f aca="false">MAX(K511,C512)</f>
        <v>523.25</v>
      </c>
      <c r="L512" s="25" t="n">
        <f aca="false">C512/K512-1</f>
        <v>0</v>
      </c>
      <c r="M512" s="25" t="n">
        <f aca="false">IF(COUNT(G483:G512)&lt;20,"",_xlfn.STDEV.S(G483:G512)*SQRT($R$3))</f>
        <v>0.453066343066174</v>
      </c>
      <c r="N512" s="25" t="n">
        <f aca="false">IF(A512-7&lt;$R$2,"",C512/INDEX(Clean_Data!$C$2:$C$4314,MATCH(A512-7,Clean_Data!$A$2:$A$4314,1))-1)</f>
        <v>0.172470198081922</v>
      </c>
      <c r="O512" s="25" t="n">
        <f aca="false">IF(A512-30&lt;$R$2,"",C512/INDEX(Clean_Data!$C$2:$C$4314,MATCH(A512-30,Clean_Data!$A$2:$A$4314,1))-1)</f>
        <v>0.158452886999646</v>
      </c>
    </row>
    <row r="513" customFormat="false" ht="15" hidden="false" customHeight="false" outlineLevel="0" collapsed="false">
      <c r="A513" s="16" t="n">
        <v>42519</v>
      </c>
      <c r="B513" s="23" t="n">
        <f aca="false">YEAR(A513)</f>
        <v>2016</v>
      </c>
      <c r="C513" s="17" t="n">
        <v>525.22</v>
      </c>
      <c r="D513" s="23" t="n">
        <f aca="false">A513-A512</f>
        <v>1</v>
      </c>
      <c r="E513" s="24" t="n">
        <f aca="false">LN(C513)</f>
        <v>6.26381722243474</v>
      </c>
      <c r="F513" s="25" t="n">
        <f aca="false">LN(C513/C512)</f>
        <v>0.0037578611086294</v>
      </c>
      <c r="G513" s="25" t="n">
        <f aca="false">IF(AND(D513=1,A513&gt;=$R$2),F513,"")</f>
        <v>0.0037578611086294</v>
      </c>
      <c r="H513" s="27" t="n">
        <f aca="false">IF(G513="","",G513^2)</f>
        <v>1.41215201117494E-005</v>
      </c>
      <c r="I513" s="25" t="n">
        <f aca="false">IF(G513="","",C513/C512-1)</f>
        <v>0.00376493072145245</v>
      </c>
      <c r="J513" s="17" t="n">
        <f aca="false">AVERAGE(C314:C513)</f>
        <v>416.29615</v>
      </c>
      <c r="K513" s="17" t="n">
        <f aca="false">MAX(K512,C513)</f>
        <v>525.22</v>
      </c>
      <c r="L513" s="25" t="n">
        <f aca="false">C513/K513-1</f>
        <v>0</v>
      </c>
      <c r="M513" s="25" t="n">
        <f aca="false">IF(COUNT(G484:G513)&lt;20,"",_xlfn.STDEV.S(G484:G513)*SQRT($R$3))</f>
        <v>0.451401151928639</v>
      </c>
      <c r="N513" s="25" t="n">
        <f aca="false">IF(A513-7&lt;$R$2,"",C513/INDEX(Clean_Data!$C$2:$C$4314,MATCH(A513-7,Clean_Data!$A$2:$A$4314,1))-1)</f>
        <v>0.186991502440788</v>
      </c>
      <c r="O513" s="25" t="n">
        <f aca="false">IF(A513-30&lt;$R$2,"",C513/INDEX(Clean_Data!$C$2:$C$4314,MATCH(A513-30,Clean_Data!$A$2:$A$4314,1))-1)</f>
        <v>0.144719061941502</v>
      </c>
    </row>
    <row r="514" customFormat="false" ht="15" hidden="false" customHeight="false" outlineLevel="0" collapsed="false">
      <c r="A514" s="16" t="n">
        <v>42520</v>
      </c>
      <c r="B514" s="23" t="n">
        <f aca="false">YEAR(A514)</f>
        <v>2016</v>
      </c>
      <c r="C514" s="17" t="n">
        <v>532.55</v>
      </c>
      <c r="D514" s="23" t="n">
        <f aca="false">A514-A513</f>
        <v>1</v>
      </c>
      <c r="E514" s="24" t="n">
        <f aca="false">LN(C514)</f>
        <v>6.27767678988918</v>
      </c>
      <c r="F514" s="25" t="n">
        <f aca="false">LN(C514/C513)</f>
        <v>0.0138595674544361</v>
      </c>
      <c r="G514" s="25" t="n">
        <f aca="false">IF(AND(D514=1,A514&gt;=$R$2),F514,"")</f>
        <v>0.0138595674544361</v>
      </c>
      <c r="H514" s="27" t="n">
        <f aca="false">IF(G514="","",G514^2)</f>
        <v>0.000192087610024065</v>
      </c>
      <c r="I514" s="25" t="n">
        <f aca="false">IF(G514="","",C514/C513-1)</f>
        <v>0.013956056509653</v>
      </c>
      <c r="J514" s="17" t="n">
        <f aca="false">AVERAGE(C315:C514)</f>
        <v>417.27645</v>
      </c>
      <c r="K514" s="17" t="n">
        <f aca="false">MAX(K513,C514)</f>
        <v>532.55</v>
      </c>
      <c r="L514" s="25" t="n">
        <f aca="false">C514/K514-1</f>
        <v>0</v>
      </c>
      <c r="M514" s="25" t="n">
        <f aca="false">IF(COUNT(G485:G514)&lt;20,"",_xlfn.STDEV.S(G485:G514)*SQRT($R$3))</f>
        <v>0.449193505480348</v>
      </c>
      <c r="N514" s="25" t="n">
        <f aca="false">IF(A514-7&lt;$R$2,"",C514/INDEX(Clean_Data!$C$2:$C$4314,MATCH(A514-7,Clean_Data!$A$2:$A$4314,1))-1)</f>
        <v>0.194942446204591</v>
      </c>
      <c r="O514" s="25" t="n">
        <f aca="false">IF(A514-30&lt;$R$2,"",C514/INDEX(Clean_Data!$C$2:$C$4314,MATCH(A514-30,Clean_Data!$A$2:$A$4314,1))-1)</f>
        <v>0.172965948636624</v>
      </c>
    </row>
    <row r="515" customFormat="false" ht="15" hidden="false" customHeight="false" outlineLevel="0" collapsed="false">
      <c r="A515" s="16" t="n">
        <v>42521</v>
      </c>
      <c r="B515" s="23" t="n">
        <f aca="false">YEAR(A515)</f>
        <v>2016</v>
      </c>
      <c r="C515" s="17" t="n">
        <v>531.34</v>
      </c>
      <c r="D515" s="23" t="n">
        <f aca="false">A515-A514</f>
        <v>1</v>
      </c>
      <c r="E515" s="24" t="n">
        <f aca="false">LN(C515)</f>
        <v>6.27540211765478</v>
      </c>
      <c r="F515" s="25" t="n">
        <f aca="false">LN(C515/C514)</f>
        <v>-0.00227467223439465</v>
      </c>
      <c r="G515" s="25" t="n">
        <f aca="false">IF(AND(D515=1,A515&gt;=$R$2),F515,"")</f>
        <v>-0.00227467223439465</v>
      </c>
      <c r="H515" s="27" t="n">
        <f aca="false">IF(G515="","",G515^2)</f>
        <v>5.17413377392595E-006</v>
      </c>
      <c r="I515" s="25" t="n">
        <f aca="false">IF(G515="","",C515/C514-1)</f>
        <v>-0.00227208712796911</v>
      </c>
      <c r="J515" s="17" t="n">
        <f aca="false">AVERAGE(C316:C515)</f>
        <v>418.2428</v>
      </c>
      <c r="K515" s="17" t="n">
        <f aca="false">MAX(K514,C515)</f>
        <v>532.55</v>
      </c>
      <c r="L515" s="25" t="n">
        <f aca="false">C515/K515-1</f>
        <v>-0.00227208712796911</v>
      </c>
      <c r="M515" s="25" t="n">
        <f aca="false">IF(COUNT(G486:G515)&lt;20,"",_xlfn.STDEV.S(G486:G515)*SQRT($R$3))</f>
        <v>0.449945023236387</v>
      </c>
      <c r="N515" s="25" t="n">
        <f aca="false">IF(A515-7&lt;$R$2,"",C515/INDEX(Clean_Data!$C$2:$C$4314,MATCH(A515-7,Clean_Data!$A$2:$A$4314,1))-1)</f>
        <v>0.188706682476118</v>
      </c>
      <c r="O515" s="25" t="n">
        <f aca="false">IF(A515-30&lt;$R$2,"",C515/INDEX(Clean_Data!$C$2:$C$4314,MATCH(A515-30,Clean_Data!$A$2:$A$4314,1))-1)</f>
        <v>0.162720469167141</v>
      </c>
    </row>
    <row r="516" customFormat="false" ht="15" hidden="false" customHeight="false" outlineLevel="0" collapsed="false">
      <c r="A516" s="16" t="n">
        <v>42522</v>
      </c>
      <c r="B516" s="23" t="n">
        <f aca="false">YEAR(A516)</f>
        <v>2016</v>
      </c>
      <c r="C516" s="17" t="n">
        <v>534.84</v>
      </c>
      <c r="D516" s="23" t="n">
        <f aca="false">A516-A515</f>
        <v>1</v>
      </c>
      <c r="E516" s="24" t="n">
        <f aca="false">LN(C516)</f>
        <v>6.28196763674647</v>
      </c>
      <c r="F516" s="25" t="n">
        <f aca="false">LN(C516/C515)</f>
        <v>0.00656551909168469</v>
      </c>
      <c r="G516" s="25" t="n">
        <f aca="false">IF(AND(D516=1,A516&gt;=$R$2),F516,"")</f>
        <v>0.00656551909168469</v>
      </c>
      <c r="H516" s="27" t="n">
        <f aca="false">IF(G516="","",G516^2)</f>
        <v>4.31060409432761E-005</v>
      </c>
      <c r="I516" s="25" t="n">
        <f aca="false">IF(G516="","",C516/C515-1)</f>
        <v>0.00658711935860268</v>
      </c>
      <c r="J516" s="17" t="n">
        <f aca="false">AVERAGE(C317:C516)</f>
        <v>419.24345</v>
      </c>
      <c r="K516" s="17" t="n">
        <f aca="false">MAX(K515,C516)</f>
        <v>534.84</v>
      </c>
      <c r="L516" s="25" t="n">
        <f aca="false">C516/K516-1</f>
        <v>0</v>
      </c>
      <c r="M516" s="25" t="n">
        <f aca="false">IF(COUNT(G487:G516)&lt;20,"",_xlfn.STDEV.S(G487:G516)*SQRT($R$3))</f>
        <v>0.438120065734734</v>
      </c>
      <c r="N516" s="25" t="n">
        <f aca="false">IF(A516-7&lt;$R$2,"",C516/INDEX(Clean_Data!$C$2:$C$4314,MATCH(A516-7,Clean_Data!$A$2:$A$4314,1))-1)</f>
        <v>0.184610954838424</v>
      </c>
      <c r="O516" s="25" t="n">
        <f aca="false">IF(A516-30&lt;$R$2,"",C516/INDEX(Clean_Data!$C$2:$C$4314,MATCH(A516-30,Clean_Data!$A$2:$A$4314,1))-1)</f>
        <v>0.198064602840375</v>
      </c>
    </row>
    <row r="517" customFormat="false" ht="15" hidden="false" customHeight="false" outlineLevel="0" collapsed="false">
      <c r="A517" s="16" t="n">
        <v>42523</v>
      </c>
      <c r="B517" s="23" t="n">
        <f aca="false">YEAR(A517)</f>
        <v>2016</v>
      </c>
      <c r="C517" s="17" t="n">
        <v>537.87</v>
      </c>
      <c r="D517" s="23" t="n">
        <f aca="false">A517-A516</f>
        <v>1</v>
      </c>
      <c r="E517" s="24" t="n">
        <f aca="false">LN(C517)</f>
        <v>6.28761689527545</v>
      </c>
      <c r="F517" s="25" t="n">
        <f aca="false">LN(C517/C516)</f>
        <v>0.00564925852898067</v>
      </c>
      <c r="G517" s="25" t="n">
        <f aca="false">IF(AND(D517=1,A517&gt;=$R$2),F517,"")</f>
        <v>0.00564925852898067</v>
      </c>
      <c r="H517" s="27" t="n">
        <f aca="false">IF(G517="","",G517^2)</f>
        <v>3.19141219272608E-005</v>
      </c>
      <c r="I517" s="25" t="n">
        <f aca="false">IF(G517="","",C517/C516-1)</f>
        <v>0.00566524568095117</v>
      </c>
      <c r="J517" s="17" t="n">
        <f aca="false">AVERAGE(C318:C517)</f>
        <v>420.31815</v>
      </c>
      <c r="K517" s="17" t="n">
        <f aca="false">MAX(K516,C517)</f>
        <v>537.87</v>
      </c>
      <c r="L517" s="25" t="n">
        <f aca="false">C517/K517-1</f>
        <v>0</v>
      </c>
      <c r="M517" s="25" t="n">
        <f aca="false">IF(COUNT(G488:G517)&lt;20,"",_xlfn.STDEV.S(G488:G517)*SQRT($R$3))</f>
        <v>0.437419914903223</v>
      </c>
      <c r="N517" s="25" t="n">
        <f aca="false">IF(A517-7&lt;$R$2,"",C517/INDEX(Clean_Data!$C$2:$C$4314,MATCH(A517-7,Clean_Data!$A$2:$A$4314,1))-1)</f>
        <v>0.182209816031826</v>
      </c>
      <c r="O517" s="25" t="n">
        <f aca="false">IF(A517-30&lt;$R$2,"",C517/INDEX(Clean_Data!$C$2:$C$4314,MATCH(A517-30,Clean_Data!$A$2:$A$4314,1))-1)</f>
        <v>0.189425267021959</v>
      </c>
    </row>
    <row r="518" customFormat="false" ht="15" hidden="false" customHeight="false" outlineLevel="0" collapsed="false">
      <c r="A518" s="16" t="n">
        <v>42524</v>
      </c>
      <c r="B518" s="23" t="n">
        <f aca="false">YEAR(A518)</f>
        <v>2016</v>
      </c>
      <c r="C518" s="17" t="n">
        <v>571.25</v>
      </c>
      <c r="D518" s="23" t="n">
        <f aca="false">A518-A517</f>
        <v>1</v>
      </c>
      <c r="E518" s="24" t="n">
        <f aca="false">LN(C518)</f>
        <v>6.34782694220842</v>
      </c>
      <c r="F518" s="25" t="n">
        <f aca="false">LN(C518/C517)</f>
        <v>0.0602100469329688</v>
      </c>
      <c r="G518" s="25" t="n">
        <f aca="false">IF(AND(D518=1,A518&gt;=$R$2),F518,"")</f>
        <v>0.0602100469329688</v>
      </c>
      <c r="H518" s="27" t="n">
        <f aca="false">IF(G518="","",G518^2)</f>
        <v>0.00362524975167031</v>
      </c>
      <c r="I518" s="25" t="n">
        <f aca="false">IF(G518="","",C518/C517-1)</f>
        <v>0.0620596054808782</v>
      </c>
      <c r="J518" s="17" t="n">
        <f aca="false">AVERAGE(C319:C518)</f>
        <v>421.50995</v>
      </c>
      <c r="K518" s="17" t="n">
        <f aca="false">MAX(K517,C518)</f>
        <v>571.25</v>
      </c>
      <c r="L518" s="25" t="n">
        <f aca="false">C518/K518-1</f>
        <v>0</v>
      </c>
      <c r="M518" s="25" t="n">
        <f aca="false">IF(COUNT(G489:G518)&lt;20,"",_xlfn.STDEV.S(G489:G518)*SQRT($R$3))</f>
        <v>0.473649812751577</v>
      </c>
      <c r="N518" s="25" t="n">
        <f aca="false">IF(A518-7&lt;$R$2,"",C518/INDEX(Clean_Data!$C$2:$C$4314,MATCH(A518-7,Clean_Data!$A$2:$A$4314,1))-1)</f>
        <v>0.212150147473847</v>
      </c>
      <c r="O518" s="25" t="n">
        <f aca="false">IF(A518-30&lt;$R$2,"",C518/INDEX(Clean_Data!$C$2:$C$4314,MATCH(A518-30,Clean_Data!$A$2:$A$4314,1))-1)</f>
        <v>0.273179103147009</v>
      </c>
    </row>
    <row r="519" customFormat="false" ht="15" hidden="false" customHeight="false" outlineLevel="0" collapsed="false">
      <c r="A519" s="16" t="n">
        <v>42525</v>
      </c>
      <c r="B519" s="23" t="n">
        <f aca="false">YEAR(A519)</f>
        <v>2016</v>
      </c>
      <c r="C519" s="17" t="n">
        <v>576.31</v>
      </c>
      <c r="D519" s="23" t="n">
        <f aca="false">A519-A518</f>
        <v>1</v>
      </c>
      <c r="E519" s="24" t="n">
        <f aca="false">LN(C519)</f>
        <v>6.35664571036565</v>
      </c>
      <c r="F519" s="25" t="n">
        <f aca="false">LN(C519/C518)</f>
        <v>0.00881876815723346</v>
      </c>
      <c r="G519" s="25" t="n">
        <f aca="false">IF(AND(D519=1,A519&gt;=$R$2),F519,"")</f>
        <v>0.00881876815723346</v>
      </c>
      <c r="H519" s="27" t="n">
        <f aca="false">IF(G519="","",G519^2)</f>
        <v>7.77706718110349E-005</v>
      </c>
      <c r="I519" s="25" t="n">
        <f aca="false">IF(G519="","",C519/C518-1)</f>
        <v>0.00885776805251637</v>
      </c>
      <c r="J519" s="17" t="n">
        <f aca="false">AVERAGE(C320:C519)</f>
        <v>422.70905</v>
      </c>
      <c r="K519" s="17" t="n">
        <f aca="false">MAX(K518,C519)</f>
        <v>576.31</v>
      </c>
      <c r="L519" s="25" t="n">
        <f aca="false">C519/K519-1</f>
        <v>0</v>
      </c>
      <c r="M519" s="25" t="n">
        <f aca="false">IF(COUNT(G490:G519)&lt;20,"",_xlfn.STDEV.S(G490:G519)*SQRT($R$3))</f>
        <v>0.473288567418328</v>
      </c>
      <c r="N519" s="25" t="n">
        <f aca="false">IF(A519-7&lt;$R$2,"",C519/INDEX(Clean_Data!$C$2:$C$4314,MATCH(A519-7,Clean_Data!$A$2:$A$4314,1))-1)</f>
        <v>0.101404682274247</v>
      </c>
      <c r="O519" s="25" t="n">
        <f aca="false">IF(A519-30&lt;$R$2,"",C519/INDEX(Clean_Data!$C$2:$C$4314,MATCH(A519-30,Clean_Data!$A$2:$A$4314,1))-1)</f>
        <v>0.28074581092493</v>
      </c>
    </row>
    <row r="520" customFormat="false" ht="15" hidden="false" customHeight="false" outlineLevel="0" collapsed="false">
      <c r="A520" s="16" t="n">
        <v>42526</v>
      </c>
      <c r="B520" s="23" t="n">
        <f aca="false">YEAR(A520)</f>
        <v>2016</v>
      </c>
      <c r="C520" s="17" t="n">
        <v>575.17</v>
      </c>
      <c r="D520" s="23" t="n">
        <f aca="false">A520-A519</f>
        <v>1</v>
      </c>
      <c r="E520" s="24" t="n">
        <f aca="false">LN(C520)</f>
        <v>6.35466564927477</v>
      </c>
      <c r="F520" s="25" t="n">
        <f aca="false">LN(C520/C519)</f>
        <v>-0.00198006109087603</v>
      </c>
      <c r="G520" s="25" t="n">
        <f aca="false">IF(AND(D520=1,A520&gt;=$R$2),F520,"")</f>
        <v>-0.00198006109087603</v>
      </c>
      <c r="H520" s="27" t="n">
        <f aca="false">IF(G520="","",G520^2)</f>
        <v>3.92064192360119E-006</v>
      </c>
      <c r="I520" s="25" t="n">
        <f aca="false">IF(G520="","",C520/C519-1)</f>
        <v>-0.00197810206312576</v>
      </c>
      <c r="J520" s="17" t="n">
        <f aca="false">AVERAGE(C321:C520)</f>
        <v>423.90745</v>
      </c>
      <c r="K520" s="17" t="n">
        <f aca="false">MAX(K519,C520)</f>
        <v>576.31</v>
      </c>
      <c r="L520" s="25" t="n">
        <f aca="false">C520/K520-1</f>
        <v>-0.00197810206312576</v>
      </c>
      <c r="M520" s="25" t="n">
        <f aca="false">IF(COUNT(G491:G520)&lt;20,"",_xlfn.STDEV.S(G491:G520)*SQRT($R$3))</f>
        <v>0.469600390284861</v>
      </c>
      <c r="N520" s="25" t="n">
        <f aca="false">IF(A520-7&lt;$R$2,"",C520/INDEX(Clean_Data!$C$2:$C$4314,MATCH(A520-7,Clean_Data!$A$2:$A$4314,1))-1)</f>
        <v>0.0951030044552756</v>
      </c>
      <c r="O520" s="25" t="n">
        <f aca="false">IF(A520-30&lt;$R$2,"",C520/INDEX(Clean_Data!$C$2:$C$4314,MATCH(A520-30,Clean_Data!$A$2:$A$4314,1))-1)</f>
        <v>0.244121909541217</v>
      </c>
    </row>
    <row r="521" customFormat="false" ht="15" hidden="false" customHeight="false" outlineLevel="0" collapsed="false">
      <c r="A521" s="16" t="n">
        <v>42527</v>
      </c>
      <c r="B521" s="23" t="n">
        <f aca="false">YEAR(A521)</f>
        <v>2016</v>
      </c>
      <c r="C521" s="17" t="n">
        <v>586.77</v>
      </c>
      <c r="D521" s="23" t="n">
        <f aca="false">A521-A520</f>
        <v>1</v>
      </c>
      <c r="E521" s="24" t="n">
        <f aca="false">LN(C521)</f>
        <v>6.37463292021754</v>
      </c>
      <c r="F521" s="25" t="n">
        <f aca="false">LN(C521/C520)</f>
        <v>0.0199672709427641</v>
      </c>
      <c r="G521" s="25" t="n">
        <f aca="false">IF(AND(D521=1,A521&gt;=$R$2),F521,"")</f>
        <v>0.0199672709427641</v>
      </c>
      <c r="H521" s="27" t="n">
        <f aca="false">IF(G521="","",G521^2)</f>
        <v>0.000398691908901752</v>
      </c>
      <c r="I521" s="25" t="n">
        <f aca="false">IF(G521="","",C521/C520-1)</f>
        <v>0.0201679503451153</v>
      </c>
      <c r="J521" s="17" t="n">
        <f aca="false">AVERAGE(C322:C521)</f>
        <v>425.20925</v>
      </c>
      <c r="K521" s="17" t="n">
        <f aca="false">MAX(K520,C521)</f>
        <v>586.77</v>
      </c>
      <c r="L521" s="25" t="n">
        <f aca="false">C521/K521-1</f>
        <v>0</v>
      </c>
      <c r="M521" s="25" t="n">
        <f aca="false">IF(COUNT(G492:G521)&lt;20,"",_xlfn.STDEV.S(G492:G521)*SQRT($R$3))</f>
        <v>0.470672685200509</v>
      </c>
      <c r="N521" s="25" t="n">
        <f aca="false">IF(A521-7&lt;$R$2,"",C521/INDEX(Clean_Data!$C$2:$C$4314,MATCH(A521-7,Clean_Data!$A$2:$A$4314,1))-1)</f>
        <v>0.101812036428504</v>
      </c>
      <c r="O521" s="25" t="n">
        <f aca="false">IF(A521-30&lt;$R$2,"",C521/INDEX(Clean_Data!$C$2:$C$4314,MATCH(A521-30,Clean_Data!$A$2:$A$4314,1))-1)</f>
        <v>0.270312398519192</v>
      </c>
    </row>
    <row r="522" customFormat="false" ht="15" hidden="false" customHeight="false" outlineLevel="0" collapsed="false">
      <c r="A522" s="16" t="n">
        <v>42528</v>
      </c>
      <c r="B522" s="23" t="n">
        <f aca="false">YEAR(A522)</f>
        <v>2016</v>
      </c>
      <c r="C522" s="17" t="n">
        <v>579.71</v>
      </c>
      <c r="D522" s="23" t="n">
        <f aca="false">A522-A521</f>
        <v>1</v>
      </c>
      <c r="E522" s="24" t="n">
        <f aca="false">LN(C522)</f>
        <v>6.36252797849878</v>
      </c>
      <c r="F522" s="25" t="n">
        <f aca="false">LN(C522/C521)</f>
        <v>-0.0121049417187532</v>
      </c>
      <c r="G522" s="25" t="n">
        <f aca="false">IF(AND(D522=1,A522&gt;=$R$2),F522,"")</f>
        <v>-0.0121049417187532</v>
      </c>
      <c r="H522" s="27" t="n">
        <f aca="false">IF(G522="","",G522^2)</f>
        <v>0.000146529614014412</v>
      </c>
      <c r="I522" s="25" t="n">
        <f aca="false">IF(G522="","",C522/C521-1)</f>
        <v>-0.0120319716413585</v>
      </c>
      <c r="J522" s="17" t="n">
        <f aca="false">AVERAGE(C323:C522)</f>
        <v>426.49585</v>
      </c>
      <c r="K522" s="17" t="n">
        <f aca="false">MAX(K521,C522)</f>
        <v>586.77</v>
      </c>
      <c r="L522" s="25" t="n">
        <f aca="false">C522/K522-1</f>
        <v>-0.0120319716413585</v>
      </c>
      <c r="M522" s="25" t="n">
        <f aca="false">IF(COUNT(G493:G522)&lt;20,"",_xlfn.STDEV.S(G493:G522)*SQRT($R$3))</f>
        <v>0.475459163580833</v>
      </c>
      <c r="N522" s="25" t="n">
        <f aca="false">IF(A522-7&lt;$R$2,"",C522/INDEX(Clean_Data!$C$2:$C$4314,MATCH(A522-7,Clean_Data!$A$2:$A$4314,1))-1)</f>
        <v>0.0910339895358905</v>
      </c>
      <c r="O522" s="25" t="n">
        <f aca="false">IF(A522-30&lt;$R$2,"",C522/INDEX(Clean_Data!$C$2:$C$4314,MATCH(A522-30,Clean_Data!$A$2:$A$4314,1))-1)</f>
        <v>0.252641586896865</v>
      </c>
    </row>
    <row r="523" customFormat="false" ht="15" hidden="false" customHeight="false" outlineLevel="0" collapsed="false">
      <c r="A523" s="16" t="n">
        <v>42529</v>
      </c>
      <c r="B523" s="23" t="n">
        <f aca="false">YEAR(A523)</f>
        <v>2016</v>
      </c>
      <c r="C523" s="17" t="n">
        <v>583.21</v>
      </c>
      <c r="D523" s="23" t="n">
        <f aca="false">A523-A522</f>
        <v>1</v>
      </c>
      <c r="E523" s="24" t="n">
        <f aca="false">LN(C523)</f>
        <v>6.36854732732385</v>
      </c>
      <c r="F523" s="25" t="n">
        <f aca="false">LN(C523/C522)</f>
        <v>0.00601934882506747</v>
      </c>
      <c r="G523" s="25" t="n">
        <f aca="false">IF(AND(D523=1,A523&gt;=$R$2),F523,"")</f>
        <v>0.00601934882506747</v>
      </c>
      <c r="H523" s="27" t="n">
        <f aca="false">IF(G523="","",G523^2)</f>
        <v>3.62325602778411E-005</v>
      </c>
      <c r="I523" s="25" t="n">
        <f aca="false">IF(G523="","",C523/C522-1)</f>
        <v>0.00603750150937543</v>
      </c>
      <c r="J523" s="17" t="n">
        <f aca="false">AVERAGE(C324:C523)</f>
        <v>427.7769</v>
      </c>
      <c r="K523" s="17" t="n">
        <f aca="false">MAX(K522,C523)</f>
        <v>586.77</v>
      </c>
      <c r="L523" s="25" t="n">
        <f aca="false">C523/K523-1</f>
        <v>-0.00606711317892861</v>
      </c>
      <c r="M523" s="25" t="n">
        <f aca="false">IF(COUNT(G494:G523)&lt;20,"",_xlfn.STDEV.S(G494:G523)*SQRT($R$3))</f>
        <v>0.475209986067699</v>
      </c>
      <c r="N523" s="25" t="n">
        <f aca="false">IF(A523-7&lt;$R$2,"",C523/INDEX(Clean_Data!$C$2:$C$4314,MATCH(A523-7,Clean_Data!$A$2:$A$4314,1))-1)</f>
        <v>0.0904382619101041</v>
      </c>
      <c r="O523" s="25" t="n">
        <f aca="false">IF(A523-30&lt;$R$2,"",C523/INDEX(Clean_Data!$C$2:$C$4314,MATCH(A523-30,Clean_Data!$A$2:$A$4314,1))-1)</f>
        <v>0.25648483281627</v>
      </c>
    </row>
    <row r="524" customFormat="false" ht="15" hidden="false" customHeight="false" outlineLevel="0" collapsed="false">
      <c r="A524" s="16" t="n">
        <v>42530</v>
      </c>
      <c r="B524" s="23" t="n">
        <f aca="false">YEAR(A524)</f>
        <v>2016</v>
      </c>
      <c r="C524" s="17" t="n">
        <v>577.46</v>
      </c>
      <c r="D524" s="23" t="n">
        <f aca="false">A524-A523</f>
        <v>1</v>
      </c>
      <c r="E524" s="24" t="n">
        <f aca="false">LN(C524)</f>
        <v>6.35863917592782</v>
      </c>
      <c r="F524" s="25" t="n">
        <f aca="false">LN(C524/C523)</f>
        <v>-0.00990815139603199</v>
      </c>
      <c r="G524" s="25" t="n">
        <f aca="false">IF(AND(D524=1,A524&gt;=$R$2),F524,"")</f>
        <v>-0.00990815139603199</v>
      </c>
      <c r="H524" s="27" t="n">
        <f aca="false">IF(G524="","",G524^2)</f>
        <v>9.81714640866907E-005</v>
      </c>
      <c r="I524" s="25" t="n">
        <f aca="false">IF(G524="","",C524/C523-1)</f>
        <v>-0.00985922737950307</v>
      </c>
      <c r="J524" s="17" t="n">
        <f aca="false">AVERAGE(C325:C524)</f>
        <v>429.04565</v>
      </c>
      <c r="K524" s="17" t="n">
        <f aca="false">MAX(K523,C524)</f>
        <v>586.77</v>
      </c>
      <c r="L524" s="25" t="n">
        <f aca="false">C524/K524-1</f>
        <v>-0.0158665235100635</v>
      </c>
      <c r="M524" s="25" t="n">
        <f aca="false">IF(COUNT(G495:G524)&lt;20,"",_xlfn.STDEV.S(G495:G524)*SQRT($R$3))</f>
        <v>0.4651388059895</v>
      </c>
      <c r="N524" s="25" t="n">
        <f aca="false">IF(A524-7&lt;$R$2,"",C524/INDEX(Clean_Data!$C$2:$C$4314,MATCH(A524-7,Clean_Data!$A$2:$A$4314,1))-1)</f>
        <v>0.0736051462249243</v>
      </c>
      <c r="O524" s="25" t="n">
        <f aca="false">IF(A524-30&lt;$R$2,"",C524/INDEX(Clean_Data!$C$2:$C$4314,MATCH(A524-30,Clean_Data!$A$2:$A$4314,1))-1)</f>
        <v>0.275365519678431</v>
      </c>
    </row>
    <row r="525" customFormat="false" ht="15" hidden="false" customHeight="false" outlineLevel="0" collapsed="false">
      <c r="A525" s="16" t="n">
        <v>42531</v>
      </c>
      <c r="B525" s="23" t="n">
        <f aca="false">YEAR(A525)</f>
        <v>2016</v>
      </c>
      <c r="C525" s="17" t="n">
        <v>580.31</v>
      </c>
      <c r="D525" s="23" t="n">
        <f aca="false">A525-A524</f>
        <v>1</v>
      </c>
      <c r="E525" s="24" t="n">
        <f aca="false">LN(C525)</f>
        <v>6.36356244351405</v>
      </c>
      <c r="F525" s="25" t="n">
        <f aca="false">LN(C525/C524)</f>
        <v>0.00492326758623304</v>
      </c>
      <c r="G525" s="25" t="n">
        <f aca="false">IF(AND(D525=1,A525&gt;=$R$2),F525,"")</f>
        <v>0.00492326758623304</v>
      </c>
      <c r="H525" s="27" t="n">
        <f aca="false">IF(G525="","",G525^2)</f>
        <v>2.42385637256529E-005</v>
      </c>
      <c r="I525" s="25" t="n">
        <f aca="false">IF(G525="","",C525/C524-1)</f>
        <v>0.00493540678142201</v>
      </c>
      <c r="J525" s="17" t="n">
        <f aca="false">AVERAGE(C326:C525)</f>
        <v>430.3322</v>
      </c>
      <c r="K525" s="17" t="n">
        <f aca="false">MAX(K524,C525)</f>
        <v>586.77</v>
      </c>
      <c r="L525" s="25" t="n">
        <f aca="false">C525/K525-1</f>
        <v>-0.0110094244763707</v>
      </c>
      <c r="M525" s="25" t="n">
        <f aca="false">IF(COUNT(G496:G525)&lt;20,"",_xlfn.STDEV.S(G496:G525)*SQRT($R$3))</f>
        <v>0.464988510407311</v>
      </c>
      <c r="N525" s="25" t="n">
        <f aca="false">IF(A525-7&lt;$R$2,"",C525/INDEX(Clean_Data!$C$2:$C$4314,MATCH(A525-7,Clean_Data!$A$2:$A$4314,1))-1)</f>
        <v>0.0158599562363237</v>
      </c>
      <c r="O525" s="25" t="n">
        <f aca="false">IF(A525-30&lt;$R$2,"",C525/INDEX(Clean_Data!$C$2:$C$4314,MATCH(A525-30,Clean_Data!$A$2:$A$4314,1))-1)</f>
        <v>0.277174989545965</v>
      </c>
    </row>
    <row r="526" customFormat="false" ht="15" hidden="false" customHeight="false" outlineLevel="0" collapsed="false">
      <c r="A526" s="16" t="n">
        <v>42532</v>
      </c>
      <c r="B526" s="23" t="n">
        <f aca="false">YEAR(A526)</f>
        <v>2016</v>
      </c>
      <c r="C526" s="17" t="n">
        <v>609.5</v>
      </c>
      <c r="D526" s="23" t="n">
        <f aca="false">A526-A525</f>
        <v>1</v>
      </c>
      <c r="E526" s="24" t="n">
        <f aca="false">LN(C526)</f>
        <v>6.41263894892133</v>
      </c>
      <c r="F526" s="25" t="n">
        <f aca="false">LN(C526/C525)</f>
        <v>0.049076505407275</v>
      </c>
      <c r="G526" s="25" t="n">
        <f aca="false">IF(AND(D526=1,A526&gt;=$R$2),F526,"")</f>
        <v>0.049076505407275</v>
      </c>
      <c r="H526" s="27" t="n">
        <f aca="false">IF(G526="","",G526^2)</f>
        <v>0.00240850338299029</v>
      </c>
      <c r="I526" s="25" t="n">
        <f aca="false">IF(G526="","",C526/C525-1)</f>
        <v>0.0503007013492789</v>
      </c>
      <c r="J526" s="17" t="n">
        <f aca="false">AVERAGE(C327:C526)</f>
        <v>431.7747</v>
      </c>
      <c r="K526" s="17" t="n">
        <f aca="false">MAX(K525,C526)</f>
        <v>609.5</v>
      </c>
      <c r="L526" s="25" t="n">
        <f aca="false">C526/K526-1</f>
        <v>0</v>
      </c>
      <c r="M526" s="25" t="n">
        <f aca="false">IF(COUNT(G497:G526)&lt;20,"",_xlfn.STDEV.S(G497:G526)*SQRT($R$3))</f>
        <v>0.486113120171502</v>
      </c>
      <c r="N526" s="25" t="n">
        <f aca="false">IF(A526-7&lt;$R$2,"",C526/INDEX(Clean_Data!$C$2:$C$4314,MATCH(A526-7,Clean_Data!$A$2:$A$4314,1))-1)</f>
        <v>0.0575905328729331</v>
      </c>
      <c r="O526" s="25" t="n">
        <f aca="false">IF(A526-30&lt;$R$2,"",C526/INDEX(Clean_Data!$C$2:$C$4314,MATCH(A526-30,Clean_Data!$A$2:$A$4314,1))-1)</f>
        <v>0.335217315106905</v>
      </c>
    </row>
    <row r="527" customFormat="false" ht="15" hidden="false" customHeight="false" outlineLevel="0" collapsed="false">
      <c r="A527" s="16" t="n">
        <v>42533</v>
      </c>
      <c r="B527" s="23" t="n">
        <f aca="false">YEAR(A527)</f>
        <v>2016</v>
      </c>
      <c r="C527" s="17" t="n">
        <v>677.86</v>
      </c>
      <c r="D527" s="23" t="n">
        <f aca="false">A527-A526</f>
        <v>1</v>
      </c>
      <c r="E527" s="24" t="n">
        <f aca="false">LN(C527)</f>
        <v>6.51894077694295</v>
      </c>
      <c r="F527" s="25" t="n">
        <f aca="false">LN(C527/C526)</f>
        <v>0.106301828021625</v>
      </c>
      <c r="G527" s="25" t="n">
        <f aca="false">IF(AND(D527=1,A527&gt;=$R$2),F527,"")</f>
        <v>0.106301828021625</v>
      </c>
      <c r="H527" s="27" t="n">
        <f aca="false">IF(G527="","",G527^2)</f>
        <v>0.0113000786407391</v>
      </c>
      <c r="I527" s="25" t="n">
        <f aca="false">IF(G527="","",C527/C526-1)</f>
        <v>0.112157506152584</v>
      </c>
      <c r="J527" s="17" t="n">
        <f aca="false">AVERAGE(C328:C527)</f>
        <v>433.5191</v>
      </c>
      <c r="K527" s="17" t="n">
        <f aca="false">MAX(K526,C527)</f>
        <v>677.86</v>
      </c>
      <c r="L527" s="25" t="n">
        <f aca="false">C527/K527-1</f>
        <v>0</v>
      </c>
      <c r="M527" s="25" t="n">
        <f aca="false">IF(COUNT(G498:G527)&lt;20,"",_xlfn.STDEV.S(G498:G527)*SQRT($R$3))</f>
        <v>0.590722201475979</v>
      </c>
      <c r="N527" s="25" t="n">
        <f aca="false">IF(A527-7&lt;$R$2,"",C527/INDEX(Clean_Data!$C$2:$C$4314,MATCH(A527-7,Clean_Data!$A$2:$A$4314,1))-1)</f>
        <v>0.178538519046543</v>
      </c>
      <c r="O527" s="25" t="n">
        <f aca="false">IF(A527-30&lt;$R$2,"",C527/INDEX(Clean_Data!$C$2:$C$4314,MATCH(A527-30,Clean_Data!$A$2:$A$4314,1))-1)</f>
        <v>0.480108301672562</v>
      </c>
    </row>
    <row r="528" customFormat="false" ht="15" hidden="false" customHeight="false" outlineLevel="0" collapsed="false">
      <c r="A528" s="16" t="n">
        <v>42534</v>
      </c>
      <c r="B528" s="23" t="n">
        <f aca="false">YEAR(A528)</f>
        <v>2016</v>
      </c>
      <c r="C528" s="17" t="n">
        <v>706.01</v>
      </c>
      <c r="D528" s="23" t="n">
        <f aca="false">A528-A527</f>
        <v>1</v>
      </c>
      <c r="E528" s="24" t="n">
        <f aca="false">LN(C528)</f>
        <v>6.55962940169888</v>
      </c>
      <c r="F528" s="25" t="n">
        <f aca="false">LN(C528/C527)</f>
        <v>0.0406886247559272</v>
      </c>
      <c r="G528" s="25" t="n">
        <f aca="false">IF(AND(D528=1,A528&gt;=$R$2),F528,"")</f>
        <v>0.0406886247559272</v>
      </c>
      <c r="H528" s="27" t="n">
        <f aca="false">IF(G528="","",G528^2)</f>
        <v>0.00165556418452865</v>
      </c>
      <c r="I528" s="25" t="n">
        <f aca="false">IF(G528="","",C528/C527-1)</f>
        <v>0.041527749092733</v>
      </c>
      <c r="J528" s="17" t="n">
        <f aca="false">AVERAGE(C329:C528)</f>
        <v>435.2863</v>
      </c>
      <c r="K528" s="17" t="n">
        <f aca="false">MAX(K527,C528)</f>
        <v>706.01</v>
      </c>
      <c r="L528" s="25" t="n">
        <f aca="false">C528/K528-1</f>
        <v>0</v>
      </c>
      <c r="M528" s="25" t="n">
        <f aca="false">IF(COUNT(G499:G528)&lt;20,"",_xlfn.STDEV.S(G499:G528)*SQRT($R$3))</f>
        <v>0.59697956971556</v>
      </c>
      <c r="N528" s="25" t="n">
        <f aca="false">IF(A528-7&lt;$R$2,"",C528/INDEX(Clean_Data!$C$2:$C$4314,MATCH(A528-7,Clean_Data!$A$2:$A$4314,1))-1)</f>
        <v>0.203214206588612</v>
      </c>
      <c r="O528" s="25" t="n">
        <f aca="false">IF(A528-30&lt;$R$2,"",C528/INDEX(Clean_Data!$C$2:$C$4314,MATCH(A528-30,Clean_Data!$A$2:$A$4314,1))-1)</f>
        <v>0.53848332970146</v>
      </c>
    </row>
    <row r="529" customFormat="false" ht="15" hidden="false" customHeight="false" outlineLevel="0" collapsed="false">
      <c r="A529" s="16" t="n">
        <v>42535</v>
      </c>
      <c r="B529" s="23" t="n">
        <f aca="false">YEAR(A529)</f>
        <v>2016</v>
      </c>
      <c r="C529" s="17" t="n">
        <v>684.95</v>
      </c>
      <c r="D529" s="23" t="n">
        <f aca="false">A529-A528</f>
        <v>1</v>
      </c>
      <c r="E529" s="24" t="n">
        <f aca="false">LN(C529)</f>
        <v>6.5293458428974</v>
      </c>
      <c r="F529" s="25" t="n">
        <f aca="false">LN(C529/C528)</f>
        <v>-0.0302835588014797</v>
      </c>
      <c r="G529" s="25" t="n">
        <f aca="false">IF(AND(D529=1,A529&gt;=$R$2),F529,"")</f>
        <v>-0.0302835588014797</v>
      </c>
      <c r="H529" s="27" t="n">
        <f aca="false">IF(G529="","",G529^2)</f>
        <v>0.000917093933682678</v>
      </c>
      <c r="I529" s="25" t="n">
        <f aca="false">IF(G529="","",C529/C528-1)</f>
        <v>-0.0298296058129488</v>
      </c>
      <c r="J529" s="17" t="n">
        <f aca="false">AVERAGE(C330:C529)</f>
        <v>436.9201</v>
      </c>
      <c r="K529" s="17" t="n">
        <f aca="false">MAX(K528,C529)</f>
        <v>706.01</v>
      </c>
      <c r="L529" s="25" t="n">
        <f aca="false">C529/K529-1</f>
        <v>-0.0298296058129488</v>
      </c>
      <c r="M529" s="25" t="n">
        <f aca="false">IF(COUNT(G500:G529)&lt;20,"",_xlfn.STDEV.S(G500:G529)*SQRT($R$3))</f>
        <v>0.616409332970311</v>
      </c>
      <c r="N529" s="25" t="n">
        <f aca="false">IF(A529-7&lt;$R$2,"",C529/INDEX(Clean_Data!$C$2:$C$4314,MATCH(A529-7,Clean_Data!$A$2:$A$4314,1))-1)</f>
        <v>0.181539045384761</v>
      </c>
      <c r="O529" s="25" t="n">
        <f aca="false">IF(A529-30&lt;$R$2,"",C529/INDEX(Clean_Data!$C$2:$C$4314,MATCH(A529-30,Clean_Data!$A$2:$A$4314,1))-1)</f>
        <v>0.484278501311028</v>
      </c>
    </row>
    <row r="530" customFormat="false" ht="15" hidden="false" customHeight="false" outlineLevel="0" collapsed="false">
      <c r="A530" s="16" t="n">
        <v>42536</v>
      </c>
      <c r="B530" s="23" t="n">
        <f aca="false">YEAR(A530)</f>
        <v>2016</v>
      </c>
      <c r="C530" s="17" t="n">
        <v>698.78</v>
      </c>
      <c r="D530" s="23" t="n">
        <f aca="false">A530-A529</f>
        <v>1</v>
      </c>
      <c r="E530" s="24" t="n">
        <f aca="false">LN(C530)</f>
        <v>6.54933595735806</v>
      </c>
      <c r="F530" s="25" t="n">
        <f aca="false">LN(C530/C529)</f>
        <v>0.0199901144606564</v>
      </c>
      <c r="G530" s="25" t="n">
        <f aca="false">IF(AND(D530=1,A530&gt;=$R$2),F530,"")</f>
        <v>0.0199901144606564</v>
      </c>
      <c r="H530" s="27" t="n">
        <f aca="false">IF(G530="","",G530^2)</f>
        <v>0.000399604676150142</v>
      </c>
      <c r="I530" s="25" t="n">
        <f aca="false">IF(G530="","",C530/C529-1)</f>
        <v>0.0201912548361194</v>
      </c>
      <c r="J530" s="17" t="n">
        <f aca="false">AVERAGE(C331:C530)</f>
        <v>438.6278</v>
      </c>
      <c r="K530" s="17" t="n">
        <f aca="false">MAX(K529,C530)</f>
        <v>706.01</v>
      </c>
      <c r="L530" s="25" t="n">
        <f aca="false">C530/K530-1</f>
        <v>-0.0102406481494597</v>
      </c>
      <c r="M530" s="25" t="n">
        <f aca="false">IF(COUNT(G501:G530)&lt;20,"",_xlfn.STDEV.S(G501:G530)*SQRT($R$3))</f>
        <v>0.609671310714761</v>
      </c>
      <c r="N530" s="25" t="n">
        <f aca="false">IF(A530-7&lt;$R$2,"",C530/INDEX(Clean_Data!$C$2:$C$4314,MATCH(A530-7,Clean_Data!$A$2:$A$4314,1))-1)</f>
        <v>0.198161897086812</v>
      </c>
      <c r="O530" s="25" t="n">
        <f aca="false">IF(A530-30&lt;$R$2,"",C530/INDEX(Clean_Data!$C$2:$C$4314,MATCH(A530-30,Clean_Data!$A$2:$A$4314,1))-1)</f>
        <v>0.533555721371198</v>
      </c>
    </row>
    <row r="531" customFormat="false" ht="15" hidden="false" customHeight="false" outlineLevel="0" collapsed="false">
      <c r="A531" s="16" t="n">
        <v>42537</v>
      </c>
      <c r="B531" s="23" t="n">
        <f aca="false">YEAR(A531)</f>
        <v>2016</v>
      </c>
      <c r="C531" s="17" t="n">
        <v>769.76</v>
      </c>
      <c r="D531" s="23" t="n">
        <f aca="false">A531-A530</f>
        <v>1</v>
      </c>
      <c r="E531" s="24" t="n">
        <f aca="false">LN(C531)</f>
        <v>6.64607877795114</v>
      </c>
      <c r="F531" s="25" t="n">
        <f aca="false">LN(C531/C530)</f>
        <v>0.0967428205930886</v>
      </c>
      <c r="G531" s="25" t="n">
        <f aca="false">IF(AND(D531=1,A531&gt;=$R$2),F531,"")</f>
        <v>0.0967428205930886</v>
      </c>
      <c r="H531" s="27" t="n">
        <f aca="false">IF(G531="","",G531^2)</f>
        <v>0.00935917333630653</v>
      </c>
      <c r="I531" s="25" t="n">
        <f aca="false">IF(G531="","",C531/C530-1)</f>
        <v>0.10157703425971</v>
      </c>
      <c r="J531" s="17" t="n">
        <f aca="false">AVERAGE(C332:C531)</f>
        <v>440.6154</v>
      </c>
      <c r="K531" s="17" t="n">
        <f aca="false">MAX(K530,C531)</f>
        <v>769.76</v>
      </c>
      <c r="L531" s="25" t="n">
        <f aca="false">C531/K531-1</f>
        <v>0</v>
      </c>
      <c r="M531" s="25" t="n">
        <f aca="false">IF(COUNT(G502:G531)&lt;20,"",_xlfn.STDEV.S(G502:G531)*SQRT($R$3))</f>
        <v>0.670299987641201</v>
      </c>
      <c r="N531" s="25" t="n">
        <f aca="false">IF(A531-7&lt;$R$2,"",C531/INDEX(Clean_Data!$C$2:$C$4314,MATCH(A531-7,Clean_Data!$A$2:$A$4314,1))-1)</f>
        <v>0.333010078620164</v>
      </c>
      <c r="O531" s="25" t="n">
        <f aca="false">IF(A531-30&lt;$R$2,"",C531/INDEX(Clean_Data!$C$2:$C$4314,MATCH(A531-30,Clean_Data!$A$2:$A$4314,1))-1)</f>
        <v>0.694797331513243</v>
      </c>
    </row>
    <row r="532" customFormat="false" ht="15" hidden="false" customHeight="false" outlineLevel="0" collapsed="false">
      <c r="A532" s="16" t="n">
        <v>42538</v>
      </c>
      <c r="B532" s="23" t="n">
        <f aca="false">YEAR(A532)</f>
        <v>2016</v>
      </c>
      <c r="C532" s="17" t="n">
        <v>752.26</v>
      </c>
      <c r="D532" s="23" t="n">
        <f aca="false">A532-A531</f>
        <v>1</v>
      </c>
      <c r="E532" s="24" t="n">
        <f aca="false">LN(C532)</f>
        <v>6.62308200887477</v>
      </c>
      <c r="F532" s="25" t="n">
        <f aca="false">LN(C532/C531)</f>
        <v>-0.0229967690763718</v>
      </c>
      <c r="G532" s="25" t="n">
        <f aca="false">IF(AND(D532=1,A532&gt;=$R$2),F532,"")</f>
        <v>-0.0229967690763718</v>
      </c>
      <c r="H532" s="27" t="n">
        <f aca="false">IF(G532="","",G532^2)</f>
        <v>0.000528851387951969</v>
      </c>
      <c r="I532" s="25" t="n">
        <f aca="false">IF(G532="","",C532/C531-1)</f>
        <v>-0.0227343587611724</v>
      </c>
      <c r="J532" s="17" t="n">
        <f aca="false">AVERAGE(C333:C532)</f>
        <v>442.4924</v>
      </c>
      <c r="K532" s="17" t="n">
        <f aca="false">MAX(K531,C532)</f>
        <v>769.76</v>
      </c>
      <c r="L532" s="25" t="n">
        <f aca="false">C532/K532-1</f>
        <v>-0.0227343587611724</v>
      </c>
      <c r="M532" s="25" t="n">
        <f aca="false">IF(COUNT(G503:G532)&lt;20,"",_xlfn.STDEV.S(G503:G532)*SQRT($R$3))</f>
        <v>0.683427763385205</v>
      </c>
      <c r="N532" s="25" t="n">
        <f aca="false">IF(A532-7&lt;$R$2,"",C532/INDEX(Clean_Data!$C$2:$C$4314,MATCH(A532-7,Clean_Data!$A$2:$A$4314,1))-1)</f>
        <v>0.29630714618049</v>
      </c>
      <c r="O532" s="25" t="n">
        <f aca="false">IF(A532-30&lt;$R$2,"",C532/INDEX(Clean_Data!$C$2:$C$4314,MATCH(A532-30,Clean_Data!$A$2:$A$4314,1))-1)</f>
        <v>0.651286328913864</v>
      </c>
    </row>
    <row r="533" customFormat="false" ht="15" hidden="false" customHeight="false" outlineLevel="0" collapsed="false">
      <c r="A533" s="16" t="n">
        <v>42539</v>
      </c>
      <c r="B533" s="23" t="n">
        <f aca="false">YEAR(A533)</f>
        <v>2016</v>
      </c>
      <c r="C533" s="17" t="n">
        <v>758.99</v>
      </c>
      <c r="D533" s="23" t="n">
        <f aca="false">A533-A532</f>
        <v>1</v>
      </c>
      <c r="E533" s="24" t="n">
        <f aca="false">LN(C533)</f>
        <v>6.63198860207827</v>
      </c>
      <c r="F533" s="25" t="n">
        <f aca="false">LN(C533/C532)</f>
        <v>0.00890659320349742</v>
      </c>
      <c r="G533" s="25" t="n">
        <f aca="false">IF(AND(D533=1,A533&gt;=$R$2),F533,"")</f>
        <v>0.00890659320349742</v>
      </c>
      <c r="H533" s="27" t="n">
        <f aca="false">IF(G533="","",G533^2)</f>
        <v>7.93274024925864E-005</v>
      </c>
      <c r="I533" s="25" t="n">
        <f aca="false">IF(G533="","",C533/C532-1)</f>
        <v>0.00894637492356365</v>
      </c>
      <c r="J533" s="17" t="n">
        <f aca="false">AVERAGE(C334:C533)</f>
        <v>444.47395</v>
      </c>
      <c r="K533" s="17" t="n">
        <f aca="false">MAX(K532,C533)</f>
        <v>769.76</v>
      </c>
      <c r="L533" s="25" t="n">
        <f aca="false">C533/K533-1</f>
        <v>-0.0139913739347329</v>
      </c>
      <c r="M533" s="25" t="n">
        <f aca="false">IF(COUNT(G504:G533)&lt;20,"",_xlfn.STDEV.S(G504:G533)*SQRT($R$3))</f>
        <v>0.654680236315482</v>
      </c>
      <c r="N533" s="25" t="n">
        <f aca="false">IF(A533-7&lt;$R$2,"",C533/INDEX(Clean_Data!$C$2:$C$4314,MATCH(A533-7,Clean_Data!$A$2:$A$4314,1))-1)</f>
        <v>0.24526661197703</v>
      </c>
      <c r="O533" s="25" t="n">
        <f aca="false">IF(A533-30&lt;$R$2,"",C533/INDEX(Clean_Data!$C$2:$C$4314,MATCH(A533-30,Clean_Data!$A$2:$A$4314,1))-1)</f>
        <v>0.731351795246134</v>
      </c>
    </row>
    <row r="534" customFormat="false" ht="15" hidden="false" customHeight="false" outlineLevel="0" collapsed="false">
      <c r="A534" s="16" t="n">
        <v>42540</v>
      </c>
      <c r="B534" s="23" t="n">
        <f aca="false">YEAR(A534)</f>
        <v>2016</v>
      </c>
      <c r="C534" s="17" t="n">
        <v>768.76</v>
      </c>
      <c r="D534" s="23" t="n">
        <f aca="false">A534-A533</f>
        <v>1</v>
      </c>
      <c r="E534" s="24" t="n">
        <f aca="false">LN(C534)</f>
        <v>6.6447788271662</v>
      </c>
      <c r="F534" s="25" t="n">
        <f aca="false">LN(C534/C533)</f>
        <v>0.0127902250879345</v>
      </c>
      <c r="G534" s="25" t="n">
        <f aca="false">IF(AND(D534=1,A534&gt;=$R$2),F534,"")</f>
        <v>0.0127902250879345</v>
      </c>
      <c r="H534" s="27" t="n">
        <f aca="false">IF(G534="","",G534^2)</f>
        <v>0.00016358985780003</v>
      </c>
      <c r="I534" s="25" t="n">
        <f aca="false">IF(G534="","",C534/C533-1)</f>
        <v>0.0128723698599453</v>
      </c>
      <c r="J534" s="17" t="n">
        <f aca="false">AVERAGE(C335:C534)</f>
        <v>446.51775</v>
      </c>
      <c r="K534" s="17" t="n">
        <f aca="false">MAX(K533,C534)</f>
        <v>769.76</v>
      </c>
      <c r="L534" s="25" t="n">
        <f aca="false">C534/K534-1</f>
        <v>-0.00129910621492413</v>
      </c>
      <c r="M534" s="25" t="n">
        <f aca="false">IF(COUNT(G505:G534)&lt;20,"",_xlfn.STDEV.S(G505:G534)*SQRT($R$3))</f>
        <v>0.654934506236825</v>
      </c>
      <c r="N534" s="25" t="n">
        <f aca="false">IF(A534-7&lt;$R$2,"",C534/INDEX(Clean_Data!$C$2:$C$4314,MATCH(A534-7,Clean_Data!$A$2:$A$4314,1))-1)</f>
        <v>0.134098486413124</v>
      </c>
      <c r="O534" s="25" t="n">
        <f aca="false">IF(A534-30&lt;$R$2,"",C534/INDEX(Clean_Data!$C$2:$C$4314,MATCH(A534-30,Clean_Data!$A$2:$A$4314,1))-1)</f>
        <v>0.725030853809043</v>
      </c>
    </row>
    <row r="535" customFormat="false" ht="15" hidden="false" customHeight="false" outlineLevel="0" collapsed="false">
      <c r="A535" s="16" t="n">
        <v>42541</v>
      </c>
      <c r="B535" s="23" t="n">
        <f aca="false">YEAR(A535)</f>
        <v>2016</v>
      </c>
      <c r="C535" s="17" t="n">
        <v>703.12</v>
      </c>
      <c r="D535" s="23" t="n">
        <f aca="false">A535-A534</f>
        <v>1</v>
      </c>
      <c r="E535" s="24" t="n">
        <f aca="false">LN(C535)</f>
        <v>6.55552757425639</v>
      </c>
      <c r="F535" s="25" t="n">
        <f aca="false">LN(C535/C534)</f>
        <v>-0.0892512529098142</v>
      </c>
      <c r="G535" s="25" t="n">
        <f aca="false">IF(AND(D535=1,A535&gt;=$R$2),F535,"")</f>
        <v>-0.0892512529098142</v>
      </c>
      <c r="H535" s="27" t="n">
        <f aca="false">IF(G535="","",G535^2)</f>
        <v>0.00796578614597162</v>
      </c>
      <c r="I535" s="25" t="n">
        <f aca="false">IF(G535="","",C535/C534-1)</f>
        <v>-0.0853842551641605</v>
      </c>
      <c r="J535" s="17" t="n">
        <f aca="false">AVERAGE(C336:C535)</f>
        <v>448.2245</v>
      </c>
      <c r="K535" s="17" t="n">
        <f aca="false">MAX(K534,C535)</f>
        <v>769.76</v>
      </c>
      <c r="L535" s="25" t="n">
        <f aca="false">C535/K535-1</f>
        <v>-0.0865724381625441</v>
      </c>
      <c r="M535" s="25" t="n">
        <f aca="false">IF(COUNT(G506:G535)&lt;20,"",_xlfn.STDEV.S(G506:G535)*SQRT($R$3))</f>
        <v>0.753129248009831</v>
      </c>
      <c r="N535" s="25" t="n">
        <f aca="false">IF(A535-7&lt;$R$2,"",C535/INDEX(Clean_Data!$C$2:$C$4314,MATCH(A535-7,Clean_Data!$A$2:$A$4314,1))-1)</f>
        <v>-0.00409342643871902</v>
      </c>
      <c r="O535" s="25" t="n">
        <f aca="false">IF(A535-30&lt;$R$2,"",C535/INDEX(Clean_Data!$C$2:$C$4314,MATCH(A535-30,Clean_Data!$A$2:$A$4314,1))-1)</f>
        <v>0.57551313076992</v>
      </c>
    </row>
    <row r="536" customFormat="false" ht="15" hidden="false" customHeight="false" outlineLevel="0" collapsed="false">
      <c r="A536" s="16" t="n">
        <v>42542</v>
      </c>
      <c r="B536" s="23" t="n">
        <f aca="false">YEAR(A536)</f>
        <v>2016</v>
      </c>
      <c r="C536" s="17" t="n">
        <v>667.66</v>
      </c>
      <c r="D536" s="23" t="n">
        <f aca="false">A536-A535</f>
        <v>1</v>
      </c>
      <c r="E536" s="24" t="n">
        <f aca="false">LN(C536)</f>
        <v>6.50377906192539</v>
      </c>
      <c r="F536" s="25" t="n">
        <f aca="false">LN(C536/C535)</f>
        <v>-0.0517485123309982</v>
      </c>
      <c r="G536" s="25" t="n">
        <f aca="false">IF(AND(D536=1,A536&gt;=$R$2),F536,"")</f>
        <v>-0.0517485123309982</v>
      </c>
      <c r="H536" s="27" t="n">
        <f aca="false">IF(G536="","",G536^2)</f>
        <v>0.00267790852847148</v>
      </c>
      <c r="I536" s="25" t="n">
        <f aca="false">IF(G536="","",C536/C535-1)</f>
        <v>-0.0504323586301059</v>
      </c>
      <c r="J536" s="17" t="n">
        <f aca="false">AVERAGE(C337:C536)</f>
        <v>449.7429</v>
      </c>
      <c r="K536" s="17" t="n">
        <f aca="false">MAX(K535,C536)</f>
        <v>769.76</v>
      </c>
      <c r="L536" s="25" t="n">
        <f aca="false">C536/K536-1</f>
        <v>-0.132638744543754</v>
      </c>
      <c r="M536" s="25" t="n">
        <f aca="false">IF(COUNT(G507:G536)&lt;20,"",_xlfn.STDEV.S(G507:G536)*SQRT($R$3))</f>
        <v>0.784653980765618</v>
      </c>
      <c r="N536" s="25" t="n">
        <f aca="false">IF(A536-7&lt;$R$2,"",C536/INDEX(Clean_Data!$C$2:$C$4314,MATCH(A536-7,Clean_Data!$A$2:$A$4314,1))-1)</f>
        <v>-0.0252427184466021</v>
      </c>
      <c r="O536" s="25" t="n">
        <f aca="false">IF(A536-30&lt;$R$2,"",C536/INDEX(Clean_Data!$C$2:$C$4314,MATCH(A536-30,Clean_Data!$A$2:$A$4314,1))-1)</f>
        <v>0.508904357259085</v>
      </c>
    </row>
    <row r="537" customFormat="false" ht="15" hidden="false" customHeight="false" outlineLevel="0" collapsed="false">
      <c r="A537" s="16" t="n">
        <v>42543</v>
      </c>
      <c r="B537" s="23" t="n">
        <f aca="false">YEAR(A537)</f>
        <v>2016</v>
      </c>
      <c r="C537" s="17" t="n">
        <v>604.5</v>
      </c>
      <c r="D537" s="23" t="n">
        <f aca="false">A537-A536</f>
        <v>1</v>
      </c>
      <c r="E537" s="24" t="n">
        <f aca="false">LN(C537)</f>
        <v>6.40440167005485</v>
      </c>
      <c r="F537" s="25" t="n">
        <f aca="false">LN(C537/C536)</f>
        <v>-0.0993773918705442</v>
      </c>
      <c r="G537" s="25" t="n">
        <f aca="false">IF(AND(D537=1,A537&gt;=$R$2),F537,"")</f>
        <v>-0.0993773918705442</v>
      </c>
      <c r="H537" s="27" t="n">
        <f aca="false">IF(G537="","",G537^2)</f>
        <v>0.00987586601499169</v>
      </c>
      <c r="I537" s="25" t="n">
        <f aca="false">IF(G537="","",C537/C536-1)</f>
        <v>-0.0945990474193451</v>
      </c>
      <c r="J537" s="17" t="n">
        <f aca="false">AVERAGE(C338:C537)</f>
        <v>450.82545</v>
      </c>
      <c r="K537" s="17" t="n">
        <f aca="false">MAX(K536,C537)</f>
        <v>769.76</v>
      </c>
      <c r="L537" s="25" t="n">
        <f aca="false">C537/K537-1</f>
        <v>-0.214690293078362</v>
      </c>
      <c r="M537" s="25" t="n">
        <f aca="false">IF(COUNT(G508:G537)&lt;20,"",_xlfn.STDEV.S(G508:G537)*SQRT($R$3))</f>
        <v>0.878266038086181</v>
      </c>
      <c r="N537" s="25" t="n">
        <f aca="false">IF(A537-7&lt;$R$2,"",C537/INDEX(Clean_Data!$C$2:$C$4314,MATCH(A537-7,Clean_Data!$A$2:$A$4314,1))-1)</f>
        <v>-0.1349208620739</v>
      </c>
      <c r="O537" s="25" t="n">
        <f aca="false">IF(A537-30&lt;$R$2,"",C537/INDEX(Clean_Data!$C$2:$C$4314,MATCH(A537-30,Clean_Data!$A$2:$A$4314,1))-1)</f>
        <v>0.356384768999484</v>
      </c>
    </row>
    <row r="538" customFormat="false" ht="15" hidden="false" customHeight="false" outlineLevel="0" collapsed="false">
      <c r="A538" s="16" t="n">
        <v>42544</v>
      </c>
      <c r="B538" s="23" t="n">
        <f aca="false">YEAR(A538)</f>
        <v>2016</v>
      </c>
      <c r="C538" s="17" t="n">
        <v>631.1</v>
      </c>
      <c r="D538" s="23" t="n">
        <f aca="false">A538-A537</f>
        <v>1</v>
      </c>
      <c r="E538" s="24" t="n">
        <f aca="false">LN(C538)</f>
        <v>6.44746432859019</v>
      </c>
      <c r="F538" s="25" t="n">
        <f aca="false">LN(C538/C537)</f>
        <v>0.0430626585353465</v>
      </c>
      <c r="G538" s="25" t="n">
        <f aca="false">IF(AND(D538=1,A538&gt;=$R$2),F538,"")</f>
        <v>0.0430626585353465</v>
      </c>
      <c r="H538" s="27" t="n">
        <f aca="false">IF(G538="","",G538^2)</f>
        <v>0.00185439256013185</v>
      </c>
      <c r="I538" s="25" t="n">
        <f aca="false">IF(G538="","",C538/C537-1)</f>
        <v>0.0440033085194376</v>
      </c>
      <c r="J538" s="17" t="n">
        <f aca="false">AVERAGE(C339:C538)</f>
        <v>452.0432</v>
      </c>
      <c r="K538" s="17" t="n">
        <f aca="false">MAX(K537,C538)</f>
        <v>769.76</v>
      </c>
      <c r="L538" s="25" t="n">
        <f aca="false">C538/K538-1</f>
        <v>-0.18013406776138</v>
      </c>
      <c r="M538" s="25" t="n">
        <f aca="false">IF(COUNT(G509:G538)&lt;20,"",_xlfn.STDEV.S(G509:G538)*SQRT($R$3))</f>
        <v>0.885239160188461</v>
      </c>
      <c r="N538" s="25" t="n">
        <f aca="false">IF(A538-7&lt;$R$2,"",C538/INDEX(Clean_Data!$C$2:$C$4314,MATCH(A538-7,Clean_Data!$A$2:$A$4314,1))-1)</f>
        <v>-0.18013406776138</v>
      </c>
      <c r="O538" s="25" t="n">
        <f aca="false">IF(A538-30&lt;$R$2,"",C538/INDEX(Clean_Data!$C$2:$C$4314,MATCH(A538-30,Clean_Data!$A$2:$A$4314,1))-1)</f>
        <v>0.41188840913667</v>
      </c>
    </row>
    <row r="539" customFormat="false" ht="15" hidden="false" customHeight="false" outlineLevel="0" collapsed="false">
      <c r="A539" s="16" t="n">
        <v>42545</v>
      </c>
      <c r="B539" s="23" t="n">
        <f aca="false">YEAR(A539)</f>
        <v>2016</v>
      </c>
      <c r="C539" s="17" t="n">
        <v>669.98</v>
      </c>
      <c r="D539" s="23" t="n">
        <f aca="false">A539-A538</f>
        <v>1</v>
      </c>
      <c r="E539" s="24" t="n">
        <f aca="false">LN(C539)</f>
        <v>6.5072478611932</v>
      </c>
      <c r="F539" s="25" t="n">
        <f aca="false">LN(C539/C538)</f>
        <v>0.0597835326030068</v>
      </c>
      <c r="G539" s="25" t="n">
        <f aca="false">IF(AND(D539=1,A539&gt;=$R$2),F539,"")</f>
        <v>0.0597835326030068</v>
      </c>
      <c r="H539" s="27" t="n">
        <f aca="false">IF(G539="","",G539^2)</f>
        <v>0.00357407077049477</v>
      </c>
      <c r="I539" s="25" t="n">
        <f aca="false">IF(G539="","",C539/C538-1)</f>
        <v>0.0616067184281413</v>
      </c>
      <c r="J539" s="17" t="n">
        <f aca="false">AVERAGE(C340:C539)</f>
        <v>453.41945</v>
      </c>
      <c r="K539" s="17" t="n">
        <f aca="false">MAX(K538,C539)</f>
        <v>769.76</v>
      </c>
      <c r="L539" s="25" t="n">
        <f aca="false">C539/K539-1</f>
        <v>-0.12962481812513</v>
      </c>
      <c r="M539" s="25" t="n">
        <f aca="false">IF(COUNT(G510:G539)&lt;20,"",_xlfn.STDEV.S(G510:G539)*SQRT($R$3))</f>
        <v>0.901069826292713</v>
      </c>
      <c r="N539" s="25" t="n">
        <f aca="false">IF(A539-7&lt;$R$2,"",C539/INDEX(Clean_Data!$C$2:$C$4314,MATCH(A539-7,Clean_Data!$A$2:$A$4314,1))-1)</f>
        <v>-0.109377077074416</v>
      </c>
      <c r="O539" s="25" t="n">
        <f aca="false">IF(A539-30&lt;$R$2,"",C539/INDEX(Clean_Data!$C$2:$C$4314,MATCH(A539-30,Clean_Data!$A$2:$A$4314,1))-1)</f>
        <v>0.483930984074952</v>
      </c>
    </row>
    <row r="540" customFormat="false" ht="15" hidden="false" customHeight="false" outlineLevel="0" collapsed="false">
      <c r="A540" s="16" t="n">
        <v>42546</v>
      </c>
      <c r="B540" s="23" t="n">
        <f aca="false">YEAR(A540)</f>
        <v>2016</v>
      </c>
      <c r="C540" s="17" t="n">
        <v>673.71</v>
      </c>
      <c r="D540" s="23" t="n">
        <f aca="false">A540-A539</f>
        <v>1</v>
      </c>
      <c r="E540" s="24" t="n">
        <f aca="false">LN(C540)</f>
        <v>6.51279975125856</v>
      </c>
      <c r="F540" s="25" t="n">
        <f aca="false">LN(C540/C539)</f>
        <v>0.00555189006535912</v>
      </c>
      <c r="G540" s="25" t="n">
        <f aca="false">IF(AND(D540=1,A540&gt;=$R$2),F540,"")</f>
        <v>0.00555189006535912</v>
      </c>
      <c r="H540" s="27" t="n">
        <f aca="false">IF(G540="","",G540^2)</f>
        <v>3.08234832978333E-005</v>
      </c>
      <c r="I540" s="25" t="n">
        <f aca="false">IF(G540="","",C540/C539-1)</f>
        <v>0.00556733036807078</v>
      </c>
      <c r="J540" s="17" t="n">
        <f aca="false">AVERAGE(C341:C540)</f>
        <v>454.6933</v>
      </c>
      <c r="K540" s="17" t="n">
        <f aca="false">MAX(K539,C540)</f>
        <v>769.76</v>
      </c>
      <c r="L540" s="25" t="n">
        <f aca="false">C540/K540-1</f>
        <v>-0.124779151943463</v>
      </c>
      <c r="M540" s="25" t="n">
        <f aca="false">IF(COUNT(G511:G540)&lt;20,"",_xlfn.STDEV.S(G511:G540)*SQRT($R$3))</f>
        <v>0.901263041234347</v>
      </c>
      <c r="N540" s="25" t="n">
        <f aca="false">IF(A540-7&lt;$R$2,"",C540/INDEX(Clean_Data!$C$2:$C$4314,MATCH(A540-7,Clean_Data!$A$2:$A$4314,1))-1)</f>
        <v>-0.112359846638296</v>
      </c>
      <c r="O540" s="25" t="n">
        <f aca="false">IF(A540-30&lt;$R$2,"",C540/INDEX(Clean_Data!$C$2:$C$4314,MATCH(A540-30,Clean_Data!$A$2:$A$4314,1))-1)</f>
        <v>0.480778952458404</v>
      </c>
    </row>
    <row r="541" customFormat="false" ht="15" hidden="false" customHeight="false" outlineLevel="0" collapsed="false">
      <c r="A541" s="16" t="n">
        <v>42547</v>
      </c>
      <c r="B541" s="23" t="n">
        <f aca="false">YEAR(A541)</f>
        <v>2016</v>
      </c>
      <c r="C541" s="17" t="n">
        <v>638.56</v>
      </c>
      <c r="D541" s="23" t="n">
        <f aca="false">A541-A540</f>
        <v>1</v>
      </c>
      <c r="E541" s="24" t="n">
        <f aca="false">LN(C541)</f>
        <v>6.45921564130042</v>
      </c>
      <c r="F541" s="25" t="n">
        <f aca="false">LN(C541/C540)</f>
        <v>-0.0535841099581361</v>
      </c>
      <c r="G541" s="25" t="n">
        <f aca="false">IF(AND(D541=1,A541&gt;=$R$2),F541,"")</f>
        <v>-0.0535841099581361</v>
      </c>
      <c r="H541" s="27" t="n">
        <f aca="false">IF(G541="","",G541^2)</f>
        <v>0.00287125684000562</v>
      </c>
      <c r="I541" s="25" t="n">
        <f aca="false">IF(G541="","",C541/C540-1)</f>
        <v>-0.0521737839723324</v>
      </c>
      <c r="J541" s="17" t="n">
        <f aca="false">AVERAGE(C342:C541)</f>
        <v>455.79415</v>
      </c>
      <c r="K541" s="17" t="n">
        <f aca="false">MAX(K540,C541)</f>
        <v>769.76</v>
      </c>
      <c r="L541" s="25" t="n">
        <f aca="false">C541/K541-1</f>
        <v>-0.170442735398046</v>
      </c>
      <c r="M541" s="25" t="n">
        <f aca="false">IF(COUNT(G512:G541)&lt;20,"",_xlfn.STDEV.S(G512:G541)*SQRT($R$3))</f>
        <v>0.926691301375535</v>
      </c>
      <c r="N541" s="25" t="n">
        <f aca="false">IF(A541-7&lt;$R$2,"",C541/INDEX(Clean_Data!$C$2:$C$4314,MATCH(A541-7,Clean_Data!$A$2:$A$4314,1))-1)</f>
        <v>-0.169363650554139</v>
      </c>
      <c r="O541" s="25" t="n">
        <f aca="false">IF(A541-30&lt;$R$2,"",C541/INDEX(Clean_Data!$C$2:$C$4314,MATCH(A541-30,Clean_Data!$A$2:$A$4314,1))-1)</f>
        <v>0.35497697710442</v>
      </c>
    </row>
    <row r="542" customFormat="false" ht="15" hidden="false" customHeight="false" outlineLevel="0" collapsed="false">
      <c r="A542" s="16" t="n">
        <v>42548</v>
      </c>
      <c r="B542" s="23" t="n">
        <f aca="false">YEAR(A542)</f>
        <v>2016</v>
      </c>
      <c r="C542" s="17" t="n">
        <v>657.87</v>
      </c>
      <c r="D542" s="23" t="n">
        <f aca="false">A542-A541</f>
        <v>1</v>
      </c>
      <c r="E542" s="24" t="n">
        <f aca="false">LN(C542)</f>
        <v>6.48900734341706</v>
      </c>
      <c r="F542" s="25" t="n">
        <f aca="false">LN(C542/C541)</f>
        <v>0.0297917021166306</v>
      </c>
      <c r="G542" s="25" t="n">
        <f aca="false">IF(AND(D542=1,A542&gt;=$R$2),F542,"")</f>
        <v>0.0297917021166306</v>
      </c>
      <c r="H542" s="27" t="n">
        <f aca="false">IF(G542="","",G542^2)</f>
        <v>0.000887545515006053</v>
      </c>
      <c r="I542" s="25" t="n">
        <f aca="false">IF(G542="","",C542/C541-1)</f>
        <v>0.0302399148083188</v>
      </c>
      <c r="J542" s="17" t="n">
        <f aca="false">AVERAGE(C343:C542)</f>
        <v>457.0051</v>
      </c>
      <c r="K542" s="17" t="n">
        <f aca="false">MAX(K541,C542)</f>
        <v>769.76</v>
      </c>
      <c r="L542" s="25" t="n">
        <f aca="false">C542/K542-1</f>
        <v>-0.145356994387861</v>
      </c>
      <c r="M542" s="25" t="n">
        <f aca="false">IF(COUNT(G513:G542)&lt;20,"",_xlfn.STDEV.S(G513:G542)*SQRT($R$3))</f>
        <v>0.865373811653494</v>
      </c>
      <c r="N542" s="25" t="n">
        <f aca="false">IF(A542-7&lt;$R$2,"",C542/INDEX(Clean_Data!$C$2:$C$4314,MATCH(A542-7,Clean_Data!$A$2:$A$4314,1))-1)</f>
        <v>-0.0643560131983161</v>
      </c>
      <c r="O542" s="25" t="n">
        <f aca="false">IF(A542-30&lt;$R$2,"",C542/INDEX(Clean_Data!$C$2:$C$4314,MATCH(A542-30,Clean_Data!$A$2:$A$4314,1))-1)</f>
        <v>0.257276636407071</v>
      </c>
    </row>
    <row r="543" customFormat="false" ht="15" hidden="false" customHeight="false" outlineLevel="0" collapsed="false">
      <c r="A543" s="16" t="n">
        <v>42549</v>
      </c>
      <c r="B543" s="23" t="n">
        <f aca="false">YEAR(A543)</f>
        <v>2016</v>
      </c>
      <c r="C543" s="17" t="n">
        <v>648.43</v>
      </c>
      <c r="D543" s="23" t="n">
        <f aca="false">A543-A542</f>
        <v>1</v>
      </c>
      <c r="E543" s="24" t="n">
        <f aca="false">LN(C543)</f>
        <v>6.47455405652717</v>
      </c>
      <c r="F543" s="25" t="n">
        <f aca="false">LN(C543/C542)</f>
        <v>-0.0144532868898866</v>
      </c>
      <c r="G543" s="25" t="n">
        <f aca="false">IF(AND(D543=1,A543&gt;=$R$2),F543,"")</f>
        <v>-0.0144532868898866</v>
      </c>
      <c r="H543" s="27" t="n">
        <f aca="false">IF(G543="","",G543^2)</f>
        <v>0.000208897501921367</v>
      </c>
      <c r="I543" s="25" t="n">
        <f aca="false">IF(G543="","",C543/C542-1)</f>
        <v>-0.0143493395351666</v>
      </c>
      <c r="J543" s="17" t="n">
        <f aca="false">AVERAGE(C344:C543)</f>
        <v>457.9825</v>
      </c>
      <c r="K543" s="17" t="n">
        <f aca="false">MAX(K542,C543)</f>
        <v>769.76</v>
      </c>
      <c r="L543" s="25" t="n">
        <f aca="false">C543/K543-1</f>
        <v>-0.157620557056745</v>
      </c>
      <c r="M543" s="25" t="n">
        <f aca="false">IF(COUNT(G514:G543)&lt;20,"",_xlfn.STDEV.S(G514:G543)*SQRT($R$3))</f>
        <v>0.868724727779306</v>
      </c>
      <c r="N543" s="25" t="n">
        <f aca="false">IF(A543-7&lt;$R$2,"",C543/INDEX(Clean_Data!$C$2:$C$4314,MATCH(A543-7,Clean_Data!$A$2:$A$4314,1))-1)</f>
        <v>-0.0288020848935087</v>
      </c>
      <c r="O543" s="25" t="n">
        <f aca="false">IF(A543-30&lt;$R$2,"",C543/INDEX(Clean_Data!$C$2:$C$4314,MATCH(A543-30,Clean_Data!$A$2:$A$4314,1))-1)</f>
        <v>0.23458741098968</v>
      </c>
    </row>
    <row r="544" customFormat="false" ht="15" hidden="false" customHeight="false" outlineLevel="0" collapsed="false">
      <c r="A544" s="16" t="n">
        <v>42550</v>
      </c>
      <c r="B544" s="23" t="n">
        <f aca="false">YEAR(A544)</f>
        <v>2016</v>
      </c>
      <c r="C544" s="17" t="n">
        <v>639.42</v>
      </c>
      <c r="D544" s="23" t="n">
        <f aca="false">A544-A543</f>
        <v>1</v>
      </c>
      <c r="E544" s="24" t="n">
        <f aca="false">LN(C544)</f>
        <v>6.46056151546092</v>
      </c>
      <c r="F544" s="25" t="n">
        <f aca="false">LN(C544/C543)</f>
        <v>-0.013992541066248</v>
      </c>
      <c r="G544" s="25" t="n">
        <f aca="false">IF(AND(D544=1,A544&gt;=$R$2),F544,"")</f>
        <v>-0.013992541066248</v>
      </c>
      <c r="H544" s="27" t="n">
        <f aca="false">IF(G544="","",G544^2)</f>
        <v>0.000195791205490636</v>
      </c>
      <c r="I544" s="25" t="n">
        <f aca="false">IF(G544="","",C544/C543-1)</f>
        <v>-0.0138951004734512</v>
      </c>
      <c r="J544" s="17" t="n">
        <f aca="false">AVERAGE(C345:C544)</f>
        <v>458.99525</v>
      </c>
      <c r="K544" s="17" t="n">
        <f aca="false">MAX(K543,C544)</f>
        <v>769.76</v>
      </c>
      <c r="L544" s="25" t="n">
        <f aca="false">C544/K544-1</f>
        <v>-0.169325504053211</v>
      </c>
      <c r="M544" s="25" t="n">
        <f aca="false">IF(COUNT(G515:G544)&lt;20,"",_xlfn.STDEV.S(G515:G544)*SQRT($R$3))</f>
        <v>0.871394724733275</v>
      </c>
      <c r="N544" s="25" t="n">
        <f aca="false">IF(A544-7&lt;$R$2,"",C544/INDEX(Clean_Data!$C$2:$C$4314,MATCH(A544-7,Clean_Data!$A$2:$A$4314,1))-1)</f>
        <v>0.0577667493796525</v>
      </c>
      <c r="O544" s="25" t="n">
        <f aca="false">IF(A544-30&lt;$R$2,"",C544/INDEX(Clean_Data!$C$2:$C$4314,MATCH(A544-30,Clean_Data!$A$2:$A$4314,1))-1)</f>
        <v>0.20067599286452</v>
      </c>
    </row>
    <row r="545" customFormat="false" ht="15" hidden="false" customHeight="false" outlineLevel="0" collapsed="false">
      <c r="A545" s="16" t="n">
        <v>42551</v>
      </c>
      <c r="B545" s="23" t="n">
        <f aca="false">YEAR(A545)</f>
        <v>2016</v>
      </c>
      <c r="C545" s="17" t="n">
        <v>673.49</v>
      </c>
      <c r="D545" s="23" t="n">
        <f aca="false">A545-A544</f>
        <v>1</v>
      </c>
      <c r="E545" s="24" t="n">
        <f aca="false">LN(C545)</f>
        <v>6.51247314793024</v>
      </c>
      <c r="F545" s="25" t="n">
        <f aca="false">LN(C545/C544)</f>
        <v>0.0519116324693212</v>
      </c>
      <c r="G545" s="25" t="n">
        <f aca="false">IF(AND(D545=1,A545&gt;=$R$2),F545,"")</f>
        <v>0.0519116324693212</v>
      </c>
      <c r="H545" s="27" t="n">
        <f aca="false">IF(G545="","",G545^2)</f>
        <v>0.00269481758562988</v>
      </c>
      <c r="I545" s="25" t="n">
        <f aca="false">IF(G545="","",C545/C544-1)</f>
        <v>0.0532826624128118</v>
      </c>
      <c r="J545" s="17" t="n">
        <f aca="false">AVERAGE(C346:C545)</f>
        <v>460.19355</v>
      </c>
      <c r="K545" s="17" t="n">
        <f aca="false">MAX(K544,C545)</f>
        <v>769.76</v>
      </c>
      <c r="L545" s="25" t="n">
        <f aca="false">C545/K545-1</f>
        <v>-0.125064955310746</v>
      </c>
      <c r="M545" s="25" t="n">
        <f aca="false">IF(COUNT(G516:G545)&lt;20,"",_xlfn.STDEV.S(G516:G545)*SQRT($R$3))</f>
        <v>0.885231145230263</v>
      </c>
      <c r="N545" s="25" t="n">
        <f aca="false">IF(A545-7&lt;$R$2,"",C545/INDEX(Clean_Data!$C$2:$C$4314,MATCH(A545-7,Clean_Data!$A$2:$A$4314,1))-1)</f>
        <v>0.0671684360640152</v>
      </c>
      <c r="O545" s="25" t="n">
        <f aca="false">IF(A545-30&lt;$R$2,"",C545/INDEX(Clean_Data!$C$2:$C$4314,MATCH(A545-30,Clean_Data!$A$2:$A$4314,1))-1)</f>
        <v>0.267531147664396</v>
      </c>
    </row>
    <row r="546" customFormat="false" ht="15" hidden="false" customHeight="false" outlineLevel="0" collapsed="false">
      <c r="A546" s="16" t="n">
        <v>42552</v>
      </c>
      <c r="B546" s="23" t="n">
        <f aca="false">YEAR(A546)</f>
        <v>2016</v>
      </c>
      <c r="C546" s="17" t="n">
        <v>678.19</v>
      </c>
      <c r="D546" s="23" t="n">
        <f aca="false">A546-A545</f>
        <v>1</v>
      </c>
      <c r="E546" s="24" t="n">
        <f aca="false">LN(C546)</f>
        <v>6.51942748466983</v>
      </c>
      <c r="F546" s="25" t="n">
        <f aca="false">LN(C546/C545)</f>
        <v>0.00695433673958519</v>
      </c>
      <c r="G546" s="25" t="n">
        <f aca="false">IF(AND(D546=1,A546&gt;=$R$2),F546,"")</f>
        <v>0.00695433673958519</v>
      </c>
      <c r="H546" s="27" t="n">
        <f aca="false">IF(G546="","",G546^2)</f>
        <v>4.83627994875443E-005</v>
      </c>
      <c r="I546" s="25" t="n">
        <f aca="false">IF(G546="","",C546/C545-1)</f>
        <v>0.00697857429212023</v>
      </c>
      <c r="J546" s="17" t="n">
        <f aca="false">AVERAGE(C347:C546)</f>
        <v>461.36445</v>
      </c>
      <c r="K546" s="17" t="n">
        <f aca="false">MAX(K545,C546)</f>
        <v>769.76</v>
      </c>
      <c r="L546" s="25" t="n">
        <f aca="false">C546/K546-1</f>
        <v>-0.118959156100603</v>
      </c>
      <c r="M546" s="25" t="n">
        <f aca="false">IF(COUNT(G517:G546)&lt;20,"",_xlfn.STDEV.S(G517:G546)*SQRT($R$3))</f>
        <v>0.885224793741735</v>
      </c>
      <c r="N546" s="25" t="n">
        <f aca="false">IF(A546-7&lt;$R$2,"",C546/INDEX(Clean_Data!$C$2:$C$4314,MATCH(A546-7,Clean_Data!$A$2:$A$4314,1))-1)</f>
        <v>0.012254097137228</v>
      </c>
      <c r="O546" s="25" t="n">
        <f aca="false">IF(A546-30&lt;$R$2,"",C546/INDEX(Clean_Data!$C$2:$C$4314,MATCH(A546-30,Clean_Data!$A$2:$A$4314,1))-1)</f>
        <v>0.268024081968439</v>
      </c>
    </row>
    <row r="547" customFormat="false" ht="15" hidden="false" customHeight="false" outlineLevel="0" collapsed="false">
      <c r="A547" s="16" t="n">
        <v>42553</v>
      </c>
      <c r="B547" s="23" t="n">
        <f aca="false">YEAR(A547)</f>
        <v>2016</v>
      </c>
      <c r="C547" s="17" t="n">
        <v>704.95</v>
      </c>
      <c r="D547" s="23" t="n">
        <f aca="false">A547-A546</f>
        <v>1</v>
      </c>
      <c r="E547" s="24" t="n">
        <f aca="false">LN(C547)</f>
        <v>6.55812687831137</v>
      </c>
      <c r="F547" s="25" t="n">
        <f aca="false">LN(C547/C546)</f>
        <v>0.0386993936415443</v>
      </c>
      <c r="G547" s="25" t="n">
        <f aca="false">IF(AND(D547=1,A547&gt;=$R$2),F547,"")</f>
        <v>0.0386993936415443</v>
      </c>
      <c r="H547" s="27" t="n">
        <f aca="false">IF(G547="","",G547^2)</f>
        <v>0.0014976430682232</v>
      </c>
      <c r="I547" s="25" t="n">
        <f aca="false">IF(G547="","",C547/C546-1)</f>
        <v>0.039457969005736</v>
      </c>
      <c r="J547" s="17" t="n">
        <f aca="false">AVERAGE(C348:C547)</f>
        <v>462.56785</v>
      </c>
      <c r="K547" s="17" t="n">
        <f aca="false">MAX(K546,C547)</f>
        <v>769.76</v>
      </c>
      <c r="L547" s="25" t="n">
        <f aca="false">C547/K547-1</f>
        <v>-0.084195073789233</v>
      </c>
      <c r="M547" s="25" t="n">
        <f aca="false">IF(COUNT(G518:G547)&lt;20,"",_xlfn.STDEV.S(G518:G547)*SQRT($R$3))</f>
        <v>0.891643125928465</v>
      </c>
      <c r="N547" s="25" t="n">
        <f aca="false">IF(A547-7&lt;$R$2,"",C547/INDEX(Clean_Data!$C$2:$C$4314,MATCH(A547-7,Clean_Data!$A$2:$A$4314,1))-1)</f>
        <v>0.0463700998946135</v>
      </c>
      <c r="O547" s="25" t="n">
        <f aca="false">IF(A547-30&lt;$R$2,"",C547/INDEX(Clean_Data!$C$2:$C$4314,MATCH(A547-30,Clean_Data!$A$2:$A$4314,1))-1)</f>
        <v>0.310632680759291</v>
      </c>
    </row>
    <row r="548" customFormat="false" ht="15" hidden="false" customHeight="false" outlineLevel="0" collapsed="false">
      <c r="A548" s="16" t="n">
        <v>42554</v>
      </c>
      <c r="B548" s="23" t="n">
        <f aca="false">YEAR(A548)</f>
        <v>2016</v>
      </c>
      <c r="C548" s="17" t="n">
        <v>663.55</v>
      </c>
      <c r="D548" s="23" t="n">
        <f aca="false">A548-A547</f>
        <v>1</v>
      </c>
      <c r="E548" s="24" t="n">
        <f aca="false">LN(C548)</f>
        <v>6.49760420888326</v>
      </c>
      <c r="F548" s="25" t="n">
        <f aca="false">LN(C548/C547)</f>
        <v>-0.060522669428112</v>
      </c>
      <c r="G548" s="25" t="n">
        <f aca="false">IF(AND(D548=1,A548&gt;=$R$2),F548,"")</f>
        <v>-0.060522669428112</v>
      </c>
      <c r="H548" s="27" t="n">
        <f aca="false">IF(G548="","",G548^2)</f>
        <v>0.00366299351470453</v>
      </c>
      <c r="I548" s="25" t="n">
        <f aca="false">IF(G548="","",C548/C547-1)</f>
        <v>-0.0587275693311584</v>
      </c>
      <c r="J548" s="17" t="n">
        <f aca="false">AVERAGE(C349:C548)</f>
        <v>463.61575</v>
      </c>
      <c r="K548" s="17" t="n">
        <f aca="false">MAX(K547,C548)</f>
        <v>769.76</v>
      </c>
      <c r="L548" s="25" t="n">
        <f aca="false">C548/K548-1</f>
        <v>-0.137978071087092</v>
      </c>
      <c r="M548" s="25" t="n">
        <f aca="false">IF(COUNT(G519:G548)&lt;20,"",_xlfn.STDEV.S(G519:G548)*SQRT($R$3))</f>
        <v>0.90376490412452</v>
      </c>
      <c r="N548" s="25" t="n">
        <f aca="false">IF(A548-7&lt;$R$2,"",C548/INDEX(Clean_Data!$C$2:$C$4314,MATCH(A548-7,Clean_Data!$A$2:$A$4314,1))-1)</f>
        <v>0.0391349285893261</v>
      </c>
      <c r="O548" s="25" t="n">
        <f aca="false">IF(A548-30&lt;$R$2,"",C548/INDEX(Clean_Data!$C$2:$C$4314,MATCH(A548-30,Clean_Data!$A$2:$A$4314,1))-1)</f>
        <v>0.161575492341357</v>
      </c>
    </row>
    <row r="549" customFormat="false" ht="15" hidden="false" customHeight="false" outlineLevel="0" collapsed="false">
      <c r="A549" s="16" t="n">
        <v>42555</v>
      </c>
      <c r="B549" s="23" t="n">
        <f aca="false">YEAR(A549)</f>
        <v>2016</v>
      </c>
      <c r="C549" s="17" t="n">
        <v>681.98</v>
      </c>
      <c r="D549" s="23" t="n">
        <f aca="false">A549-A548</f>
        <v>1</v>
      </c>
      <c r="E549" s="24" t="n">
        <f aca="false">LN(C549)</f>
        <v>6.52500033190026</v>
      </c>
      <c r="F549" s="25" t="n">
        <f aca="false">LN(C549/C548)</f>
        <v>0.0273961230170061</v>
      </c>
      <c r="G549" s="25" t="n">
        <f aca="false">IF(AND(D549=1,A549&gt;=$R$2),F549,"")</f>
        <v>0.0273961230170061</v>
      </c>
      <c r="H549" s="27" t="n">
        <f aca="false">IF(G549="","",G549^2)</f>
        <v>0.000750547556362932</v>
      </c>
      <c r="I549" s="25" t="n">
        <f aca="false">IF(G549="","",C549/C548-1)</f>
        <v>0.0277748474116495</v>
      </c>
      <c r="J549" s="17" t="n">
        <f aca="false">AVERAGE(C350:C549)</f>
        <v>464.74815</v>
      </c>
      <c r="K549" s="17" t="n">
        <f aca="false">MAX(K548,C549)</f>
        <v>769.76</v>
      </c>
      <c r="L549" s="25" t="n">
        <f aca="false">C549/K549-1</f>
        <v>-0.11403554354604</v>
      </c>
      <c r="M549" s="25" t="n">
        <f aca="false">IF(COUNT(G520:G549)&lt;20,"",_xlfn.STDEV.S(G520:G549)*SQRT($R$3))</f>
        <v>0.907071776478526</v>
      </c>
      <c r="N549" s="25" t="n">
        <f aca="false">IF(A549-7&lt;$R$2,"",C549/INDEX(Clean_Data!$C$2:$C$4314,MATCH(A549-7,Clean_Data!$A$2:$A$4314,1))-1)</f>
        <v>0.0366485779865322</v>
      </c>
      <c r="O549" s="25" t="n">
        <f aca="false">IF(A549-30&lt;$R$2,"",C549/INDEX(Clean_Data!$C$2:$C$4314,MATCH(A549-30,Clean_Data!$A$2:$A$4314,1))-1)</f>
        <v>0.18335617983377</v>
      </c>
    </row>
    <row r="550" customFormat="false" ht="15" hidden="false" customHeight="false" outlineLevel="0" collapsed="false">
      <c r="A550" s="16" t="n">
        <v>42556</v>
      </c>
      <c r="B550" s="23" t="n">
        <f aca="false">YEAR(A550)</f>
        <v>2016</v>
      </c>
      <c r="C550" s="17" t="n">
        <v>669.87</v>
      </c>
      <c r="D550" s="23" t="n">
        <f aca="false">A550-A549</f>
        <v>1</v>
      </c>
      <c r="E550" s="24" t="n">
        <f aca="false">LN(C550)</f>
        <v>6.50708366370804</v>
      </c>
      <c r="F550" s="25" t="n">
        <f aca="false">LN(C550/C549)</f>
        <v>-0.0179166681922256</v>
      </c>
      <c r="G550" s="25" t="n">
        <f aca="false">IF(AND(D550=1,A550&gt;=$R$2),F550,"")</f>
        <v>-0.0179166681922256</v>
      </c>
      <c r="H550" s="27" t="n">
        <f aca="false">IF(G550="","",G550^2)</f>
        <v>0.000321006999110309</v>
      </c>
      <c r="I550" s="25" t="n">
        <f aca="false">IF(G550="","",C550/C549-1)</f>
        <v>-0.0177571189770961</v>
      </c>
      <c r="J550" s="17" t="n">
        <f aca="false">AVERAGE(C351:C550)</f>
        <v>465.78165</v>
      </c>
      <c r="K550" s="17" t="n">
        <f aca="false">MAX(K549,C550)</f>
        <v>769.76</v>
      </c>
      <c r="L550" s="25" t="n">
        <f aca="false">C550/K550-1</f>
        <v>-0.129767719808772</v>
      </c>
      <c r="M550" s="25" t="n">
        <f aca="false">IF(COUNT(G521:G550)&lt;20,"",_xlfn.STDEV.S(G521:G550)*SQRT($R$3))</f>
        <v>0.910447595064514</v>
      </c>
      <c r="N550" s="25" t="n">
        <f aca="false">IF(A550-7&lt;$R$2,"",C550/INDEX(Clean_Data!$C$2:$C$4314,MATCH(A550-7,Clean_Data!$A$2:$A$4314,1))-1)</f>
        <v>0.0330644788180683</v>
      </c>
      <c r="O550" s="25" t="n">
        <f aca="false">IF(A550-30&lt;$R$2,"",C550/INDEX(Clean_Data!$C$2:$C$4314,MATCH(A550-30,Clean_Data!$A$2:$A$4314,1))-1)</f>
        <v>0.16464697393814</v>
      </c>
    </row>
    <row r="551" customFormat="false" ht="15" hidden="false" customHeight="false" outlineLevel="0" collapsed="false">
      <c r="A551" s="16" t="n">
        <v>42557</v>
      </c>
      <c r="B551" s="23" t="n">
        <f aca="false">YEAR(A551)</f>
        <v>2016</v>
      </c>
      <c r="C551" s="17" t="n">
        <v>678.79</v>
      </c>
      <c r="D551" s="23" t="n">
        <f aca="false">A551-A550</f>
        <v>1</v>
      </c>
      <c r="E551" s="24" t="n">
        <f aca="false">LN(C551)</f>
        <v>6.52031180137177</v>
      </c>
      <c r="F551" s="25" t="n">
        <f aca="false">LN(C551/C550)</f>
        <v>0.0132281376637295</v>
      </c>
      <c r="G551" s="25" t="n">
        <f aca="false">IF(AND(D551=1,A551&gt;=$R$2),F551,"")</f>
        <v>0.0132281376637295</v>
      </c>
      <c r="H551" s="27" t="n">
        <f aca="false">IF(G551="","",G551^2)</f>
        <v>0.000174983626050579</v>
      </c>
      <c r="I551" s="25" t="n">
        <f aca="false">IF(G551="","",C551/C550-1)</f>
        <v>0.0133160165405228</v>
      </c>
      <c r="J551" s="17" t="n">
        <f aca="false">AVERAGE(C352:C551)</f>
        <v>466.86915</v>
      </c>
      <c r="K551" s="17" t="n">
        <f aca="false">MAX(K550,C551)</f>
        <v>769.76</v>
      </c>
      <c r="L551" s="25" t="n">
        <f aca="false">C551/K551-1</f>
        <v>-0.118179692371648</v>
      </c>
      <c r="M551" s="25" t="n">
        <f aca="false">IF(COUNT(G522:G551)&lt;20,"",_xlfn.STDEV.S(G522:G551)*SQRT($R$3))</f>
        <v>0.909363516513245</v>
      </c>
      <c r="N551" s="25" t="n">
        <f aca="false">IF(A551-7&lt;$R$2,"",C551/INDEX(Clean_Data!$C$2:$C$4314,MATCH(A551-7,Clean_Data!$A$2:$A$4314,1))-1)</f>
        <v>0.0615714241030934</v>
      </c>
      <c r="O551" s="25" t="n">
        <f aca="false">IF(A551-30&lt;$R$2,"",C551/INDEX(Clean_Data!$C$2:$C$4314,MATCH(A551-30,Clean_Data!$A$2:$A$4314,1))-1)</f>
        <v>0.156824650203657</v>
      </c>
    </row>
    <row r="552" customFormat="false" ht="15" hidden="false" customHeight="false" outlineLevel="0" collapsed="false">
      <c r="A552" s="16" t="n">
        <v>42558</v>
      </c>
      <c r="B552" s="23" t="n">
        <f aca="false">YEAR(A552)</f>
        <v>2016</v>
      </c>
      <c r="C552" s="17" t="n">
        <v>641.97</v>
      </c>
      <c r="D552" s="23" t="n">
        <f aca="false">A552-A551</f>
        <v>1</v>
      </c>
      <c r="E552" s="24" t="n">
        <f aca="false">LN(C552)</f>
        <v>6.46454157362617</v>
      </c>
      <c r="F552" s="25" t="n">
        <f aca="false">LN(C552/C551)</f>
        <v>-0.0557702277456019</v>
      </c>
      <c r="G552" s="25" t="n">
        <f aca="false">IF(AND(D552=1,A552&gt;=$R$2),F552,"")</f>
        <v>-0.0557702277456019</v>
      </c>
      <c r="H552" s="27" t="n">
        <f aca="false">IF(G552="","",G552^2)</f>
        <v>0.0031103183027963</v>
      </c>
      <c r="I552" s="25" t="n">
        <f aca="false">IF(G552="","",C552/C551-1)</f>
        <v>-0.0542435804888108</v>
      </c>
      <c r="J552" s="17" t="n">
        <f aca="false">AVERAGE(C353:C552)</f>
        <v>467.8679</v>
      </c>
      <c r="K552" s="17" t="n">
        <f aca="false">MAX(K551,C552)</f>
        <v>769.76</v>
      </c>
      <c r="L552" s="25" t="n">
        <f aca="false">C552/K552-1</f>
        <v>-0.166012783205155</v>
      </c>
      <c r="M552" s="25" t="n">
        <f aca="false">IF(COUNT(G523:G552)&lt;20,"",_xlfn.STDEV.S(G523:G552)*SQRT($R$3))</f>
        <v>0.9320849888896</v>
      </c>
      <c r="N552" s="25" t="n">
        <f aca="false">IF(A552-7&lt;$R$2,"",C552/INDEX(Clean_Data!$C$2:$C$4314,MATCH(A552-7,Clean_Data!$A$2:$A$4314,1))-1)</f>
        <v>-0.0468009918484312</v>
      </c>
      <c r="O552" s="25" t="n">
        <f aca="false">IF(A552-30&lt;$R$2,"",C552/INDEX(Clean_Data!$C$2:$C$4314,MATCH(A552-30,Clean_Data!$A$2:$A$4314,1))-1)</f>
        <v>0.107398526849632</v>
      </c>
    </row>
    <row r="553" customFormat="false" ht="15" hidden="false" customHeight="false" outlineLevel="0" collapsed="false">
      <c r="A553" s="16" t="n">
        <v>42559</v>
      </c>
      <c r="B553" s="23" t="n">
        <f aca="false">YEAR(A553)</f>
        <v>2016</v>
      </c>
      <c r="C553" s="17" t="n">
        <v>667.33</v>
      </c>
      <c r="D553" s="23" t="n">
        <f aca="false">A553-A552</f>
        <v>1</v>
      </c>
      <c r="E553" s="24" t="n">
        <f aca="false">LN(C553)</f>
        <v>6.50328467618959</v>
      </c>
      <c r="F553" s="25" t="n">
        <f aca="false">LN(C553/C552)</f>
        <v>0.0387431025634199</v>
      </c>
      <c r="G553" s="25" t="n">
        <f aca="false">IF(AND(D553=1,A553&gt;=$R$2),F553,"")</f>
        <v>0.0387431025634199</v>
      </c>
      <c r="H553" s="27" t="n">
        <f aca="false">IF(G553="","",G553^2)</f>
        <v>0.00150102799623967</v>
      </c>
      <c r="I553" s="25" t="n">
        <f aca="false">IF(G553="","",C553/C552-1)</f>
        <v>0.0395034035858373</v>
      </c>
      <c r="J553" s="17" t="n">
        <f aca="false">AVERAGE(C354:C553)</f>
        <v>469.0205</v>
      </c>
      <c r="K553" s="17" t="n">
        <f aca="false">MAX(K552,C553)</f>
        <v>769.76</v>
      </c>
      <c r="L553" s="25" t="n">
        <f aca="false">C553/K553-1</f>
        <v>-0.133067449594679</v>
      </c>
      <c r="M553" s="25" t="n">
        <f aca="false">IF(COUNT(G524:G553)&lt;20,"",_xlfn.STDEV.S(G524:G553)*SQRT($R$3))</f>
        <v>0.940195887843527</v>
      </c>
      <c r="N553" s="25" t="n">
        <f aca="false">IF(A553-7&lt;$R$2,"",C553/INDEX(Clean_Data!$C$2:$C$4314,MATCH(A553-7,Clean_Data!$A$2:$A$4314,1))-1)</f>
        <v>-0.016013211636857</v>
      </c>
      <c r="O553" s="25" t="n">
        <f aca="false">IF(A553-30&lt;$R$2,"",C553/INDEX(Clean_Data!$C$2:$C$4314,MATCH(A553-30,Clean_Data!$A$2:$A$4314,1))-1)</f>
        <v>0.14423620994153</v>
      </c>
    </row>
    <row r="554" customFormat="false" ht="15" hidden="false" customHeight="false" outlineLevel="0" collapsed="false">
      <c r="A554" s="16" t="n">
        <v>42560</v>
      </c>
      <c r="B554" s="23" t="n">
        <f aca="false">YEAR(A554)</f>
        <v>2016</v>
      </c>
      <c r="C554" s="17" t="n">
        <v>657.61</v>
      </c>
      <c r="D554" s="23" t="n">
        <f aca="false">A554-A553</f>
        <v>1</v>
      </c>
      <c r="E554" s="24" t="n">
        <f aca="false">LN(C554)</f>
        <v>6.488612050439</v>
      </c>
      <c r="F554" s="25" t="n">
        <f aca="false">LN(C554/C553)</f>
        <v>-0.0146726257505864</v>
      </c>
      <c r="G554" s="25" t="n">
        <f aca="false">IF(AND(D554=1,A554&gt;=$R$2),F554,"")</f>
        <v>-0.0146726257505864</v>
      </c>
      <c r="H554" s="27" t="n">
        <f aca="false">IF(G554="","",G554^2)</f>
        <v>0.00021528594641677</v>
      </c>
      <c r="I554" s="25" t="n">
        <f aca="false">IF(G554="","",C554/C553-1)</f>
        <v>-0.0145655073202164</v>
      </c>
      <c r="J554" s="17" t="n">
        <f aca="false">AVERAGE(C355:C554)</f>
        <v>470.13895</v>
      </c>
      <c r="K554" s="17" t="n">
        <f aca="false">MAX(K553,C554)</f>
        <v>769.76</v>
      </c>
      <c r="L554" s="25" t="n">
        <f aca="false">C554/K554-1</f>
        <v>-0.145694762003741</v>
      </c>
      <c r="M554" s="25" t="n">
        <f aca="false">IF(COUNT(G525:G554)&lt;20,"",_xlfn.STDEV.S(G525:G554)*SQRT($R$3))</f>
        <v>0.941260570133662</v>
      </c>
      <c r="N554" s="25" t="n">
        <f aca="false">IF(A554-7&lt;$R$2,"",C554/INDEX(Clean_Data!$C$2:$C$4314,MATCH(A554-7,Clean_Data!$A$2:$A$4314,1))-1)</f>
        <v>-0.0671536988438897</v>
      </c>
      <c r="O554" s="25" t="n">
        <f aca="false">IF(A554-30&lt;$R$2,"",C554/INDEX(Clean_Data!$C$2:$C$4314,MATCH(A554-30,Clean_Data!$A$2:$A$4314,1))-1)</f>
        <v>0.138797492467011</v>
      </c>
    </row>
    <row r="555" customFormat="false" ht="15" hidden="false" customHeight="false" outlineLevel="0" collapsed="false">
      <c r="A555" s="16" t="n">
        <v>42561</v>
      </c>
      <c r="B555" s="23" t="n">
        <f aca="false">YEAR(A555)</f>
        <v>2016</v>
      </c>
      <c r="C555" s="17" t="n">
        <v>652.44</v>
      </c>
      <c r="D555" s="23" t="n">
        <f aca="false">A555-A554</f>
        <v>1</v>
      </c>
      <c r="E555" s="24" t="n">
        <f aca="false">LN(C555)</f>
        <v>6.48071918094583</v>
      </c>
      <c r="F555" s="25" t="n">
        <f aca="false">LN(C555/C554)</f>
        <v>-0.00789286949317011</v>
      </c>
      <c r="G555" s="25" t="n">
        <f aca="false">IF(AND(D555=1,A555&gt;=$R$2),F555,"")</f>
        <v>-0.00789286949317011</v>
      </c>
      <c r="H555" s="27" t="n">
        <f aca="false">IF(G555="","",G555^2)</f>
        <v>6.22973888362154E-005</v>
      </c>
      <c r="I555" s="25" t="n">
        <f aca="false">IF(G555="","",C555/C554-1)</f>
        <v>-0.00786180258816005</v>
      </c>
      <c r="J555" s="17" t="n">
        <f aca="false">AVERAGE(C356:C555)</f>
        <v>471.189</v>
      </c>
      <c r="K555" s="17" t="n">
        <f aca="false">MAX(K554,C555)</f>
        <v>769.76</v>
      </c>
      <c r="L555" s="25" t="n">
        <f aca="false">C555/K555-1</f>
        <v>-0.152411141134899</v>
      </c>
      <c r="M555" s="25" t="n">
        <f aca="false">IF(COUNT(G526:G555)&lt;20,"",_xlfn.STDEV.S(G526:G555)*SQRT($R$3))</f>
        <v>0.942220390706333</v>
      </c>
      <c r="N555" s="25" t="n">
        <f aca="false">IF(A555-7&lt;$R$2,"",C555/INDEX(Clean_Data!$C$2:$C$4314,MATCH(A555-7,Clean_Data!$A$2:$A$4314,1))-1)</f>
        <v>-0.0167432748097354</v>
      </c>
      <c r="O555" s="25" t="n">
        <f aca="false">IF(A555-30&lt;$R$2,"",C555/INDEX(Clean_Data!$C$2:$C$4314,MATCH(A555-30,Clean_Data!$A$2:$A$4314,1))-1)</f>
        <v>0.124295635091589</v>
      </c>
    </row>
    <row r="556" customFormat="false" ht="15" hidden="false" customHeight="false" outlineLevel="0" collapsed="false">
      <c r="A556" s="16" t="n">
        <v>42562</v>
      </c>
      <c r="B556" s="23" t="n">
        <f aca="false">YEAR(A556)</f>
        <v>2016</v>
      </c>
      <c r="C556" s="17" t="n">
        <v>650.97</v>
      </c>
      <c r="D556" s="23" t="n">
        <f aca="false">A556-A555</f>
        <v>1</v>
      </c>
      <c r="E556" s="24" t="n">
        <f aca="false">LN(C556)</f>
        <v>6.47846355819741</v>
      </c>
      <c r="F556" s="25" t="n">
        <f aca="false">LN(C556/C555)</f>
        <v>-0.00225562274842087</v>
      </c>
      <c r="G556" s="25" t="n">
        <f aca="false">IF(AND(D556=1,A556&gt;=$R$2),F556,"")</f>
        <v>-0.00225562274842087</v>
      </c>
      <c r="H556" s="27" t="n">
        <f aca="false">IF(G556="","",G556^2)</f>
        <v>5.08783398319374E-006</v>
      </c>
      <c r="I556" s="25" t="n">
        <f aca="false">IF(G556="","",C556/C555-1)</f>
        <v>-0.00225308074305686</v>
      </c>
      <c r="J556" s="17" t="n">
        <f aca="false">AVERAGE(C357:C556)</f>
        <v>472.16515</v>
      </c>
      <c r="K556" s="17" t="n">
        <f aca="false">MAX(K555,C556)</f>
        <v>769.76</v>
      </c>
      <c r="L556" s="25" t="n">
        <f aca="false">C556/K556-1</f>
        <v>-0.154320827270838</v>
      </c>
      <c r="M556" s="25" t="n">
        <f aca="false">IF(COUNT(G527:G556)&lt;20,"",_xlfn.STDEV.S(G527:G556)*SQRT($R$3))</f>
        <v>0.928154106805701</v>
      </c>
      <c r="N556" s="25" t="n">
        <f aca="false">IF(A556-7&lt;$R$2,"",C556/INDEX(Clean_Data!$C$2:$C$4314,MATCH(A556-7,Clean_Data!$A$2:$A$4314,1))-1)</f>
        <v>-0.0454705416581132</v>
      </c>
      <c r="O556" s="25" t="n">
        <f aca="false">IF(A556-30&lt;$R$2,"",C556/INDEX(Clean_Data!$C$2:$C$4314,MATCH(A556-30,Clean_Data!$A$2:$A$4314,1))-1)</f>
        <v>0.068039376538146</v>
      </c>
    </row>
    <row r="557" customFormat="false" ht="15" hidden="false" customHeight="false" outlineLevel="0" collapsed="false">
      <c r="A557" s="16" t="n">
        <v>42563</v>
      </c>
      <c r="B557" s="23" t="n">
        <f aca="false">YEAR(A557)</f>
        <v>2016</v>
      </c>
      <c r="C557" s="17" t="n">
        <v>666.56</v>
      </c>
      <c r="D557" s="23" t="n">
        <f aca="false">A557-A556</f>
        <v>1</v>
      </c>
      <c r="E557" s="24" t="n">
        <f aca="false">LN(C557)</f>
        <v>6.50213015807261</v>
      </c>
      <c r="F557" s="25" t="n">
        <f aca="false">LN(C557/C556)</f>
        <v>0.0236665998751983</v>
      </c>
      <c r="G557" s="25" t="n">
        <f aca="false">IF(AND(D557=1,A557&gt;=$R$2),F557,"")</f>
        <v>0.0236665998751983</v>
      </c>
      <c r="H557" s="27" t="n">
        <f aca="false">IF(G557="","",G557^2)</f>
        <v>0.000560107949652736</v>
      </c>
      <c r="I557" s="25" t="n">
        <f aca="false">IF(G557="","",C557/C556-1)</f>
        <v>0.0239488762923021</v>
      </c>
      <c r="J557" s="17" t="n">
        <f aca="false">AVERAGE(C358:C557)</f>
        <v>473.21875</v>
      </c>
      <c r="K557" s="17" t="n">
        <f aca="false">MAX(K556,C557)</f>
        <v>769.76</v>
      </c>
      <c r="L557" s="25" t="n">
        <f aca="false">C557/K557-1</f>
        <v>-0.134067761380171</v>
      </c>
      <c r="M557" s="25" t="n">
        <f aca="false">IF(COUNT(G528:G557)&lt;20,"",_xlfn.STDEV.S(G528:G557)*SQRT($R$3))</f>
        <v>0.853225532411</v>
      </c>
      <c r="N557" s="25" t="n">
        <f aca="false">IF(A557-7&lt;$R$2,"",C557/INDEX(Clean_Data!$C$2:$C$4314,MATCH(A557-7,Clean_Data!$A$2:$A$4314,1))-1)</f>
        <v>-0.00494125725887118</v>
      </c>
      <c r="O557" s="25" t="n">
        <f aca="false">IF(A557-30&lt;$R$2,"",C557/INDEX(Clean_Data!$C$2:$C$4314,MATCH(A557-30,Clean_Data!$A$2:$A$4314,1))-1)</f>
        <v>-0.0166701088720386</v>
      </c>
    </row>
    <row r="558" customFormat="false" ht="15" hidden="false" customHeight="false" outlineLevel="0" collapsed="false">
      <c r="A558" s="16" t="n">
        <v>42564</v>
      </c>
      <c r="B558" s="23" t="n">
        <f aca="false">YEAR(A558)</f>
        <v>2016</v>
      </c>
      <c r="C558" s="17" t="n">
        <v>655.34</v>
      </c>
      <c r="D558" s="23" t="n">
        <f aca="false">A558-A557</f>
        <v>1</v>
      </c>
      <c r="E558" s="24" t="n">
        <f aca="false">LN(C558)</f>
        <v>6.48515418492724</v>
      </c>
      <c r="F558" s="25" t="n">
        <f aca="false">LN(C558/C557)</f>
        <v>-0.0169759731453693</v>
      </c>
      <c r="G558" s="25" t="n">
        <f aca="false">IF(AND(D558=1,A558&gt;=$R$2),F558,"")</f>
        <v>-0.0169759731453693</v>
      </c>
      <c r="H558" s="27" t="n">
        <f aca="false">IF(G558="","",G558^2)</f>
        <v>0.000288183664232298</v>
      </c>
      <c r="I558" s="25" t="n">
        <f aca="false">IF(G558="","",C558/C557-1)</f>
        <v>-0.0168326932309169</v>
      </c>
      <c r="J558" s="17" t="n">
        <f aca="false">AVERAGE(C359:C558)</f>
        <v>474.3984</v>
      </c>
      <c r="K558" s="17" t="n">
        <f aca="false">MAX(K557,C558)</f>
        <v>769.76</v>
      </c>
      <c r="L558" s="25" t="n">
        <f aca="false">C558/K558-1</f>
        <v>-0.148643733111619</v>
      </c>
      <c r="M558" s="25" t="n">
        <f aca="false">IF(COUNT(G529:G558)&lt;20,"",_xlfn.STDEV.S(G529:G558)*SQRT($R$3))</f>
        <v>0.841769108255077</v>
      </c>
      <c r="N558" s="25" t="n">
        <f aca="false">IF(A558-7&lt;$R$2,"",C558/INDEX(Clean_Data!$C$2:$C$4314,MATCH(A558-7,Clean_Data!$A$2:$A$4314,1))-1)</f>
        <v>-0.0345467670413528</v>
      </c>
      <c r="O558" s="25" t="n">
        <f aca="false">IF(A558-30&lt;$R$2,"",C558/INDEX(Clean_Data!$C$2:$C$4314,MATCH(A558-30,Clean_Data!$A$2:$A$4314,1))-1)</f>
        <v>-0.0717695216781632</v>
      </c>
    </row>
    <row r="559" customFormat="false" ht="15" hidden="false" customHeight="false" outlineLevel="0" collapsed="false">
      <c r="A559" s="16" t="n">
        <v>42565</v>
      </c>
      <c r="B559" s="23" t="n">
        <f aca="false">YEAR(A559)</f>
        <v>2016</v>
      </c>
      <c r="C559" s="17" t="n">
        <v>661.65</v>
      </c>
      <c r="D559" s="23" t="n">
        <f aca="false">A559-A558</f>
        <v>1</v>
      </c>
      <c r="E559" s="24" t="n">
        <f aca="false">LN(C559)</f>
        <v>6.49473671521906</v>
      </c>
      <c r="F559" s="25" t="n">
        <f aca="false">LN(C559/C558)</f>
        <v>0.00958253029182056</v>
      </c>
      <c r="G559" s="25" t="n">
        <f aca="false">IF(AND(D559=1,A559&gt;=$R$2),F559,"")</f>
        <v>0.00958253029182056</v>
      </c>
      <c r="H559" s="27" t="n">
        <f aca="false">IF(G559="","",G559^2)</f>
        <v>9.18248867936586E-005</v>
      </c>
      <c r="I559" s="25" t="n">
        <f aca="false">IF(G559="","",C559/C558-1)</f>
        <v>0.00962858973967706</v>
      </c>
      <c r="J559" s="17" t="n">
        <f aca="false">AVERAGE(C360:C559)</f>
        <v>475.58305</v>
      </c>
      <c r="K559" s="17" t="n">
        <f aca="false">MAX(K558,C559)</f>
        <v>769.76</v>
      </c>
      <c r="L559" s="25" t="n">
        <f aca="false">C559/K559-1</f>
        <v>-0.140446372895448</v>
      </c>
      <c r="M559" s="25" t="n">
        <f aca="false">IF(COUNT(G530:G559)&lt;20,"",_xlfn.STDEV.S(G530:G559)*SQRT($R$3))</f>
        <v>0.836667620391784</v>
      </c>
      <c r="N559" s="25" t="n">
        <f aca="false">IF(A559-7&lt;$R$2,"",C559/INDEX(Clean_Data!$C$2:$C$4314,MATCH(A559-7,Clean_Data!$A$2:$A$4314,1))-1)</f>
        <v>0.0306556381139305</v>
      </c>
      <c r="O559" s="25" t="n">
        <f aca="false">IF(A559-30&lt;$R$2,"",C559/INDEX(Clean_Data!$C$2:$C$4314,MATCH(A559-30,Clean_Data!$A$2:$A$4314,1))-1)</f>
        <v>-0.0340170815387986</v>
      </c>
    </row>
    <row r="560" customFormat="false" ht="15" hidden="false" customHeight="false" outlineLevel="0" collapsed="false">
      <c r="A560" s="16" t="n">
        <v>42566</v>
      </c>
      <c r="B560" s="23" t="n">
        <f aca="false">YEAR(A560)</f>
        <v>2016</v>
      </c>
      <c r="C560" s="17" t="n">
        <v>667.48</v>
      </c>
      <c r="D560" s="23" t="n">
        <f aca="false">A560-A559</f>
        <v>1</v>
      </c>
      <c r="E560" s="24" t="n">
        <f aca="false">LN(C560)</f>
        <v>6.5035094272787</v>
      </c>
      <c r="F560" s="25" t="n">
        <f aca="false">LN(C560/C559)</f>
        <v>0.00877271205964378</v>
      </c>
      <c r="G560" s="25" t="n">
        <f aca="false">IF(AND(D560=1,A560&gt;=$R$2),F560,"")</f>
        <v>0.00877271205964378</v>
      </c>
      <c r="H560" s="27" t="n">
        <f aca="false">IF(G560="","",G560^2)</f>
        <v>7.69604768814195E-005</v>
      </c>
      <c r="I560" s="25" t="n">
        <f aca="false">IF(G560="","",C560/C559-1)</f>
        <v>0.00881130507065686</v>
      </c>
      <c r="J560" s="17" t="n">
        <f aca="false">AVERAGE(C361:C560)</f>
        <v>476.81075</v>
      </c>
      <c r="K560" s="17" t="n">
        <f aca="false">MAX(K559,C560)</f>
        <v>769.76</v>
      </c>
      <c r="L560" s="25" t="n">
        <f aca="false">C560/K560-1</f>
        <v>-0.13287258366244</v>
      </c>
      <c r="M560" s="25" t="n">
        <f aca="false">IF(COUNT(G531:G560)&lt;20,"",_xlfn.STDEV.S(G531:G560)*SQRT($R$3))</f>
        <v>0.834010370419981</v>
      </c>
      <c r="N560" s="25" t="n">
        <f aca="false">IF(A560-7&lt;$R$2,"",C560/INDEX(Clean_Data!$C$2:$C$4314,MATCH(A560-7,Clean_Data!$A$2:$A$4314,1))-1)</f>
        <v>0.000224776347534261</v>
      </c>
      <c r="O560" s="25" t="n">
        <f aca="false">IF(A560-30&lt;$R$2,"",C560/INDEX(Clean_Data!$C$2:$C$4314,MATCH(A560-30,Clean_Data!$A$2:$A$4314,1))-1)</f>
        <v>-0.0447923523855862</v>
      </c>
    </row>
    <row r="561" customFormat="false" ht="15" hidden="false" customHeight="false" outlineLevel="0" collapsed="false">
      <c r="A561" s="16" t="n">
        <v>42567</v>
      </c>
      <c r="B561" s="23" t="n">
        <f aca="false">YEAR(A561)</f>
        <v>2016</v>
      </c>
      <c r="C561" s="17" t="n">
        <v>666.32</v>
      </c>
      <c r="D561" s="23" t="n">
        <f aca="false">A561-A560</f>
        <v>1</v>
      </c>
      <c r="E561" s="24" t="n">
        <f aca="false">LN(C561)</f>
        <v>6.50177003562709</v>
      </c>
      <c r="F561" s="25" t="n">
        <f aca="false">LN(C561/C560)</f>
        <v>-0.0017393916516169</v>
      </c>
      <c r="G561" s="25" t="n">
        <f aca="false">IF(AND(D561=1,A561&gt;=$R$2),F561,"")</f>
        <v>-0.0017393916516169</v>
      </c>
      <c r="H561" s="27" t="n">
        <f aca="false">IF(G561="","",G561^2)</f>
        <v>3.02548331771456E-006</v>
      </c>
      <c r="I561" s="25" t="n">
        <f aca="false">IF(G561="","",C561/C560-1)</f>
        <v>-0.00173787978666018</v>
      </c>
      <c r="J561" s="17" t="n">
        <f aca="false">AVERAGE(C362:C561)</f>
        <v>477.9729</v>
      </c>
      <c r="K561" s="17" t="n">
        <f aca="false">MAX(K560,C561)</f>
        <v>769.76</v>
      </c>
      <c r="L561" s="25" t="n">
        <f aca="false">C561/K561-1</f>
        <v>-0.134379546871752</v>
      </c>
      <c r="M561" s="25" t="n">
        <f aca="false">IF(COUNT(G532:G561)&lt;20,"",_xlfn.STDEV.S(G532:G561)*SQRT($R$3))</f>
        <v>0.754956302549111</v>
      </c>
      <c r="N561" s="25" t="n">
        <f aca="false">IF(A561-7&lt;$R$2,"",C561/INDEX(Clean_Data!$C$2:$C$4314,MATCH(A561-7,Clean_Data!$A$2:$A$4314,1))-1)</f>
        <v>0.0132449324067456</v>
      </c>
      <c r="O561" s="25" t="n">
        <f aca="false">IF(A561-30&lt;$R$2,"",C561/INDEX(Clean_Data!$C$2:$C$4314,MATCH(A561-30,Clean_Data!$A$2:$A$4314,1))-1)</f>
        <v>-0.134379546871752</v>
      </c>
    </row>
    <row r="562" customFormat="false" ht="15" hidden="false" customHeight="false" outlineLevel="0" collapsed="false">
      <c r="A562" s="16" t="n">
        <v>42568</v>
      </c>
      <c r="B562" s="23" t="n">
        <f aca="false">YEAR(A562)</f>
        <v>2016</v>
      </c>
      <c r="C562" s="17" t="n">
        <v>680</v>
      </c>
      <c r="D562" s="23" t="n">
        <f aca="false">A562-A561</f>
        <v>1</v>
      </c>
      <c r="E562" s="24" t="n">
        <f aca="false">LN(C562)</f>
        <v>6.52209279817015</v>
      </c>
      <c r="F562" s="25" t="n">
        <f aca="false">LN(C562/C561)</f>
        <v>0.0203227625430673</v>
      </c>
      <c r="G562" s="25" t="n">
        <f aca="false">IF(AND(D562=1,A562&gt;=$R$2),F562,"")</f>
        <v>0.0203227625430673</v>
      </c>
      <c r="H562" s="27" t="n">
        <f aca="false">IF(G562="","",G562^2)</f>
        <v>0.000413014677381898</v>
      </c>
      <c r="I562" s="25" t="n">
        <f aca="false">IF(G562="","",C562/C561-1)</f>
        <v>0.0205306759514947</v>
      </c>
      <c r="J562" s="17" t="n">
        <f aca="false">AVERAGE(C363:C562)</f>
        <v>479.23315</v>
      </c>
      <c r="K562" s="17" t="n">
        <f aca="false">MAX(K561,C562)</f>
        <v>769.76</v>
      </c>
      <c r="L562" s="25" t="n">
        <f aca="false">C562/K562-1</f>
        <v>-0.11660777385159</v>
      </c>
      <c r="M562" s="25" t="n">
        <f aca="false">IF(COUNT(G533:G562)&lt;20,"",_xlfn.STDEV.S(G533:G562)*SQRT($R$3))</f>
        <v>0.756940677443794</v>
      </c>
      <c r="N562" s="25" t="n">
        <f aca="false">IF(A562-7&lt;$R$2,"",C562/INDEX(Clean_Data!$C$2:$C$4314,MATCH(A562-7,Clean_Data!$A$2:$A$4314,1))-1)</f>
        <v>0.0422414321623443</v>
      </c>
      <c r="O562" s="25" t="n">
        <f aca="false">IF(A562-30&lt;$R$2,"",C562/INDEX(Clean_Data!$C$2:$C$4314,MATCH(A562-30,Clean_Data!$A$2:$A$4314,1))-1)</f>
        <v>-0.0960572142610268</v>
      </c>
    </row>
    <row r="563" customFormat="false" ht="15" hidden="false" customHeight="false" outlineLevel="0" collapsed="false">
      <c r="A563" s="16" t="n">
        <v>42569</v>
      </c>
      <c r="B563" s="23" t="n">
        <f aca="false">YEAR(A563)</f>
        <v>2016</v>
      </c>
      <c r="C563" s="17" t="n">
        <v>675.5</v>
      </c>
      <c r="D563" s="23" t="n">
        <f aca="false">A563-A562</f>
        <v>1</v>
      </c>
      <c r="E563" s="24" t="n">
        <f aca="false">LN(C563)</f>
        <v>6.51545315740025</v>
      </c>
      <c r="F563" s="25" t="n">
        <f aca="false">LN(C563/C562)</f>
        <v>-0.00663964076989881</v>
      </c>
      <c r="G563" s="25" t="n">
        <f aca="false">IF(AND(D563=1,A563&gt;=$R$2),F563,"")</f>
        <v>-0.00663964076989881</v>
      </c>
      <c r="H563" s="27" t="n">
        <f aca="false">IF(G563="","",G563^2)</f>
        <v>4.40848295533025E-005</v>
      </c>
      <c r="I563" s="25" t="n">
        <f aca="false">IF(G563="","",C563/C562-1)</f>
        <v>-0.00661764705882351</v>
      </c>
      <c r="J563" s="17" t="n">
        <f aca="false">AVERAGE(C364:C563)</f>
        <v>480.4589</v>
      </c>
      <c r="K563" s="17" t="n">
        <f aca="false">MAX(K562,C563)</f>
        <v>769.76</v>
      </c>
      <c r="L563" s="25" t="n">
        <f aca="false">C563/K563-1</f>
        <v>-0.122453751818749</v>
      </c>
      <c r="M563" s="25" t="n">
        <f aca="false">IF(COUNT(G534:G563)&lt;20,"",_xlfn.STDEV.S(G534:G563)*SQRT($R$3))</f>
        <v>0.75570951045712</v>
      </c>
      <c r="N563" s="25" t="n">
        <f aca="false">IF(A563-7&lt;$R$2,"",C563/INDEX(Clean_Data!$C$2:$C$4314,MATCH(A563-7,Clean_Data!$A$2:$A$4314,1))-1)</f>
        <v>0.0376822280596647</v>
      </c>
      <c r="O563" s="25" t="n">
        <f aca="false">IF(A563-30&lt;$R$2,"",C563/INDEX(Clean_Data!$C$2:$C$4314,MATCH(A563-30,Clean_Data!$A$2:$A$4314,1))-1)</f>
        <v>-0.110001449294457</v>
      </c>
    </row>
    <row r="564" customFormat="false" ht="15" hidden="false" customHeight="false" outlineLevel="0" collapsed="false">
      <c r="A564" s="16" t="n">
        <v>42570</v>
      </c>
      <c r="B564" s="23" t="n">
        <f aca="false">YEAR(A564)</f>
        <v>2016</v>
      </c>
      <c r="C564" s="17" t="n">
        <v>673.98</v>
      </c>
      <c r="D564" s="23" t="n">
        <f aca="false">A564-A563</f>
        <v>1</v>
      </c>
      <c r="E564" s="24" t="n">
        <f aca="false">LN(C564)</f>
        <v>6.51320043688153</v>
      </c>
      <c r="F564" s="25" t="n">
        <f aca="false">LN(C564/C563)</f>
        <v>-0.00225272051872063</v>
      </c>
      <c r="G564" s="25" t="n">
        <f aca="false">IF(AND(D564=1,A564&gt;=$R$2),F564,"")</f>
        <v>-0.00225272051872063</v>
      </c>
      <c r="H564" s="27" t="n">
        <f aca="false">IF(G564="","",G564^2)</f>
        <v>5.07474973546493E-006</v>
      </c>
      <c r="I564" s="25" t="n">
        <f aca="false">IF(G564="","",C564/C563-1)</f>
        <v>-0.00225018504811247</v>
      </c>
      <c r="J564" s="17" t="n">
        <f aca="false">AVERAGE(C365:C564)</f>
        <v>481.6505</v>
      </c>
      <c r="K564" s="17" t="n">
        <f aca="false">MAX(K563,C564)</f>
        <v>769.76</v>
      </c>
      <c r="L564" s="25" t="n">
        <f aca="false">C564/K564-1</f>
        <v>-0.124428393265433</v>
      </c>
      <c r="M564" s="25" t="n">
        <f aca="false">IF(COUNT(G535:G564)&lt;20,"",_xlfn.STDEV.S(G535:G564)*SQRT($R$3))</f>
        <v>0.753349775237258</v>
      </c>
      <c r="N564" s="25" t="n">
        <f aca="false">IF(A564-7&lt;$R$2,"",C564/INDEX(Clean_Data!$C$2:$C$4314,MATCH(A564-7,Clean_Data!$A$2:$A$4314,1))-1)</f>
        <v>0.0111317810849738</v>
      </c>
      <c r="O564" s="25" t="n">
        <f aca="false">IF(A564-30&lt;$R$2,"",C564/INDEX(Clean_Data!$C$2:$C$4314,MATCH(A564-30,Clean_Data!$A$2:$A$4314,1))-1)</f>
        <v>-0.123289453145325</v>
      </c>
    </row>
    <row r="565" customFormat="false" ht="15" hidden="false" customHeight="false" outlineLevel="0" collapsed="false">
      <c r="A565" s="16" t="n">
        <v>42571</v>
      </c>
      <c r="B565" s="23" t="n">
        <f aca="false">YEAR(A565)</f>
        <v>2016</v>
      </c>
      <c r="C565" s="17" t="n">
        <v>666.92</v>
      </c>
      <c r="D565" s="23" t="n">
        <f aca="false">A565-A564</f>
        <v>1</v>
      </c>
      <c r="E565" s="24" t="n">
        <f aca="false">LN(C565)</f>
        <v>6.50267009869226</v>
      </c>
      <c r="F565" s="25" t="n">
        <f aca="false">LN(C565/C564)</f>
        <v>-0.0105303381892748</v>
      </c>
      <c r="G565" s="25" t="n">
        <f aca="false">IF(AND(D565=1,A565&gt;=$R$2),F565,"")</f>
        <v>-0.0105303381892748</v>
      </c>
      <c r="H565" s="27" t="n">
        <f aca="false">IF(G565="","",G565^2)</f>
        <v>0.000110888022380499</v>
      </c>
      <c r="I565" s="25" t="n">
        <f aca="false">IF(G565="","",C565/C564-1)</f>
        <v>-0.0104750882815514</v>
      </c>
      <c r="J565" s="17" t="n">
        <f aca="false">AVERAGE(C366:C565)</f>
        <v>482.8081</v>
      </c>
      <c r="K565" s="17" t="n">
        <f aca="false">MAX(K564,C565)</f>
        <v>769.76</v>
      </c>
      <c r="L565" s="25" t="n">
        <f aca="false">C565/K565-1</f>
        <v>-0.133600083142798</v>
      </c>
      <c r="M565" s="25" t="n">
        <f aca="false">IF(COUNT(G536:G565)&lt;20,"",_xlfn.STDEV.S(G536:G565)*SQRT($R$3))</f>
        <v>0.689031057906195</v>
      </c>
      <c r="N565" s="25" t="n">
        <f aca="false">IF(A565-7&lt;$R$2,"",C565/INDEX(Clean_Data!$C$2:$C$4314,MATCH(A565-7,Clean_Data!$A$2:$A$4314,1))-1)</f>
        <v>0.0176702169866023</v>
      </c>
      <c r="O565" s="25" t="n">
        <f aca="false">IF(A565-30&lt;$R$2,"",C565/INDEX(Clean_Data!$C$2:$C$4314,MATCH(A565-30,Clean_Data!$A$2:$A$4314,1))-1)</f>
        <v>-0.051484810558653</v>
      </c>
    </row>
    <row r="566" customFormat="false" ht="15" hidden="false" customHeight="false" outlineLevel="0" collapsed="false">
      <c r="A566" s="16" t="n">
        <v>42572</v>
      </c>
      <c r="B566" s="23" t="n">
        <f aca="false">YEAR(A566)</f>
        <v>2016</v>
      </c>
      <c r="C566" s="17" t="n">
        <v>667.28</v>
      </c>
      <c r="D566" s="23" t="n">
        <f aca="false">A566-A565</f>
        <v>1</v>
      </c>
      <c r="E566" s="24" t="n">
        <f aca="false">LN(C566)</f>
        <v>6.50320974793336</v>
      </c>
      <c r="F566" s="25" t="n">
        <f aca="false">LN(C566/C565)</f>
        <v>0.000539649241098285</v>
      </c>
      <c r="G566" s="25" t="n">
        <f aca="false">IF(AND(D566=1,A566&gt;=$R$2),F566,"")</f>
        <v>0.000539649241098285</v>
      </c>
      <c r="H566" s="27" t="n">
        <f aca="false">IF(G566="","",G566^2)</f>
        <v>2.91221303417954E-007</v>
      </c>
      <c r="I566" s="25" t="n">
        <f aca="false">IF(G566="","",C566/C565-1)</f>
        <v>0.00053979487794642</v>
      </c>
      <c r="J566" s="17" t="n">
        <f aca="false">AVERAGE(C367:C566)</f>
        <v>483.98495</v>
      </c>
      <c r="K566" s="17" t="n">
        <f aca="false">MAX(K565,C566)</f>
        <v>769.76</v>
      </c>
      <c r="L566" s="25" t="n">
        <f aca="false">C566/K566-1</f>
        <v>-0.133132404905425</v>
      </c>
      <c r="M566" s="25" t="n">
        <f aca="false">IF(COUNT(G537:G566)&lt;20,"",_xlfn.STDEV.S(G537:G566)*SQRT($R$3))</f>
        <v>0.665007350445767</v>
      </c>
      <c r="N566" s="25" t="n">
        <f aca="false">IF(A566-7&lt;$R$2,"",C566/INDEX(Clean_Data!$C$2:$C$4314,MATCH(A566-7,Clean_Data!$A$2:$A$4314,1))-1)</f>
        <v>0.00850903045416751</v>
      </c>
      <c r="O566" s="25" t="n">
        <f aca="false">IF(A566-30&lt;$R$2,"",C566/INDEX(Clean_Data!$C$2:$C$4314,MATCH(A566-30,Clean_Data!$A$2:$A$4314,1))-1)</f>
        <v>-0.000569151963574321</v>
      </c>
    </row>
    <row r="567" customFormat="false" ht="15" hidden="false" customHeight="false" outlineLevel="0" collapsed="false">
      <c r="A567" s="16" t="n">
        <v>42573</v>
      </c>
      <c r="B567" s="23" t="n">
        <f aca="false">YEAR(A567)</f>
        <v>2016</v>
      </c>
      <c r="C567" s="17" t="n">
        <v>654.67</v>
      </c>
      <c r="D567" s="23" t="n">
        <f aca="false">A567-A566</f>
        <v>1</v>
      </c>
      <c r="E567" s="24" t="n">
        <f aca="false">LN(C567)</f>
        <v>6.48413129188303</v>
      </c>
      <c r="F567" s="25" t="n">
        <f aca="false">LN(C567/C566)</f>
        <v>-0.0190784560503227</v>
      </c>
      <c r="G567" s="25" t="n">
        <f aca="false">IF(AND(D567=1,A567&gt;=$R$2),F567,"")</f>
        <v>-0.0190784560503227</v>
      </c>
      <c r="H567" s="27" t="n">
        <f aca="false">IF(G567="","",G567^2)</f>
        <v>0.000363987485264096</v>
      </c>
      <c r="I567" s="25" t="n">
        <f aca="false">IF(G567="","",C567/C566-1)</f>
        <v>-0.0188976141949406</v>
      </c>
      <c r="J567" s="17" t="n">
        <f aca="false">AVERAGE(C368:C567)</f>
        <v>485.08905</v>
      </c>
      <c r="K567" s="17" t="n">
        <f aca="false">MAX(K566,C567)</f>
        <v>769.76</v>
      </c>
      <c r="L567" s="25" t="n">
        <f aca="false">C567/K567-1</f>
        <v>-0.149514134275618</v>
      </c>
      <c r="M567" s="25" t="n">
        <f aca="false">IF(COUNT(G538:G567)&lt;20,"",_xlfn.STDEV.S(G538:G567)*SQRT($R$3))</f>
        <v>0.565552386927481</v>
      </c>
      <c r="N567" s="25" t="n">
        <f aca="false">IF(A567-7&lt;$R$2,"",C567/INDEX(Clean_Data!$C$2:$C$4314,MATCH(A567-7,Clean_Data!$A$2:$A$4314,1))-1)</f>
        <v>-0.019191586264757</v>
      </c>
      <c r="O567" s="25" t="n">
        <f aca="false">IF(A567-30&lt;$R$2,"",C567/INDEX(Clean_Data!$C$2:$C$4314,MATCH(A567-30,Clean_Data!$A$2:$A$4314,1))-1)</f>
        <v>0.0829942100909842</v>
      </c>
    </row>
    <row r="568" customFormat="false" ht="15" hidden="false" customHeight="false" outlineLevel="0" collapsed="false">
      <c r="A568" s="16" t="n">
        <v>42574</v>
      </c>
      <c r="B568" s="23" t="n">
        <f aca="false">YEAR(A568)</f>
        <v>2016</v>
      </c>
      <c r="C568" s="17" t="n">
        <v>657.5</v>
      </c>
      <c r="D568" s="23" t="n">
        <f aca="false">A568-A567</f>
        <v>1</v>
      </c>
      <c r="E568" s="24" t="n">
        <f aca="false">LN(C568)</f>
        <v>6.48844476405192</v>
      </c>
      <c r="F568" s="25" t="n">
        <f aca="false">LN(C568/C567)</f>
        <v>0.00431347216888597</v>
      </c>
      <c r="G568" s="25" t="n">
        <f aca="false">IF(AND(D568=1,A568&gt;=$R$2),F568,"")</f>
        <v>0.00431347216888597</v>
      </c>
      <c r="H568" s="27" t="n">
        <f aca="false">IF(G568="","",G568^2)</f>
        <v>1.86060421517538E-005</v>
      </c>
      <c r="I568" s="25" t="n">
        <f aca="false">IF(G568="","",C568/C567-1)</f>
        <v>0.00432278858050617</v>
      </c>
      <c r="J568" s="17" t="n">
        <f aca="false">AVERAGE(C369:C568)</f>
        <v>486.20985</v>
      </c>
      <c r="K568" s="17" t="n">
        <f aca="false">MAX(K567,C568)</f>
        <v>769.76</v>
      </c>
      <c r="L568" s="25" t="n">
        <f aca="false">C568/K568-1</f>
        <v>-0.145837663687383</v>
      </c>
      <c r="M568" s="25" t="n">
        <f aca="false">IF(COUNT(G539:G568)&lt;20,"",_xlfn.STDEV.S(G539:G568)*SQRT($R$3))</f>
        <v>0.546540280146365</v>
      </c>
      <c r="N568" s="25" t="n">
        <f aca="false">IF(A568-7&lt;$R$2,"",C568/INDEX(Clean_Data!$C$2:$C$4314,MATCH(A568-7,Clean_Data!$A$2:$A$4314,1))-1)</f>
        <v>-0.0132368831792533</v>
      </c>
      <c r="O568" s="25" t="n">
        <f aca="false">IF(A568-30&lt;$R$2,"",C568/INDEX(Clean_Data!$C$2:$C$4314,MATCH(A568-30,Clean_Data!$A$2:$A$4314,1))-1)</f>
        <v>0.0418317223894786</v>
      </c>
    </row>
    <row r="569" customFormat="false" ht="15" hidden="false" customHeight="false" outlineLevel="0" collapsed="false">
      <c r="A569" s="16" t="n">
        <v>42575</v>
      </c>
      <c r="B569" s="23" t="n">
        <f aca="false">YEAR(A569)</f>
        <v>2016</v>
      </c>
      <c r="C569" s="17" t="n">
        <v>661</v>
      </c>
      <c r="D569" s="23" t="n">
        <f aca="false">A569-A568</f>
        <v>1</v>
      </c>
      <c r="E569" s="24" t="n">
        <f aca="false">LN(C569)</f>
        <v>6.49375383985169</v>
      </c>
      <c r="F569" s="25" t="n">
        <f aca="false">LN(C569/C568)</f>
        <v>0.00530907579976669</v>
      </c>
      <c r="G569" s="25" t="n">
        <f aca="false">IF(AND(D569=1,A569&gt;=$R$2),F569,"")</f>
        <v>0.00530907579976669</v>
      </c>
      <c r="H569" s="27" t="n">
        <f aca="false">IF(G569="","",G569^2)</f>
        <v>2.81862858476684E-005</v>
      </c>
      <c r="I569" s="25" t="n">
        <f aca="false">IF(G569="","",C569/C568-1)</f>
        <v>0.00532319391634983</v>
      </c>
      <c r="J569" s="17" t="n">
        <f aca="false">AVERAGE(C370:C569)</f>
        <v>487.3605</v>
      </c>
      <c r="K569" s="17" t="n">
        <f aca="false">MAX(K568,C569)</f>
        <v>769.76</v>
      </c>
      <c r="L569" s="25" t="n">
        <f aca="false">C569/K569-1</f>
        <v>-0.141290791935149</v>
      </c>
      <c r="M569" s="25" t="n">
        <f aca="false">IF(COUNT(G540:G569)&lt;20,"",_xlfn.STDEV.S(G540:G569)*SQRT($R$3))</f>
        <v>0.504683289589852</v>
      </c>
      <c r="N569" s="25" t="n">
        <f aca="false">IF(A569-7&lt;$R$2,"",C569/INDEX(Clean_Data!$C$2:$C$4314,MATCH(A569-7,Clean_Data!$A$2:$A$4314,1))-1)</f>
        <v>-0.0279411764705882</v>
      </c>
      <c r="O569" s="25" t="n">
        <f aca="false">IF(A569-30&lt;$R$2,"",C569/INDEX(Clean_Data!$C$2:$C$4314,MATCH(A569-30,Clean_Data!$A$2:$A$4314,1))-1)</f>
        <v>-0.013403385175677</v>
      </c>
    </row>
    <row r="570" customFormat="false" ht="15" hidden="false" customHeight="false" outlineLevel="0" collapsed="false">
      <c r="A570" s="16" t="n">
        <v>42576</v>
      </c>
      <c r="B570" s="23" t="n">
        <f aca="false">YEAR(A570)</f>
        <v>2016</v>
      </c>
      <c r="C570" s="17" t="n">
        <v>657.79</v>
      </c>
      <c r="D570" s="23" t="n">
        <f aca="false">A570-A569</f>
        <v>1</v>
      </c>
      <c r="E570" s="24" t="n">
        <f aca="false">LN(C570)</f>
        <v>6.48888573145029</v>
      </c>
      <c r="F570" s="25" t="n">
        <f aca="false">LN(C570/C569)</f>
        <v>-0.00486810840139944</v>
      </c>
      <c r="G570" s="25" t="n">
        <f aca="false">IF(AND(D570=1,A570&gt;=$R$2),F570,"")</f>
        <v>-0.00486810840139944</v>
      </c>
      <c r="H570" s="27" t="n">
        <f aca="false">IF(G570="","",G570^2)</f>
        <v>2.36984794077758E-005</v>
      </c>
      <c r="I570" s="25" t="n">
        <f aca="false">IF(G570="","",C570/C569-1)</f>
        <v>-0.00485627836611202</v>
      </c>
      <c r="J570" s="17" t="n">
        <f aca="false">AVERAGE(C371:C570)</f>
        <v>488.3541</v>
      </c>
      <c r="K570" s="17" t="n">
        <f aca="false">MAX(K569,C570)</f>
        <v>769.76</v>
      </c>
      <c r="L570" s="25" t="n">
        <f aca="false">C570/K570-1</f>
        <v>-0.145460922885055</v>
      </c>
      <c r="M570" s="25" t="n">
        <f aca="false">IF(COUNT(G541:G570)&lt;20,"",_xlfn.STDEV.S(G541:G570)*SQRT($R$3))</f>
        <v>0.504432366829812</v>
      </c>
      <c r="N570" s="25" t="n">
        <f aca="false">IF(A570-7&lt;$R$2,"",C570/INDEX(Clean_Data!$C$2:$C$4314,MATCH(A570-7,Clean_Data!$A$2:$A$4314,1))-1)</f>
        <v>-0.026217616580311</v>
      </c>
      <c r="O570" s="25" t="n">
        <f aca="false">IF(A570-30&lt;$R$2,"",C570/INDEX(Clean_Data!$C$2:$C$4314,MATCH(A570-30,Clean_Data!$A$2:$A$4314,1))-1)</f>
        <v>-0.0236303454008402</v>
      </c>
    </row>
    <row r="571" customFormat="false" ht="15" hidden="false" customHeight="false" outlineLevel="0" collapsed="false">
      <c r="A571" s="16" t="n">
        <v>42577</v>
      </c>
      <c r="B571" s="23" t="n">
        <f aca="false">YEAR(A571)</f>
        <v>2016</v>
      </c>
      <c r="C571" s="17" t="n">
        <v>654.06</v>
      </c>
      <c r="D571" s="23" t="n">
        <f aca="false">A571-A570</f>
        <v>1</v>
      </c>
      <c r="E571" s="24" t="n">
        <f aca="false">LN(C571)</f>
        <v>6.48319909036832</v>
      </c>
      <c r="F571" s="25" t="n">
        <f aca="false">LN(C571/C570)</f>
        <v>-0.00568664108196481</v>
      </c>
      <c r="G571" s="25" t="n">
        <f aca="false">IF(AND(D571=1,A571&gt;=$R$2),F571,"")</f>
        <v>-0.00568664108196481</v>
      </c>
      <c r="H571" s="27" t="n">
        <f aca="false">IF(G571="","",G571^2)</f>
        <v>3.23378867950899E-005</v>
      </c>
      <c r="I571" s="25" t="n">
        <f aca="false">IF(G571="","",C571/C570-1)</f>
        <v>-0.00567050274403691</v>
      </c>
      <c r="J571" s="17" t="n">
        <f aca="false">AVERAGE(C372:C571)</f>
        <v>489.3522</v>
      </c>
      <c r="K571" s="17" t="n">
        <f aca="false">MAX(K570,C571)</f>
        <v>769.76</v>
      </c>
      <c r="L571" s="25" t="n">
        <f aca="false">C571/K571-1</f>
        <v>-0.150306589066722</v>
      </c>
      <c r="M571" s="25" t="n">
        <f aca="false">IF(COUNT(G542:G571)&lt;20,"",_xlfn.STDEV.S(G542:G571)*SQRT($R$3))</f>
        <v>0.467674455388359</v>
      </c>
      <c r="N571" s="25" t="n">
        <f aca="false">IF(A571-7&lt;$R$2,"",C571/INDEX(Clean_Data!$C$2:$C$4314,MATCH(A571-7,Clean_Data!$A$2:$A$4314,1))-1)</f>
        <v>-0.0295557731683433</v>
      </c>
      <c r="O571" s="25" t="n">
        <f aca="false">IF(A571-30&lt;$R$2,"",C571/INDEX(Clean_Data!$C$2:$C$4314,MATCH(A571-30,Clean_Data!$A$2:$A$4314,1))-1)</f>
        <v>0.0242733650714106</v>
      </c>
    </row>
    <row r="572" customFormat="false" ht="15" hidden="false" customHeight="false" outlineLevel="0" collapsed="false">
      <c r="A572" s="16" t="n">
        <v>42578</v>
      </c>
      <c r="B572" s="23" t="n">
        <f aca="false">YEAR(A572)</f>
        <v>2016</v>
      </c>
      <c r="C572" s="17" t="n">
        <v>657.35</v>
      </c>
      <c r="D572" s="23" t="n">
        <f aca="false">A572-A571</f>
        <v>1</v>
      </c>
      <c r="E572" s="24" t="n">
        <f aca="false">LN(C572)</f>
        <v>6.48821660114261</v>
      </c>
      <c r="F572" s="25" t="n">
        <f aca="false">LN(C572/C571)</f>
        <v>0.00501751077429115</v>
      </c>
      <c r="G572" s="25" t="n">
        <f aca="false">IF(AND(D572=1,A572&gt;=$R$2),F572,"")</f>
        <v>0.00501751077429115</v>
      </c>
      <c r="H572" s="27" t="n">
        <f aca="false">IF(G572="","",G572^2)</f>
        <v>2.51754143701278E-005</v>
      </c>
      <c r="I572" s="25" t="n">
        <f aca="false">IF(G572="","",C572/C571-1)</f>
        <v>0.00503011956089661</v>
      </c>
      <c r="J572" s="17" t="n">
        <f aca="false">AVERAGE(C373:C572)</f>
        <v>490.38705</v>
      </c>
      <c r="K572" s="17" t="n">
        <f aca="false">MAX(K571,C572)</f>
        <v>769.76</v>
      </c>
      <c r="L572" s="25" t="n">
        <f aca="false">C572/K572-1</f>
        <v>-0.146032529619622</v>
      </c>
      <c r="M572" s="25" t="n">
        <f aca="false">IF(COUNT(G543:G572)&lt;20,"",_xlfn.STDEV.S(G543:G572)*SQRT($R$3))</f>
        <v>0.456186899607258</v>
      </c>
      <c r="N572" s="25" t="n">
        <f aca="false">IF(A572-7&lt;$R$2,"",C572/INDEX(Clean_Data!$C$2:$C$4314,MATCH(A572-7,Clean_Data!$A$2:$A$4314,1))-1)</f>
        <v>-0.0143495471720745</v>
      </c>
      <c r="O572" s="25" t="n">
        <f aca="false">IF(A572-30&lt;$R$2,"",C572/INDEX(Clean_Data!$C$2:$C$4314,MATCH(A572-30,Clean_Data!$A$2:$A$4314,1))-1)</f>
        <v>-0.000790429720157415</v>
      </c>
    </row>
    <row r="573" customFormat="false" ht="15" hidden="false" customHeight="false" outlineLevel="0" collapsed="false">
      <c r="A573" s="16" t="n">
        <v>42579</v>
      </c>
      <c r="B573" s="23" t="n">
        <f aca="false">YEAR(A573)</f>
        <v>2016</v>
      </c>
      <c r="C573" s="17" t="n">
        <v>657.4</v>
      </c>
      <c r="D573" s="23" t="n">
        <f aca="false">A573-A572</f>
        <v>1</v>
      </c>
      <c r="E573" s="24" t="n">
        <f aca="false">LN(C573)</f>
        <v>6.48829266123012</v>
      </c>
      <c r="F573" s="25" t="n">
        <f aca="false">LN(C573/C572)</f>
        <v>7.60600875057131E-005</v>
      </c>
      <c r="G573" s="25" t="n">
        <f aca="false">IF(AND(D573=1,A573&gt;=$R$2),F573,"")</f>
        <v>7.60600875057131E-005</v>
      </c>
      <c r="H573" s="27" t="n">
        <f aca="false">IF(G573="","",G573^2)</f>
        <v>5.78513691137674E-009</v>
      </c>
      <c r="I573" s="25" t="n">
        <f aca="false">IF(G573="","",C573/C572-1)</f>
        <v>7.60629801475066E-005</v>
      </c>
      <c r="J573" s="17" t="n">
        <f aca="false">AVERAGE(C374:C573)</f>
        <v>491.4241</v>
      </c>
      <c r="K573" s="17" t="n">
        <f aca="false">MAX(K572,C573)</f>
        <v>769.76</v>
      </c>
      <c r="L573" s="25" t="n">
        <f aca="false">C573/K573-1</f>
        <v>-0.145967574308876</v>
      </c>
      <c r="M573" s="25" t="n">
        <f aca="false">IF(COUNT(G544:G573)&lt;20,"",_xlfn.STDEV.S(G544:G573)*SQRT($R$3))</f>
        <v>0.453209010751763</v>
      </c>
      <c r="N573" s="25" t="n">
        <f aca="false">IF(A573-7&lt;$R$2,"",C573/INDEX(Clean_Data!$C$2:$C$4314,MATCH(A573-7,Clean_Data!$A$2:$A$4314,1))-1)</f>
        <v>-0.0148063781321185</v>
      </c>
      <c r="O573" s="25" t="n">
        <f aca="false">IF(A573-30&lt;$R$2,"",C573/INDEX(Clean_Data!$C$2:$C$4314,MATCH(A573-30,Clean_Data!$A$2:$A$4314,1))-1)</f>
        <v>0.0138334130129698</v>
      </c>
    </row>
    <row r="574" customFormat="false" ht="15" hidden="false" customHeight="false" outlineLevel="0" collapsed="false">
      <c r="A574" s="16" t="n">
        <v>42580</v>
      </c>
      <c r="B574" s="23" t="n">
        <f aca="false">YEAR(A574)</f>
        <v>2016</v>
      </c>
      <c r="C574" s="17" t="n">
        <v>657</v>
      </c>
      <c r="D574" s="23" t="n">
        <f aca="false">A574-A573</f>
        <v>1</v>
      </c>
      <c r="E574" s="24" t="n">
        <f aca="false">LN(C574)</f>
        <v>6.48768401848461</v>
      </c>
      <c r="F574" s="25" t="n">
        <f aca="false">LN(C574/C573)</f>
        <v>-0.000608642745508433</v>
      </c>
      <c r="G574" s="25" t="n">
        <f aca="false">IF(AND(D574=1,A574&gt;=$R$2),F574,"")</f>
        <v>-0.000608642745508433</v>
      </c>
      <c r="H574" s="27" t="n">
        <f aca="false">IF(G574="","",G574^2)</f>
        <v>3.70445991660043E-007</v>
      </c>
      <c r="I574" s="25" t="n">
        <f aca="false">IF(G574="","",C574/C573-1)</f>
        <v>-0.000608457560085096</v>
      </c>
      <c r="J574" s="17" t="n">
        <f aca="false">AVERAGE(C375:C574)</f>
        <v>492.46315</v>
      </c>
      <c r="K574" s="17" t="n">
        <f aca="false">MAX(K573,C574)</f>
        <v>769.76</v>
      </c>
      <c r="L574" s="25" t="n">
        <f aca="false">C574/K574-1</f>
        <v>-0.146487216794845</v>
      </c>
      <c r="M574" s="25" t="n">
        <f aca="false">IF(COUNT(G545:G574)&lt;20,"",_xlfn.STDEV.S(G545:G574)*SQRT($R$3))</f>
        <v>0.450232565206582</v>
      </c>
      <c r="N574" s="25" t="n">
        <f aca="false">IF(A574-7&lt;$R$2,"",C574/INDEX(Clean_Data!$C$2:$C$4314,MATCH(A574-7,Clean_Data!$A$2:$A$4314,1))-1)</f>
        <v>0.00355904501504578</v>
      </c>
      <c r="O574" s="25" t="n">
        <f aca="false">IF(A574-30&lt;$R$2,"",C574/INDEX(Clean_Data!$C$2:$C$4314,MATCH(A574-30,Clean_Data!$A$2:$A$4314,1))-1)</f>
        <v>0.0274936661349348</v>
      </c>
    </row>
    <row r="575" customFormat="false" ht="15" hidden="false" customHeight="false" outlineLevel="0" collapsed="false">
      <c r="A575" s="16" t="n">
        <v>42581</v>
      </c>
      <c r="B575" s="23" t="n">
        <f aca="false">YEAR(A575)</f>
        <v>2016</v>
      </c>
      <c r="C575" s="17" t="n">
        <v>655.87</v>
      </c>
      <c r="D575" s="23" t="n">
        <f aca="false">A575-A574</f>
        <v>1</v>
      </c>
      <c r="E575" s="24" t="n">
        <f aca="false">LN(C575)</f>
        <v>6.48596259857397</v>
      </c>
      <c r="F575" s="25" t="n">
        <f aca="false">LN(C575/C574)</f>
        <v>-0.00172141991064276</v>
      </c>
      <c r="G575" s="25" t="n">
        <f aca="false">IF(AND(D575=1,A575&gt;=$R$2),F575,"")</f>
        <v>-0.00172141991064276</v>
      </c>
      <c r="H575" s="27" t="n">
        <f aca="false">IF(G575="","",G575^2)</f>
        <v>2.96328650875734E-006</v>
      </c>
      <c r="I575" s="25" t="n">
        <f aca="false">IF(G575="","",C575/C574-1)</f>
        <v>-0.00171993911719937</v>
      </c>
      <c r="J575" s="17" t="n">
        <f aca="false">AVERAGE(C376:C575)</f>
        <v>493.57245</v>
      </c>
      <c r="K575" s="17" t="n">
        <f aca="false">MAX(K574,C575)</f>
        <v>769.76</v>
      </c>
      <c r="L575" s="25" t="n">
        <f aca="false">C575/K575-1</f>
        <v>-0.147955206817709</v>
      </c>
      <c r="M575" s="25" t="n">
        <f aca="false">IF(COUNT(G546:G575)&lt;20,"",_xlfn.STDEV.S(G546:G575)*SQRT($R$3))</f>
        <v>0.410904973606309</v>
      </c>
      <c r="N575" s="25" t="n">
        <f aca="false">IF(A575-7&lt;$R$2,"",C575/INDEX(Clean_Data!$C$2:$C$4314,MATCH(A575-7,Clean_Data!$A$2:$A$4314,1))-1)</f>
        <v>-0.0024790874524715</v>
      </c>
      <c r="O575" s="25" t="n">
        <f aca="false">IF(A575-30&lt;$R$2,"",C575/INDEX(Clean_Data!$C$2:$C$4314,MATCH(A575-30,Clean_Data!$A$2:$A$4314,1))-1)</f>
        <v>-0.0261622295802462</v>
      </c>
    </row>
    <row r="576" customFormat="false" ht="15" hidden="false" customHeight="false" outlineLevel="0" collapsed="false">
      <c r="A576" s="16" t="n">
        <v>42582</v>
      </c>
      <c r="B576" s="23" t="n">
        <f aca="false">YEAR(A576)</f>
        <v>2016</v>
      </c>
      <c r="C576" s="17" t="n">
        <v>626.97</v>
      </c>
      <c r="D576" s="23" t="n">
        <f aca="false">A576-A575</f>
        <v>1</v>
      </c>
      <c r="E576" s="24" t="n">
        <f aca="false">LN(C576)</f>
        <v>6.44089869259827</v>
      </c>
      <c r="F576" s="25" t="n">
        <f aca="false">LN(C576/C575)</f>
        <v>-0.0450639059756981</v>
      </c>
      <c r="G576" s="25" t="n">
        <f aca="false">IF(AND(D576=1,A576&gt;=$R$2),F576,"")</f>
        <v>-0.0450639059756981</v>
      </c>
      <c r="H576" s="27" t="n">
        <f aca="false">IF(G576="","",G576^2)</f>
        <v>0.00203075562178656</v>
      </c>
      <c r="I576" s="25" t="n">
        <f aca="false">IF(G576="","",C576/C575-1)</f>
        <v>-0.0440636101666488</v>
      </c>
      <c r="J576" s="17" t="n">
        <f aca="false">AVERAGE(C377:C576)</f>
        <v>494.54345</v>
      </c>
      <c r="K576" s="17" t="n">
        <f aca="false">MAX(K575,C576)</f>
        <v>769.76</v>
      </c>
      <c r="L576" s="25" t="n">
        <f aca="false">C576/K576-1</f>
        <v>-0.185499376429017</v>
      </c>
      <c r="M576" s="25" t="n">
        <f aca="false">IF(COUNT(G547:G576)&lt;20,"",_xlfn.STDEV.S(G547:G576)*SQRT($R$3))</f>
        <v>0.437608674149123</v>
      </c>
      <c r="N576" s="25" t="n">
        <f aca="false">IF(A576-7&lt;$R$2,"",C576/INDEX(Clean_Data!$C$2:$C$4314,MATCH(A576-7,Clean_Data!$A$2:$A$4314,1))-1)</f>
        <v>-0.0514826021180029</v>
      </c>
      <c r="O576" s="25" t="n">
        <f aca="false">IF(A576-30&lt;$R$2,"",C576/INDEX(Clean_Data!$C$2:$C$4314,MATCH(A576-30,Clean_Data!$A$2:$A$4314,1))-1)</f>
        <v>-0.0755245580147157</v>
      </c>
    </row>
    <row r="577" customFormat="false" ht="15" hidden="false" customHeight="false" outlineLevel="0" collapsed="false">
      <c r="A577" s="16" t="n">
        <v>42583</v>
      </c>
      <c r="B577" s="23" t="n">
        <f aca="false">YEAR(A577)</f>
        <v>2016</v>
      </c>
      <c r="C577" s="17" t="n">
        <v>605.2</v>
      </c>
      <c r="D577" s="23" t="n">
        <f aca="false">A577-A576</f>
        <v>1</v>
      </c>
      <c r="E577" s="24" t="n">
        <f aca="false">LN(C577)</f>
        <v>6.4055589819142</v>
      </c>
      <c r="F577" s="25" t="n">
        <f aca="false">LN(C577/C576)</f>
        <v>-0.0353397106840687</v>
      </c>
      <c r="G577" s="25" t="n">
        <f aca="false">IF(AND(D577=1,A577&gt;=$R$2),F577,"")</f>
        <v>-0.0353397106840687</v>
      </c>
      <c r="H577" s="27" t="n">
        <f aca="false">IF(G577="","",G577^2)</f>
        <v>0.00124889515123368</v>
      </c>
      <c r="I577" s="25" t="n">
        <f aca="false">IF(G577="","",C577/C576-1)</f>
        <v>-0.0347225545081902</v>
      </c>
      <c r="J577" s="17" t="n">
        <f aca="false">AVERAGE(C378:C577)</f>
        <v>495.4193</v>
      </c>
      <c r="K577" s="17" t="n">
        <f aca="false">MAX(K576,C577)</f>
        <v>769.76</v>
      </c>
      <c r="L577" s="25" t="n">
        <f aca="false">C577/K577-1</f>
        <v>-0.213780918727915</v>
      </c>
      <c r="M577" s="25" t="n">
        <f aca="false">IF(COUNT(G548:G577)&lt;20,"",_xlfn.STDEV.S(G548:G577)*SQRT($R$3))</f>
        <v>0.425666706626002</v>
      </c>
      <c r="N577" s="25" t="n">
        <f aca="false">IF(A577-7&lt;$R$2,"",C577/INDEX(Clean_Data!$C$2:$C$4314,MATCH(A577-7,Clean_Data!$A$2:$A$4314,1))-1)</f>
        <v>-0.0799495279648519</v>
      </c>
      <c r="O577" s="25" t="n">
        <f aca="false">IF(A577-30&lt;$R$2,"",C577/INDEX(Clean_Data!$C$2:$C$4314,MATCH(A577-30,Clean_Data!$A$2:$A$4314,1))-1)</f>
        <v>-0.141499397120363</v>
      </c>
    </row>
    <row r="578" customFormat="false" ht="15" hidden="false" customHeight="false" outlineLevel="0" collapsed="false">
      <c r="A578" s="16" t="n">
        <v>42584</v>
      </c>
      <c r="B578" s="23" t="n">
        <f aca="false">YEAR(A578)</f>
        <v>2016</v>
      </c>
      <c r="C578" s="17" t="n">
        <v>537.47</v>
      </c>
      <c r="D578" s="23" t="n">
        <f aca="false">A578-A577</f>
        <v>1</v>
      </c>
      <c r="E578" s="24" t="n">
        <f aca="false">LN(C578)</f>
        <v>6.28687294449067</v>
      </c>
      <c r="F578" s="25" t="n">
        <f aca="false">LN(C578/C577)</f>
        <v>-0.118686037423528</v>
      </c>
      <c r="G578" s="25" t="n">
        <f aca="false">IF(AND(D578=1,A578&gt;=$R$2),F578,"")</f>
        <v>-0.118686037423528</v>
      </c>
      <c r="H578" s="27" t="n">
        <f aca="false">IF(G578="","",G578^2)</f>
        <v>0.0140863754792991</v>
      </c>
      <c r="I578" s="25" t="n">
        <f aca="false">IF(G578="","",C578/C577-1)</f>
        <v>-0.111913417052214</v>
      </c>
      <c r="J578" s="17" t="n">
        <f aca="false">AVERAGE(C379:C578)</f>
        <v>496.319</v>
      </c>
      <c r="K578" s="17" t="n">
        <f aca="false">MAX(K577,C578)</f>
        <v>769.76</v>
      </c>
      <c r="L578" s="25" t="n">
        <f aca="false">C578/K578-1</f>
        <v>-0.301769382664727</v>
      </c>
      <c r="M578" s="25" t="n">
        <f aca="false">IF(COUNT(G549:G578)&lt;20,"",_xlfn.STDEV.S(G549:G578)*SQRT($R$3))</f>
        <v>0.55092450226455</v>
      </c>
      <c r="N578" s="25" t="n">
        <f aca="false">IF(A578-7&lt;$R$2,"",C578/INDEX(Clean_Data!$C$2:$C$4314,MATCH(A578-7,Clean_Data!$A$2:$A$4314,1))-1)</f>
        <v>-0.178255817509097</v>
      </c>
      <c r="O578" s="25" t="n">
        <f aca="false">IF(A578-30&lt;$R$2,"",C578/INDEX(Clean_Data!$C$2:$C$4314,MATCH(A578-30,Clean_Data!$A$2:$A$4314,1))-1)</f>
        <v>-0.190008288749906</v>
      </c>
    </row>
    <row r="579" customFormat="false" ht="15" hidden="false" customHeight="false" outlineLevel="0" collapsed="false">
      <c r="A579" s="16" t="n">
        <v>42585</v>
      </c>
      <c r="B579" s="23" t="n">
        <f aca="false">YEAR(A579)</f>
        <v>2016</v>
      </c>
      <c r="C579" s="17" t="n">
        <v>573.36</v>
      </c>
      <c r="D579" s="23" t="n">
        <f aca="false">A579-A578</f>
        <v>1</v>
      </c>
      <c r="E579" s="24" t="n">
        <f aca="false">LN(C579)</f>
        <v>6.35151379168566</v>
      </c>
      <c r="F579" s="25" t="n">
        <f aca="false">LN(C579/C578)</f>
        <v>0.0646408471949909</v>
      </c>
      <c r="G579" s="25" t="n">
        <f aca="false">IF(AND(D579=1,A579&gt;=$R$2),F579,"")</f>
        <v>0.0646408471949909</v>
      </c>
      <c r="H579" s="27" t="n">
        <f aca="false">IF(G579="","",G579^2)</f>
        <v>0.00417843912608617</v>
      </c>
      <c r="I579" s="25" t="n">
        <f aca="false">IF(G579="","",C579/C578-1)</f>
        <v>0.06677582004577</v>
      </c>
      <c r="J579" s="17" t="n">
        <f aca="false">AVERAGE(C380:C579)</f>
        <v>497.2423</v>
      </c>
      <c r="K579" s="17" t="n">
        <f aca="false">MAX(K578,C579)</f>
        <v>769.76</v>
      </c>
      <c r="L579" s="25" t="n">
        <f aca="false">C579/K579-1</f>
        <v>-0.2551444606111</v>
      </c>
      <c r="M579" s="25" t="n">
        <f aca="false">IF(COUNT(G550:G579)&lt;20,"",_xlfn.STDEV.S(G550:G579)*SQRT($R$3))</f>
        <v>0.593856562266386</v>
      </c>
      <c r="N579" s="25" t="n">
        <f aca="false">IF(A579-7&lt;$R$2,"",C579/INDEX(Clean_Data!$C$2:$C$4314,MATCH(A579-7,Clean_Data!$A$2:$A$4314,1))-1)</f>
        <v>-0.127770594051875</v>
      </c>
      <c r="O579" s="25" t="n">
        <f aca="false">IF(A579-30&lt;$R$2,"",C579/INDEX(Clean_Data!$C$2:$C$4314,MATCH(A579-30,Clean_Data!$A$2:$A$4314,1))-1)</f>
        <v>-0.159271532889528</v>
      </c>
    </row>
    <row r="580" customFormat="false" ht="15" hidden="false" customHeight="false" outlineLevel="0" collapsed="false">
      <c r="A580" s="16" t="n">
        <v>42586</v>
      </c>
      <c r="B580" s="23" t="n">
        <f aca="false">YEAR(A580)</f>
        <v>2016</v>
      </c>
      <c r="C580" s="17" t="n">
        <v>587.5</v>
      </c>
      <c r="D580" s="23" t="n">
        <f aca="false">A580-A579</f>
        <v>1</v>
      </c>
      <c r="E580" s="24" t="n">
        <f aca="false">LN(C580)</f>
        <v>6.37587624601831</v>
      </c>
      <c r="F580" s="25" t="n">
        <f aca="false">LN(C580/C579)</f>
        <v>0.0243624543326501</v>
      </c>
      <c r="G580" s="25" t="n">
        <f aca="false">IF(AND(D580=1,A580&gt;=$R$2),F580,"")</f>
        <v>0.0243624543326501</v>
      </c>
      <c r="H580" s="27" t="n">
        <f aca="false">IF(G580="","",G580^2)</f>
        <v>0.000593529181110463</v>
      </c>
      <c r="I580" s="25" t="n">
        <f aca="false">IF(G580="","",C580/C579-1)</f>
        <v>0.0246616436444815</v>
      </c>
      <c r="J580" s="17" t="n">
        <f aca="false">AVERAGE(C381:C580)</f>
        <v>498.2875</v>
      </c>
      <c r="K580" s="17" t="n">
        <f aca="false">MAX(K579,C580)</f>
        <v>769.76</v>
      </c>
      <c r="L580" s="25" t="n">
        <f aca="false">C580/K580-1</f>
        <v>-0.236775098732072</v>
      </c>
      <c r="M580" s="25" t="n">
        <f aca="false">IF(COUNT(G551:G580)&lt;20,"",_xlfn.STDEV.S(G551:G580)*SQRT($R$3))</f>
        <v>0.601248896382415</v>
      </c>
      <c r="N580" s="25" t="n">
        <f aca="false">IF(A580-7&lt;$R$2,"",C580/INDEX(Clean_Data!$C$2:$C$4314,MATCH(A580-7,Clean_Data!$A$2:$A$4314,1))-1)</f>
        <v>-0.106327958624886</v>
      </c>
      <c r="O580" s="25" t="n">
        <f aca="false">IF(A580-30&lt;$R$2,"",C580/INDEX(Clean_Data!$C$2:$C$4314,MATCH(A580-30,Clean_Data!$A$2:$A$4314,1))-1)</f>
        <v>-0.122964157224536</v>
      </c>
    </row>
    <row r="581" customFormat="false" ht="15" hidden="false" customHeight="false" outlineLevel="0" collapsed="false">
      <c r="A581" s="16" t="n">
        <v>42587</v>
      </c>
      <c r="B581" s="23" t="n">
        <f aca="false">YEAR(A581)</f>
        <v>2016</v>
      </c>
      <c r="C581" s="17" t="n">
        <v>583</v>
      </c>
      <c r="D581" s="23" t="n">
        <f aca="false">A581-A580</f>
        <v>1</v>
      </c>
      <c r="E581" s="24" t="n">
        <f aca="false">LN(C581)</f>
        <v>6.36818718635049</v>
      </c>
      <c r="F581" s="25" t="n">
        <f aca="false">LN(C581/C580)</f>
        <v>-0.00768905966782162</v>
      </c>
      <c r="G581" s="25" t="n">
        <f aca="false">IF(AND(D581=1,A581&gt;=$R$2),F581,"")</f>
        <v>-0.00768905966782162</v>
      </c>
      <c r="H581" s="27" t="n">
        <f aca="false">IF(G581="","",G581^2)</f>
        <v>5.9121638575321E-005</v>
      </c>
      <c r="I581" s="25" t="n">
        <f aca="false">IF(G581="","",C581/C580-1)</f>
        <v>-0.00765957446808507</v>
      </c>
      <c r="J581" s="17" t="n">
        <f aca="false">AVERAGE(C382:C581)</f>
        <v>499.27805</v>
      </c>
      <c r="K581" s="17" t="n">
        <f aca="false">MAX(K580,C581)</f>
        <v>769.76</v>
      </c>
      <c r="L581" s="25" t="n">
        <f aca="false">C581/K581-1</f>
        <v>-0.242621076699231</v>
      </c>
      <c r="M581" s="25" t="n">
        <f aca="false">IF(COUNT(G552:G581)&lt;20,"",_xlfn.STDEV.S(G552:G581)*SQRT($R$3))</f>
        <v>0.59795949882261</v>
      </c>
      <c r="N581" s="25" t="n">
        <f aca="false">IF(A581-7&lt;$R$2,"",C581/INDEX(Clean_Data!$C$2:$C$4314,MATCH(A581-7,Clean_Data!$A$2:$A$4314,1))-1)</f>
        <v>-0.112633181126332</v>
      </c>
      <c r="O581" s="25" t="n">
        <f aca="false">IF(A581-30&lt;$R$2,"",C581/INDEX(Clean_Data!$C$2:$C$4314,MATCH(A581-30,Clean_Data!$A$2:$A$4314,1))-1)</f>
        <v>-0.141118755432461</v>
      </c>
    </row>
    <row r="582" customFormat="false" ht="15" hidden="false" customHeight="false" outlineLevel="0" collapsed="false">
      <c r="A582" s="16" t="n">
        <v>42588</v>
      </c>
      <c r="B582" s="23" t="n">
        <f aca="false">YEAR(A582)</f>
        <v>2016</v>
      </c>
      <c r="C582" s="17" t="n">
        <v>591.71</v>
      </c>
      <c r="D582" s="23" t="n">
        <f aca="false">A582-A581</f>
        <v>1</v>
      </c>
      <c r="E582" s="24" t="n">
        <f aca="false">LN(C582)</f>
        <v>6.38301664999615</v>
      </c>
      <c r="F582" s="25" t="n">
        <f aca="false">LN(C582/C581)</f>
        <v>0.0148294636456573</v>
      </c>
      <c r="G582" s="25" t="n">
        <f aca="false">IF(AND(D582=1,A582&gt;=$R$2),F582,"")</f>
        <v>0.0148294636456573</v>
      </c>
      <c r="H582" s="27" t="n">
        <f aca="false">IF(G582="","",G582^2)</f>
        <v>0.00021991299201787</v>
      </c>
      <c r="I582" s="25" t="n">
        <f aca="false">IF(G582="","",C582/C581-1)</f>
        <v>0.0149399656946827</v>
      </c>
      <c r="J582" s="17" t="n">
        <f aca="false">AVERAGE(C383:C582)</f>
        <v>500.36025</v>
      </c>
      <c r="K582" s="17" t="n">
        <f aca="false">MAX(K581,C582)</f>
        <v>769.76</v>
      </c>
      <c r="L582" s="25" t="n">
        <f aca="false">C582/K582-1</f>
        <v>-0.231305861567242</v>
      </c>
      <c r="M582" s="25" t="n">
        <f aca="false">IF(COUNT(G553:G582)&lt;20,"",_xlfn.STDEV.S(G553:G582)*SQRT($R$3))</f>
        <v>0.572797420240458</v>
      </c>
      <c r="N582" s="25" t="n">
        <f aca="false">IF(A582-7&lt;$R$2,"",C582/INDEX(Clean_Data!$C$2:$C$4314,MATCH(A582-7,Clean_Data!$A$2:$A$4314,1))-1)</f>
        <v>-0.0978242639547471</v>
      </c>
      <c r="O582" s="25" t="n">
        <f aca="false">IF(A582-30&lt;$R$2,"",C582/INDEX(Clean_Data!$C$2:$C$4314,MATCH(A582-30,Clean_Data!$A$2:$A$4314,1))-1)</f>
        <v>-0.0782902627848653</v>
      </c>
    </row>
    <row r="583" customFormat="false" ht="15" hidden="false" customHeight="false" outlineLevel="0" collapsed="false">
      <c r="A583" s="16" t="n">
        <v>42589</v>
      </c>
      <c r="B583" s="23" t="n">
        <f aca="false">YEAR(A583)</f>
        <v>2016</v>
      </c>
      <c r="C583" s="17" t="n">
        <v>595.14</v>
      </c>
      <c r="D583" s="23" t="n">
        <f aca="false">A583-A582</f>
        <v>1</v>
      </c>
      <c r="E583" s="24" t="n">
        <f aca="false">LN(C583)</f>
        <v>6.38879667198596</v>
      </c>
      <c r="F583" s="25" t="n">
        <f aca="false">LN(C583/C582)</f>
        <v>0.00578002198980758</v>
      </c>
      <c r="G583" s="25" t="n">
        <f aca="false">IF(AND(D583=1,A583&gt;=$R$2),F583,"")</f>
        <v>0.00578002198980758</v>
      </c>
      <c r="H583" s="27" t="n">
        <f aca="false">IF(G583="","",G583^2)</f>
        <v>3.34086542026592E-005</v>
      </c>
      <c r="I583" s="25" t="n">
        <f aca="false">IF(G583="","",C583/C582-1)</f>
        <v>0.00579675854726114</v>
      </c>
      <c r="J583" s="17" t="n">
        <f aca="false">AVERAGE(C384:C583)</f>
        <v>501.24325</v>
      </c>
      <c r="K583" s="17" t="n">
        <f aca="false">MAX(K582,C583)</f>
        <v>769.76</v>
      </c>
      <c r="L583" s="25" t="n">
        <f aca="false">C583/K583-1</f>
        <v>-0.226849927250052</v>
      </c>
      <c r="M583" s="25" t="n">
        <f aca="false">IF(COUNT(G554:G583)&lt;20,"",_xlfn.STDEV.S(G554:G583)*SQRT($R$3))</f>
        <v>0.553998551297538</v>
      </c>
      <c r="N583" s="25" t="n">
        <f aca="false">IF(A583-7&lt;$R$2,"",C583/INDEX(Clean_Data!$C$2:$C$4314,MATCH(A583-7,Clean_Data!$A$2:$A$4314,1))-1)</f>
        <v>-0.0507679793291546</v>
      </c>
      <c r="O583" s="25" t="n">
        <f aca="false">IF(A583-30&lt;$R$2,"",C583/INDEX(Clean_Data!$C$2:$C$4314,MATCH(A583-30,Clean_Data!$A$2:$A$4314,1))-1)</f>
        <v>-0.108177363523294</v>
      </c>
    </row>
    <row r="584" customFormat="false" ht="15" hidden="false" customHeight="false" outlineLevel="0" collapsed="false">
      <c r="A584" s="16" t="n">
        <v>42590</v>
      </c>
      <c r="B584" s="23" t="n">
        <f aca="false">YEAR(A584)</f>
        <v>2016</v>
      </c>
      <c r="C584" s="17" t="n">
        <v>591.48</v>
      </c>
      <c r="D584" s="23" t="n">
        <f aca="false">A584-A583</f>
        <v>1</v>
      </c>
      <c r="E584" s="24" t="n">
        <f aca="false">LN(C584)</f>
        <v>6.38262787050529</v>
      </c>
      <c r="F584" s="25" t="n">
        <f aca="false">LN(C584/C583)</f>
        <v>-0.00616880148067065</v>
      </c>
      <c r="G584" s="25" t="n">
        <f aca="false">IF(AND(D584=1,A584&gt;=$R$2),F584,"")</f>
        <v>-0.00616880148067065</v>
      </c>
      <c r="H584" s="27" t="n">
        <f aca="false">IF(G584="","",G584^2)</f>
        <v>3.80541117079244E-005</v>
      </c>
      <c r="I584" s="25" t="n">
        <f aca="false">IF(G584="","",C584/C583-1)</f>
        <v>-0.00614981348926302</v>
      </c>
      <c r="J584" s="17" t="n">
        <f aca="false">AVERAGE(C385:C584)</f>
        <v>502.15375</v>
      </c>
      <c r="K584" s="17" t="n">
        <f aca="false">MAX(K583,C584)</f>
        <v>769.76</v>
      </c>
      <c r="L584" s="25" t="n">
        <f aca="false">C584/K584-1</f>
        <v>-0.231604655996674</v>
      </c>
      <c r="M584" s="25" t="n">
        <f aca="false">IF(COUNT(G555:G584)&lt;20,"",_xlfn.STDEV.S(G555:G584)*SQRT($R$3))</f>
        <v>0.552693672946157</v>
      </c>
      <c r="N584" s="25" t="n">
        <f aca="false">IF(A584-7&lt;$R$2,"",C584/INDEX(Clean_Data!$C$2:$C$4314,MATCH(A584-7,Clean_Data!$A$2:$A$4314,1))-1)</f>
        <v>-0.0226701916721745</v>
      </c>
      <c r="O584" s="25" t="n">
        <f aca="false">IF(A584-30&lt;$R$2,"",C584/INDEX(Clean_Data!$C$2:$C$4314,MATCH(A584-30,Clean_Data!$A$2:$A$4314,1))-1)</f>
        <v>-0.100561122853971</v>
      </c>
    </row>
    <row r="585" customFormat="false" ht="15" hidden="false" customHeight="false" outlineLevel="0" collapsed="false">
      <c r="A585" s="16" t="n">
        <v>42591</v>
      </c>
      <c r="B585" s="23" t="n">
        <f aca="false">YEAR(A585)</f>
        <v>2016</v>
      </c>
      <c r="C585" s="17" t="n">
        <v>586.45</v>
      </c>
      <c r="D585" s="23" t="n">
        <f aca="false">A585-A584</f>
        <v>1</v>
      </c>
      <c r="E585" s="24" t="n">
        <f aca="false">LN(C585)</f>
        <v>6.37408741296751</v>
      </c>
      <c r="F585" s="25" t="n">
        <f aca="false">LN(C585/C584)</f>
        <v>-0.00854045753777256</v>
      </c>
      <c r="G585" s="25" t="n">
        <f aca="false">IF(AND(D585=1,A585&gt;=$R$2),F585,"")</f>
        <v>-0.00854045753777256</v>
      </c>
      <c r="H585" s="27" t="n">
        <f aca="false">IF(G585="","",G585^2)</f>
        <v>7.29394149544962E-005</v>
      </c>
      <c r="I585" s="25" t="n">
        <f aca="false">IF(G585="","",C585/C584-1)</f>
        <v>-0.00850409143166286</v>
      </c>
      <c r="J585" s="17" t="n">
        <f aca="false">AVERAGE(C386:C585)</f>
        <v>503.1715</v>
      </c>
      <c r="K585" s="17" t="n">
        <f aca="false">MAX(K584,C585)</f>
        <v>769.76</v>
      </c>
      <c r="L585" s="25" t="n">
        <f aca="false">C585/K585-1</f>
        <v>-0.238139160257743</v>
      </c>
      <c r="M585" s="25" t="n">
        <f aca="false">IF(COUNT(G556:G585)&lt;20,"",_xlfn.STDEV.S(G556:G585)*SQRT($R$3))</f>
        <v>0.552762583205985</v>
      </c>
      <c r="N585" s="25" t="n">
        <f aca="false">IF(A585-7&lt;$R$2,"",C585/INDEX(Clean_Data!$C$2:$C$4314,MATCH(A585-7,Clean_Data!$A$2:$A$4314,1))-1)</f>
        <v>0.0911306677582005</v>
      </c>
      <c r="O585" s="25" t="n">
        <f aca="false">IF(A585-30&lt;$R$2,"",C585/INDEX(Clean_Data!$C$2:$C$4314,MATCH(A585-30,Clean_Data!$A$2:$A$4314,1))-1)</f>
        <v>-0.101143400159402</v>
      </c>
    </row>
    <row r="586" customFormat="false" ht="15" hidden="false" customHeight="false" outlineLevel="0" collapsed="false">
      <c r="A586" s="16" t="n">
        <v>42592</v>
      </c>
      <c r="B586" s="23" t="n">
        <f aca="false">YEAR(A586)</f>
        <v>2016</v>
      </c>
      <c r="C586" s="17" t="n">
        <v>594.94</v>
      </c>
      <c r="D586" s="23" t="n">
        <f aca="false">A586-A585</f>
        <v>1</v>
      </c>
      <c r="E586" s="24" t="n">
        <f aca="false">LN(C586)</f>
        <v>6.38846056012477</v>
      </c>
      <c r="F586" s="25" t="n">
        <f aca="false">LN(C586/C585)</f>
        <v>0.0143731471572527</v>
      </c>
      <c r="G586" s="25" t="n">
        <f aca="false">IF(AND(D586=1,A586&gt;=$R$2),F586,"")</f>
        <v>0.0143731471572527</v>
      </c>
      <c r="H586" s="27" t="n">
        <f aca="false">IF(G586="","",G586^2)</f>
        <v>0.000206587359204041</v>
      </c>
      <c r="I586" s="25" t="n">
        <f aca="false">IF(G586="","",C586/C585-1)</f>
        <v>0.0144769375053286</v>
      </c>
      <c r="J586" s="17" t="n">
        <f aca="false">AVERAGE(C387:C586)</f>
        <v>504.2087</v>
      </c>
      <c r="K586" s="17" t="n">
        <f aca="false">MAX(K585,C586)</f>
        <v>769.76</v>
      </c>
      <c r="L586" s="25" t="n">
        <f aca="false">C586/K586-1</f>
        <v>-0.227109748493037</v>
      </c>
      <c r="M586" s="25" t="n">
        <f aca="false">IF(COUNT(G557:G586)&lt;20,"",_xlfn.STDEV.S(G557:G586)*SQRT($R$3))</f>
        <v>0.556286255762711</v>
      </c>
      <c r="N586" s="25" t="n">
        <f aca="false">IF(A586-7&lt;$R$2,"",C586/INDEX(Clean_Data!$C$2:$C$4314,MATCH(A586-7,Clean_Data!$A$2:$A$4314,1))-1)</f>
        <v>0.0376377842891029</v>
      </c>
      <c r="O586" s="25" t="n">
        <f aca="false">IF(A586-30&lt;$R$2,"",C586/INDEX(Clean_Data!$C$2:$C$4314,MATCH(A586-30,Clean_Data!$A$2:$A$4314,1))-1)</f>
        <v>-0.0860715547567476</v>
      </c>
    </row>
    <row r="587" customFormat="false" ht="15" hidden="false" customHeight="false" outlineLevel="0" collapsed="false">
      <c r="A587" s="16" t="n">
        <v>42593</v>
      </c>
      <c r="B587" s="23" t="n">
        <f aca="false">YEAR(A587)</f>
        <v>2016</v>
      </c>
      <c r="C587" s="17" t="n">
        <v>587.91</v>
      </c>
      <c r="D587" s="23" t="n">
        <f aca="false">A587-A586</f>
        <v>1</v>
      </c>
      <c r="E587" s="24" t="n">
        <f aca="false">LN(C587)</f>
        <v>6.37657387495907</v>
      </c>
      <c r="F587" s="25" t="n">
        <f aca="false">LN(C587/C586)</f>
        <v>-0.0118866851656945</v>
      </c>
      <c r="G587" s="25" t="n">
        <f aca="false">IF(AND(D587=1,A587&gt;=$R$2),F587,"")</f>
        <v>-0.0118866851656945</v>
      </c>
      <c r="H587" s="27" t="n">
        <f aca="false">IF(G587="","",G587^2)</f>
        <v>0.000141293284228341</v>
      </c>
      <c r="I587" s="25" t="n">
        <f aca="false">IF(G587="","",C587/C586-1)</f>
        <v>-0.0118163176118602</v>
      </c>
      <c r="J587" s="17" t="n">
        <f aca="false">AVERAGE(C388:C587)</f>
        <v>505.133</v>
      </c>
      <c r="K587" s="17" t="n">
        <f aca="false">MAX(K586,C587)</f>
        <v>769.76</v>
      </c>
      <c r="L587" s="25" t="n">
        <f aca="false">C587/K587-1</f>
        <v>-0.236242465183953</v>
      </c>
      <c r="M587" s="25" t="n">
        <f aca="false">IF(COUNT(G558:G587)&lt;20,"",_xlfn.STDEV.S(G558:G587)*SQRT($R$3))</f>
        <v>0.548605341649879</v>
      </c>
      <c r="N587" s="25" t="n">
        <f aca="false">IF(A587-7&lt;$R$2,"",C587/INDEX(Clean_Data!$C$2:$C$4314,MATCH(A587-7,Clean_Data!$A$2:$A$4314,1))-1)</f>
        <v>0.000697872340425398</v>
      </c>
      <c r="O587" s="25" t="n">
        <f aca="false">IF(A587-30&lt;$R$2,"",C587/INDEX(Clean_Data!$C$2:$C$4314,MATCH(A587-30,Clean_Data!$A$2:$A$4314,1))-1)</f>
        <v>-0.117993879020643</v>
      </c>
    </row>
    <row r="588" customFormat="false" ht="15" hidden="false" customHeight="false" outlineLevel="0" collapsed="false">
      <c r="A588" s="16" t="n">
        <v>42594</v>
      </c>
      <c r="B588" s="23" t="n">
        <f aca="false">YEAR(A588)</f>
        <v>2016</v>
      </c>
      <c r="C588" s="17" t="n">
        <v>587.74</v>
      </c>
      <c r="D588" s="23" t="n">
        <f aca="false">A588-A587</f>
        <v>1</v>
      </c>
      <c r="E588" s="24" t="n">
        <f aca="false">LN(C588)</f>
        <v>6.37628467323886</v>
      </c>
      <c r="F588" s="25" t="n">
        <f aca="false">LN(C588/C587)</f>
        <v>-0.000289201720214081</v>
      </c>
      <c r="G588" s="25" t="n">
        <f aca="false">IF(AND(D588=1,A588&gt;=$R$2),F588,"")</f>
        <v>-0.000289201720214081</v>
      </c>
      <c r="H588" s="27" t="n">
        <f aca="false">IF(G588="","",G588^2)</f>
        <v>8.36376349747838E-008</v>
      </c>
      <c r="I588" s="25" t="n">
        <f aca="false">IF(G588="","",C588/C587-1)</f>
        <v>-0.000289159905427661</v>
      </c>
      <c r="J588" s="17" t="n">
        <f aca="false">AVERAGE(C389:C588)</f>
        <v>506.1147</v>
      </c>
      <c r="K588" s="17" t="n">
        <f aca="false">MAX(K587,C588)</f>
        <v>769.76</v>
      </c>
      <c r="L588" s="25" t="n">
        <f aca="false">C588/K588-1</f>
        <v>-0.236463313240491</v>
      </c>
      <c r="M588" s="25" t="n">
        <f aca="false">IF(COUNT(G559:G588)&lt;20,"",_xlfn.STDEV.S(G559:G588)*SQRT($R$3))</f>
        <v>0.546793284401554</v>
      </c>
      <c r="N588" s="25" t="n">
        <f aca="false">IF(A588-7&lt;$R$2,"",C588/INDEX(Clean_Data!$C$2:$C$4314,MATCH(A588-7,Clean_Data!$A$2:$A$4314,1))-1)</f>
        <v>0.00813036020583202</v>
      </c>
      <c r="O588" s="25" t="n">
        <f aca="false">IF(A588-30&lt;$R$2,"",C588/INDEX(Clean_Data!$C$2:$C$4314,MATCH(A588-30,Clean_Data!$A$2:$A$4314,1))-1)</f>
        <v>-0.103152562028871</v>
      </c>
    </row>
    <row r="589" customFormat="false" ht="15" hidden="false" customHeight="false" outlineLevel="0" collapsed="false">
      <c r="A589" s="16" t="n">
        <v>42595</v>
      </c>
      <c r="B589" s="23" t="n">
        <f aca="false">YEAR(A589)</f>
        <v>2016</v>
      </c>
      <c r="C589" s="17" t="n">
        <v>586.45</v>
      </c>
      <c r="D589" s="23" t="n">
        <f aca="false">A589-A588</f>
        <v>1</v>
      </c>
      <c r="E589" s="24" t="n">
        <f aca="false">LN(C589)</f>
        <v>6.37408741296751</v>
      </c>
      <c r="F589" s="25" t="n">
        <f aca="false">LN(C589/C588)</f>
        <v>-0.00219726027134418</v>
      </c>
      <c r="G589" s="25" t="n">
        <f aca="false">IF(AND(D589=1,A589&gt;=$R$2),F589,"")</f>
        <v>-0.00219726027134418</v>
      </c>
      <c r="H589" s="27" t="n">
        <f aca="false">IF(G589="","",G589^2)</f>
        <v>4.8279527000275E-006</v>
      </c>
      <c r="I589" s="25" t="n">
        <f aca="false">IF(G589="","",C589/C588-1)</f>
        <v>-0.00219484806206816</v>
      </c>
      <c r="J589" s="17" t="n">
        <f aca="false">AVERAGE(C390:C589)</f>
        <v>507.08925</v>
      </c>
      <c r="K589" s="17" t="n">
        <f aca="false">MAX(K588,C589)</f>
        <v>769.76</v>
      </c>
      <c r="L589" s="25" t="n">
        <f aca="false">C589/K589-1</f>
        <v>-0.238139160257743</v>
      </c>
      <c r="M589" s="25" t="n">
        <f aca="false">IF(COUNT(G560:G589)&lt;20,"",_xlfn.STDEV.S(G560:G589)*SQRT($R$3))</f>
        <v>0.544750980203885</v>
      </c>
      <c r="N589" s="25" t="n">
        <f aca="false">IF(A589-7&lt;$R$2,"",C589/INDEX(Clean_Data!$C$2:$C$4314,MATCH(A589-7,Clean_Data!$A$2:$A$4314,1))-1)</f>
        <v>-0.00888948978384685</v>
      </c>
      <c r="O589" s="25" t="n">
        <f aca="false">IF(A589-30&lt;$R$2,"",C589/INDEX(Clean_Data!$C$2:$C$4314,MATCH(A589-30,Clean_Data!$A$2:$A$4314,1))-1)</f>
        <v>-0.113655255799894</v>
      </c>
    </row>
    <row r="590" customFormat="false" ht="15" hidden="false" customHeight="false" outlineLevel="0" collapsed="false">
      <c r="A590" s="16" t="n">
        <v>42596</v>
      </c>
      <c r="B590" s="23" t="n">
        <f aca="false">YEAR(A590)</f>
        <v>2016</v>
      </c>
      <c r="C590" s="17" t="n">
        <v>574.99</v>
      </c>
      <c r="D590" s="23" t="n">
        <f aca="false">A590-A589</f>
        <v>1</v>
      </c>
      <c r="E590" s="24" t="n">
        <f aca="false">LN(C590)</f>
        <v>6.35435264934177</v>
      </c>
      <c r="F590" s="25" t="n">
        <f aca="false">LN(C590/C589)</f>
        <v>-0.019734763625742</v>
      </c>
      <c r="G590" s="25" t="n">
        <f aca="false">IF(AND(D590=1,A590&gt;=$R$2),F590,"")</f>
        <v>-0.019734763625742</v>
      </c>
      <c r="H590" s="27" t="n">
        <f aca="false">IF(G590="","",G590^2)</f>
        <v>0.000389460895363911</v>
      </c>
      <c r="I590" s="25" t="n">
        <f aca="false">IF(G590="","",C590/C589-1)</f>
        <v>-0.0195413078693837</v>
      </c>
      <c r="J590" s="17" t="n">
        <f aca="false">AVERAGE(C391:C590)</f>
        <v>507.99025</v>
      </c>
      <c r="K590" s="17" t="n">
        <f aca="false">MAX(K589,C590)</f>
        <v>769.76</v>
      </c>
      <c r="L590" s="25" t="n">
        <f aca="false">C590/K590-1</f>
        <v>-0.253026917480773</v>
      </c>
      <c r="M590" s="25" t="n">
        <f aca="false">IF(COUNT(G561:G590)&lt;20,"",_xlfn.STDEV.S(G561:G590)*SQRT($R$3))</f>
        <v>0.54539887766572</v>
      </c>
      <c r="N590" s="25" t="n">
        <f aca="false">IF(A590-7&lt;$R$2,"",C590/INDEX(Clean_Data!$C$2:$C$4314,MATCH(A590-7,Clean_Data!$A$2:$A$4314,1))-1)</f>
        <v>-0.0338575797291393</v>
      </c>
      <c r="O590" s="25" t="n">
        <f aca="false">IF(A590-30&lt;$R$2,"",C590/INDEX(Clean_Data!$C$2:$C$4314,MATCH(A590-30,Clean_Data!$A$2:$A$4314,1))-1)</f>
        <v>-0.138565949541559</v>
      </c>
    </row>
    <row r="591" customFormat="false" ht="15" hidden="false" customHeight="false" outlineLevel="0" collapsed="false">
      <c r="A591" s="16" t="n">
        <v>42597</v>
      </c>
      <c r="B591" s="23" t="n">
        <f aca="false">YEAR(A591)</f>
        <v>2016</v>
      </c>
      <c r="C591" s="17" t="n">
        <v>567.79</v>
      </c>
      <c r="D591" s="23" t="n">
        <f aca="false">A591-A590</f>
        <v>1</v>
      </c>
      <c r="E591" s="24" t="n">
        <f aca="false">LN(C591)</f>
        <v>6.34175163204863</v>
      </c>
      <c r="F591" s="25" t="n">
        <f aca="false">LN(C591/C590)</f>
        <v>-0.0126010172931448</v>
      </c>
      <c r="G591" s="25" t="n">
        <f aca="false">IF(AND(D591=1,A591&gt;=$R$2),F591,"")</f>
        <v>-0.0126010172931448</v>
      </c>
      <c r="H591" s="27" t="n">
        <f aca="false">IF(G591="","",G591^2)</f>
        <v>0.000158785636822133</v>
      </c>
      <c r="I591" s="25" t="n">
        <f aca="false">IF(G591="","",C591/C590-1)</f>
        <v>-0.0125219569035984</v>
      </c>
      <c r="J591" s="17" t="n">
        <f aca="false">AVERAGE(C392:C591)</f>
        <v>508.93115</v>
      </c>
      <c r="K591" s="17" t="n">
        <f aca="false">MAX(K590,C591)</f>
        <v>769.76</v>
      </c>
      <c r="L591" s="25" t="n">
        <f aca="false">C591/K591-1</f>
        <v>-0.262380482228227</v>
      </c>
      <c r="M591" s="25" t="n">
        <f aca="false">IF(COUNT(G562:G591)&lt;20,"",_xlfn.STDEV.S(G562:G591)*SQRT($R$3))</f>
        <v>0.545904284942633</v>
      </c>
      <c r="N591" s="25" t="n">
        <f aca="false">IF(A591-7&lt;$R$2,"",C591/INDEX(Clean_Data!$C$2:$C$4314,MATCH(A591-7,Clean_Data!$A$2:$A$4314,1))-1)</f>
        <v>-0.0400520727666194</v>
      </c>
      <c r="O591" s="25" t="n">
        <f aca="false">IF(A591-30&lt;$R$2,"",C591/INDEX(Clean_Data!$C$2:$C$4314,MATCH(A591-30,Clean_Data!$A$2:$A$4314,1))-1)</f>
        <v>-0.14787189338456</v>
      </c>
    </row>
    <row r="592" customFormat="false" ht="15" hidden="false" customHeight="false" outlineLevel="0" collapsed="false">
      <c r="A592" s="16" t="n">
        <v>42598</v>
      </c>
      <c r="B592" s="23" t="n">
        <f aca="false">YEAR(A592)</f>
        <v>2016</v>
      </c>
      <c r="C592" s="17" t="n">
        <v>579.02</v>
      </c>
      <c r="D592" s="23" t="n">
        <f aca="false">A592-A591</f>
        <v>1</v>
      </c>
      <c r="E592" s="24" t="n">
        <f aca="false">LN(C592)</f>
        <v>6.36133701929076</v>
      </c>
      <c r="F592" s="25" t="n">
        <f aca="false">LN(C592/C591)</f>
        <v>0.019585387242131</v>
      </c>
      <c r="G592" s="25" t="n">
        <f aca="false">IF(AND(D592=1,A592&gt;=$R$2),F592,"")</f>
        <v>0.019585387242131</v>
      </c>
      <c r="H592" s="27" t="n">
        <f aca="false">IF(G592="","",G592^2)</f>
        <v>0.000383587393424226</v>
      </c>
      <c r="I592" s="25" t="n">
        <f aca="false">IF(G592="","",C592/C591-1)</f>
        <v>0.0197784392116804</v>
      </c>
      <c r="J592" s="17" t="n">
        <f aca="false">AVERAGE(C393:C592)</f>
        <v>509.93285</v>
      </c>
      <c r="K592" s="17" t="n">
        <f aca="false">MAX(K591,C592)</f>
        <v>769.76</v>
      </c>
      <c r="L592" s="25" t="n">
        <f aca="false">C592/K592-1</f>
        <v>-0.247791519434629</v>
      </c>
      <c r="M592" s="25" t="n">
        <f aca="false">IF(COUNT(G563:G592)&lt;20,"",_xlfn.STDEV.S(G563:G592)*SQRT($R$3))</f>
        <v>0.545473992213546</v>
      </c>
      <c r="N592" s="25" t="n">
        <f aca="false">IF(A592-7&lt;$R$2,"",C592/INDEX(Clean_Data!$C$2:$C$4314,MATCH(A592-7,Clean_Data!$A$2:$A$4314,1))-1)</f>
        <v>-0.0126694517861712</v>
      </c>
      <c r="O592" s="25" t="n">
        <f aca="false">IF(A592-30&lt;$R$2,"",C592/INDEX(Clean_Data!$C$2:$C$4314,MATCH(A592-30,Clean_Data!$A$2:$A$4314,1))-1)</f>
        <v>-0.1485</v>
      </c>
    </row>
    <row r="593" customFormat="false" ht="15" hidden="false" customHeight="false" outlineLevel="0" collapsed="false">
      <c r="A593" s="16" t="n">
        <v>42599</v>
      </c>
      <c r="B593" s="23" t="n">
        <f aca="false">YEAR(A593)</f>
        <v>2016</v>
      </c>
      <c r="C593" s="17" t="n">
        <v>574.45</v>
      </c>
      <c r="D593" s="23" t="n">
        <f aca="false">A593-A592</f>
        <v>1</v>
      </c>
      <c r="E593" s="24" t="n">
        <f aca="false">LN(C593)</f>
        <v>6.35341306129937</v>
      </c>
      <c r="F593" s="25" t="n">
        <f aca="false">LN(C593/C592)</f>
        <v>-0.00792395799138438</v>
      </c>
      <c r="G593" s="25" t="n">
        <f aca="false">IF(AND(D593=1,A593&gt;=$R$2),F593,"")</f>
        <v>-0.00792395799138438</v>
      </c>
      <c r="H593" s="27" t="n">
        <f aca="false">IF(G593="","",G593^2)</f>
        <v>6.27891102492243E-005</v>
      </c>
      <c r="I593" s="25" t="n">
        <f aca="false">IF(G593="","",C593/C592-1)</f>
        <v>-0.00789264619529539</v>
      </c>
      <c r="J593" s="17" t="n">
        <f aca="false">AVERAGE(C394:C593)</f>
        <v>510.9128</v>
      </c>
      <c r="K593" s="17" t="n">
        <f aca="false">MAX(K592,C593)</f>
        <v>769.76</v>
      </c>
      <c r="L593" s="25" t="n">
        <f aca="false">C593/K593-1</f>
        <v>-0.253728434836832</v>
      </c>
      <c r="M593" s="25" t="n">
        <f aca="false">IF(COUNT(G564:G593)&lt;20,"",_xlfn.STDEV.S(G564:G593)*SQRT($R$3))</f>
        <v>0.545530349631895</v>
      </c>
      <c r="N593" s="25" t="n">
        <f aca="false">IF(A593-7&lt;$R$2,"",C593/INDEX(Clean_Data!$C$2:$C$4314,MATCH(A593-7,Clean_Data!$A$2:$A$4314,1))-1)</f>
        <v>-0.0344404477762463</v>
      </c>
      <c r="O593" s="25" t="n">
        <f aca="false">IF(A593-30&lt;$R$2,"",C593/INDEX(Clean_Data!$C$2:$C$4314,MATCH(A593-30,Clean_Data!$A$2:$A$4314,1))-1)</f>
        <v>-0.14959289415248</v>
      </c>
    </row>
    <row r="594" customFormat="false" ht="15" hidden="false" customHeight="false" outlineLevel="0" collapsed="false">
      <c r="A594" s="16" t="n">
        <v>42600</v>
      </c>
      <c r="B594" s="23" t="n">
        <f aca="false">YEAR(A594)</f>
        <v>2016</v>
      </c>
      <c r="C594" s="17" t="n">
        <v>574.09</v>
      </c>
      <c r="D594" s="23" t="n">
        <f aca="false">A594-A593</f>
        <v>1</v>
      </c>
      <c r="E594" s="24" t="n">
        <f aca="false">LN(C594)</f>
        <v>6.35278617845369</v>
      </c>
      <c r="F594" s="25" t="n">
        <f aca="false">LN(C594/C593)</f>
        <v>-0.000626882845681445</v>
      </c>
      <c r="G594" s="25" t="n">
        <f aca="false">IF(AND(D594=1,A594&gt;=$R$2),F594,"")</f>
        <v>-0.000626882845681445</v>
      </c>
      <c r="H594" s="27" t="n">
        <f aca="false">IF(G594="","",G594^2)</f>
        <v>3.92982102209667E-007</v>
      </c>
      <c r="I594" s="25" t="n">
        <f aca="false">IF(G594="","",C594/C593-1)</f>
        <v>-0.000626686395682863</v>
      </c>
      <c r="J594" s="17" t="n">
        <f aca="false">AVERAGE(C395:C594)</f>
        <v>511.9435</v>
      </c>
      <c r="K594" s="17" t="n">
        <f aca="false">MAX(K593,C594)</f>
        <v>769.76</v>
      </c>
      <c r="L594" s="25" t="n">
        <f aca="false">C594/K594-1</f>
        <v>-0.254196113074205</v>
      </c>
      <c r="M594" s="25" t="n">
        <f aca="false">IF(COUNT(G565:G594)&lt;20,"",_xlfn.STDEV.S(G565:G594)*SQRT($R$3))</f>
        <v>0.545677912489394</v>
      </c>
      <c r="N594" s="25" t="n">
        <f aca="false">IF(A594-7&lt;$R$2,"",C594/INDEX(Clean_Data!$C$2:$C$4314,MATCH(A594-7,Clean_Data!$A$2:$A$4314,1))-1)</f>
        <v>-0.0235069993706518</v>
      </c>
      <c r="O594" s="25" t="n">
        <f aca="false">IF(A594-30&lt;$R$2,"",C594/INDEX(Clean_Data!$C$2:$C$4314,MATCH(A594-30,Clean_Data!$A$2:$A$4314,1))-1)</f>
        <v>-0.148209145671978</v>
      </c>
    </row>
    <row r="595" customFormat="false" ht="15" hidden="false" customHeight="false" outlineLevel="0" collapsed="false">
      <c r="A595" s="16" t="n">
        <v>42601</v>
      </c>
      <c r="B595" s="23" t="n">
        <f aca="false">YEAR(A595)</f>
        <v>2016</v>
      </c>
      <c r="C595" s="17" t="n">
        <v>573.67</v>
      </c>
      <c r="D595" s="23" t="n">
        <f aca="false">A595-A594</f>
        <v>1</v>
      </c>
      <c r="E595" s="24" t="n">
        <f aca="false">LN(C595)</f>
        <v>6.3520543181018</v>
      </c>
      <c r="F595" s="25" t="n">
        <f aca="false">LN(C595/C594)</f>
        <v>-0.000731860351897223</v>
      </c>
      <c r="G595" s="25" t="n">
        <f aca="false">IF(AND(D595=1,A595&gt;=$R$2),F595,"")</f>
        <v>-0.000731860351897223</v>
      </c>
      <c r="H595" s="27" t="n">
        <f aca="false">IF(G595="","",G595^2)</f>
        <v>5.35619574679127E-007</v>
      </c>
      <c r="I595" s="25" t="n">
        <f aca="false">IF(G595="","",C595/C594-1)</f>
        <v>-0.000731592607431053</v>
      </c>
      <c r="J595" s="17" t="n">
        <f aca="false">AVERAGE(C396:C595)</f>
        <v>512.9552</v>
      </c>
      <c r="K595" s="17" t="n">
        <f aca="false">MAX(K594,C595)</f>
        <v>769.76</v>
      </c>
      <c r="L595" s="25" t="n">
        <f aca="false">C595/K595-1</f>
        <v>-0.254741737684473</v>
      </c>
      <c r="M595" s="25" t="n">
        <f aca="false">IF(COUNT(G566:G595)&lt;20,"",_xlfn.STDEV.S(G566:G595)*SQRT($R$3))</f>
        <v>0.54557681915292</v>
      </c>
      <c r="N595" s="25" t="n">
        <f aca="false">IF(A595-7&lt;$R$2,"",C595/INDEX(Clean_Data!$C$2:$C$4314,MATCH(A595-7,Clean_Data!$A$2:$A$4314,1))-1)</f>
        <v>-0.0239391567700005</v>
      </c>
      <c r="O595" s="25" t="n">
        <f aca="false">IF(A595-30&lt;$R$2,"",C595/INDEX(Clean_Data!$C$2:$C$4314,MATCH(A595-30,Clean_Data!$A$2:$A$4314,1))-1)</f>
        <v>-0.139821867690278</v>
      </c>
    </row>
    <row r="596" customFormat="false" ht="15" hidden="false" customHeight="false" outlineLevel="0" collapsed="false">
      <c r="A596" s="16" t="n">
        <v>42602</v>
      </c>
      <c r="B596" s="23" t="n">
        <f aca="false">YEAR(A596)</f>
        <v>2016</v>
      </c>
      <c r="C596" s="17" t="n">
        <v>581.87</v>
      </c>
      <c r="D596" s="23" t="n">
        <f aca="false">A596-A595</f>
        <v>1</v>
      </c>
      <c r="E596" s="24" t="n">
        <f aca="false">LN(C596)</f>
        <v>6.36624705508356</v>
      </c>
      <c r="F596" s="25" t="n">
        <f aca="false">LN(C596/C595)</f>
        <v>0.0141927369817685</v>
      </c>
      <c r="G596" s="25" t="n">
        <f aca="false">IF(AND(D596=1,A596&gt;=$R$2),F596,"")</f>
        <v>0.0141927369817685</v>
      </c>
      <c r="H596" s="27" t="n">
        <f aca="false">IF(G596="","",G596^2)</f>
        <v>0.00020143378303366</v>
      </c>
      <c r="I596" s="25" t="n">
        <f aca="false">IF(G596="","",C596/C595-1)</f>
        <v>0.0142939320515281</v>
      </c>
      <c r="J596" s="17" t="n">
        <f aca="false">AVERAGE(C397:C596)</f>
        <v>513.9999</v>
      </c>
      <c r="K596" s="17" t="n">
        <f aca="false">MAX(K595,C596)</f>
        <v>769.76</v>
      </c>
      <c r="L596" s="25" t="n">
        <f aca="false">C596/K596-1</f>
        <v>-0.244089066722095</v>
      </c>
      <c r="M596" s="25" t="n">
        <f aca="false">IF(COUNT(G567:G596)&lt;20,"",_xlfn.STDEV.S(G567:G596)*SQRT($R$3))</f>
        <v>0.549393249520096</v>
      </c>
      <c r="N596" s="25" t="n">
        <f aca="false">IF(A596-7&lt;$R$2,"",C596/INDEX(Clean_Data!$C$2:$C$4314,MATCH(A596-7,Clean_Data!$A$2:$A$4314,1))-1)</f>
        <v>-0.00780970244692647</v>
      </c>
      <c r="O596" s="25" t="n">
        <f aca="false">IF(A596-30&lt;$R$2,"",C596/INDEX(Clean_Data!$C$2:$C$4314,MATCH(A596-30,Clean_Data!$A$2:$A$4314,1))-1)</f>
        <v>-0.127997242536866</v>
      </c>
    </row>
    <row r="597" customFormat="false" ht="15" hidden="false" customHeight="false" outlineLevel="0" collapsed="false">
      <c r="A597" s="16" t="n">
        <v>42603</v>
      </c>
      <c r="B597" s="23" t="n">
        <f aca="false">YEAR(A597)</f>
        <v>2016</v>
      </c>
      <c r="C597" s="17" t="n">
        <v>581.29</v>
      </c>
      <c r="D597" s="23" t="n">
        <f aca="false">A597-A596</f>
        <v>1</v>
      </c>
      <c r="E597" s="24" t="n">
        <f aca="false">LN(C597)</f>
        <v>6.36524977173807</v>
      </c>
      <c r="F597" s="25" t="n">
        <f aca="false">LN(C597/C596)</f>
        <v>-0.000997283345491788</v>
      </c>
      <c r="G597" s="25" t="n">
        <f aca="false">IF(AND(D597=1,A597&gt;=$R$2),F597,"")</f>
        <v>-0.000997283345491788</v>
      </c>
      <c r="H597" s="27" t="n">
        <f aca="false">IF(G597="","",G597^2)</f>
        <v>9.94574071195292E-007</v>
      </c>
      <c r="I597" s="25" t="n">
        <f aca="false">IF(G597="","",C597/C596-1)</f>
        <v>-0.000996786223727009</v>
      </c>
      <c r="J597" s="17" t="n">
        <f aca="false">AVERAGE(C398:C597)</f>
        <v>515.062</v>
      </c>
      <c r="K597" s="17" t="n">
        <f aca="false">MAX(K596,C597)</f>
        <v>769.76</v>
      </c>
      <c r="L597" s="25" t="n">
        <f aca="false">C597/K597-1</f>
        <v>-0.244842548326751</v>
      </c>
      <c r="M597" s="25" t="n">
        <f aca="false">IF(COUNT(G568:G597)&lt;20,"",_xlfn.STDEV.S(G568:G597)*SQRT($R$3))</f>
        <v>0.546996358748904</v>
      </c>
      <c r="N597" s="25" t="n">
        <f aca="false">IF(A597-7&lt;$R$2,"",C597/INDEX(Clean_Data!$C$2:$C$4314,MATCH(A597-7,Clean_Data!$A$2:$A$4314,1))-1)</f>
        <v>0.0109567122906484</v>
      </c>
      <c r="O597" s="25" t="n">
        <f aca="false">IF(A597-30&lt;$R$2,"",C597/INDEX(Clean_Data!$C$2:$C$4314,MATCH(A597-30,Clean_Data!$A$2:$A$4314,1))-1)</f>
        <v>-0.112087005666977</v>
      </c>
    </row>
    <row r="598" customFormat="false" ht="15" hidden="false" customHeight="false" outlineLevel="0" collapsed="false">
      <c r="A598" s="16" t="n">
        <v>42604</v>
      </c>
      <c r="B598" s="23" t="n">
        <f aca="false">YEAR(A598)</f>
        <v>2016</v>
      </c>
      <c r="C598" s="17" t="n">
        <v>585.2</v>
      </c>
      <c r="D598" s="23" t="n">
        <f aca="false">A598-A597</f>
        <v>1</v>
      </c>
      <c r="E598" s="24" t="n">
        <f aca="false">LN(C598)</f>
        <v>6.37195366914597</v>
      </c>
      <c r="F598" s="25" t="n">
        <f aca="false">LN(C598/C597)</f>
        <v>0.00670389740789749</v>
      </c>
      <c r="G598" s="25" t="n">
        <f aca="false">IF(AND(D598=1,A598&gt;=$R$2),F598,"")</f>
        <v>0.00670389740789749</v>
      </c>
      <c r="H598" s="27" t="n">
        <f aca="false">IF(G598="","",G598^2)</f>
        <v>4.49422404556147E-005</v>
      </c>
      <c r="I598" s="25" t="n">
        <f aca="false">IF(G598="","",C598/C597-1)</f>
        <v>0.00672641882709169</v>
      </c>
      <c r="J598" s="17" t="n">
        <f aca="false">AVERAGE(C399:C598)</f>
        <v>516.04805</v>
      </c>
      <c r="K598" s="17" t="n">
        <f aca="false">MAX(K597,C598)</f>
        <v>769.76</v>
      </c>
      <c r="L598" s="25" t="n">
        <f aca="false">C598/K598-1</f>
        <v>-0.239763043026398</v>
      </c>
      <c r="M598" s="25" t="n">
        <f aca="false">IF(COUNT(G569:G598)&lt;20,"",_xlfn.STDEV.S(G569:G598)*SQRT($R$3))</f>
        <v>0.547514876244068</v>
      </c>
      <c r="N598" s="25" t="n">
        <f aca="false">IF(A598-7&lt;$R$2,"",C598/INDEX(Clean_Data!$C$2:$C$4314,MATCH(A598-7,Clean_Data!$A$2:$A$4314,1))-1)</f>
        <v>0.030662745028972</v>
      </c>
      <c r="O598" s="25" t="n">
        <f aca="false">IF(A598-30&lt;$R$2,"",C598/INDEX(Clean_Data!$C$2:$C$4314,MATCH(A598-30,Clean_Data!$A$2:$A$4314,1))-1)</f>
        <v>-0.109961977186312</v>
      </c>
    </row>
    <row r="599" customFormat="false" ht="15" hidden="false" customHeight="false" outlineLevel="0" collapsed="false">
      <c r="A599" s="16" t="n">
        <v>42605</v>
      </c>
      <c r="B599" s="23" t="n">
        <f aca="false">YEAR(A599)</f>
        <v>2016</v>
      </c>
      <c r="C599" s="17" t="n">
        <v>582.39</v>
      </c>
      <c r="D599" s="23" t="n">
        <f aca="false">A599-A598</f>
        <v>1</v>
      </c>
      <c r="E599" s="24" t="n">
        <f aca="false">LN(C599)</f>
        <v>6.36714032640539</v>
      </c>
      <c r="F599" s="25" t="n">
        <f aca="false">LN(C599/C598)</f>
        <v>-0.0048133427405753</v>
      </c>
      <c r="G599" s="25" t="n">
        <f aca="false">IF(AND(D599=1,A599&gt;=$R$2),F599,"")</f>
        <v>-0.0048133427405753</v>
      </c>
      <c r="H599" s="27" t="n">
        <f aca="false">IF(G599="","",G599^2)</f>
        <v>2.31682683382489E-005</v>
      </c>
      <c r="I599" s="25" t="n">
        <f aca="false">IF(G599="","",C599/C598-1)</f>
        <v>-0.00480177717019836</v>
      </c>
      <c r="J599" s="17" t="n">
        <f aca="false">AVERAGE(C400:C599)</f>
        <v>517.0375</v>
      </c>
      <c r="K599" s="17" t="n">
        <f aca="false">MAX(K598,C599)</f>
        <v>769.76</v>
      </c>
      <c r="L599" s="25" t="n">
        <f aca="false">C599/K599-1</f>
        <v>-0.243413531490335</v>
      </c>
      <c r="M599" s="25" t="n">
        <f aca="false">IF(COUNT(G570:G599)&lt;20,"",_xlfn.STDEV.S(G570:G599)*SQRT($R$3))</f>
        <v>0.546513471505943</v>
      </c>
      <c r="N599" s="25" t="n">
        <f aca="false">IF(A599-7&lt;$R$2,"",C599/INDEX(Clean_Data!$C$2:$C$4314,MATCH(A599-7,Clean_Data!$A$2:$A$4314,1))-1)</f>
        <v>0.0058201789230079</v>
      </c>
      <c r="O599" s="25" t="n">
        <f aca="false">IF(A599-30&lt;$R$2,"",C599/INDEX(Clean_Data!$C$2:$C$4314,MATCH(A599-30,Clean_Data!$A$2:$A$4314,1))-1)</f>
        <v>-0.1189258698941</v>
      </c>
    </row>
    <row r="600" customFormat="false" ht="15" hidden="false" customHeight="false" outlineLevel="0" collapsed="false">
      <c r="A600" s="16" t="n">
        <v>42606</v>
      </c>
      <c r="B600" s="23" t="n">
        <f aca="false">YEAR(A600)</f>
        <v>2016</v>
      </c>
      <c r="C600" s="17" t="n">
        <v>578.47</v>
      </c>
      <c r="D600" s="23" t="n">
        <f aca="false">A600-A599</f>
        <v>1</v>
      </c>
      <c r="E600" s="24" t="n">
        <f aca="false">LN(C600)</f>
        <v>6.36038668703494</v>
      </c>
      <c r="F600" s="25" t="n">
        <f aca="false">LN(C600/C599)</f>
        <v>-0.00675363937045399</v>
      </c>
      <c r="G600" s="25" t="n">
        <f aca="false">IF(AND(D600=1,A600&gt;=$R$2),F600,"")</f>
        <v>-0.00675363937045399</v>
      </c>
      <c r="H600" s="27" t="n">
        <f aca="false">IF(G600="","",G600^2)</f>
        <v>4.56116447461462E-005</v>
      </c>
      <c r="I600" s="25" t="n">
        <f aca="false">IF(G600="","",C600/C599-1)</f>
        <v>-0.00673088480228024</v>
      </c>
      <c r="J600" s="17" t="n">
        <f aca="false">AVERAGE(C401:C600)</f>
        <v>518.05265</v>
      </c>
      <c r="K600" s="17" t="n">
        <f aca="false">MAX(K599,C600)</f>
        <v>769.76</v>
      </c>
      <c r="L600" s="25" t="n">
        <f aca="false">C600/K600-1</f>
        <v>-0.248506027852837</v>
      </c>
      <c r="M600" s="25" t="n">
        <f aca="false">IF(COUNT(G571:G600)&lt;20,"",_xlfn.STDEV.S(G571:G600)*SQRT($R$3))</f>
        <v>0.546581164902402</v>
      </c>
      <c r="N600" s="25" t="n">
        <f aca="false">IF(A600-7&lt;$R$2,"",C600/INDEX(Clean_Data!$C$2:$C$4314,MATCH(A600-7,Clean_Data!$A$2:$A$4314,1))-1)</f>
        <v>0.00699799808512491</v>
      </c>
      <c r="O600" s="25" t="n">
        <f aca="false">IF(A600-30&lt;$R$2,"",C600/INDEX(Clean_Data!$C$2:$C$4314,MATCH(A600-30,Clean_Data!$A$2:$A$4314,1))-1)</f>
        <v>-0.120585597227079</v>
      </c>
    </row>
    <row r="601" customFormat="false" ht="15" hidden="false" customHeight="false" outlineLevel="0" collapsed="false">
      <c r="A601" s="16" t="n">
        <v>42607</v>
      </c>
      <c r="B601" s="23" t="n">
        <f aca="false">YEAR(A601)</f>
        <v>2016</v>
      </c>
      <c r="C601" s="17" t="n">
        <v>575.58</v>
      </c>
      <c r="D601" s="23" t="n">
        <f aca="false">A601-A600</f>
        <v>1</v>
      </c>
      <c r="E601" s="24" t="n">
        <f aca="false">LN(C601)</f>
        <v>6.35537822805791</v>
      </c>
      <c r="F601" s="25" t="n">
        <f aca="false">LN(C601/C600)</f>
        <v>-0.00500845897702882</v>
      </c>
      <c r="G601" s="25" t="n">
        <f aca="false">IF(AND(D601=1,A601&gt;=$R$2),F601,"")</f>
        <v>-0.00500845897702882</v>
      </c>
      <c r="H601" s="27" t="n">
        <f aca="false">IF(G601="","",G601^2)</f>
        <v>2.50846613245806E-005</v>
      </c>
      <c r="I601" s="25" t="n">
        <f aca="false">IF(G601="","",C601/C600-1)</f>
        <v>-0.00499593755942396</v>
      </c>
      <c r="J601" s="17" t="n">
        <f aca="false">AVERAGE(C402:C601)</f>
        <v>519.0431</v>
      </c>
      <c r="K601" s="17" t="n">
        <f aca="false">MAX(K600,C601)</f>
        <v>769.76</v>
      </c>
      <c r="L601" s="25" t="n">
        <f aca="false">C601/K601-1</f>
        <v>-0.252260444813968</v>
      </c>
      <c r="M601" s="25" t="n">
        <f aca="false">IF(COUNT(G572:G601)&lt;20,"",_xlfn.STDEV.S(G572:G601)*SQRT($R$3))</f>
        <v>0.546564368183744</v>
      </c>
      <c r="N601" s="25" t="n">
        <f aca="false">IF(A601-7&lt;$R$2,"",C601/INDEX(Clean_Data!$C$2:$C$4314,MATCH(A601-7,Clean_Data!$A$2:$A$4314,1))-1)</f>
        <v>0.00259541186921908</v>
      </c>
      <c r="O601" s="25" t="n">
        <f aca="false">IF(A601-30&lt;$R$2,"",C601/INDEX(Clean_Data!$C$2:$C$4314,MATCH(A601-30,Clean_Data!$A$2:$A$4314,1))-1)</f>
        <v>-0.119988991835611</v>
      </c>
    </row>
    <row r="602" customFormat="false" ht="15" hidden="false" customHeight="false" outlineLevel="0" collapsed="false">
      <c r="A602" s="16" t="n">
        <v>42608</v>
      </c>
      <c r="B602" s="23" t="n">
        <f aca="false">YEAR(A602)</f>
        <v>2016</v>
      </c>
      <c r="C602" s="17" t="n">
        <v>579.29</v>
      </c>
      <c r="D602" s="23" t="n">
        <f aca="false">A602-A601</f>
        <v>1</v>
      </c>
      <c r="E602" s="24" t="n">
        <f aca="false">LN(C602)</f>
        <v>6.36180321574057</v>
      </c>
      <c r="F602" s="25" t="n">
        <f aca="false">LN(C602/C601)</f>
        <v>0.00642498768265774</v>
      </c>
      <c r="G602" s="25" t="n">
        <f aca="false">IF(AND(D602=1,A602&gt;=$R$2),F602,"")</f>
        <v>0.00642498768265774</v>
      </c>
      <c r="H602" s="27" t="n">
        <f aca="false">IF(G602="","",G602^2)</f>
        <v>4.12804667223037E-005</v>
      </c>
      <c r="I602" s="25" t="n">
        <f aca="false">IF(G602="","",C602/C601-1)</f>
        <v>0.00644567219152847</v>
      </c>
      <c r="J602" s="17" t="n">
        <f aca="false">AVERAGE(C403:C602)</f>
        <v>520.08385</v>
      </c>
      <c r="K602" s="17" t="n">
        <f aca="false">MAX(K601,C602)</f>
        <v>769.76</v>
      </c>
      <c r="L602" s="25" t="n">
        <f aca="false">C602/K602-1</f>
        <v>-0.2474407607566</v>
      </c>
      <c r="M602" s="25" t="n">
        <f aca="false">IF(COUNT(G573:G602)&lt;20,"",_xlfn.STDEV.S(G573:G602)*SQRT($R$3))</f>
        <v>0.546887039231982</v>
      </c>
      <c r="N602" s="25" t="n">
        <f aca="false">IF(A602-7&lt;$R$2,"",C602/INDEX(Clean_Data!$C$2:$C$4314,MATCH(A602-7,Clean_Data!$A$2:$A$4314,1))-1)</f>
        <v>0.00979657294263259</v>
      </c>
      <c r="O602" s="25" t="n">
        <f aca="false">IF(A602-30&lt;$R$2,"",C602/INDEX(Clean_Data!$C$2:$C$4314,MATCH(A602-30,Clean_Data!$A$2:$A$4314,1))-1)</f>
        <v>-0.118749524606374</v>
      </c>
    </row>
    <row r="603" customFormat="false" ht="15" hidden="false" customHeight="false" outlineLevel="0" collapsed="false">
      <c r="A603" s="16" t="n">
        <v>42609</v>
      </c>
      <c r="B603" s="23" t="n">
        <f aca="false">YEAR(A603)</f>
        <v>2016</v>
      </c>
      <c r="C603" s="17" t="n">
        <v>570.84</v>
      </c>
      <c r="D603" s="23" t="n">
        <f aca="false">A603-A602</f>
        <v>1</v>
      </c>
      <c r="E603" s="24" t="n">
        <f aca="false">LN(C603)</f>
        <v>6.34710896023219</v>
      </c>
      <c r="F603" s="25" t="n">
        <f aca="false">LN(C603/C602)</f>
        <v>-0.0146942555083785</v>
      </c>
      <c r="G603" s="25" t="n">
        <f aca="false">IF(AND(D603=1,A603&gt;=$R$2),F603,"")</f>
        <v>-0.0146942555083785</v>
      </c>
      <c r="H603" s="27" t="n">
        <f aca="false">IF(G603="","",G603^2)</f>
        <v>0.000215921144945511</v>
      </c>
      <c r="I603" s="25" t="n">
        <f aca="false">IF(G603="","",C603/C602-1)</f>
        <v>-0.0145868217990988</v>
      </c>
      <c r="J603" s="17" t="n">
        <f aca="false">AVERAGE(C404:C603)</f>
        <v>521.07465</v>
      </c>
      <c r="K603" s="17" t="n">
        <f aca="false">MAX(K602,C603)</f>
        <v>769.76</v>
      </c>
      <c r="L603" s="25" t="n">
        <f aca="false">C603/K603-1</f>
        <v>-0.258418208272708</v>
      </c>
      <c r="M603" s="25" t="n">
        <f aca="false">IF(COUNT(G574:G603)&lt;20,"",_xlfn.STDEV.S(G574:G603)*SQRT($R$3))</f>
        <v>0.547854687917454</v>
      </c>
      <c r="N603" s="25" t="n">
        <f aca="false">IF(A603-7&lt;$R$2,"",C603/INDEX(Clean_Data!$C$2:$C$4314,MATCH(A603-7,Clean_Data!$A$2:$A$4314,1))-1)</f>
        <v>-0.0189561242201866</v>
      </c>
      <c r="O603" s="25" t="n">
        <f aca="false">IF(A603-30&lt;$R$2,"",C603/INDEX(Clean_Data!$C$2:$C$4314,MATCH(A603-30,Clean_Data!$A$2:$A$4314,1))-1)</f>
        <v>-0.131670216002434</v>
      </c>
    </row>
    <row r="604" customFormat="false" ht="15" hidden="false" customHeight="false" outlineLevel="0" collapsed="false">
      <c r="A604" s="16" t="n">
        <v>42610</v>
      </c>
      <c r="B604" s="23" t="n">
        <f aca="false">YEAR(A604)</f>
        <v>2016</v>
      </c>
      <c r="C604" s="17" t="n">
        <v>575.41</v>
      </c>
      <c r="D604" s="23" t="n">
        <f aca="false">A604-A603</f>
        <v>1</v>
      </c>
      <c r="E604" s="24" t="n">
        <f aca="false">LN(C604)</f>
        <v>6.35508283018089</v>
      </c>
      <c r="F604" s="25" t="n">
        <f aca="false">LN(C604/C603)</f>
        <v>0.00797386994869982</v>
      </c>
      <c r="G604" s="25" t="n">
        <f aca="false">IF(AND(D604=1,A604&gt;=$R$2),F604,"")</f>
        <v>0.00797386994869982</v>
      </c>
      <c r="H604" s="27" t="n">
        <f aca="false">IF(G604="","",G604^2)</f>
        <v>6.3582601958778E-005</v>
      </c>
      <c r="I604" s="25" t="n">
        <f aca="false">IF(G604="","",C604/C603-1)</f>
        <v>0.00800574591829584</v>
      </c>
      <c r="J604" s="17" t="n">
        <f aca="false">AVERAGE(C405:C604)</f>
        <v>522.0595</v>
      </c>
      <c r="K604" s="17" t="n">
        <f aca="false">MAX(K603,C604)</f>
        <v>769.76</v>
      </c>
      <c r="L604" s="25" t="n">
        <f aca="false">C604/K604-1</f>
        <v>-0.252481292870505</v>
      </c>
      <c r="M604" s="25" t="n">
        <f aca="false">IF(COUNT(G575:G604)&lt;20,"",_xlfn.STDEV.S(G575:G604)*SQRT($R$3))</f>
        <v>0.549478097977487</v>
      </c>
      <c r="N604" s="25" t="n">
        <f aca="false">IF(A604-7&lt;$R$2,"",C604/INDEX(Clean_Data!$C$2:$C$4314,MATCH(A604-7,Clean_Data!$A$2:$A$4314,1))-1)</f>
        <v>-0.0101154329164445</v>
      </c>
      <c r="O604" s="25" t="n">
        <f aca="false">IF(A604-30&lt;$R$2,"",C604/INDEX(Clean_Data!$C$2:$C$4314,MATCH(A604-30,Clean_Data!$A$2:$A$4314,1))-1)</f>
        <v>-0.124185692541857</v>
      </c>
    </row>
    <row r="605" customFormat="false" ht="15" hidden="false" customHeight="false" outlineLevel="0" collapsed="false">
      <c r="A605" s="16" t="n">
        <v>42611</v>
      </c>
      <c r="B605" s="23" t="n">
        <f aca="false">YEAR(A605)</f>
        <v>2016</v>
      </c>
      <c r="C605" s="17" t="n">
        <v>573.21</v>
      </c>
      <c r="D605" s="23" t="n">
        <f aca="false">A605-A604</f>
        <v>1</v>
      </c>
      <c r="E605" s="24" t="n">
        <f aca="false">LN(C605)</f>
        <v>6.35125214171949</v>
      </c>
      <c r="F605" s="25" t="n">
        <f aca="false">LN(C605/C604)</f>
        <v>-0.00383068846139636</v>
      </c>
      <c r="G605" s="25" t="n">
        <f aca="false">IF(AND(D605=1,A605&gt;=$R$2),F605,"")</f>
        <v>-0.00383068846139636</v>
      </c>
      <c r="H605" s="27" t="n">
        <f aca="false">IF(G605="","",G605^2)</f>
        <v>1.46741740882752E-005</v>
      </c>
      <c r="I605" s="25" t="n">
        <f aca="false">IF(G605="","",C605/C604-1)</f>
        <v>-0.00382336073408518</v>
      </c>
      <c r="J605" s="17" t="n">
        <f aca="false">AVERAGE(C406:C605)</f>
        <v>523.0344</v>
      </c>
      <c r="K605" s="17" t="n">
        <f aca="false">MAX(K604,C605)</f>
        <v>769.76</v>
      </c>
      <c r="L605" s="25" t="n">
        <f aca="false">C605/K605-1</f>
        <v>-0.255339326543338</v>
      </c>
      <c r="M605" s="25" t="n">
        <f aca="false">IF(COUNT(G576:G605)&lt;20,"",_xlfn.STDEV.S(G576:G605)*SQRT($R$3))</f>
        <v>0.54939696539444</v>
      </c>
      <c r="N605" s="25" t="n">
        <f aca="false">IF(A605-7&lt;$R$2,"",C605/INDEX(Clean_Data!$C$2:$C$4314,MATCH(A605-7,Clean_Data!$A$2:$A$4314,1))-1)</f>
        <v>-0.0204887218045113</v>
      </c>
      <c r="O605" s="25" t="n">
        <f aca="false">IF(A605-30&lt;$R$2,"",C605/INDEX(Clean_Data!$C$2:$C$4314,MATCH(A605-30,Clean_Data!$A$2:$A$4314,1))-1)</f>
        <v>-0.126031073230976</v>
      </c>
    </row>
    <row r="606" customFormat="false" ht="15" hidden="false" customHeight="false" outlineLevel="0" collapsed="false">
      <c r="A606" s="16" t="n">
        <v>42612</v>
      </c>
      <c r="B606" s="23" t="n">
        <f aca="false">YEAR(A606)</f>
        <v>2016</v>
      </c>
      <c r="C606" s="17" t="n">
        <v>574.95</v>
      </c>
      <c r="D606" s="23" t="n">
        <f aca="false">A606-A605</f>
        <v>1</v>
      </c>
      <c r="E606" s="24" t="n">
        <f aca="false">LN(C606)</f>
        <v>6.35428308049467</v>
      </c>
      <c r="F606" s="25" t="n">
        <f aca="false">LN(C606/C605)</f>
        <v>0.00303093877517992</v>
      </c>
      <c r="G606" s="25" t="n">
        <f aca="false">IF(AND(D606=1,A606&gt;=$R$2),F606,"")</f>
        <v>0.00303093877517992</v>
      </c>
      <c r="H606" s="27" t="n">
        <f aca="false">IF(G606="","",G606^2)</f>
        <v>9.18658985888918E-006</v>
      </c>
      <c r="I606" s="25" t="n">
        <f aca="false">IF(G606="","",C606/C605-1)</f>
        <v>0.00303553671429313</v>
      </c>
      <c r="J606" s="17" t="n">
        <f aca="false">AVERAGE(C407:C606)</f>
        <v>523.9989</v>
      </c>
      <c r="K606" s="17" t="n">
        <f aca="false">MAX(K605,C606)</f>
        <v>769.76</v>
      </c>
      <c r="L606" s="25" t="n">
        <f aca="false">C606/K606-1</f>
        <v>-0.25307888172937</v>
      </c>
      <c r="M606" s="25" t="n">
        <f aca="false">IF(COUNT(G577:G606)&lt;20,"",_xlfn.STDEV.S(G577:G606)*SQRT($R$3))</f>
        <v>0.529961315034669</v>
      </c>
      <c r="N606" s="25" t="n">
        <f aca="false">IF(A606-7&lt;$R$2,"",C606/INDEX(Clean_Data!$C$2:$C$4314,MATCH(A606-7,Clean_Data!$A$2:$A$4314,1))-1)</f>
        <v>-0.0127749446247359</v>
      </c>
      <c r="O606" s="25" t="n">
        <f aca="false">IF(A606-30&lt;$R$2,"",C606/INDEX(Clean_Data!$C$2:$C$4314,MATCH(A606-30,Clean_Data!$A$2:$A$4314,1))-1)</f>
        <v>-0.0829704770563184</v>
      </c>
    </row>
    <row r="607" customFormat="false" ht="15" hidden="false" customHeight="false" outlineLevel="0" collapsed="false">
      <c r="A607" s="16" t="n">
        <v>42613</v>
      </c>
      <c r="B607" s="23" t="n">
        <f aca="false">YEAR(A607)</f>
        <v>2016</v>
      </c>
      <c r="C607" s="17" t="n">
        <v>572.89</v>
      </c>
      <c r="D607" s="23" t="n">
        <f aca="false">A607-A606</f>
        <v>1</v>
      </c>
      <c r="E607" s="24" t="n">
        <f aca="false">LN(C607)</f>
        <v>6.35069372620895</v>
      </c>
      <c r="F607" s="25" t="n">
        <f aca="false">LN(C607/C606)</f>
        <v>-0.00358935428572092</v>
      </c>
      <c r="G607" s="25" t="n">
        <f aca="false">IF(AND(D607=1,A607&gt;=$R$2),F607,"")</f>
        <v>-0.00358935428572092</v>
      </c>
      <c r="H607" s="27" t="n">
        <f aca="false">IF(G607="","",G607^2)</f>
        <v>1.28834641884231E-005</v>
      </c>
      <c r="I607" s="25" t="n">
        <f aca="false">IF(G607="","",C607/C606-1)</f>
        <v>-0.00358292025393525</v>
      </c>
      <c r="J607" s="17" t="n">
        <f aca="false">AVERAGE(C408:C607)</f>
        <v>524.90835</v>
      </c>
      <c r="K607" s="17" t="n">
        <f aca="false">MAX(K606,C607)</f>
        <v>769.76</v>
      </c>
      <c r="L607" s="25" t="n">
        <f aca="false">C607/K607-1</f>
        <v>-0.255755040532114</v>
      </c>
      <c r="M607" s="25" t="n">
        <f aca="false">IF(COUNT(G578:G607)&lt;20,"",_xlfn.STDEV.S(G578:G607)*SQRT($R$3))</f>
        <v>0.516901247672202</v>
      </c>
      <c r="N607" s="25" t="n">
        <f aca="false">IF(A607-7&lt;$R$2,"",C607/INDEX(Clean_Data!$C$2:$C$4314,MATCH(A607-7,Clean_Data!$A$2:$A$4314,1))-1)</f>
        <v>-0.00964613549535853</v>
      </c>
      <c r="O607" s="25" t="n">
        <f aca="false">IF(A607-30&lt;$R$2,"",C607/INDEX(Clean_Data!$C$2:$C$4314,MATCH(A607-30,Clean_Data!$A$2:$A$4314,1))-1)</f>
        <v>-0.0533873099801719</v>
      </c>
    </row>
    <row r="608" customFormat="false" ht="15" hidden="false" customHeight="false" outlineLevel="0" collapsed="false">
      <c r="A608" s="16" t="n">
        <v>42614</v>
      </c>
      <c r="B608" s="23" t="n">
        <f aca="false">YEAR(A608)</f>
        <v>2016</v>
      </c>
      <c r="C608" s="17" t="n">
        <v>573.02</v>
      </c>
      <c r="D608" s="23" t="n">
        <f aca="false">A608-A607</f>
        <v>1</v>
      </c>
      <c r="E608" s="24" t="n">
        <f aca="false">LN(C608)</f>
        <v>6.35092062011957</v>
      </c>
      <c r="F608" s="25" t="n">
        <f aca="false">LN(C608/C607)</f>
        <v>0.000226893910617149</v>
      </c>
      <c r="G608" s="25" t="n">
        <f aca="false">IF(AND(D608=1,A608&gt;=$R$2),F608,"")</f>
        <v>0.000226893910617149</v>
      </c>
      <c r="H608" s="27" t="n">
        <f aca="false">IF(G608="","",G608^2)</f>
        <v>5.14808466751427E-008</v>
      </c>
      <c r="I608" s="25" t="n">
        <f aca="false">IF(G608="","",C608/C607-1)</f>
        <v>0.000226919652987378</v>
      </c>
      <c r="J608" s="17" t="n">
        <f aca="false">AVERAGE(C409:C608)</f>
        <v>525.7405</v>
      </c>
      <c r="K608" s="17" t="n">
        <f aca="false">MAX(K607,C608)</f>
        <v>769.76</v>
      </c>
      <c r="L608" s="25" t="n">
        <f aca="false">C608/K608-1</f>
        <v>-0.255586156724174</v>
      </c>
      <c r="M608" s="25" t="n">
        <f aca="false">IF(COUNT(G579:G608)&lt;20,"",_xlfn.STDEV.S(G579:G608)*SQRT($R$3))</f>
        <v>0.299057539711401</v>
      </c>
      <c r="N608" s="25" t="n">
        <f aca="false">IF(A608-7&lt;$R$2,"",C608/INDEX(Clean_Data!$C$2:$C$4314,MATCH(A608-7,Clean_Data!$A$2:$A$4314,1))-1)</f>
        <v>-0.00444768754994973</v>
      </c>
      <c r="O608" s="25" t="n">
        <f aca="false">IF(A608-30&lt;$R$2,"",C608/INDEX(Clean_Data!$C$2:$C$4314,MATCH(A608-30,Clean_Data!$A$2:$A$4314,1))-1)</f>
        <v>0.0661432265986939</v>
      </c>
    </row>
    <row r="609" customFormat="false" ht="15" hidden="false" customHeight="false" outlineLevel="0" collapsed="false">
      <c r="A609" s="16" t="n">
        <v>42615</v>
      </c>
      <c r="B609" s="23" t="n">
        <f aca="false">YEAR(A609)</f>
        <v>2016</v>
      </c>
      <c r="C609" s="17" t="n">
        <v>576.21</v>
      </c>
      <c r="D609" s="23" t="n">
        <f aca="false">A609-A608</f>
        <v>1</v>
      </c>
      <c r="E609" s="24" t="n">
        <f aca="false">LN(C609)</f>
        <v>6.35647217758487</v>
      </c>
      <c r="F609" s="25" t="n">
        <f aca="false">LN(C609/C608)</f>
        <v>0.00555155746530024</v>
      </c>
      <c r="G609" s="25" t="n">
        <f aca="false">IF(AND(D609=1,A609&gt;=$R$2),F609,"")</f>
        <v>0.00555155746530024</v>
      </c>
      <c r="H609" s="27" t="n">
        <f aca="false">IF(G609="","",G609^2)</f>
        <v>3.08197902905308E-005</v>
      </c>
      <c r="I609" s="25" t="n">
        <f aca="false">IF(G609="","",C609/C608-1)</f>
        <v>0.00556699591637311</v>
      </c>
      <c r="J609" s="17" t="n">
        <f aca="false">AVERAGE(C410:C609)</f>
        <v>526.6268</v>
      </c>
      <c r="K609" s="17" t="n">
        <f aca="false">MAX(K608,C609)</f>
        <v>769.76</v>
      </c>
      <c r="L609" s="25" t="n">
        <f aca="false">C609/K609-1</f>
        <v>-0.251442007898566</v>
      </c>
      <c r="M609" s="25" t="n">
        <f aca="false">IF(COUNT(G580:G609)&lt;20,"",_xlfn.STDEV.S(G580:G609)*SQRT($R$3))</f>
        <v>0.197340569312724</v>
      </c>
      <c r="N609" s="25" t="n">
        <f aca="false">IF(A609-7&lt;$R$2,"",C609/INDEX(Clean_Data!$C$2:$C$4314,MATCH(A609-7,Clean_Data!$A$2:$A$4314,1))-1)</f>
        <v>-0.00531685338949395</v>
      </c>
      <c r="O609" s="25" t="n">
        <f aca="false">IF(A609-30&lt;$R$2,"",C609/INDEX(Clean_Data!$C$2:$C$4314,MATCH(A609-30,Clean_Data!$A$2:$A$4314,1))-1)</f>
        <v>0.00497069903725422</v>
      </c>
    </row>
    <row r="610" customFormat="false" ht="15" hidden="false" customHeight="false" outlineLevel="0" collapsed="false">
      <c r="A610" s="16" t="n">
        <v>42616</v>
      </c>
      <c r="B610" s="23" t="n">
        <f aca="false">YEAR(A610)</f>
        <v>2016</v>
      </c>
      <c r="C610" s="17" t="n">
        <v>600.91</v>
      </c>
      <c r="D610" s="23" t="n">
        <f aca="false">A610-A609</f>
        <v>1</v>
      </c>
      <c r="E610" s="24" t="n">
        <f aca="false">LN(C610)</f>
        <v>6.39844517290552</v>
      </c>
      <c r="F610" s="25" t="n">
        <f aca="false">LN(C610/C609)</f>
        <v>0.0419729953206508</v>
      </c>
      <c r="G610" s="25" t="n">
        <f aca="false">IF(AND(D610=1,A610&gt;=$R$2),F610,"")</f>
        <v>0.0419729953206508</v>
      </c>
      <c r="H610" s="27" t="n">
        <f aca="false">IF(G610="","",G610^2)</f>
        <v>0.00176173233618737</v>
      </c>
      <c r="I610" s="25" t="n">
        <f aca="false">IF(G610="","",C610/C609-1)</f>
        <v>0.0428663161000329</v>
      </c>
      <c r="J610" s="17" t="n">
        <f aca="false">AVERAGE(C411:C610)</f>
        <v>527.59425</v>
      </c>
      <c r="K610" s="17" t="n">
        <f aca="false">MAX(K609,C610)</f>
        <v>769.76</v>
      </c>
      <c r="L610" s="25" t="n">
        <f aca="false">C610/K610-1</f>
        <v>-0.21935408438994</v>
      </c>
      <c r="M610" s="25" t="n">
        <f aca="false">IF(COUNT(G581:G610)&lt;20,"",_xlfn.STDEV.S(G581:G610)*SQRT($R$3))</f>
        <v>0.231177780120372</v>
      </c>
      <c r="N610" s="25" t="n">
        <f aca="false">IF(A610-7&lt;$R$2,"",C610/INDEX(Clean_Data!$C$2:$C$4314,MATCH(A610-7,Clean_Data!$A$2:$A$4314,1))-1)</f>
        <v>0.0526767570597715</v>
      </c>
      <c r="O610" s="25" t="n">
        <f aca="false">IF(A610-30&lt;$R$2,"",C610/INDEX(Clean_Data!$C$2:$C$4314,MATCH(A610-30,Clean_Data!$A$2:$A$4314,1))-1)</f>
        <v>0.0228255319148936</v>
      </c>
    </row>
    <row r="611" customFormat="false" ht="15" hidden="false" customHeight="false" outlineLevel="0" collapsed="false">
      <c r="A611" s="16" t="n">
        <v>42617</v>
      </c>
      <c r="B611" s="23" t="n">
        <f aca="false">YEAR(A611)</f>
        <v>2016</v>
      </c>
      <c r="C611" s="17" t="n">
        <v>611.92</v>
      </c>
      <c r="D611" s="23" t="n">
        <f aca="false">A611-A610</f>
        <v>1</v>
      </c>
      <c r="E611" s="24" t="n">
        <f aca="false">LN(C611)</f>
        <v>6.41660155501361</v>
      </c>
      <c r="F611" s="25" t="n">
        <f aca="false">LN(C611/C610)</f>
        <v>0.0181563821080895</v>
      </c>
      <c r="G611" s="25" t="n">
        <f aca="false">IF(AND(D611=1,A611&gt;=$R$2),F611,"")</f>
        <v>0.0181563821080895</v>
      </c>
      <c r="H611" s="27" t="n">
        <f aca="false">IF(G611="","",G611^2)</f>
        <v>0.000329654211254954</v>
      </c>
      <c r="I611" s="25" t="n">
        <f aca="false">IF(G611="","",C611/C610-1)</f>
        <v>0.0183222113128423</v>
      </c>
      <c r="J611" s="17" t="n">
        <f aca="false">AVERAGE(C412:C611)</f>
        <v>528.57785</v>
      </c>
      <c r="K611" s="17" t="n">
        <f aca="false">MAX(K610,C611)</f>
        <v>769.76</v>
      </c>
      <c r="L611" s="25" t="n">
        <f aca="false">C611/K611-1</f>
        <v>-0.205050924963625</v>
      </c>
      <c r="M611" s="25" t="n">
        <f aca="false">IF(COUNT(G582:G611)&lt;20,"",_xlfn.STDEV.S(G582:G611)*SQRT($R$3))</f>
        <v>0.236808907559751</v>
      </c>
      <c r="N611" s="25" t="n">
        <f aca="false">IF(A611-7&lt;$R$2,"",C611/INDEX(Clean_Data!$C$2:$C$4314,MATCH(A611-7,Clean_Data!$A$2:$A$4314,1))-1)</f>
        <v>0.0634504092733876</v>
      </c>
      <c r="O611" s="25" t="n">
        <f aca="false">IF(A611-30&lt;$R$2,"",C611/INDEX(Clean_Data!$C$2:$C$4314,MATCH(A611-30,Clean_Data!$A$2:$A$4314,1))-1)</f>
        <v>0.0496054888507718</v>
      </c>
    </row>
    <row r="612" customFormat="false" ht="15" hidden="false" customHeight="false" outlineLevel="0" collapsed="false">
      <c r="A612" s="16" t="n">
        <v>42618</v>
      </c>
      <c r="B612" s="23" t="n">
        <f aca="false">YEAR(A612)</f>
        <v>2016</v>
      </c>
      <c r="C612" s="17" t="n">
        <v>605.69</v>
      </c>
      <c r="D612" s="23" t="n">
        <f aca="false">A612-A611</f>
        <v>1</v>
      </c>
      <c r="E612" s="24" t="n">
        <f aca="false">LN(C612)</f>
        <v>6.40636830402727</v>
      </c>
      <c r="F612" s="25" t="n">
        <f aca="false">LN(C612/C611)</f>
        <v>-0.0102332509863425</v>
      </c>
      <c r="G612" s="25" t="n">
        <f aca="false">IF(AND(D612=1,A612&gt;=$R$2),F612,"")</f>
        <v>-0.0102332509863425</v>
      </c>
      <c r="H612" s="27" t="n">
        <f aca="false">IF(G612="","",G612^2)</f>
        <v>0.000104719425749479</v>
      </c>
      <c r="I612" s="25" t="n">
        <f aca="false">IF(G612="","",C612/C611-1)</f>
        <v>-0.0101810694208392</v>
      </c>
      <c r="J612" s="17" t="n">
        <f aca="false">AVERAGE(C413:C612)</f>
        <v>529.50035</v>
      </c>
      <c r="K612" s="17" t="n">
        <f aca="false">MAX(K611,C612)</f>
        <v>769.76</v>
      </c>
      <c r="L612" s="25" t="n">
        <f aca="false">C612/K612-1</f>
        <v>-0.213144356682602</v>
      </c>
      <c r="M612" s="25" t="n">
        <f aca="false">IF(COUNT(G583:G612)&lt;20,"",_xlfn.STDEV.S(G583:G612)*SQRT($R$3))</f>
        <v>0.235336387413985</v>
      </c>
      <c r="N612" s="25" t="n">
        <f aca="false">IF(A612-7&lt;$R$2,"",C612/INDEX(Clean_Data!$C$2:$C$4314,MATCH(A612-7,Clean_Data!$A$2:$A$4314,1))-1)</f>
        <v>0.0566633520001396</v>
      </c>
      <c r="O612" s="25" t="n">
        <f aca="false">IF(A612-30&lt;$R$2,"",C612/INDEX(Clean_Data!$C$2:$C$4314,MATCH(A612-30,Clean_Data!$A$2:$A$4314,1))-1)</f>
        <v>0.0236264386270302</v>
      </c>
    </row>
    <row r="613" customFormat="false" ht="15" hidden="false" customHeight="false" outlineLevel="0" collapsed="false">
      <c r="A613" s="16" t="n">
        <v>42619</v>
      </c>
      <c r="B613" s="23" t="n">
        <f aca="false">YEAR(A613)</f>
        <v>2016</v>
      </c>
      <c r="C613" s="17" t="n">
        <v>612.99</v>
      </c>
      <c r="D613" s="23" t="n">
        <f aca="false">A613-A612</f>
        <v>1</v>
      </c>
      <c r="E613" s="24" t="n">
        <f aca="false">LN(C613)</f>
        <v>6.41834862258945</v>
      </c>
      <c r="F613" s="25" t="n">
        <f aca="false">LN(C613/C612)</f>
        <v>0.0119803185621784</v>
      </c>
      <c r="G613" s="25" t="n">
        <f aca="false">IF(AND(D613=1,A613&gt;=$R$2),F613,"")</f>
        <v>0.0119803185621784</v>
      </c>
      <c r="H613" s="27" t="n">
        <f aca="false">IF(G613="","",G613^2)</f>
        <v>0.000143528032851276</v>
      </c>
      <c r="I613" s="25" t="n">
        <f aca="false">IF(G613="","",C613/C612-1)</f>
        <v>0.0120523700242698</v>
      </c>
      <c r="J613" s="17" t="n">
        <f aca="false">AVERAGE(C414:C613)</f>
        <v>530.4617</v>
      </c>
      <c r="K613" s="17" t="n">
        <f aca="false">MAX(K612,C613)</f>
        <v>769.76</v>
      </c>
      <c r="L613" s="25" t="n">
        <f aca="false">C613/K613-1</f>
        <v>-0.203660881313656</v>
      </c>
      <c r="M613" s="25" t="n">
        <f aca="false">IF(COUNT(G584:G613)&lt;20,"",_xlfn.STDEV.S(G584:G613)*SQRT($R$3))</f>
        <v>0.23797391403426</v>
      </c>
      <c r="N613" s="25" t="n">
        <f aca="false">IF(A613-7&lt;$R$2,"",C613/INDEX(Clean_Data!$C$2:$C$4314,MATCH(A613-7,Clean_Data!$A$2:$A$4314,1))-1)</f>
        <v>0.0661622749804329</v>
      </c>
      <c r="O613" s="25" t="n">
        <f aca="false">IF(A613-30&lt;$R$2,"",C613/INDEX(Clean_Data!$C$2:$C$4314,MATCH(A613-30,Clean_Data!$A$2:$A$4314,1))-1)</f>
        <v>0.0299929428369796</v>
      </c>
    </row>
    <row r="614" customFormat="false" ht="15" hidden="false" customHeight="false" outlineLevel="0" collapsed="false">
      <c r="A614" s="16" t="n">
        <v>42620</v>
      </c>
      <c r="B614" s="23" t="n">
        <f aca="false">YEAR(A614)</f>
        <v>2016</v>
      </c>
      <c r="C614" s="17" t="n">
        <v>615.21</v>
      </c>
      <c r="D614" s="23" t="n">
        <f aca="false">A614-A613</f>
        <v>1</v>
      </c>
      <c r="E614" s="24" t="n">
        <f aca="false">LN(C614)</f>
        <v>6.42196367293579</v>
      </c>
      <c r="F614" s="25" t="n">
        <f aca="false">LN(C614/C613)</f>
        <v>0.00361505034634183</v>
      </c>
      <c r="G614" s="25" t="n">
        <f aca="false">IF(AND(D614=1,A614&gt;=$R$2),F614,"")</f>
        <v>0.00361505034634183</v>
      </c>
      <c r="H614" s="27" t="n">
        <f aca="false">IF(G614="","",G614^2)</f>
        <v>1.30685890065862E-005</v>
      </c>
      <c r="I614" s="25" t="n">
        <f aca="false">IF(G614="","",C614/C613-1)</f>
        <v>0.00362159252190097</v>
      </c>
      <c r="J614" s="17" t="n">
        <f aca="false">AVERAGE(C415:C614)</f>
        <v>531.35045</v>
      </c>
      <c r="K614" s="17" t="n">
        <f aca="false">MAX(K613,C614)</f>
        <v>769.76</v>
      </c>
      <c r="L614" s="25" t="n">
        <f aca="false">C614/K614-1</f>
        <v>-0.200776865516525</v>
      </c>
      <c r="M614" s="25" t="n">
        <f aca="false">IF(COUNT(G585:G614)&lt;20,"",_xlfn.STDEV.S(G585:G614)*SQRT($R$3))</f>
        <v>0.236715749166104</v>
      </c>
      <c r="N614" s="25" t="n">
        <f aca="false">IF(A614-7&lt;$R$2,"",C614/INDEX(Clean_Data!$C$2:$C$4314,MATCH(A614-7,Clean_Data!$A$2:$A$4314,1))-1)</f>
        <v>0.0738710747263873</v>
      </c>
      <c r="O614" s="25" t="n">
        <f aca="false">IF(A614-30&lt;$R$2,"",C614/INDEX(Clean_Data!$C$2:$C$4314,MATCH(A614-30,Clean_Data!$A$2:$A$4314,1))-1)</f>
        <v>0.040119699736255</v>
      </c>
    </row>
    <row r="615" customFormat="false" ht="15" hidden="false" customHeight="false" outlineLevel="0" collapsed="false">
      <c r="A615" s="16" t="n">
        <v>42621</v>
      </c>
      <c r="B615" s="23" t="n">
        <f aca="false">YEAR(A615)</f>
        <v>2016</v>
      </c>
      <c r="C615" s="17" t="n">
        <v>627.97</v>
      </c>
      <c r="D615" s="23" t="n">
        <f aca="false">A615-A614</f>
        <v>1</v>
      </c>
      <c r="E615" s="24" t="n">
        <f aca="false">LN(C615)</f>
        <v>6.44249239462651</v>
      </c>
      <c r="F615" s="25" t="n">
        <f aca="false">LN(C615/C614)</f>
        <v>0.0205287216907175</v>
      </c>
      <c r="G615" s="25" t="n">
        <f aca="false">IF(AND(D615=1,A615&gt;=$R$2),F615,"")</f>
        <v>0.0205287216907175</v>
      </c>
      <c r="H615" s="27" t="n">
        <f aca="false">IF(G615="","",G615^2)</f>
        <v>0.000421428414254934</v>
      </c>
      <c r="I615" s="25" t="n">
        <f aca="false">IF(G615="","",C615/C614-1)</f>
        <v>0.020740885226183</v>
      </c>
      <c r="J615" s="17" t="n">
        <f aca="false">AVERAGE(C416:C615)</f>
        <v>532.2975</v>
      </c>
      <c r="K615" s="17" t="n">
        <f aca="false">MAX(K614,C615)</f>
        <v>769.76</v>
      </c>
      <c r="L615" s="25" t="n">
        <f aca="false">C615/K615-1</f>
        <v>-0.184200270214093</v>
      </c>
      <c r="M615" s="25" t="n">
        <f aca="false">IF(COUNT(G586:G615)&lt;20,"",_xlfn.STDEV.S(G586:G615)*SQRT($R$3))</f>
        <v>0.243118340179968</v>
      </c>
      <c r="N615" s="25" t="n">
        <f aca="false">IF(A615-7&lt;$R$2,"",C615/INDEX(Clean_Data!$C$2:$C$4314,MATCH(A615-7,Clean_Data!$A$2:$A$4314,1))-1)</f>
        <v>0.0958954312240412</v>
      </c>
      <c r="O615" s="25" t="n">
        <f aca="false">IF(A615-30&lt;$R$2,"",C615/INDEX(Clean_Data!$C$2:$C$4314,MATCH(A615-30,Clean_Data!$A$2:$A$4314,1))-1)</f>
        <v>0.0707988745843635</v>
      </c>
    </row>
    <row r="616" customFormat="false" ht="15" hidden="false" customHeight="false" outlineLevel="0" collapsed="false">
      <c r="A616" s="16" t="n">
        <v>42622</v>
      </c>
      <c r="B616" s="23" t="n">
        <f aca="false">YEAR(A616)</f>
        <v>2016</v>
      </c>
      <c r="C616" s="17" t="n">
        <v>622.07</v>
      </c>
      <c r="D616" s="23" t="n">
        <f aca="false">A616-A615</f>
        <v>1</v>
      </c>
      <c r="E616" s="24" t="n">
        <f aca="false">LN(C616)</f>
        <v>6.43305262659993</v>
      </c>
      <c r="F616" s="25" t="n">
        <f aca="false">LN(C616/C615)</f>
        <v>-0.00943976802657238</v>
      </c>
      <c r="G616" s="25" t="n">
        <f aca="false">IF(AND(D616=1,A616&gt;=$R$2),F616,"")</f>
        <v>-0.00943976802657238</v>
      </c>
      <c r="H616" s="27" t="n">
        <f aca="false">IF(G616="","",G616^2)</f>
        <v>8.91092203954982E-005</v>
      </c>
      <c r="I616" s="25" t="n">
        <f aca="false">IF(G616="","",C616/C615-1)</f>
        <v>-0.00939535328120766</v>
      </c>
      <c r="J616" s="17" t="n">
        <f aca="false">AVERAGE(C417:C616)</f>
        <v>533.2201</v>
      </c>
      <c r="K616" s="17" t="n">
        <f aca="false">MAX(K615,C616)</f>
        <v>769.76</v>
      </c>
      <c r="L616" s="25" t="n">
        <f aca="false">C616/K616-1</f>
        <v>-0.191864996882145</v>
      </c>
      <c r="M616" s="25" t="n">
        <f aca="false">IF(COUNT(G587:G616)&lt;20,"",_xlfn.STDEV.S(G587:G616)*SQRT($R$3))</f>
        <v>0.242398055805597</v>
      </c>
      <c r="N616" s="25" t="n">
        <f aca="false">IF(A616-7&lt;$R$2,"",C616/INDEX(Clean_Data!$C$2:$C$4314,MATCH(A616-7,Clean_Data!$A$2:$A$4314,1))-1)</f>
        <v>0.0795890387185227</v>
      </c>
      <c r="O616" s="25" t="n">
        <f aca="false">IF(A616-30&lt;$R$2,"",C616/INDEX(Clean_Data!$C$2:$C$4314,MATCH(A616-30,Clean_Data!$A$2:$A$4314,1))-1)</f>
        <v>0.0456012370995393</v>
      </c>
    </row>
    <row r="617" customFormat="false" ht="15" hidden="false" customHeight="false" outlineLevel="0" collapsed="false">
      <c r="A617" s="16" t="n">
        <v>42623</v>
      </c>
      <c r="B617" s="23" t="n">
        <f aca="false">YEAR(A617)</f>
        <v>2016</v>
      </c>
      <c r="C617" s="17" t="n">
        <v>623.74</v>
      </c>
      <c r="D617" s="23" t="n">
        <f aca="false">A617-A616</f>
        <v>1</v>
      </c>
      <c r="E617" s="24" t="n">
        <f aca="false">LN(C617)</f>
        <v>6.43573361487309</v>
      </c>
      <c r="F617" s="25" t="n">
        <f aca="false">LN(C617/C616)</f>
        <v>0.00268098827315208</v>
      </c>
      <c r="G617" s="25" t="n">
        <f aca="false">IF(AND(D617=1,A617&gt;=$R$2),F617,"")</f>
        <v>0.00268098827315208</v>
      </c>
      <c r="H617" s="27" t="n">
        <f aca="false">IF(G617="","",G617^2)</f>
        <v>7.18769812077897E-006</v>
      </c>
      <c r="I617" s="25" t="n">
        <f aca="false">IF(G617="","",C617/C616-1)</f>
        <v>0.00268458533605531</v>
      </c>
      <c r="J617" s="17" t="n">
        <f aca="false">AVERAGE(C418:C617)</f>
        <v>534.23895</v>
      </c>
      <c r="K617" s="17" t="n">
        <f aca="false">MAX(K616,C617)</f>
        <v>769.76</v>
      </c>
      <c r="L617" s="25" t="n">
        <f aca="false">C617/K617-1</f>
        <v>-0.189695489503222</v>
      </c>
      <c r="M617" s="25" t="n">
        <f aca="false">IF(COUNT(G588:G617)&lt;20,"",_xlfn.STDEV.S(G588:G617)*SQRT($R$3))</f>
        <v>0.237560169830963</v>
      </c>
      <c r="N617" s="25" t="n">
        <f aca="false">IF(A617-7&lt;$R$2,"",C617/INDEX(Clean_Data!$C$2:$C$4314,MATCH(A617-7,Clean_Data!$A$2:$A$4314,1))-1)</f>
        <v>0.0379923782263567</v>
      </c>
      <c r="O617" s="25" t="n">
        <f aca="false">IF(A617-30&lt;$R$2,"",C617/INDEX(Clean_Data!$C$2:$C$4314,MATCH(A617-30,Clean_Data!$A$2:$A$4314,1))-1)</f>
        <v>0.0609447024204386</v>
      </c>
    </row>
    <row r="618" customFormat="false" ht="15" hidden="false" customHeight="false" outlineLevel="0" collapsed="false">
      <c r="A618" s="16" t="n">
        <v>42624</v>
      </c>
      <c r="B618" s="23" t="n">
        <f aca="false">YEAR(A618)</f>
        <v>2016</v>
      </c>
      <c r="C618" s="17" t="n">
        <v>607.94</v>
      </c>
      <c r="D618" s="23" t="n">
        <f aca="false">A618-A617</f>
        <v>1</v>
      </c>
      <c r="E618" s="24" t="n">
        <f aca="false">LN(C618)</f>
        <v>6.41007619288603</v>
      </c>
      <c r="F618" s="25" t="n">
        <f aca="false">LN(C618/C617)</f>
        <v>-0.0256574219870515</v>
      </c>
      <c r="G618" s="25" t="n">
        <f aca="false">IF(AND(D618=1,A618&gt;=$R$2),F618,"")</f>
        <v>-0.0256574219870515</v>
      </c>
      <c r="H618" s="27" t="n">
        <f aca="false">IF(G618="","",G618^2)</f>
        <v>0.000658303303021635</v>
      </c>
      <c r="I618" s="25" t="n">
        <f aca="false">IF(G618="","",C618/C617-1)</f>
        <v>-0.0253310674319427</v>
      </c>
      <c r="J618" s="17" t="n">
        <f aca="false">AVERAGE(C419:C618)</f>
        <v>535.15895</v>
      </c>
      <c r="K618" s="17" t="n">
        <f aca="false">MAX(K617,C618)</f>
        <v>769.76</v>
      </c>
      <c r="L618" s="25" t="n">
        <f aca="false">C618/K618-1</f>
        <v>-0.210221367699023</v>
      </c>
      <c r="M618" s="25" t="n">
        <f aca="false">IF(COUNT(G589:G618)&lt;20,"",_xlfn.STDEV.S(G589:G618)*SQRT($R$3))</f>
        <v>0.256336892412337</v>
      </c>
      <c r="N618" s="25" t="n">
        <f aca="false">IF(A618-7&lt;$R$2,"",C618/INDEX(Clean_Data!$C$2:$C$4314,MATCH(A618-7,Clean_Data!$A$2:$A$4314,1))-1)</f>
        <v>-0.00650411818538355</v>
      </c>
      <c r="O618" s="25" t="n">
        <f aca="false">IF(A618-30&lt;$R$2,"",C618/INDEX(Clean_Data!$C$2:$C$4314,MATCH(A618-30,Clean_Data!$A$2:$A$4314,1))-1)</f>
        <v>0.0343689386463404</v>
      </c>
    </row>
    <row r="619" customFormat="false" ht="15" hidden="false" customHeight="false" outlineLevel="0" collapsed="false">
      <c r="A619" s="16" t="n">
        <v>42625</v>
      </c>
      <c r="B619" s="23" t="n">
        <f aca="false">YEAR(A619)</f>
        <v>2016</v>
      </c>
      <c r="C619" s="17" t="n">
        <v>606.74</v>
      </c>
      <c r="D619" s="23" t="n">
        <f aca="false">A619-A618</f>
        <v>1</v>
      </c>
      <c r="E619" s="24" t="n">
        <f aca="false">LN(C619)</f>
        <v>6.40810036321832</v>
      </c>
      <c r="F619" s="25" t="n">
        <f aca="false">LN(C619/C618)</f>
        <v>-0.00197582966771542</v>
      </c>
      <c r="G619" s="25" t="n">
        <f aca="false">IF(AND(D619=1,A619&gt;=$R$2),F619,"")</f>
        <v>-0.00197582966771542</v>
      </c>
      <c r="H619" s="27" t="n">
        <f aca="false">IF(G619="","",G619^2)</f>
        <v>3.90390287582443E-006</v>
      </c>
      <c r="I619" s="25" t="n">
        <f aca="false">IF(G619="","",C619/C618-1)</f>
        <v>-0.00197387900121726</v>
      </c>
      <c r="J619" s="17" t="n">
        <f aca="false">AVERAGE(C420:C619)</f>
        <v>536.07495</v>
      </c>
      <c r="K619" s="17" t="n">
        <f aca="false">MAX(K618,C619)</f>
        <v>769.76</v>
      </c>
      <c r="L619" s="25" t="n">
        <f aca="false">C619/K619-1</f>
        <v>-0.211780295156932</v>
      </c>
      <c r="M619" s="25" t="n">
        <f aca="false">IF(COUNT(G590:G619)&lt;20,"",_xlfn.STDEV.S(G590:G619)*SQRT($R$3))</f>
        <v>0.256301917977123</v>
      </c>
      <c r="N619" s="25" t="n">
        <f aca="false">IF(A619-7&lt;$R$2,"",C619/INDEX(Clean_Data!$C$2:$C$4314,MATCH(A619-7,Clean_Data!$A$2:$A$4314,1))-1)</f>
        <v>0.00173356007198389</v>
      </c>
      <c r="O619" s="25" t="n">
        <f aca="false">IF(A619-30&lt;$R$2,"",C619/INDEX(Clean_Data!$C$2:$C$4314,MATCH(A619-30,Clean_Data!$A$2:$A$4314,1))-1)</f>
        <v>0.0345980049450081</v>
      </c>
    </row>
    <row r="620" customFormat="false" ht="15" hidden="false" customHeight="false" outlineLevel="0" collapsed="false">
      <c r="A620" s="16" t="n">
        <v>42626</v>
      </c>
      <c r="B620" s="23" t="n">
        <f aca="false">YEAR(A620)</f>
        <v>2016</v>
      </c>
      <c r="C620" s="17" t="n">
        <v>608.63</v>
      </c>
      <c r="D620" s="23" t="n">
        <f aca="false">A620-A619</f>
        <v>1</v>
      </c>
      <c r="E620" s="24" t="n">
        <f aca="false">LN(C620)</f>
        <v>6.41121052970839</v>
      </c>
      <c r="F620" s="25" t="n">
        <f aca="false">LN(C620/C619)</f>
        <v>0.00311016649007061</v>
      </c>
      <c r="G620" s="25" t="n">
        <f aca="false">IF(AND(D620=1,A620&gt;=$R$2),F620,"")</f>
        <v>0.00311016649007061</v>
      </c>
      <c r="H620" s="27" t="n">
        <f aca="false">IF(G620="","",G620^2)</f>
        <v>9.67313559595815E-006</v>
      </c>
      <c r="I620" s="25" t="n">
        <f aca="false">IF(G620="","",C620/C619-1)</f>
        <v>0.00311500807594678</v>
      </c>
      <c r="J620" s="17" t="n">
        <f aca="false">AVERAGE(C421:C620)</f>
        <v>536.96385</v>
      </c>
      <c r="K620" s="17" t="n">
        <f aca="false">MAX(K619,C620)</f>
        <v>769.76</v>
      </c>
      <c r="L620" s="25" t="n">
        <f aca="false">C620/K620-1</f>
        <v>-0.209324984410725</v>
      </c>
      <c r="M620" s="25" t="n">
        <f aca="false">IF(COUNT(G591:G620)&lt;20,"",_xlfn.STDEV.S(G591:G620)*SQRT($R$3))</f>
        <v>0.245029888842515</v>
      </c>
      <c r="N620" s="25" t="n">
        <f aca="false">IF(A620-7&lt;$R$2,"",C620/INDEX(Clean_Data!$C$2:$C$4314,MATCH(A620-7,Clean_Data!$A$2:$A$4314,1))-1)</f>
        <v>-0.00711267720517461</v>
      </c>
      <c r="O620" s="25" t="n">
        <f aca="false">IF(A620-30&lt;$R$2,"",C620/INDEX(Clean_Data!$C$2:$C$4314,MATCH(A620-30,Clean_Data!$A$2:$A$4314,1))-1)</f>
        <v>0.0585053653107011</v>
      </c>
    </row>
    <row r="621" customFormat="false" ht="15" hidden="false" customHeight="false" outlineLevel="0" collapsed="false">
      <c r="A621" s="16" t="n">
        <v>42627</v>
      </c>
      <c r="B621" s="23" t="n">
        <f aca="false">YEAR(A621)</f>
        <v>2016</v>
      </c>
      <c r="C621" s="17" t="n">
        <v>608.43</v>
      </c>
      <c r="D621" s="23" t="n">
        <f aca="false">A621-A620</f>
        <v>1</v>
      </c>
      <c r="E621" s="24" t="n">
        <f aca="false">LN(C621)</f>
        <v>6.41088186883415</v>
      </c>
      <c r="F621" s="25" t="n">
        <f aca="false">LN(C621/C620)</f>
        <v>-0.00032866087423849</v>
      </c>
      <c r="G621" s="25" t="n">
        <f aca="false">IF(AND(D621=1,A621&gt;=$R$2),F621,"")</f>
        <v>-0.00032866087423849</v>
      </c>
      <c r="H621" s="27" t="n">
        <f aca="false">IF(G621="","",G621^2)</f>
        <v>1.08017970255209E-007</v>
      </c>
      <c r="I621" s="25" t="n">
        <f aca="false">IF(G621="","",C621/C620-1)</f>
        <v>-0.000328606871169757</v>
      </c>
      <c r="J621" s="17" t="n">
        <f aca="false">AVERAGE(C422:C621)</f>
        <v>537.8404</v>
      </c>
      <c r="K621" s="17" t="n">
        <f aca="false">MAX(K620,C621)</f>
        <v>769.76</v>
      </c>
      <c r="L621" s="25" t="n">
        <f aca="false">C621/K621-1</f>
        <v>-0.20958480565371</v>
      </c>
      <c r="M621" s="25" t="n">
        <f aca="false">IF(COUNT(G592:G621)&lt;20,"",_xlfn.STDEV.S(G592:G621)*SQRT($R$3))</f>
        <v>0.239570065149734</v>
      </c>
      <c r="N621" s="25" t="n">
        <f aca="false">IF(A621-7&lt;$R$2,"",C621/INDEX(Clean_Data!$C$2:$C$4314,MATCH(A621-7,Clean_Data!$A$2:$A$4314,1))-1)</f>
        <v>-0.0110206271029406</v>
      </c>
      <c r="O621" s="25" t="n">
        <f aca="false">IF(A621-30&lt;$R$2,"",C621/INDEX(Clean_Data!$C$2:$C$4314,MATCH(A621-30,Clean_Data!$A$2:$A$4314,1))-1)</f>
        <v>0.0715757586431602</v>
      </c>
    </row>
    <row r="622" customFormat="false" ht="15" hidden="false" customHeight="false" outlineLevel="0" collapsed="false">
      <c r="A622" s="16" t="n">
        <v>42628</v>
      </c>
      <c r="B622" s="23" t="n">
        <f aca="false">YEAR(A622)</f>
        <v>2016</v>
      </c>
      <c r="C622" s="17" t="n">
        <v>605.44</v>
      </c>
      <c r="D622" s="23" t="n">
        <f aca="false">A622-A621</f>
        <v>1</v>
      </c>
      <c r="E622" s="24" t="n">
        <f aca="false">LN(C622)</f>
        <v>6.40595546642346</v>
      </c>
      <c r="F622" s="25" t="n">
        <f aca="false">LN(C622/C621)</f>
        <v>-0.00492640241069157</v>
      </c>
      <c r="G622" s="25" t="n">
        <f aca="false">IF(AND(D622=1,A622&gt;=$R$2),F622,"")</f>
        <v>-0.00492640241069157</v>
      </c>
      <c r="H622" s="27" t="n">
        <f aca="false">IF(G622="","",G622^2)</f>
        <v>2.42694407120677E-005</v>
      </c>
      <c r="I622" s="25" t="n">
        <f aca="false">IF(G622="","",C622/C621-1)</f>
        <v>-0.00491428759265633</v>
      </c>
      <c r="J622" s="17" t="n">
        <f aca="false">AVERAGE(C423:C622)</f>
        <v>538.69895</v>
      </c>
      <c r="K622" s="17" t="n">
        <f aca="false">MAX(K621,C622)</f>
        <v>769.76</v>
      </c>
      <c r="L622" s="25" t="n">
        <f aca="false">C622/K622-1</f>
        <v>-0.213469133236333</v>
      </c>
      <c r="M622" s="25" t="n">
        <f aca="false">IF(COUNT(G593:G622)&lt;20,"",_xlfn.STDEV.S(G593:G622)*SQRT($R$3))</f>
        <v>0.232467462883389</v>
      </c>
      <c r="N622" s="25" t="n">
        <f aca="false">IF(A622-7&lt;$R$2,"",C622/INDEX(Clean_Data!$C$2:$C$4314,MATCH(A622-7,Clean_Data!$A$2:$A$4314,1))-1)</f>
        <v>-0.0358775100721371</v>
      </c>
      <c r="O622" s="25" t="n">
        <f aca="false">IF(A622-30&lt;$R$2,"",C622/INDEX(Clean_Data!$C$2:$C$4314,MATCH(A622-30,Clean_Data!$A$2:$A$4314,1))-1)</f>
        <v>0.0456288211115334</v>
      </c>
    </row>
    <row r="623" customFormat="false" ht="15" hidden="false" customHeight="false" outlineLevel="0" collapsed="false">
      <c r="A623" s="16" t="n">
        <v>42629</v>
      </c>
      <c r="B623" s="23" t="n">
        <f aca="false">YEAR(A623)</f>
        <v>2016</v>
      </c>
      <c r="C623" s="17" t="n">
        <v>607.93</v>
      </c>
      <c r="D623" s="23" t="n">
        <f aca="false">A623-A622</f>
        <v>1</v>
      </c>
      <c r="E623" s="24" t="n">
        <f aca="false">LN(C623)</f>
        <v>6.41005974375907</v>
      </c>
      <c r="F623" s="25" t="n">
        <f aca="false">LN(C623/C622)</f>
        <v>0.00410427733561169</v>
      </c>
      <c r="G623" s="25" t="n">
        <f aca="false">IF(AND(D623=1,A623&gt;=$R$2),F623,"")</f>
        <v>0.00410427733561169</v>
      </c>
      <c r="H623" s="27" t="n">
        <f aca="false">IF(G623="","",G623^2)</f>
        <v>1.68450924476158E-005</v>
      </c>
      <c r="I623" s="25" t="n">
        <f aca="false">IF(G623="","",C623/C622-1)</f>
        <v>0.00411271141649028</v>
      </c>
      <c r="J623" s="17" t="n">
        <f aca="false">AVERAGE(C424:C623)</f>
        <v>539.5564</v>
      </c>
      <c r="K623" s="17" t="n">
        <f aca="false">MAX(K622,C623)</f>
        <v>769.76</v>
      </c>
      <c r="L623" s="25" t="n">
        <f aca="false">C623/K623-1</f>
        <v>-0.210234358761172</v>
      </c>
      <c r="M623" s="25" t="n">
        <f aca="false">IF(COUNT(G594:G623)&lt;20,"",_xlfn.STDEV.S(G594:G623)*SQRT($R$3))</f>
        <v>0.230112675149909</v>
      </c>
      <c r="N623" s="25" t="n">
        <f aca="false">IF(A623-7&lt;$R$2,"",C623/INDEX(Clean_Data!$C$2:$C$4314,MATCH(A623-7,Clean_Data!$A$2:$A$4314,1))-1)</f>
        <v>-0.0227305608693557</v>
      </c>
      <c r="O623" s="25" t="n">
        <f aca="false">IF(A623-30&lt;$R$2,"",C623/INDEX(Clean_Data!$C$2:$C$4314,MATCH(A623-30,Clean_Data!$A$2:$A$4314,1))-1)</f>
        <v>0.0582818347985028</v>
      </c>
    </row>
    <row r="624" customFormat="false" ht="15" hidden="false" customHeight="false" outlineLevel="0" collapsed="false">
      <c r="A624" s="16" t="n">
        <v>42630</v>
      </c>
      <c r="B624" s="23" t="n">
        <f aca="false">YEAR(A624)</f>
        <v>2016</v>
      </c>
      <c r="C624" s="17" t="n">
        <v>607.92</v>
      </c>
      <c r="D624" s="23" t="n">
        <f aca="false">A624-A623</f>
        <v>1</v>
      </c>
      <c r="E624" s="24" t="n">
        <f aca="false">LN(C624)</f>
        <v>6.41004329436153</v>
      </c>
      <c r="F624" s="25" t="n">
        <f aca="false">LN(C624/C623)</f>
        <v>-1.64493975411265E-005</v>
      </c>
      <c r="G624" s="25" t="n">
        <f aca="false">IF(AND(D624=1,A624&gt;=$R$2),F624,"")</f>
        <v>-1.64493975411265E-005</v>
      </c>
      <c r="H624" s="27" t="n">
        <f aca="false">IF(G624="","",G624^2)</f>
        <v>2.70582679466018E-010</v>
      </c>
      <c r="I624" s="25" t="n">
        <f aca="false">IF(G624="","",C624/C623-1)</f>
        <v>-1.64492622505286E-005</v>
      </c>
      <c r="J624" s="17" t="n">
        <f aca="false">AVERAGE(C425:C624)</f>
        <v>540.4306</v>
      </c>
      <c r="K624" s="17" t="n">
        <f aca="false">MAX(K623,C624)</f>
        <v>769.76</v>
      </c>
      <c r="L624" s="25" t="n">
        <f aca="false">C624/K624-1</f>
        <v>-0.210247349823322</v>
      </c>
      <c r="M624" s="25" t="n">
        <f aca="false">IF(COUNT(G595:G624)&lt;20,"",_xlfn.STDEV.S(G595:G624)*SQRT($R$3))</f>
        <v>0.230038539369426</v>
      </c>
      <c r="N624" s="25" t="n">
        <f aca="false">IF(A624-7&lt;$R$2,"",C624/INDEX(Clean_Data!$C$2:$C$4314,MATCH(A624-7,Clean_Data!$A$2:$A$4314,1))-1)</f>
        <v>-0.0253631320742618</v>
      </c>
      <c r="O624" s="25" t="n">
        <f aca="false">IF(A624-30&lt;$R$2,"",C624/INDEX(Clean_Data!$C$2:$C$4314,MATCH(A624-30,Clean_Data!$A$2:$A$4314,1))-1)</f>
        <v>0.0589280426413976</v>
      </c>
    </row>
    <row r="625" customFormat="false" ht="15" hidden="false" customHeight="false" outlineLevel="0" collapsed="false">
      <c r="A625" s="16" t="n">
        <v>42631</v>
      </c>
      <c r="B625" s="23" t="n">
        <f aca="false">YEAR(A625)</f>
        <v>2016</v>
      </c>
      <c r="C625" s="17" t="n">
        <v>611.4</v>
      </c>
      <c r="D625" s="23" t="n">
        <f aca="false">A625-A624</f>
        <v>1</v>
      </c>
      <c r="E625" s="24" t="n">
        <f aca="false">LN(C625)</f>
        <v>6.41575140945673</v>
      </c>
      <c r="F625" s="25" t="n">
        <f aca="false">LN(C625/C624)</f>
        <v>0.00570811509520461</v>
      </c>
      <c r="G625" s="25" t="n">
        <f aca="false">IF(AND(D625=1,A625&gt;=$R$2),F625,"")</f>
        <v>0.00570811509520461</v>
      </c>
      <c r="H625" s="27" t="n">
        <f aca="false">IF(G625="","",G625^2)</f>
        <v>3.25825779401028E-005</v>
      </c>
      <c r="I625" s="25" t="n">
        <f aca="false">IF(G625="","",C625/C624-1)</f>
        <v>0.00572443742597706</v>
      </c>
      <c r="J625" s="17" t="n">
        <f aca="false">AVERAGE(C426:C625)</f>
        <v>541.38565</v>
      </c>
      <c r="K625" s="17" t="n">
        <f aca="false">MAX(K624,C625)</f>
        <v>769.76</v>
      </c>
      <c r="L625" s="25" t="n">
        <f aca="false">C625/K625-1</f>
        <v>-0.205726460195386</v>
      </c>
      <c r="M625" s="25" t="n">
        <f aca="false">IF(COUNT(G596:G625)&lt;20,"",_xlfn.STDEV.S(G596:G625)*SQRT($R$3))</f>
        <v>0.230204868943781</v>
      </c>
      <c r="N625" s="25" t="n">
        <f aca="false">IF(A625-7&lt;$R$2,"",C625/INDEX(Clean_Data!$C$2:$C$4314,MATCH(A625-7,Clean_Data!$A$2:$A$4314,1))-1)</f>
        <v>0.00569135112017616</v>
      </c>
      <c r="O625" s="25" t="n">
        <f aca="false">IF(A625-30&lt;$R$2,"",C625/INDEX(Clean_Data!$C$2:$C$4314,MATCH(A625-30,Clean_Data!$A$2:$A$4314,1))-1)</f>
        <v>0.0657695190614813</v>
      </c>
    </row>
    <row r="626" customFormat="false" ht="15" hidden="false" customHeight="false" outlineLevel="0" collapsed="false">
      <c r="A626" s="16" t="n">
        <v>42632</v>
      </c>
      <c r="B626" s="23" t="n">
        <f aca="false">YEAR(A626)</f>
        <v>2016</v>
      </c>
      <c r="C626" s="17" t="n">
        <v>608.6</v>
      </c>
      <c r="D626" s="23" t="n">
        <f aca="false">A626-A625</f>
        <v>1</v>
      </c>
      <c r="E626" s="24" t="n">
        <f aca="false">LN(C626)</f>
        <v>6.41116123746287</v>
      </c>
      <c r="F626" s="25" t="n">
        <f aca="false">LN(C626/C625)</f>
        <v>-0.00459017199386334</v>
      </c>
      <c r="G626" s="25" t="n">
        <f aca="false">IF(AND(D626=1,A626&gt;=$R$2),F626,"")</f>
        <v>-0.00459017199386334</v>
      </c>
      <c r="H626" s="27" t="n">
        <f aca="false">IF(G626="","",G626^2)</f>
        <v>2.10696789332473E-005</v>
      </c>
      <c r="I626" s="25" t="n">
        <f aca="false">IF(G626="","",C626/C625-1)</f>
        <v>-0.0045796532548249</v>
      </c>
      <c r="J626" s="17" t="n">
        <f aca="false">AVERAGE(C427:C626)</f>
        <v>542.33465</v>
      </c>
      <c r="K626" s="17" t="n">
        <f aca="false">MAX(K625,C626)</f>
        <v>769.76</v>
      </c>
      <c r="L626" s="25" t="n">
        <f aca="false">C626/K626-1</f>
        <v>-0.209363957597173</v>
      </c>
      <c r="M626" s="25" t="n">
        <f aca="false">IF(COUNT(G597:G626)&lt;20,"",_xlfn.STDEV.S(G597:G626)*SQRT($R$3))</f>
        <v>0.227112436444479</v>
      </c>
      <c r="N626" s="25" t="n">
        <f aca="false">IF(A626-7&lt;$R$2,"",C626/INDEX(Clean_Data!$C$2:$C$4314,MATCH(A626-7,Clean_Data!$A$2:$A$4314,1))-1)</f>
        <v>0.00306556350331277</v>
      </c>
      <c r="O626" s="25" t="n">
        <f aca="false">IF(A626-30&lt;$R$2,"",C626/INDEX(Clean_Data!$C$2:$C$4314,MATCH(A626-30,Clean_Data!$A$2:$A$4314,1))-1)</f>
        <v>0.0459380961383127</v>
      </c>
    </row>
    <row r="627" customFormat="false" ht="15" hidden="false" customHeight="false" outlineLevel="0" collapsed="false">
      <c r="A627" s="16" t="n">
        <v>42633</v>
      </c>
      <c r="B627" s="23" t="n">
        <f aca="false">YEAR(A627)</f>
        <v>2016</v>
      </c>
      <c r="C627" s="17" t="n">
        <v>605.6</v>
      </c>
      <c r="D627" s="23" t="n">
        <f aca="false">A627-A626</f>
        <v>1</v>
      </c>
      <c r="E627" s="24" t="n">
        <f aca="false">LN(C627)</f>
        <v>6.40621970212324</v>
      </c>
      <c r="F627" s="25" t="n">
        <f aca="false">LN(C627/C626)</f>
        <v>-0.00494153533963165</v>
      </c>
      <c r="G627" s="25" t="n">
        <f aca="false">IF(AND(D627=1,A627&gt;=$R$2),F627,"")</f>
        <v>-0.00494153533963165</v>
      </c>
      <c r="H627" s="27" t="n">
        <f aca="false">IF(G627="","",G627^2)</f>
        <v>2.44187715128285E-005</v>
      </c>
      <c r="I627" s="25" t="n">
        <f aca="false">IF(G627="","",C627/C626-1)</f>
        <v>-0.00492934604009199</v>
      </c>
      <c r="J627" s="17" t="n">
        <f aca="false">AVERAGE(C428:C627)</f>
        <v>543.3259</v>
      </c>
      <c r="K627" s="17" t="n">
        <f aca="false">MAX(K626,C627)</f>
        <v>769.76</v>
      </c>
      <c r="L627" s="25" t="n">
        <f aca="false">C627/K627-1</f>
        <v>-0.213261276241945</v>
      </c>
      <c r="M627" s="25" t="n">
        <f aca="false">IF(COUNT(G598:G627)&lt;20,"",_xlfn.STDEV.S(G598:G627)*SQRT($R$3))</f>
        <v>0.228072355276859</v>
      </c>
      <c r="N627" s="25" t="n">
        <f aca="false">IF(A627-7&lt;$R$2,"",C627/INDEX(Clean_Data!$C$2:$C$4314,MATCH(A627-7,Clean_Data!$A$2:$A$4314,1))-1)</f>
        <v>-0.00497839409822054</v>
      </c>
      <c r="O627" s="25" t="n">
        <f aca="false">IF(A627-30&lt;$R$2,"",C627/INDEX(Clean_Data!$C$2:$C$4314,MATCH(A627-30,Clean_Data!$A$2:$A$4314,1))-1)</f>
        <v>0.0418207779249602</v>
      </c>
    </row>
    <row r="628" customFormat="false" ht="15" hidden="false" customHeight="false" outlineLevel="0" collapsed="false">
      <c r="A628" s="16" t="n">
        <v>42634</v>
      </c>
      <c r="B628" s="23" t="n">
        <f aca="false">YEAR(A628)</f>
        <v>2016</v>
      </c>
      <c r="C628" s="17" t="n">
        <v>597</v>
      </c>
      <c r="D628" s="23" t="n">
        <f aca="false">A628-A627</f>
        <v>1</v>
      </c>
      <c r="E628" s="24" t="n">
        <f aca="false">LN(C628)</f>
        <v>6.3919171133926</v>
      </c>
      <c r="F628" s="25" t="n">
        <f aca="false">LN(C628/C627)</f>
        <v>-0.014302588730637</v>
      </c>
      <c r="G628" s="25" t="n">
        <f aca="false">IF(AND(D628=1,A628&gt;=$R$2),F628,"")</f>
        <v>-0.014302588730637</v>
      </c>
      <c r="H628" s="27" t="n">
        <f aca="false">IF(G628="","",G628^2)</f>
        <v>0.000204564044397743</v>
      </c>
      <c r="I628" s="25" t="n">
        <f aca="false">IF(G628="","",C628/C627-1)</f>
        <v>-0.0142007926023778</v>
      </c>
      <c r="J628" s="17" t="n">
        <f aca="false">AVERAGE(C429:C628)</f>
        <v>544.3305</v>
      </c>
      <c r="K628" s="17" t="n">
        <f aca="false">MAX(K627,C628)</f>
        <v>769.76</v>
      </c>
      <c r="L628" s="25" t="n">
        <f aca="false">C628/K628-1</f>
        <v>-0.224433589690293</v>
      </c>
      <c r="M628" s="25" t="n">
        <f aca="false">IF(COUNT(G599:G628)&lt;20,"",_xlfn.STDEV.S(G599:G628)*SQRT($R$3))</f>
        <v>0.233587333014493</v>
      </c>
      <c r="N628" s="25" t="n">
        <f aca="false">IF(A628-7&lt;$R$2,"",C628/INDEX(Clean_Data!$C$2:$C$4314,MATCH(A628-7,Clean_Data!$A$2:$A$4314,1))-1)</f>
        <v>-0.0187860559144025</v>
      </c>
      <c r="O628" s="25" t="n">
        <f aca="false">IF(A628-30&lt;$R$2,"",C628/INDEX(Clean_Data!$C$2:$C$4314,MATCH(A628-30,Clean_Data!$A$2:$A$4314,1))-1)</f>
        <v>0.0201640464798358</v>
      </c>
    </row>
    <row r="629" customFormat="false" ht="15" hidden="false" customHeight="false" outlineLevel="0" collapsed="false">
      <c r="A629" s="16" t="n">
        <v>42635</v>
      </c>
      <c r="B629" s="23" t="n">
        <f aca="false">YEAR(A629)</f>
        <v>2016</v>
      </c>
      <c r="C629" s="17" t="n">
        <v>596.21</v>
      </c>
      <c r="D629" s="23" t="n">
        <f aca="false">A629-A628</f>
        <v>1</v>
      </c>
      <c r="E629" s="24" t="n">
        <f aca="false">LN(C629)</f>
        <v>6.39059295399831</v>
      </c>
      <c r="F629" s="25" t="n">
        <f aca="false">LN(C629/C628)</f>
        <v>-0.00132415939429268</v>
      </c>
      <c r="G629" s="25" t="n">
        <f aca="false">IF(AND(D629=1,A629&gt;=$R$2),F629,"")</f>
        <v>-0.00132415939429268</v>
      </c>
      <c r="H629" s="27" t="n">
        <f aca="false">IF(G629="","",G629^2)</f>
        <v>1.75339810149357E-006</v>
      </c>
      <c r="I629" s="25" t="n">
        <f aca="false">IF(G629="","",C629/C628-1)</f>
        <v>-0.00132328308207696</v>
      </c>
      <c r="J629" s="17" t="n">
        <f aca="false">AVERAGE(C430:C629)</f>
        <v>545.29535</v>
      </c>
      <c r="K629" s="17" t="n">
        <f aca="false">MAX(K628,C629)</f>
        <v>769.76</v>
      </c>
      <c r="L629" s="25" t="n">
        <f aca="false">C629/K629-1</f>
        <v>-0.225459883600083</v>
      </c>
      <c r="M629" s="25" t="n">
        <f aca="false">IF(COUNT(G600:G629)&lt;20,"",_xlfn.STDEV.S(G600:G629)*SQRT($R$3))</f>
        <v>0.232873260422408</v>
      </c>
      <c r="N629" s="25" t="n">
        <f aca="false">IF(A629-7&lt;$R$2,"",C629/INDEX(Clean_Data!$C$2:$C$4314,MATCH(A629-7,Clean_Data!$A$2:$A$4314,1))-1)</f>
        <v>-0.0152451109936576</v>
      </c>
      <c r="O629" s="25" t="n">
        <f aca="false">IF(A629-30&lt;$R$2,"",C629/INDEX(Clean_Data!$C$2:$C$4314,MATCH(A629-30,Clean_Data!$A$2:$A$4314,1))-1)</f>
        <v>0.0237298030529372</v>
      </c>
    </row>
    <row r="630" customFormat="false" ht="15" hidden="false" customHeight="false" outlineLevel="0" collapsed="false">
      <c r="A630" s="16" t="n">
        <v>42636</v>
      </c>
      <c r="B630" s="23" t="n">
        <f aca="false">YEAR(A630)</f>
        <v>2016</v>
      </c>
      <c r="C630" s="17" t="n">
        <v>602.96</v>
      </c>
      <c r="D630" s="23" t="n">
        <f aca="false">A630-A629</f>
        <v>1</v>
      </c>
      <c r="E630" s="24" t="n">
        <f aca="false">LN(C630)</f>
        <v>6.40185085953521</v>
      </c>
      <c r="F630" s="25" t="n">
        <f aca="false">LN(C630/C629)</f>
        <v>0.0112579055369052</v>
      </c>
      <c r="G630" s="25" t="n">
        <f aca="false">IF(AND(D630=1,A630&gt;=$R$2),F630,"")</f>
        <v>0.0112579055369052</v>
      </c>
      <c r="H630" s="27" t="n">
        <f aca="false">IF(G630="","",G630^2)</f>
        <v>0.000126740437077881</v>
      </c>
      <c r="I630" s="25" t="n">
        <f aca="false">IF(G630="","",C630/C629-1)</f>
        <v>0.0113215142315628</v>
      </c>
      <c r="J630" s="17" t="n">
        <f aca="false">AVERAGE(C431:C630)</f>
        <v>546.2491</v>
      </c>
      <c r="K630" s="17" t="n">
        <f aca="false">MAX(K629,C630)</f>
        <v>769.76</v>
      </c>
      <c r="L630" s="25" t="n">
        <f aca="false">C630/K630-1</f>
        <v>-0.216690916649345</v>
      </c>
      <c r="M630" s="25" t="n">
        <f aca="false">IF(COUNT(G601:G630)&lt;20,"",_xlfn.STDEV.S(G601:G630)*SQRT($R$3))</f>
        <v>0.23400963867142</v>
      </c>
      <c r="N630" s="25" t="n">
        <f aca="false">IF(A630-7&lt;$R$2,"",C630/INDEX(Clean_Data!$C$2:$C$4314,MATCH(A630-7,Clean_Data!$A$2:$A$4314,1))-1)</f>
        <v>-0.00817528333854212</v>
      </c>
      <c r="O630" s="25" t="n">
        <f aca="false">IF(A630-30&lt;$R$2,"",C630/INDEX(Clean_Data!$C$2:$C$4314,MATCH(A630-30,Clean_Data!$A$2:$A$4314,1))-1)</f>
        <v>0.0423358168962955</v>
      </c>
    </row>
    <row r="631" customFormat="false" ht="15" hidden="false" customHeight="false" outlineLevel="0" collapsed="false">
      <c r="A631" s="16" t="n">
        <v>42637</v>
      </c>
      <c r="B631" s="23" t="n">
        <f aca="false">YEAR(A631)</f>
        <v>2016</v>
      </c>
      <c r="C631" s="17" t="n">
        <v>603.68</v>
      </c>
      <c r="D631" s="23" t="n">
        <f aca="false">A631-A630</f>
        <v>1</v>
      </c>
      <c r="E631" s="24" t="n">
        <f aca="false">LN(C631)</f>
        <v>6.403044256216</v>
      </c>
      <c r="F631" s="25" t="n">
        <f aca="false">LN(C631/C630)</f>
        <v>0.00119339668078582</v>
      </c>
      <c r="G631" s="25" t="n">
        <f aca="false">IF(AND(D631=1,A631&gt;=$R$2),F631,"")</f>
        <v>0.00119339668078582</v>
      </c>
      <c r="H631" s="27" t="n">
        <f aca="false">IF(G631="","",G631^2)</f>
        <v>1.42419563771062E-006</v>
      </c>
      <c r="I631" s="25" t="n">
        <f aca="false">IF(G631="","",C631/C630-1)</f>
        <v>0.00119410906196094</v>
      </c>
      <c r="J631" s="17" t="n">
        <f aca="false">AVERAGE(C432:C631)</f>
        <v>547.2116</v>
      </c>
      <c r="K631" s="17" t="n">
        <f aca="false">MAX(K630,C631)</f>
        <v>769.76</v>
      </c>
      <c r="L631" s="25" t="n">
        <f aca="false">C631/K631-1</f>
        <v>-0.2157555601746</v>
      </c>
      <c r="M631" s="25" t="n">
        <f aca="false">IF(COUNT(G602:G631)&lt;20,"",_xlfn.STDEV.S(G602:G631)*SQRT($R$3))</f>
        <v>0.232875084787072</v>
      </c>
      <c r="N631" s="25" t="n">
        <f aca="false">IF(A631-7&lt;$R$2,"",C631/INDEX(Clean_Data!$C$2:$C$4314,MATCH(A631-7,Clean_Data!$A$2:$A$4314,1))-1)</f>
        <v>-0.0069746019213055</v>
      </c>
      <c r="O631" s="25" t="n">
        <f aca="false">IF(A631-30&lt;$R$2,"",C631/INDEX(Clean_Data!$C$2:$C$4314,MATCH(A631-30,Clean_Data!$A$2:$A$4314,1))-1)</f>
        <v>0.0488203203724937</v>
      </c>
    </row>
    <row r="632" customFormat="false" ht="15" hidden="false" customHeight="false" outlineLevel="0" collapsed="false">
      <c r="A632" s="16" t="n">
        <v>42638</v>
      </c>
      <c r="B632" s="23" t="n">
        <f aca="false">YEAR(A632)</f>
        <v>2016</v>
      </c>
      <c r="C632" s="17" t="n">
        <v>601.67</v>
      </c>
      <c r="D632" s="23" t="n">
        <f aca="false">A632-A631</f>
        <v>1</v>
      </c>
      <c r="E632" s="24" t="n">
        <f aca="false">LN(C632)</f>
        <v>6.39970912224973</v>
      </c>
      <c r="F632" s="25" t="n">
        <f aca="false">LN(C632/C631)</f>
        <v>-0.00333513396627042</v>
      </c>
      <c r="G632" s="25" t="n">
        <f aca="false">IF(AND(D632=1,A632&gt;=$R$2),F632,"")</f>
        <v>-0.00333513396627042</v>
      </c>
      <c r="H632" s="27" t="n">
        <f aca="false">IF(G632="","",G632^2)</f>
        <v>1.11231185729706E-005</v>
      </c>
      <c r="I632" s="25" t="n">
        <f aca="false">IF(G632="","",C632/C631-1)</f>
        <v>-0.00332957858468064</v>
      </c>
      <c r="J632" s="17" t="n">
        <f aca="false">AVERAGE(C433:C632)</f>
        <v>548.15595</v>
      </c>
      <c r="K632" s="17" t="n">
        <f aca="false">MAX(K631,C632)</f>
        <v>769.76</v>
      </c>
      <c r="L632" s="25" t="n">
        <f aca="false">C632/K632-1</f>
        <v>-0.218366763666597</v>
      </c>
      <c r="M632" s="25" t="n">
        <f aca="false">IF(COUNT(G603:G632)&lt;20,"",_xlfn.STDEV.S(G603:G632)*SQRT($R$3))</f>
        <v>0.232812446706475</v>
      </c>
      <c r="N632" s="25" t="n">
        <f aca="false">IF(A632-7&lt;$R$2,"",C632/INDEX(Clean_Data!$C$2:$C$4314,MATCH(A632-7,Clean_Data!$A$2:$A$4314,1))-1)</f>
        <v>-0.0159142950605169</v>
      </c>
      <c r="O632" s="25" t="n">
        <f aca="false">IF(A632-30&lt;$R$2,"",C632/INDEX(Clean_Data!$C$2:$C$4314,MATCH(A632-30,Clean_Data!$A$2:$A$4314,1))-1)</f>
        <v>0.038633499628856</v>
      </c>
    </row>
    <row r="633" customFormat="false" ht="15" hidden="false" customHeight="false" outlineLevel="0" collapsed="false">
      <c r="A633" s="16" t="n">
        <v>42639</v>
      </c>
      <c r="B633" s="23" t="n">
        <f aca="false">YEAR(A633)</f>
        <v>2016</v>
      </c>
      <c r="C633" s="17" t="n">
        <v>607.08</v>
      </c>
      <c r="D633" s="23" t="n">
        <f aca="false">A633-A632</f>
        <v>1</v>
      </c>
      <c r="E633" s="24" t="n">
        <f aca="false">LN(C633)</f>
        <v>6.40866057809185</v>
      </c>
      <c r="F633" s="25" t="n">
        <f aca="false">LN(C633/C632)</f>
        <v>0.00895145584211528</v>
      </c>
      <c r="G633" s="25" t="n">
        <f aca="false">IF(AND(D633=1,A633&gt;=$R$2),F633,"")</f>
        <v>0.00895145584211528</v>
      </c>
      <c r="H633" s="27" t="n">
        <f aca="false">IF(G633="","",G633^2)</f>
        <v>8.01285616933398E-005</v>
      </c>
      <c r="I633" s="25" t="n">
        <f aca="false">IF(G633="","",C633/C632-1)</f>
        <v>0.008991639935513</v>
      </c>
      <c r="J633" s="17" t="n">
        <f aca="false">AVERAGE(C434:C633)</f>
        <v>549.11145</v>
      </c>
      <c r="K633" s="17" t="n">
        <f aca="false">MAX(K632,C633)</f>
        <v>769.76</v>
      </c>
      <c r="L633" s="25" t="n">
        <f aca="false">C633/K633-1</f>
        <v>-0.211338599043858</v>
      </c>
      <c r="M633" s="25" t="n">
        <f aca="false">IF(COUNT(G604:G633)&lt;20,"",_xlfn.STDEV.S(G604:G633)*SQRT($R$3))</f>
        <v>0.226949048492816</v>
      </c>
      <c r="N633" s="25" t="n">
        <f aca="false">IF(A633-7&lt;$R$2,"",C633/INDEX(Clean_Data!$C$2:$C$4314,MATCH(A633-7,Clean_Data!$A$2:$A$4314,1))-1)</f>
        <v>-0.00249753532697994</v>
      </c>
      <c r="O633" s="25" t="n">
        <f aca="false">IF(A633-30&lt;$R$2,"",C633/INDEX(Clean_Data!$C$2:$C$4314,MATCH(A633-30,Clean_Data!$A$2:$A$4314,1))-1)</f>
        <v>0.0634853899516503</v>
      </c>
    </row>
    <row r="634" customFormat="false" ht="15" hidden="false" customHeight="false" outlineLevel="0" collapsed="false">
      <c r="A634" s="16" t="n">
        <v>42640</v>
      </c>
      <c r="B634" s="23" t="n">
        <f aca="false">YEAR(A634)</f>
        <v>2016</v>
      </c>
      <c r="C634" s="17" t="n">
        <v>605.71</v>
      </c>
      <c r="D634" s="23" t="n">
        <f aca="false">A634-A633</f>
        <v>1</v>
      </c>
      <c r="E634" s="24" t="n">
        <f aca="false">LN(C634)</f>
        <v>6.40640132367396</v>
      </c>
      <c r="F634" s="25" t="n">
        <f aca="false">LN(C634/C633)</f>
        <v>-0.00225925441788431</v>
      </c>
      <c r="G634" s="25" t="n">
        <f aca="false">IF(AND(D634=1,A634&gt;=$R$2),F634,"")</f>
        <v>-0.00225925441788431</v>
      </c>
      <c r="H634" s="27" t="n">
        <f aca="false">IF(G634="","",G634^2)</f>
        <v>5.10423052472975E-006</v>
      </c>
      <c r="I634" s="25" t="n">
        <f aca="false">IF(G634="","",C634/C633-1)</f>
        <v>-0.00225670422349611</v>
      </c>
      <c r="J634" s="17" t="n">
        <f aca="false">AVERAGE(C435:C634)</f>
        <v>550.04305</v>
      </c>
      <c r="K634" s="17" t="n">
        <f aca="false">MAX(K633,C634)</f>
        <v>769.76</v>
      </c>
      <c r="L634" s="25" t="n">
        <f aca="false">C634/K634-1</f>
        <v>-0.213118374558304</v>
      </c>
      <c r="M634" s="25" t="n">
        <f aca="false">IF(COUNT(G605:G634)&lt;20,"",_xlfn.STDEV.S(G605:G634)*SQRT($R$3))</f>
        <v>0.226394400375797</v>
      </c>
      <c r="N634" s="25" t="n">
        <f aca="false">IF(A634-7&lt;$R$2,"",C634/INDEX(Clean_Data!$C$2:$C$4314,MATCH(A634-7,Clean_Data!$A$2:$A$4314,1))-1)</f>
        <v>0.000181638044914223</v>
      </c>
      <c r="O634" s="25" t="n">
        <f aca="false">IF(A634-30&lt;$R$2,"",C634/INDEX(Clean_Data!$C$2:$C$4314,MATCH(A634-30,Clean_Data!$A$2:$A$4314,1))-1)</f>
        <v>0.0526581046558108</v>
      </c>
    </row>
    <row r="635" customFormat="false" ht="15" hidden="false" customHeight="false" outlineLevel="0" collapsed="false">
      <c r="A635" s="16" t="n">
        <v>42641</v>
      </c>
      <c r="B635" s="23" t="n">
        <f aca="false">YEAR(A635)</f>
        <v>2016</v>
      </c>
      <c r="C635" s="17" t="n">
        <v>605.04</v>
      </c>
      <c r="D635" s="23" t="n">
        <f aca="false">A635-A634</f>
        <v>1</v>
      </c>
      <c r="E635" s="24" t="n">
        <f aca="false">LN(C635)</f>
        <v>6.40529457154777</v>
      </c>
      <c r="F635" s="25" t="n">
        <f aca="false">LN(C635/C634)</f>
        <v>-0.00110675212618684</v>
      </c>
      <c r="G635" s="25" t="n">
        <f aca="false">IF(AND(D635=1,A635&gt;=$R$2),F635,"")</f>
        <v>-0.00110675212618684</v>
      </c>
      <c r="H635" s="27" t="n">
        <f aca="false">IF(G635="","",G635^2)</f>
        <v>1.22490026881909E-006</v>
      </c>
      <c r="I635" s="25" t="n">
        <f aca="false">IF(G635="","",C635/C634-1)</f>
        <v>-0.00110613990193342</v>
      </c>
      <c r="J635" s="17" t="n">
        <f aca="false">AVERAGE(C436:C635)</f>
        <v>551.01535</v>
      </c>
      <c r="K635" s="17" t="n">
        <f aca="false">MAX(K634,C635)</f>
        <v>769.76</v>
      </c>
      <c r="L635" s="25" t="n">
        <f aca="false">C635/K635-1</f>
        <v>-0.213988775722303</v>
      </c>
      <c r="M635" s="25" t="n">
        <f aca="false">IF(COUNT(G606:G635)&lt;20,"",_xlfn.STDEV.S(G606:G635)*SQRT($R$3))</f>
        <v>0.225753721172256</v>
      </c>
      <c r="N635" s="25" t="n">
        <f aca="false">IF(A635-7&lt;$R$2,"",C635/INDEX(Clean_Data!$C$2:$C$4314,MATCH(A635-7,Clean_Data!$A$2:$A$4314,1))-1)</f>
        <v>0.013467336683417</v>
      </c>
      <c r="O635" s="25" t="n">
        <f aca="false">IF(A635-30&lt;$R$2,"",C635/INDEX(Clean_Data!$C$2:$C$4314,MATCH(A635-30,Clean_Data!$A$2:$A$4314,1))-1)</f>
        <v>0.0555293871356046</v>
      </c>
    </row>
    <row r="636" customFormat="false" ht="15" hidden="false" customHeight="false" outlineLevel="0" collapsed="false">
      <c r="A636" s="16" t="n">
        <v>42642</v>
      </c>
      <c r="B636" s="23" t="n">
        <f aca="false">YEAR(A636)</f>
        <v>2016</v>
      </c>
      <c r="C636" s="17" t="n">
        <v>605.99</v>
      </c>
      <c r="D636" s="23" t="n">
        <f aca="false">A636-A635</f>
        <v>1</v>
      </c>
      <c r="E636" s="24" t="n">
        <f aca="false">LN(C636)</f>
        <v>6.406863484283</v>
      </c>
      <c r="F636" s="25" t="n">
        <f aca="false">LN(C636/C635)</f>
        <v>0.00156891273522173</v>
      </c>
      <c r="G636" s="25" t="n">
        <f aca="false">IF(AND(D636=1,A636&gt;=$R$2),F636,"")</f>
        <v>0.00156891273522173</v>
      </c>
      <c r="H636" s="27" t="n">
        <f aca="false">IF(G636="","",G636^2)</f>
        <v>2.46148717074094E-006</v>
      </c>
      <c r="I636" s="25" t="n">
        <f aca="false">IF(G636="","",C636/C635-1)</f>
        <v>0.00157014412270273</v>
      </c>
      <c r="J636" s="17" t="n">
        <f aca="false">AVERAGE(C437:C636)</f>
        <v>551.9827</v>
      </c>
      <c r="K636" s="17" t="n">
        <f aca="false">MAX(K635,C636)</f>
        <v>769.76</v>
      </c>
      <c r="L636" s="25" t="n">
        <f aca="false">C636/K636-1</f>
        <v>-0.212754624818125</v>
      </c>
      <c r="M636" s="25" t="n">
        <f aca="false">IF(COUNT(G607:G636)&lt;20,"",_xlfn.STDEV.S(G607:G636)*SQRT($R$3))</f>
        <v>0.225711096910901</v>
      </c>
      <c r="N636" s="25" t="n">
        <f aca="false">IF(A636-7&lt;$R$2,"",C636/INDEX(Clean_Data!$C$2:$C$4314,MATCH(A636-7,Clean_Data!$A$2:$A$4314,1))-1)</f>
        <v>0.0164036161755086</v>
      </c>
      <c r="O636" s="25" t="n">
        <f aca="false">IF(A636-30&lt;$R$2,"",C636/INDEX(Clean_Data!$C$2:$C$4314,MATCH(A636-30,Clean_Data!$A$2:$A$4314,1))-1)</f>
        <v>0.0539873032437603</v>
      </c>
    </row>
    <row r="637" customFormat="false" ht="15" hidden="false" customHeight="false" outlineLevel="0" collapsed="false">
      <c r="A637" s="16" t="n">
        <v>42643</v>
      </c>
      <c r="B637" s="23" t="n">
        <f aca="false">YEAR(A637)</f>
        <v>2016</v>
      </c>
      <c r="C637" s="17" t="n">
        <v>608.99</v>
      </c>
      <c r="D637" s="23" t="n">
        <f aca="false">A637-A636</f>
        <v>1</v>
      </c>
      <c r="E637" s="24" t="n">
        <f aca="false">LN(C637)</f>
        <v>6.41180184721383</v>
      </c>
      <c r="F637" s="25" t="n">
        <f aca="false">LN(C637/C636)</f>
        <v>0.00493836293083776</v>
      </c>
      <c r="G637" s="25" t="n">
        <f aca="false">IF(AND(D637=1,A637&gt;=$R$2),F637,"")</f>
        <v>0.00493836293083776</v>
      </c>
      <c r="H637" s="27" t="n">
        <f aca="false">IF(G637="","",G637^2)</f>
        <v>2.43874284366725E-005</v>
      </c>
      <c r="I637" s="25" t="n">
        <f aca="false">IF(G637="","",C637/C636-1)</f>
        <v>0.00495057674219046</v>
      </c>
      <c r="J637" s="17" t="n">
        <f aca="false">AVERAGE(C438:C637)</f>
        <v>552.95255</v>
      </c>
      <c r="K637" s="17" t="n">
        <f aca="false">MAX(K636,C637)</f>
        <v>769.76</v>
      </c>
      <c r="L637" s="25" t="n">
        <f aca="false">C637/K637-1</f>
        <v>-0.208857306173353</v>
      </c>
      <c r="M637" s="25" t="n">
        <f aca="false">IF(COUNT(G608:G637)&lt;20,"",_xlfn.STDEV.S(G608:G637)*SQRT($R$3))</f>
        <v>0.22513006192815</v>
      </c>
      <c r="N637" s="25" t="n">
        <f aca="false">IF(A637-7&lt;$R$2,"",C637/INDEX(Clean_Data!$C$2:$C$4314,MATCH(A637-7,Clean_Data!$A$2:$A$4314,1))-1)</f>
        <v>0.0100006633939234</v>
      </c>
      <c r="O637" s="25" t="n">
        <f aca="false">IF(A637-30&lt;$R$2,"",C637/INDEX(Clean_Data!$C$2:$C$4314,MATCH(A637-30,Clean_Data!$A$2:$A$4314,1))-1)</f>
        <v>0.0630138420988322</v>
      </c>
    </row>
    <row r="638" customFormat="false" ht="15" hidden="false" customHeight="false" outlineLevel="0" collapsed="false">
      <c r="A638" s="16" t="n">
        <v>42644</v>
      </c>
      <c r="B638" s="23" t="n">
        <f aca="false">YEAR(A638)</f>
        <v>2016</v>
      </c>
      <c r="C638" s="17" t="n">
        <v>615.65</v>
      </c>
      <c r="D638" s="23" t="n">
        <f aca="false">A638-A637</f>
        <v>1</v>
      </c>
      <c r="E638" s="24" t="n">
        <f aca="false">LN(C638)</f>
        <v>6.42267862023888</v>
      </c>
      <c r="F638" s="25" t="n">
        <f aca="false">LN(C638/C637)</f>
        <v>0.0108767730250469</v>
      </c>
      <c r="G638" s="25" t="n">
        <f aca="false">IF(AND(D638=1,A638&gt;=$R$2),F638,"")</f>
        <v>0.0108767730250469</v>
      </c>
      <c r="H638" s="27" t="n">
        <f aca="false">IF(G638="","",G638^2)</f>
        <v>0.000118304191438389</v>
      </c>
      <c r="I638" s="25" t="n">
        <f aca="false">IF(G638="","",C638/C637-1)</f>
        <v>0.0109361401665051</v>
      </c>
      <c r="J638" s="17" t="n">
        <f aca="false">AVERAGE(C439:C638)</f>
        <v>553.95375</v>
      </c>
      <c r="K638" s="17" t="n">
        <f aca="false">MAX(K637,C638)</f>
        <v>769.76</v>
      </c>
      <c r="L638" s="25" t="n">
        <f aca="false">C638/K638-1</f>
        <v>-0.200205258781958</v>
      </c>
      <c r="M638" s="25" t="n">
        <f aca="false">IF(COUNT(G609:G638)&lt;20,"",_xlfn.STDEV.S(G609:G638)*SQRT($R$3))</f>
        <v>0.227108443325848</v>
      </c>
      <c r="N638" s="25" t="n">
        <f aca="false">IF(A638-7&lt;$R$2,"",C638/INDEX(Clean_Data!$C$2:$C$4314,MATCH(A638-7,Clean_Data!$A$2:$A$4314,1))-1)</f>
        <v>0.0198283858998145</v>
      </c>
      <c r="O638" s="25" t="n">
        <f aca="false">IF(A638-30&lt;$R$2,"",C638/INDEX(Clean_Data!$C$2:$C$4314,MATCH(A638-30,Clean_Data!$A$2:$A$4314,1))-1)</f>
        <v>0.074395309064256</v>
      </c>
    </row>
    <row r="639" customFormat="false" ht="15" hidden="false" customHeight="false" outlineLevel="0" collapsed="false">
      <c r="A639" s="16" t="n">
        <v>42645</v>
      </c>
      <c r="B639" s="23" t="n">
        <f aca="false">YEAR(A639)</f>
        <v>2016</v>
      </c>
      <c r="C639" s="17" t="n">
        <v>612.4</v>
      </c>
      <c r="D639" s="23" t="n">
        <f aca="false">A639-A638</f>
        <v>1</v>
      </c>
      <c r="E639" s="24" t="n">
        <f aca="false">LN(C639)</f>
        <v>6.41738566378353</v>
      </c>
      <c r="F639" s="25" t="n">
        <f aca="false">LN(C639/C638)</f>
        <v>-0.00529295645535174</v>
      </c>
      <c r="G639" s="25" t="n">
        <f aca="false">IF(AND(D639=1,A639&gt;=$R$2),F639,"")</f>
        <v>-0.00529295645535174</v>
      </c>
      <c r="H639" s="27" t="n">
        <f aca="false">IF(G639="","",G639^2)</f>
        <v>2.80153880382497E-005</v>
      </c>
      <c r="I639" s="25" t="n">
        <f aca="false">IF(G639="","",C639/C638-1)</f>
        <v>-0.00527897344270278</v>
      </c>
      <c r="J639" s="17" t="n">
        <f aca="false">AVERAGE(C440:C639)</f>
        <v>554.9354</v>
      </c>
      <c r="K639" s="17" t="n">
        <f aca="false">MAX(K638,C639)</f>
        <v>769.76</v>
      </c>
      <c r="L639" s="25" t="n">
        <f aca="false">C639/K639-1</f>
        <v>-0.204427353980461</v>
      </c>
      <c r="M639" s="25" t="n">
        <f aca="false">IF(COUNT(G610:G639)&lt;20,"",_xlfn.STDEV.S(G610:G639)*SQRT($R$3))</f>
        <v>0.228356223941446</v>
      </c>
      <c r="N639" s="25" t="n">
        <f aca="false">IF(A639-7&lt;$R$2,"",C639/INDEX(Clean_Data!$C$2:$C$4314,MATCH(A639-7,Clean_Data!$A$2:$A$4314,1))-1)</f>
        <v>0.0178336962122094</v>
      </c>
      <c r="O639" s="25" t="n">
        <f aca="false">IF(A639-30&lt;$R$2,"",C639/INDEX(Clean_Data!$C$2:$C$4314,MATCH(A639-30,Clean_Data!$A$2:$A$4314,1))-1)</f>
        <v>0.0628069627392789</v>
      </c>
    </row>
    <row r="640" customFormat="false" ht="15" hidden="false" customHeight="false" outlineLevel="0" collapsed="false">
      <c r="A640" s="16" t="n">
        <v>42646</v>
      </c>
      <c r="B640" s="23" t="n">
        <f aca="false">YEAR(A640)</f>
        <v>2016</v>
      </c>
      <c r="C640" s="17" t="n">
        <v>612.99</v>
      </c>
      <c r="D640" s="23" t="n">
        <f aca="false">A640-A639</f>
        <v>1</v>
      </c>
      <c r="E640" s="24" t="n">
        <f aca="false">LN(C640)</f>
        <v>6.41834862258945</v>
      </c>
      <c r="F640" s="25" t="n">
        <f aca="false">LN(C640/C639)</f>
        <v>0.000962958805917837</v>
      </c>
      <c r="G640" s="25" t="n">
        <f aca="false">IF(AND(D640=1,A640&gt;=$R$2),F640,"")</f>
        <v>0.000962958805917837</v>
      </c>
      <c r="H640" s="27" t="n">
        <f aca="false">IF(G640="","",G640^2)</f>
        <v>9.27289661894707E-007</v>
      </c>
      <c r="I640" s="25" t="n">
        <f aca="false">IF(G640="","",C640/C639-1)</f>
        <v>0.000963422599608244</v>
      </c>
      <c r="J640" s="17" t="n">
        <f aca="false">AVERAGE(C441:C640)</f>
        <v>555.9083</v>
      </c>
      <c r="K640" s="17" t="n">
        <f aca="false">MAX(K639,C640)</f>
        <v>769.76</v>
      </c>
      <c r="L640" s="25" t="n">
        <f aca="false">C640/K640-1</f>
        <v>-0.203660881313656</v>
      </c>
      <c r="M640" s="25" t="n">
        <f aca="false">IF(COUNT(G611:G640)&lt;20,"",_xlfn.STDEV.S(G611:G640)*SQRT($R$3))</f>
        <v>0.177130440299147</v>
      </c>
      <c r="N640" s="25" t="n">
        <f aca="false">IF(A640-7&lt;$R$2,"",C640/INDEX(Clean_Data!$C$2:$C$4314,MATCH(A640-7,Clean_Data!$A$2:$A$4314,1))-1)</f>
        <v>0.00973512551887712</v>
      </c>
      <c r="O640" s="25" t="n">
        <f aca="false">IF(A640-30&lt;$R$2,"",C640/INDEX(Clean_Data!$C$2:$C$4314,MATCH(A640-30,Clean_Data!$A$2:$A$4314,1))-1)</f>
        <v>0.0201028440199031</v>
      </c>
    </row>
    <row r="641" customFormat="false" ht="15" hidden="false" customHeight="false" outlineLevel="0" collapsed="false">
      <c r="A641" s="16" t="n">
        <v>42647</v>
      </c>
      <c r="B641" s="23" t="n">
        <f aca="false">YEAR(A641)</f>
        <v>2016</v>
      </c>
      <c r="C641" s="17" t="n">
        <v>610.34</v>
      </c>
      <c r="D641" s="23" t="n">
        <f aca="false">A641-A640</f>
        <v>1</v>
      </c>
      <c r="E641" s="24" t="n">
        <f aca="false">LN(C641)</f>
        <v>6.41401617893965</v>
      </c>
      <c r="F641" s="25" t="n">
        <f aca="false">LN(C641/C640)</f>
        <v>-0.00433244364980069</v>
      </c>
      <c r="G641" s="25" t="n">
        <f aca="false">IF(AND(D641=1,A641&gt;=$R$2),F641,"")</f>
        <v>-0.00433244364980069</v>
      </c>
      <c r="H641" s="27" t="n">
        <f aca="false">IF(G641="","",G641^2)</f>
        <v>1.87700679786983E-005</v>
      </c>
      <c r="I641" s="25" t="n">
        <f aca="false">IF(G641="","",C641/C640-1)</f>
        <v>-0.00432307215452121</v>
      </c>
      <c r="J641" s="17" t="n">
        <f aca="false">AVERAGE(C442:C641)</f>
        <v>556.91175</v>
      </c>
      <c r="K641" s="17" t="n">
        <f aca="false">MAX(K640,C641)</f>
        <v>769.76</v>
      </c>
      <c r="L641" s="25" t="n">
        <f aca="false">C641/K641-1</f>
        <v>-0.207103512783205</v>
      </c>
      <c r="M641" s="25" t="n">
        <f aca="false">IF(COUNT(G612:G641)&lt;20,"",_xlfn.STDEV.S(G612:G641)*SQRT($R$3))</f>
        <v>0.166209916032928</v>
      </c>
      <c r="N641" s="25" t="n">
        <f aca="false">IF(A641-7&lt;$R$2,"",C641/INDEX(Clean_Data!$C$2:$C$4314,MATCH(A641-7,Clean_Data!$A$2:$A$4314,1))-1)</f>
        <v>0.0076439220088822</v>
      </c>
      <c r="O641" s="25" t="n">
        <f aca="false">IF(A641-30&lt;$R$2,"",C641/INDEX(Clean_Data!$C$2:$C$4314,MATCH(A641-30,Clean_Data!$A$2:$A$4314,1))-1)</f>
        <v>-0.00258203686756431</v>
      </c>
    </row>
    <row r="642" customFormat="false" ht="15" hidden="false" customHeight="false" outlineLevel="0" collapsed="false">
      <c r="A642" s="16" t="n">
        <v>42648</v>
      </c>
      <c r="B642" s="23" t="n">
        <f aca="false">YEAR(A642)</f>
        <v>2016</v>
      </c>
      <c r="C642" s="17" t="n">
        <v>613.16</v>
      </c>
      <c r="D642" s="23" t="n">
        <f aca="false">A642-A641</f>
        <v>1</v>
      </c>
      <c r="E642" s="24" t="n">
        <f aca="false">LN(C642)</f>
        <v>6.41862591329791</v>
      </c>
      <c r="F642" s="25" t="n">
        <f aca="false">LN(C642/C641)</f>
        <v>0.00460973435826102</v>
      </c>
      <c r="G642" s="25" t="n">
        <f aca="false">IF(AND(D642=1,A642&gt;=$R$2),F642,"")</f>
        <v>0.00460973435826102</v>
      </c>
      <c r="H642" s="27" t="n">
        <f aca="false">IF(G642="","",G642^2)</f>
        <v>2.12496508537321E-005</v>
      </c>
      <c r="I642" s="25" t="n">
        <f aca="false">IF(G642="","",C642/C641-1)</f>
        <v>0.00462037552839401</v>
      </c>
      <c r="J642" s="17" t="n">
        <f aca="false">AVERAGE(C443:C642)</f>
        <v>557.92655</v>
      </c>
      <c r="K642" s="17" t="n">
        <f aca="false">MAX(K641,C642)</f>
        <v>769.76</v>
      </c>
      <c r="L642" s="25" t="n">
        <f aca="false">C642/K642-1</f>
        <v>-0.203440033257119</v>
      </c>
      <c r="M642" s="25" t="n">
        <f aca="false">IF(COUNT(G613:G642)&lt;20,"",_xlfn.STDEV.S(G613:G642)*SQRT($R$3))</f>
        <v>0.162834078483257</v>
      </c>
      <c r="N642" s="25" t="n">
        <f aca="false">IF(A642-7&lt;$R$2,"",C642/INDEX(Clean_Data!$C$2:$C$4314,MATCH(A642-7,Clean_Data!$A$2:$A$4314,1))-1)</f>
        <v>0.0134206002908899</v>
      </c>
      <c r="O642" s="25" t="n">
        <f aca="false">IF(A642-30&lt;$R$2,"",C642/INDEX(Clean_Data!$C$2:$C$4314,MATCH(A642-30,Clean_Data!$A$2:$A$4314,1))-1)</f>
        <v>0.0123330416549718</v>
      </c>
    </row>
    <row r="643" customFormat="false" ht="15" hidden="false" customHeight="false" outlineLevel="0" collapsed="false">
      <c r="A643" s="16" t="n">
        <v>42649</v>
      </c>
      <c r="B643" s="23" t="n">
        <f aca="false">YEAR(A643)</f>
        <v>2016</v>
      </c>
      <c r="C643" s="17" t="n">
        <v>611.88</v>
      </c>
      <c r="D643" s="23" t="n">
        <f aca="false">A643-A642</f>
        <v>1</v>
      </c>
      <c r="E643" s="24" t="n">
        <f aca="false">LN(C643)</f>
        <v>6.41653618485506</v>
      </c>
      <c r="F643" s="25" t="n">
        <f aca="false">LN(C643/C642)</f>
        <v>-0.00208972844284198</v>
      </c>
      <c r="G643" s="25" t="n">
        <f aca="false">IF(AND(D643=1,A643&gt;=$R$2),F643,"")</f>
        <v>-0.00208972844284198</v>
      </c>
      <c r="H643" s="27" t="n">
        <f aca="false">IF(G643="","",G643^2)</f>
        <v>4.36696496482275E-006</v>
      </c>
      <c r="I643" s="25" t="n">
        <f aca="false">IF(G643="","",C643/C642-1)</f>
        <v>-0.00208754648052711</v>
      </c>
      <c r="J643" s="17" t="n">
        <f aca="false">AVERAGE(C444:C643)</f>
        <v>558.9296</v>
      </c>
      <c r="K643" s="17" t="n">
        <f aca="false">MAX(K642,C643)</f>
        <v>769.76</v>
      </c>
      <c r="L643" s="25" t="n">
        <f aca="false">C643/K643-1</f>
        <v>-0.205102889212222</v>
      </c>
      <c r="M643" s="25" t="n">
        <f aca="false">IF(COUNT(G614:G643)&lt;20,"",_xlfn.STDEV.S(G614:G643)*SQRT($R$3))</f>
        <v>0.157559780579732</v>
      </c>
      <c r="N643" s="25" t="n">
        <f aca="false">IF(A643-7&lt;$R$2,"",C643/INDEX(Clean_Data!$C$2:$C$4314,MATCH(A643-7,Clean_Data!$A$2:$A$4314,1))-1)</f>
        <v>0.00971963233716733</v>
      </c>
      <c r="O643" s="25" t="n">
        <f aca="false">IF(A643-30&lt;$R$2,"",C643/INDEX(Clean_Data!$C$2:$C$4314,MATCH(A643-30,Clean_Data!$A$2:$A$4314,1))-1)</f>
        <v>-0.00181079626095049</v>
      </c>
    </row>
    <row r="644" customFormat="false" ht="15" hidden="false" customHeight="false" outlineLevel="0" collapsed="false">
      <c r="A644" s="16" t="n">
        <v>42650</v>
      </c>
      <c r="B644" s="23" t="n">
        <f aca="false">YEAR(A644)</f>
        <v>2016</v>
      </c>
      <c r="C644" s="17" t="n">
        <v>617.98</v>
      </c>
      <c r="D644" s="23" t="n">
        <f aca="false">A644-A643</f>
        <v>1</v>
      </c>
      <c r="E644" s="24" t="n">
        <f aca="false">LN(C644)</f>
        <v>6.42645609447447</v>
      </c>
      <c r="F644" s="25" t="n">
        <f aca="false">LN(C644/C643)</f>
        <v>0.00991990961940359</v>
      </c>
      <c r="G644" s="25" t="n">
        <f aca="false">IF(AND(D644=1,A644&gt;=$R$2),F644,"")</f>
        <v>0.00991990961940359</v>
      </c>
      <c r="H644" s="27" t="n">
        <f aca="false">IF(G644="","",G644^2)</f>
        <v>9.8404606857136E-005</v>
      </c>
      <c r="I644" s="25" t="n">
        <f aca="false">IF(G644="","",C644/C643-1)</f>
        <v>0.00996927502124612</v>
      </c>
      <c r="J644" s="17" t="n">
        <f aca="false">AVERAGE(C445:C644)</f>
        <v>559.9595</v>
      </c>
      <c r="K644" s="17" t="n">
        <f aca="false">MAX(K643,C644)</f>
        <v>769.76</v>
      </c>
      <c r="L644" s="25" t="n">
        <f aca="false">C644/K644-1</f>
        <v>-0.197178341301185</v>
      </c>
      <c r="M644" s="25" t="n">
        <f aca="false">IF(COUNT(G615:G644)&lt;20,"",_xlfn.STDEV.S(G615:G644)*SQRT($R$3))</f>
        <v>0.16091007518088</v>
      </c>
      <c r="N644" s="25" t="n">
        <f aca="false">IF(A644-7&lt;$R$2,"",C644/INDEX(Clean_Data!$C$2:$C$4314,MATCH(A644-7,Clean_Data!$A$2:$A$4314,1))-1)</f>
        <v>0.0147621471616939</v>
      </c>
      <c r="O644" s="25" t="n">
        <f aca="false">IF(A644-30&lt;$R$2,"",C644/INDEX(Clean_Data!$C$2:$C$4314,MATCH(A644-30,Clean_Data!$A$2:$A$4314,1))-1)</f>
        <v>0.00450252759220415</v>
      </c>
    </row>
    <row r="645" customFormat="false" ht="15" hidden="false" customHeight="false" outlineLevel="0" collapsed="false">
      <c r="A645" s="16" t="n">
        <v>42651</v>
      </c>
      <c r="B645" s="23" t="n">
        <f aca="false">YEAR(A645)</f>
        <v>2016</v>
      </c>
      <c r="C645" s="17" t="n">
        <v>619.5</v>
      </c>
      <c r="D645" s="23" t="n">
        <f aca="false">A645-A644</f>
        <v>1</v>
      </c>
      <c r="E645" s="24" t="n">
        <f aca="false">LN(C645)</f>
        <v>6.4289127010692</v>
      </c>
      <c r="F645" s="25" t="n">
        <f aca="false">LN(C645/C644)</f>
        <v>0.00245660659472893</v>
      </c>
      <c r="G645" s="25" t="n">
        <f aca="false">IF(AND(D645=1,A645&gt;=$R$2),F645,"")</f>
        <v>0.00245660659472893</v>
      </c>
      <c r="H645" s="27" t="n">
        <f aca="false">IF(G645="","",G645^2)</f>
        <v>6.03491596126567E-006</v>
      </c>
      <c r="I645" s="25" t="n">
        <f aca="false">IF(G645="","",C645/C644-1)</f>
        <v>0.00245962652513021</v>
      </c>
      <c r="J645" s="17" t="n">
        <f aca="false">AVERAGE(C446:C645)</f>
        <v>560.9737</v>
      </c>
      <c r="K645" s="17" t="n">
        <f aca="false">MAX(K644,C645)</f>
        <v>769.76</v>
      </c>
      <c r="L645" s="25" t="n">
        <f aca="false">C645/K645-1</f>
        <v>-0.1952036998545</v>
      </c>
      <c r="M645" s="25" t="n">
        <f aca="false">IF(COUNT(G616:G645)&lt;20,"",_xlfn.STDEV.S(G616:G645)*SQRT($R$3))</f>
        <v>0.143509317722483</v>
      </c>
      <c r="N645" s="25" t="n">
        <f aca="false">IF(A645-7&lt;$R$2,"",C645/INDEX(Clean_Data!$C$2:$C$4314,MATCH(A645-7,Clean_Data!$A$2:$A$4314,1))-1)</f>
        <v>0.00625355315520193</v>
      </c>
      <c r="O645" s="25" t="n">
        <f aca="false">IF(A645-30&lt;$R$2,"",C645/INDEX(Clean_Data!$C$2:$C$4314,MATCH(A645-30,Clean_Data!$A$2:$A$4314,1))-1)</f>
        <v>-0.0134879054731915</v>
      </c>
    </row>
    <row r="646" customFormat="false" ht="15" hidden="false" customHeight="false" outlineLevel="0" collapsed="false">
      <c r="A646" s="16" t="n">
        <v>42652</v>
      </c>
      <c r="B646" s="23" t="n">
        <f aca="false">YEAR(A646)</f>
        <v>2016</v>
      </c>
      <c r="C646" s="17" t="n">
        <v>617.42</v>
      </c>
      <c r="D646" s="23" t="n">
        <f aca="false">A646-A645</f>
        <v>1</v>
      </c>
      <c r="E646" s="24" t="n">
        <f aca="false">LN(C646)</f>
        <v>6.42554950545333</v>
      </c>
      <c r="F646" s="25" t="n">
        <f aca="false">LN(C646/C645)</f>
        <v>-0.00336319561586471</v>
      </c>
      <c r="G646" s="25" t="n">
        <f aca="false">IF(AND(D646=1,A646&gt;=$R$2),F646,"")</f>
        <v>-0.00336319561586471</v>
      </c>
      <c r="H646" s="27" t="n">
        <f aca="false">IF(G646="","",G646^2)</f>
        <v>1.13110847505716E-005</v>
      </c>
      <c r="I646" s="25" t="n">
        <f aca="false">IF(G646="","",C646/C645-1)</f>
        <v>-0.00335754640839392</v>
      </c>
      <c r="J646" s="17" t="n">
        <f aca="false">AVERAGE(C447:C646)</f>
        <v>561.97315</v>
      </c>
      <c r="K646" s="17" t="n">
        <f aca="false">MAX(K645,C646)</f>
        <v>769.76</v>
      </c>
      <c r="L646" s="25" t="n">
        <f aca="false">C646/K646-1</f>
        <v>-0.197905840781542</v>
      </c>
      <c r="M646" s="25" t="n">
        <f aca="false">IF(COUNT(G617:G646)&lt;20,"",_xlfn.STDEV.S(G617:G646)*SQRT($R$3))</f>
        <v>0.140247954227955</v>
      </c>
      <c r="N646" s="25" t="n">
        <f aca="false">IF(A646-7&lt;$R$2,"",C646/INDEX(Clean_Data!$C$2:$C$4314,MATCH(A646-7,Clean_Data!$A$2:$A$4314,1))-1)</f>
        <v>0.00819725669497062</v>
      </c>
      <c r="O646" s="25" t="n">
        <f aca="false">IF(A646-30&lt;$R$2,"",C646/INDEX(Clean_Data!$C$2:$C$4314,MATCH(A646-30,Clean_Data!$A$2:$A$4314,1))-1)</f>
        <v>-0.00747504300159163</v>
      </c>
    </row>
    <row r="647" customFormat="false" ht="15" hidden="false" customHeight="false" outlineLevel="0" collapsed="false">
      <c r="A647" s="16" t="n">
        <v>42653</v>
      </c>
      <c r="B647" s="23" t="n">
        <f aca="false">YEAR(A647)</f>
        <v>2016</v>
      </c>
      <c r="C647" s="17" t="n">
        <v>618.72</v>
      </c>
      <c r="D647" s="23" t="n">
        <f aca="false">A647-A646</f>
        <v>1</v>
      </c>
      <c r="E647" s="24" t="n">
        <f aca="false">LN(C647)</f>
        <v>6.42765282785899</v>
      </c>
      <c r="F647" s="25" t="n">
        <f aca="false">LN(C647/C646)</f>
        <v>0.00210332240565456</v>
      </c>
      <c r="G647" s="25" t="n">
        <f aca="false">IF(AND(D647=1,A647&gt;=$R$2),F647,"")</f>
        <v>0.00210332240565456</v>
      </c>
      <c r="H647" s="27" t="n">
        <f aca="false">IF(G647="","",G647^2)</f>
        <v>4.42396514212848E-006</v>
      </c>
      <c r="I647" s="25" t="n">
        <f aca="false">IF(G647="","",C647/C646-1)</f>
        <v>0.00210553593987894</v>
      </c>
      <c r="J647" s="17" t="n">
        <f aca="false">AVERAGE(C448:C647)</f>
        <v>563.002</v>
      </c>
      <c r="K647" s="17" t="n">
        <f aca="false">MAX(K646,C647)</f>
        <v>769.76</v>
      </c>
      <c r="L647" s="25" t="n">
        <f aca="false">C647/K647-1</f>
        <v>-0.196217002702141</v>
      </c>
      <c r="M647" s="25" t="n">
        <f aca="false">IF(COUNT(G618:G647)&lt;20,"",_xlfn.STDEV.S(G618:G647)*SQRT($R$3))</f>
        <v>0.140110409771965</v>
      </c>
      <c r="N647" s="25" t="n">
        <f aca="false">IF(A647-7&lt;$R$2,"",C647/INDEX(Clean_Data!$C$2:$C$4314,MATCH(A647-7,Clean_Data!$A$2:$A$4314,1))-1)</f>
        <v>0.009347623941663</v>
      </c>
      <c r="O647" s="25" t="n">
        <f aca="false">IF(A647-30&lt;$R$2,"",C647/INDEX(Clean_Data!$C$2:$C$4314,MATCH(A647-30,Clean_Data!$A$2:$A$4314,1))-1)</f>
        <v>-0.00804822522204762</v>
      </c>
    </row>
    <row r="648" customFormat="false" ht="15" hidden="false" customHeight="false" outlineLevel="0" collapsed="false">
      <c r="A648" s="16" t="n">
        <v>42654</v>
      </c>
      <c r="B648" s="23" t="n">
        <f aca="false">YEAR(A648)</f>
        <v>2016</v>
      </c>
      <c r="C648" s="17" t="n">
        <v>642.12</v>
      </c>
      <c r="D648" s="23" t="n">
        <f aca="false">A648-A647</f>
        <v>1</v>
      </c>
      <c r="E648" s="24" t="n">
        <f aca="false">LN(C648)</f>
        <v>6.46477520211121</v>
      </c>
      <c r="F648" s="25" t="n">
        <f aca="false">LN(C648/C647)</f>
        <v>0.0371223742522267</v>
      </c>
      <c r="G648" s="25" t="n">
        <f aca="false">IF(AND(D648=1,A648&gt;=$R$2),F648,"")</f>
        <v>0.0371223742522267</v>
      </c>
      <c r="H648" s="27" t="n">
        <f aca="false">IF(G648="","",G648^2)</f>
        <v>0.00137807067012238</v>
      </c>
      <c r="I648" s="25" t="n">
        <f aca="false">IF(G648="","",C648/C647-1)</f>
        <v>0.0378200155159039</v>
      </c>
      <c r="J648" s="17" t="n">
        <f aca="false">AVERAGE(C449:C648)</f>
        <v>564.13055</v>
      </c>
      <c r="K648" s="17" t="n">
        <f aca="false">MAX(K647,C648)</f>
        <v>769.76</v>
      </c>
      <c r="L648" s="25" t="n">
        <f aca="false">C648/K648-1</f>
        <v>-0.165817917272916</v>
      </c>
      <c r="M648" s="25" t="n">
        <f aca="false">IF(COUNT(G619:G648)&lt;20,"",_xlfn.STDEV.S(G619:G648)*SQRT($R$3))</f>
        <v>0.165717249798931</v>
      </c>
      <c r="N648" s="25" t="n">
        <f aca="false">IF(A648-7&lt;$R$2,"",C648/INDEX(Clean_Data!$C$2:$C$4314,MATCH(A648-7,Clean_Data!$A$2:$A$4314,1))-1)</f>
        <v>0.0520693384015467</v>
      </c>
      <c r="O648" s="25" t="n">
        <f aca="false">IF(A648-30&lt;$R$2,"",C648/INDEX(Clean_Data!$C$2:$C$4314,MATCH(A648-30,Clean_Data!$A$2:$A$4314,1))-1)</f>
        <v>0.0562226535513373</v>
      </c>
    </row>
    <row r="649" customFormat="false" ht="15" hidden="false" customHeight="false" outlineLevel="0" collapsed="false">
      <c r="A649" s="16" t="n">
        <v>42655</v>
      </c>
      <c r="B649" s="23" t="n">
        <f aca="false">YEAR(A649)</f>
        <v>2016</v>
      </c>
      <c r="C649" s="17" t="n">
        <v>635.79</v>
      </c>
      <c r="D649" s="23" t="n">
        <f aca="false">A649-A648</f>
        <v>1</v>
      </c>
      <c r="E649" s="24" t="n">
        <f aca="false">LN(C649)</f>
        <v>6.45486832013659</v>
      </c>
      <c r="F649" s="25" t="n">
        <f aca="false">LN(C649/C648)</f>
        <v>-0.00990688197462126</v>
      </c>
      <c r="G649" s="25" t="n">
        <f aca="false">IF(AND(D649=1,A649&gt;=$R$2),F649,"")</f>
        <v>-0.00990688197462126</v>
      </c>
      <c r="H649" s="27" t="n">
        <f aca="false">IF(G649="","",G649^2)</f>
        <v>9.81463104590757E-005</v>
      </c>
      <c r="I649" s="25" t="n">
        <f aca="false">IF(G649="","",C649/C648-1)</f>
        <v>-0.0098579704728089</v>
      </c>
      <c r="J649" s="17" t="n">
        <f aca="false">AVERAGE(C450:C649)</f>
        <v>565.22465</v>
      </c>
      <c r="K649" s="17" t="n">
        <f aca="false">MAX(K648,C649)</f>
        <v>769.76</v>
      </c>
      <c r="L649" s="25" t="n">
        <f aca="false">C649/K649-1</f>
        <v>-0.174041259613386</v>
      </c>
      <c r="M649" s="25" t="n">
        <f aca="false">IF(COUNT(G620:G649)&lt;20,"",_xlfn.STDEV.S(G620:G649)*SQRT($R$3))</f>
        <v>0.170252700561713</v>
      </c>
      <c r="N649" s="25" t="n">
        <f aca="false">IF(A649-7&lt;$R$2,"",C649/INDEX(Clean_Data!$C$2:$C$4314,MATCH(A649-7,Clean_Data!$A$2:$A$4314,1))-1)</f>
        <v>0.0369071694174441</v>
      </c>
      <c r="O649" s="25" t="n">
        <f aca="false">IF(A649-30&lt;$R$2,"",C649/INDEX(Clean_Data!$C$2:$C$4314,MATCH(A649-30,Clean_Data!$A$2:$A$4314,1))-1)</f>
        <v>0.0478788278339981</v>
      </c>
    </row>
    <row r="650" customFormat="false" ht="15" hidden="false" customHeight="false" outlineLevel="0" collapsed="false">
      <c r="A650" s="16" t="n">
        <v>42656</v>
      </c>
      <c r="B650" s="23" t="n">
        <f aca="false">YEAR(A650)</f>
        <v>2016</v>
      </c>
      <c r="C650" s="17" t="n">
        <v>635.66</v>
      </c>
      <c r="D650" s="23" t="n">
        <f aca="false">A650-A649</f>
        <v>1</v>
      </c>
      <c r="E650" s="24" t="n">
        <f aca="false">LN(C650)</f>
        <v>6.45466382920033</v>
      </c>
      <c r="F650" s="25" t="n">
        <f aca="false">LN(C650/C649)</f>
        <v>-0.000204490936258657</v>
      </c>
      <c r="G650" s="25" t="n">
        <f aca="false">IF(AND(D650=1,A650&gt;=$R$2),F650,"")</f>
        <v>-0.000204490936258657</v>
      </c>
      <c r="H650" s="27" t="n">
        <f aca="false">IF(G650="","",G650^2)</f>
        <v>4.18165430119423E-008</v>
      </c>
      <c r="I650" s="25" t="n">
        <f aca="false">IF(G650="","",C650/C649-1)</f>
        <v>-0.000204470029412263</v>
      </c>
      <c r="J650" s="17" t="n">
        <f aca="false">AVERAGE(C451:C650)</f>
        <v>566.27645</v>
      </c>
      <c r="K650" s="17" t="n">
        <f aca="false">MAX(K649,C650)</f>
        <v>769.76</v>
      </c>
      <c r="L650" s="25" t="n">
        <f aca="false">C650/K650-1</f>
        <v>-0.174210143421326</v>
      </c>
      <c r="M650" s="25" t="n">
        <f aca="false">IF(COUNT(G621:G650)&lt;20,"",_xlfn.STDEV.S(G621:G650)*SQRT($R$3))</f>
        <v>0.170265160420507</v>
      </c>
      <c r="N650" s="25" t="n">
        <f aca="false">IF(A650-7&lt;$R$2,"",C650/INDEX(Clean_Data!$C$2:$C$4314,MATCH(A650-7,Clean_Data!$A$2:$A$4314,1))-1)</f>
        <v>0.038863829509054</v>
      </c>
      <c r="O650" s="25" t="n">
        <f aca="false">IF(A650-30&lt;$R$2,"",C650/INDEX(Clean_Data!$C$2:$C$4314,MATCH(A650-30,Clean_Data!$A$2:$A$4314,1))-1)</f>
        <v>0.0444112186385817</v>
      </c>
    </row>
    <row r="651" customFormat="false" ht="15" hidden="false" customHeight="false" outlineLevel="0" collapsed="false">
      <c r="A651" s="16" t="n">
        <v>42657</v>
      </c>
      <c r="B651" s="23" t="n">
        <f aca="false">YEAR(A651)</f>
        <v>2016</v>
      </c>
      <c r="C651" s="17" t="n">
        <v>638.03</v>
      </c>
      <c r="D651" s="23" t="n">
        <f aca="false">A651-A650</f>
        <v>1</v>
      </c>
      <c r="E651" s="24" t="n">
        <f aca="false">LN(C651)</f>
        <v>6.45838530418287</v>
      </c>
      <c r="F651" s="25" t="n">
        <f aca="false">LN(C651/C650)</f>
        <v>0.00372147498253296</v>
      </c>
      <c r="G651" s="25" t="n">
        <f aca="false">IF(AND(D651=1,A651&gt;=$R$2),F651,"")</f>
        <v>0.00372147498253296</v>
      </c>
      <c r="H651" s="27" t="n">
        <f aca="false">IF(G651="","",G651^2)</f>
        <v>1.38493760456187E-005</v>
      </c>
      <c r="I651" s="25" t="n">
        <f aca="false">IF(G651="","",C651/C650-1)</f>
        <v>0.00372840826857135</v>
      </c>
      <c r="J651" s="17" t="n">
        <f aca="false">AVERAGE(C452:C651)</f>
        <v>567.3516</v>
      </c>
      <c r="K651" s="17" t="n">
        <f aca="false">MAX(K650,C651)</f>
        <v>769.76</v>
      </c>
      <c r="L651" s="25" t="n">
        <f aca="false">C651/K651-1</f>
        <v>-0.171131261691956</v>
      </c>
      <c r="M651" s="25" t="n">
        <f aca="false">IF(COUNT(G622:G651)&lt;20,"",_xlfn.STDEV.S(G622:G651)*SQRT($R$3))</f>
        <v>0.170319180382747</v>
      </c>
      <c r="N651" s="25" t="n">
        <f aca="false">IF(A651-7&lt;$R$2,"",C651/INDEX(Clean_Data!$C$2:$C$4314,MATCH(A651-7,Clean_Data!$A$2:$A$4314,1))-1)</f>
        <v>0.0324444156768826</v>
      </c>
      <c r="O651" s="25" t="n">
        <f aca="false">IF(A651-30&lt;$R$2,"",C651/INDEX(Clean_Data!$C$2:$C$4314,MATCH(A651-30,Clean_Data!$A$2:$A$4314,1))-1)</f>
        <v>0.0486498035928538</v>
      </c>
    </row>
    <row r="652" customFormat="false" ht="15" hidden="false" customHeight="false" outlineLevel="0" collapsed="false">
      <c r="A652" s="16" t="n">
        <v>42658</v>
      </c>
      <c r="B652" s="23" t="n">
        <f aca="false">YEAR(A652)</f>
        <v>2016</v>
      </c>
      <c r="C652" s="17" t="n">
        <v>638.16</v>
      </c>
      <c r="D652" s="23" t="n">
        <f aca="false">A652-A651</f>
        <v>1</v>
      </c>
      <c r="E652" s="24" t="n">
        <f aca="false">LN(C652)</f>
        <v>6.45858903560287</v>
      </c>
      <c r="F652" s="25" t="n">
        <f aca="false">LN(C652/C651)</f>
        <v>0.000203731420007547</v>
      </c>
      <c r="G652" s="25" t="n">
        <f aca="false">IF(AND(D652=1,A652&gt;=$R$2),F652,"")</f>
        <v>0.000203731420007547</v>
      </c>
      <c r="H652" s="27" t="n">
        <f aca="false">IF(G652="","",G652^2)</f>
        <v>4.15064914982913E-008</v>
      </c>
      <c r="I652" s="25" t="n">
        <f aca="false">IF(G652="","",C652/C651-1)</f>
        <v>0.00020375217466273</v>
      </c>
      <c r="J652" s="17" t="n">
        <f aca="false">AVERAGE(C453:C652)</f>
        <v>568.46045</v>
      </c>
      <c r="K652" s="17" t="n">
        <f aca="false">MAX(K651,C652)</f>
        <v>769.76</v>
      </c>
      <c r="L652" s="25" t="n">
        <f aca="false">C652/K652-1</f>
        <v>-0.170962377884016</v>
      </c>
      <c r="M652" s="25" t="n">
        <f aca="false">IF(COUNT(G623:G652)&lt;20,"",_xlfn.STDEV.S(G623:G652)*SQRT($R$3))</f>
        <v>0.168784361794274</v>
      </c>
      <c r="N652" s="25" t="n">
        <f aca="false">IF(A652-7&lt;$R$2,"",C652/INDEX(Clean_Data!$C$2:$C$4314,MATCH(A652-7,Clean_Data!$A$2:$A$4314,1))-1)</f>
        <v>0.0301210653753026</v>
      </c>
      <c r="O652" s="25" t="n">
        <f aca="false">IF(A652-30&lt;$R$2,"",C652/INDEX(Clean_Data!$C$2:$C$4314,MATCH(A652-30,Clean_Data!$A$2:$A$4314,1))-1)</f>
        <v>0.0540433403805496</v>
      </c>
    </row>
    <row r="653" customFormat="false" ht="15" hidden="false" customHeight="false" outlineLevel="0" collapsed="false">
      <c r="A653" s="16" t="n">
        <v>42659</v>
      </c>
      <c r="B653" s="23" t="n">
        <f aca="false">YEAR(A653)</f>
        <v>2016</v>
      </c>
      <c r="C653" s="17" t="n">
        <v>641.92</v>
      </c>
      <c r="D653" s="23" t="n">
        <f aca="false">A653-A652</f>
        <v>1</v>
      </c>
      <c r="E653" s="24" t="n">
        <f aca="false">LN(C653)</f>
        <v>6.46446368533352</v>
      </c>
      <c r="F653" s="25" t="n">
        <f aca="false">LN(C653/C652)</f>
        <v>0.00587464973064195</v>
      </c>
      <c r="G653" s="25" t="n">
        <f aca="false">IF(AND(D653=1,A653&gt;=$R$2),F653,"")</f>
        <v>0.00587464973064195</v>
      </c>
      <c r="H653" s="27" t="n">
        <f aca="false">IF(G653="","",G653^2)</f>
        <v>3.45115094577315E-005</v>
      </c>
      <c r="I653" s="25" t="n">
        <f aca="false">IF(G653="","",C653/C652-1)</f>
        <v>0.00589193932556098</v>
      </c>
      <c r="J653" s="17" t="n">
        <f aca="false">AVERAGE(C454:C653)</f>
        <v>569.6061</v>
      </c>
      <c r="K653" s="17" t="n">
        <f aca="false">MAX(K652,C653)</f>
        <v>769.76</v>
      </c>
      <c r="L653" s="25" t="n">
        <f aca="false">C653/K653-1</f>
        <v>-0.166077738515901</v>
      </c>
      <c r="M653" s="25" t="n">
        <f aca="false">IF(COUNT(G624:G653)&lt;20,"",_xlfn.STDEV.S(G624:G653)*SQRT($R$3))</f>
        <v>0.169207011272674</v>
      </c>
      <c r="N653" s="25" t="n">
        <f aca="false">IF(A653-7&lt;$R$2,"",C653/INDEX(Clean_Data!$C$2:$C$4314,MATCH(A653-7,Clean_Data!$A$2:$A$4314,1))-1)</f>
        <v>0.039681254251563</v>
      </c>
      <c r="O653" s="25" t="n">
        <f aca="false">IF(A653-30&lt;$R$2,"",C653/INDEX(Clean_Data!$C$2:$C$4314,MATCH(A653-30,Clean_Data!$A$2:$A$4314,1))-1)</f>
        <v>0.0559110423897489</v>
      </c>
    </row>
    <row r="654" customFormat="false" ht="15" hidden="false" customHeight="false" outlineLevel="0" collapsed="false">
      <c r="A654" s="16" t="n">
        <v>42660</v>
      </c>
      <c r="B654" s="23" t="n">
        <f aca="false">YEAR(A654)</f>
        <v>2016</v>
      </c>
      <c r="C654" s="17" t="n">
        <v>639.56</v>
      </c>
      <c r="D654" s="23" t="n">
        <f aca="false">A654-A653</f>
        <v>1</v>
      </c>
      <c r="E654" s="24" t="n">
        <f aca="false">LN(C654)</f>
        <v>6.46078043991722</v>
      </c>
      <c r="F654" s="25" t="n">
        <f aca="false">LN(C654/C653)</f>
        <v>-0.00368324541629641</v>
      </c>
      <c r="G654" s="25" t="n">
        <f aca="false">IF(AND(D654=1,A654&gt;=$R$2),F654,"")</f>
        <v>-0.00368324541629641</v>
      </c>
      <c r="H654" s="27" t="n">
        <f aca="false">IF(G654="","",G654^2)</f>
        <v>1.35662967966685E-005</v>
      </c>
      <c r="I654" s="25" t="n">
        <f aca="false">IF(G654="","",C654/C653-1)</f>
        <v>-0.00367647058823528</v>
      </c>
      <c r="J654" s="17" t="n">
        <f aca="false">AVERAGE(C455:C654)</f>
        <v>570.72375</v>
      </c>
      <c r="K654" s="17" t="n">
        <f aca="false">MAX(K653,C654)</f>
        <v>769.76</v>
      </c>
      <c r="L654" s="25" t="n">
        <f aca="false">C654/K654-1</f>
        <v>-0.169143629183122</v>
      </c>
      <c r="M654" s="25" t="n">
        <f aca="false">IF(COUNT(G625:G654)&lt;20,"",_xlfn.STDEV.S(G625:G654)*SQRT($R$3))</f>
        <v>0.170186671649696</v>
      </c>
      <c r="N654" s="25" t="n">
        <f aca="false">IF(A654-7&lt;$R$2,"",C654/INDEX(Clean_Data!$C$2:$C$4314,MATCH(A654-7,Clean_Data!$A$2:$A$4314,1))-1)</f>
        <v>0.0336824411688645</v>
      </c>
      <c r="O654" s="25" t="n">
        <f aca="false">IF(A654-30&lt;$R$2,"",C654/INDEX(Clean_Data!$C$2:$C$4314,MATCH(A654-30,Clean_Data!$A$2:$A$4314,1))-1)</f>
        <v>0.0520463218844585</v>
      </c>
    </row>
    <row r="655" customFormat="false" ht="15" hidden="false" customHeight="false" outlineLevel="0" collapsed="false">
      <c r="A655" s="16" t="n">
        <v>42661</v>
      </c>
      <c r="B655" s="23" t="n">
        <f aca="false">YEAR(A655)</f>
        <v>2016</v>
      </c>
      <c r="C655" s="17" t="n">
        <v>635.11</v>
      </c>
      <c r="D655" s="23" t="n">
        <f aca="false">A655-A654</f>
        <v>1</v>
      </c>
      <c r="E655" s="24" t="n">
        <f aca="false">LN(C655)</f>
        <v>6.45379821223685</v>
      </c>
      <c r="F655" s="25" t="n">
        <f aca="false">LN(C655/C654)</f>
        <v>-0.00698222768036868</v>
      </c>
      <c r="G655" s="25" t="n">
        <f aca="false">IF(AND(D655=1,A655&gt;=$R$2),F655,"")</f>
        <v>-0.00698222768036868</v>
      </c>
      <c r="H655" s="27" t="n">
        <f aca="false">IF(G655="","",G655^2)</f>
        <v>4.87515033805066E-005</v>
      </c>
      <c r="I655" s="25" t="n">
        <f aca="false">IF(G655="","",C655/C654-1)</f>
        <v>-0.00695790856213641</v>
      </c>
      <c r="J655" s="17" t="n">
        <f aca="false">AVERAGE(C456:C655)</f>
        <v>571.8109</v>
      </c>
      <c r="K655" s="17" t="n">
        <f aca="false">MAX(K654,C655)</f>
        <v>769.76</v>
      </c>
      <c r="L655" s="25" t="n">
        <f aca="false">C655/K655-1</f>
        <v>-0.174924651839534</v>
      </c>
      <c r="M655" s="25" t="n">
        <f aca="false">IF(COUNT(G626:G655)&lt;20,"",_xlfn.STDEV.S(G626:G655)*SQRT($R$3))</f>
        <v>0.172161854356209</v>
      </c>
      <c r="N655" s="25" t="n">
        <f aca="false">IF(A655-7&lt;$R$2,"",C655/INDEX(Clean_Data!$C$2:$C$4314,MATCH(A655-7,Clean_Data!$A$2:$A$4314,1))-1)</f>
        <v>-0.010916962561515</v>
      </c>
      <c r="O655" s="25" t="n">
        <f aca="false">IF(A655-30&lt;$R$2,"",C655/INDEX(Clean_Data!$C$2:$C$4314,MATCH(A655-30,Clean_Data!$A$2:$A$4314,1))-1)</f>
        <v>0.0387798495256788</v>
      </c>
    </row>
    <row r="656" customFormat="false" ht="15" hidden="false" customHeight="false" outlineLevel="0" collapsed="false">
      <c r="A656" s="16" t="n">
        <v>42662</v>
      </c>
      <c r="B656" s="23" t="n">
        <f aca="false">YEAR(A656)</f>
        <v>2016</v>
      </c>
      <c r="C656" s="17" t="n">
        <v>629.79</v>
      </c>
      <c r="D656" s="23" t="n">
        <f aca="false">A656-A655</f>
        <v>1</v>
      </c>
      <c r="E656" s="24" t="n">
        <f aca="false">LN(C656)</f>
        <v>6.44538643048434</v>
      </c>
      <c r="F656" s="25" t="n">
        <f aca="false">LN(C656/C655)</f>
        <v>-0.00841178175251023</v>
      </c>
      <c r="G656" s="25" t="n">
        <f aca="false">IF(AND(D656=1,A656&gt;=$R$2),F656,"")</f>
        <v>-0.00841178175251023</v>
      </c>
      <c r="H656" s="27" t="n">
        <f aca="false">IF(G656="","",G656^2)</f>
        <v>7.07580722518641E-005</v>
      </c>
      <c r="I656" s="25" t="n">
        <f aca="false">IF(G656="","",C656/C655-1)</f>
        <v>-0.00837650170836557</v>
      </c>
      <c r="J656" s="17" t="n">
        <f aca="false">AVERAGE(C457:C656)</f>
        <v>572.8601</v>
      </c>
      <c r="K656" s="17" t="n">
        <f aca="false">MAX(K655,C656)</f>
        <v>769.76</v>
      </c>
      <c r="L656" s="25" t="n">
        <f aca="false">C656/K656-1</f>
        <v>-0.181835896902931</v>
      </c>
      <c r="M656" s="25" t="n">
        <f aca="false">IF(COUNT(G627:G656)&lt;20,"",_xlfn.STDEV.S(G627:G656)*SQRT($R$3))</f>
        <v>0.174301369933575</v>
      </c>
      <c r="N656" s="25" t="n">
        <f aca="false">IF(A656-7&lt;$R$2,"",C656/INDEX(Clean_Data!$C$2:$C$4314,MATCH(A656-7,Clean_Data!$A$2:$A$4314,1))-1)</f>
        <v>-0.00943707828056439</v>
      </c>
      <c r="O656" s="25" t="n">
        <f aca="false">IF(A656-30&lt;$R$2,"",C656/INDEX(Clean_Data!$C$2:$C$4314,MATCH(A656-30,Clean_Data!$A$2:$A$4314,1))-1)</f>
        <v>0.0348176141965164</v>
      </c>
    </row>
    <row r="657" customFormat="false" ht="15" hidden="false" customHeight="false" outlineLevel="0" collapsed="false">
      <c r="A657" s="16" t="n">
        <v>42663</v>
      </c>
      <c r="B657" s="23" t="n">
        <f aca="false">YEAR(A657)</f>
        <v>2016</v>
      </c>
      <c r="C657" s="17" t="n">
        <v>628.05</v>
      </c>
      <c r="D657" s="23" t="n">
        <f aca="false">A657-A656</f>
        <v>1</v>
      </c>
      <c r="E657" s="24" t="n">
        <f aca="false">LN(C657)</f>
        <v>6.44261978113326</v>
      </c>
      <c r="F657" s="25" t="n">
        <f aca="false">LN(C657/C656)</f>
        <v>-0.0027666493510787</v>
      </c>
      <c r="G657" s="25" t="n">
        <f aca="false">IF(AND(D657=1,A657&gt;=$R$2),F657,"")</f>
        <v>-0.0027666493510787</v>
      </c>
      <c r="H657" s="27" t="n">
        <f aca="false">IF(G657="","",G657^2)</f>
        <v>7.65434863182418E-006</v>
      </c>
      <c r="I657" s="25" t="n">
        <f aca="false">IF(G657="","",C657/C656-1)</f>
        <v>-0.00276282570380604</v>
      </c>
      <c r="J657" s="17" t="n">
        <f aca="false">AVERAGE(C458:C657)</f>
        <v>573.89955</v>
      </c>
      <c r="K657" s="17" t="n">
        <f aca="false">MAX(K656,C657)</f>
        <v>769.76</v>
      </c>
      <c r="L657" s="25" t="n">
        <f aca="false">C657/K657-1</f>
        <v>-0.184096341716899</v>
      </c>
      <c r="M657" s="25" t="n">
        <f aca="false">IF(COUNT(G628:G657)&lt;20,"",_xlfn.STDEV.S(G628:G657)*SQRT($R$3))</f>
        <v>0.173509437447321</v>
      </c>
      <c r="N657" s="25" t="n">
        <f aca="false">IF(A657-7&lt;$R$2,"",C657/INDEX(Clean_Data!$C$2:$C$4314,MATCH(A657-7,Clean_Data!$A$2:$A$4314,1))-1)</f>
        <v>-0.0119718088286191</v>
      </c>
      <c r="O657" s="25" t="n">
        <f aca="false">IF(A657-30&lt;$R$2,"",C657/INDEX(Clean_Data!$C$2:$C$4314,MATCH(A657-30,Clean_Data!$A$2:$A$4314,1))-1)</f>
        <v>0.037070673712021</v>
      </c>
    </row>
    <row r="658" customFormat="false" ht="15" hidden="false" customHeight="false" outlineLevel="0" collapsed="false">
      <c r="A658" s="16" t="n">
        <v>42664</v>
      </c>
      <c r="B658" s="23" t="n">
        <f aca="false">YEAR(A658)</f>
        <v>2016</v>
      </c>
      <c r="C658" s="17" t="n">
        <v>630.83</v>
      </c>
      <c r="D658" s="23" t="n">
        <f aca="false">A658-A657</f>
        <v>1</v>
      </c>
      <c r="E658" s="24" t="n">
        <f aca="false">LN(C658)</f>
        <v>6.44703641261368</v>
      </c>
      <c r="F658" s="25" t="n">
        <f aca="false">LN(C658/C657)</f>
        <v>0.00441663148041975</v>
      </c>
      <c r="G658" s="25" t="n">
        <f aca="false">IF(AND(D658=1,A658&gt;=$R$2),F658,"")</f>
        <v>0.00441663148041975</v>
      </c>
      <c r="H658" s="27" t="n">
        <f aca="false">IF(G658="","",G658^2)</f>
        <v>1.95066336338347E-005</v>
      </c>
      <c r="I658" s="25" t="n">
        <f aca="false">IF(G658="","",C658/C657-1)</f>
        <v>0.00442639917204057</v>
      </c>
      <c r="J658" s="17" t="n">
        <f aca="false">AVERAGE(C459:C658)</f>
        <v>574.95635</v>
      </c>
      <c r="K658" s="17" t="n">
        <f aca="false">MAX(K657,C658)</f>
        <v>769.76</v>
      </c>
      <c r="L658" s="25" t="n">
        <f aca="false">C658/K658-1</f>
        <v>-0.18048482643941</v>
      </c>
      <c r="M658" s="25" t="n">
        <f aca="false">IF(COUNT(G629:G658)&lt;20,"",_xlfn.STDEV.S(G629:G658)*SQRT($R$3))</f>
        <v>0.16449197458512</v>
      </c>
      <c r="N658" s="25" t="n">
        <f aca="false">IF(A658-7&lt;$R$2,"",C658/INDEX(Clean_Data!$C$2:$C$4314,MATCH(A658-7,Clean_Data!$A$2:$A$4314,1))-1)</f>
        <v>-0.0112847358274688</v>
      </c>
      <c r="O658" s="25" t="n">
        <f aca="false">IF(A658-30&lt;$R$2,"",C658/INDEX(Clean_Data!$C$2:$C$4314,MATCH(A658-30,Clean_Data!$A$2:$A$4314,1))-1)</f>
        <v>0.0566666666666666</v>
      </c>
    </row>
    <row r="659" customFormat="false" ht="15" hidden="false" customHeight="false" outlineLevel="0" collapsed="false">
      <c r="A659" s="16" t="n">
        <v>42665</v>
      </c>
      <c r="B659" s="23" t="n">
        <f aca="false">YEAR(A659)</f>
        <v>2016</v>
      </c>
      <c r="C659" s="17" t="n">
        <v>652.75</v>
      </c>
      <c r="D659" s="23" t="n">
        <f aca="false">A659-A658</f>
        <v>1</v>
      </c>
      <c r="E659" s="24" t="n">
        <f aca="false">LN(C659)</f>
        <v>6.48119420757924</v>
      </c>
      <c r="F659" s="25" t="n">
        <f aca="false">LN(C659/C658)</f>
        <v>0.0341577949655565</v>
      </c>
      <c r="G659" s="25" t="n">
        <f aca="false">IF(AND(D659=1,A659&gt;=$R$2),F659,"")</f>
        <v>0.0341577949655565</v>
      </c>
      <c r="H659" s="27" t="n">
        <f aca="false">IF(G659="","",G659^2)</f>
        <v>0.00116675495690899</v>
      </c>
      <c r="I659" s="25" t="n">
        <f aca="false">IF(G659="","",C659/C658-1)</f>
        <v>0.0347478718513703</v>
      </c>
      <c r="J659" s="17" t="n">
        <f aca="false">AVERAGE(C460:C659)</f>
        <v>576.1083</v>
      </c>
      <c r="K659" s="17" t="n">
        <f aca="false">MAX(K658,C659)</f>
        <v>769.76</v>
      </c>
      <c r="L659" s="25" t="n">
        <f aca="false">C659/K659-1</f>
        <v>-0.152008418208273</v>
      </c>
      <c r="M659" s="25" t="n">
        <f aca="false">IF(COUNT(G630:G659)&lt;20,"",_xlfn.STDEV.S(G630:G659)*SQRT($R$3))</f>
        <v>0.198875208544603</v>
      </c>
      <c r="N659" s="25" t="n">
        <f aca="false">IF(A659-7&lt;$R$2,"",C659/INDEX(Clean_Data!$C$2:$C$4314,MATCH(A659-7,Clean_Data!$A$2:$A$4314,1))-1)</f>
        <v>0.0228626049893443</v>
      </c>
      <c r="O659" s="25" t="n">
        <f aca="false">IF(A659-30&lt;$R$2,"",C659/INDEX(Clean_Data!$C$2:$C$4314,MATCH(A659-30,Clean_Data!$A$2:$A$4314,1))-1)</f>
        <v>0.0948323577263044</v>
      </c>
    </row>
    <row r="660" customFormat="false" ht="15" hidden="false" customHeight="false" outlineLevel="0" collapsed="false">
      <c r="A660" s="16" t="n">
        <v>42666</v>
      </c>
      <c r="B660" s="23" t="n">
        <f aca="false">YEAR(A660)</f>
        <v>2016</v>
      </c>
      <c r="C660" s="17" t="n">
        <v>651.04</v>
      </c>
      <c r="D660" s="23" t="n">
        <f aca="false">A660-A659</f>
        <v>1</v>
      </c>
      <c r="E660" s="24" t="n">
        <f aca="false">LN(C660)</f>
        <v>6.47857108425338</v>
      </c>
      <c r="F660" s="25" t="n">
        <f aca="false">LN(C660/C659)</f>
        <v>-0.00262312332585847</v>
      </c>
      <c r="G660" s="25" t="n">
        <f aca="false">IF(AND(D660=1,A660&gt;=$R$2),F660,"")</f>
        <v>-0.00262312332585847</v>
      </c>
      <c r="H660" s="27" t="n">
        <f aca="false">IF(G660="","",G660^2)</f>
        <v>6.88077598266282E-006</v>
      </c>
      <c r="I660" s="25" t="n">
        <f aca="false">IF(G660="","",C660/C659-1)</f>
        <v>-0.00261968594408279</v>
      </c>
      <c r="J660" s="17" t="n">
        <f aca="false">AVERAGE(C461:C660)</f>
        <v>577.2562</v>
      </c>
      <c r="K660" s="17" t="n">
        <f aca="false">MAX(K659,C660)</f>
        <v>769.76</v>
      </c>
      <c r="L660" s="25" t="n">
        <f aca="false">C660/K660-1</f>
        <v>-0.154229889835793</v>
      </c>
      <c r="M660" s="25" t="n">
        <f aca="false">IF(COUNT(G631:G660)&lt;20,"",_xlfn.STDEV.S(G631:G660)*SQRT($R$3))</f>
        <v>0.19752769885354</v>
      </c>
      <c r="N660" s="25" t="n">
        <f aca="false">IF(A660-7&lt;$R$2,"",C660/INDEX(Clean_Data!$C$2:$C$4314,MATCH(A660-7,Clean_Data!$A$2:$A$4314,1))-1)</f>
        <v>0.0142073778664009</v>
      </c>
      <c r="O660" s="25" t="n">
        <f aca="false">IF(A660-30&lt;$R$2,"",C660/INDEX(Clean_Data!$C$2:$C$4314,MATCH(A660-30,Clean_Data!$A$2:$A$4314,1))-1)</f>
        <v>0.0797399495820617</v>
      </c>
    </row>
    <row r="661" customFormat="false" ht="15" hidden="false" customHeight="false" outlineLevel="0" collapsed="false">
      <c r="A661" s="16" t="n">
        <v>42667</v>
      </c>
      <c r="B661" s="23" t="n">
        <f aca="false">YEAR(A661)</f>
        <v>2016</v>
      </c>
      <c r="C661" s="17" t="n">
        <v>649.98</v>
      </c>
      <c r="D661" s="23" t="n">
        <f aca="false">A661-A660</f>
        <v>1</v>
      </c>
      <c r="E661" s="24" t="n">
        <f aca="false">LN(C661)</f>
        <v>6.47694159318553</v>
      </c>
      <c r="F661" s="25" t="n">
        <f aca="false">LN(C661/C660)</f>
        <v>-0.00162949106784867</v>
      </c>
      <c r="G661" s="25" t="n">
        <f aca="false">IF(AND(D661=1,A661&gt;=$R$2),F661,"")</f>
        <v>-0.00162949106784867</v>
      </c>
      <c r="H661" s="27" t="n">
        <f aca="false">IF(G661="","",G661^2)</f>
        <v>2.65524114019859E-006</v>
      </c>
      <c r="I661" s="25" t="n">
        <f aca="false">IF(G661="","",C661/C660-1)</f>
        <v>-0.00162816416810019</v>
      </c>
      <c r="J661" s="17" t="n">
        <f aca="false">AVERAGE(C462:C661)</f>
        <v>578.39615</v>
      </c>
      <c r="K661" s="17" t="n">
        <f aca="false">MAX(K660,C661)</f>
        <v>769.76</v>
      </c>
      <c r="L661" s="25" t="n">
        <f aca="false">C661/K661-1</f>
        <v>-0.155606942423613</v>
      </c>
      <c r="M661" s="25" t="n">
        <f aca="false">IF(COUNT(G632:G661)&lt;20,"",_xlfn.STDEV.S(G632:G661)*SQRT($R$3))</f>
        <v>0.198017839200343</v>
      </c>
      <c r="N661" s="25" t="n">
        <f aca="false">IF(A661-7&lt;$R$2,"",C661/INDEX(Clean_Data!$C$2:$C$4314,MATCH(A661-7,Clean_Data!$A$2:$A$4314,1))-1)</f>
        <v>0.0162924510601039</v>
      </c>
      <c r="O661" s="25" t="n">
        <f aca="false">IF(A661-30&lt;$R$2,"",C661/INDEX(Clean_Data!$C$2:$C$4314,MATCH(A661-30,Clean_Data!$A$2:$A$4314,1))-1)</f>
        <v>0.0766962629207528</v>
      </c>
    </row>
    <row r="662" customFormat="false" ht="15" hidden="false" customHeight="false" outlineLevel="0" collapsed="false">
      <c r="A662" s="16" t="n">
        <v>42668</v>
      </c>
      <c r="B662" s="23" t="n">
        <f aca="false">YEAR(A662)</f>
        <v>2016</v>
      </c>
      <c r="C662" s="17" t="n">
        <v>654.3</v>
      </c>
      <c r="D662" s="23" t="n">
        <f aca="false">A662-A661</f>
        <v>1</v>
      </c>
      <c r="E662" s="24" t="n">
        <f aca="false">LN(C662)</f>
        <v>6.48356596187569</v>
      </c>
      <c r="F662" s="25" t="n">
        <f aca="false">LN(C662/C661)</f>
        <v>0.00662436869016189</v>
      </c>
      <c r="G662" s="25" t="n">
        <f aca="false">IF(AND(D662=1,A662&gt;=$R$2),F662,"")</f>
        <v>0.00662436869016189</v>
      </c>
      <c r="H662" s="27" t="n">
        <f aca="false">IF(G662="","",G662^2)</f>
        <v>4.38822605431971E-005</v>
      </c>
      <c r="I662" s="25" t="n">
        <f aca="false">IF(G662="","",C662/C661-1)</f>
        <v>0.00664635834948757</v>
      </c>
      <c r="J662" s="17" t="n">
        <f aca="false">AVERAGE(C463:C662)</f>
        <v>579.57025</v>
      </c>
      <c r="K662" s="17" t="n">
        <f aca="false">MAX(K661,C662)</f>
        <v>769.76</v>
      </c>
      <c r="L662" s="25" t="n">
        <f aca="false">C662/K662-1</f>
        <v>-0.14999480357514</v>
      </c>
      <c r="M662" s="25" t="n">
        <f aca="false">IF(COUNT(G633:G662)&lt;20,"",_xlfn.STDEV.S(G633:G662)*SQRT($R$3))</f>
        <v>0.197393556202476</v>
      </c>
      <c r="N662" s="25" t="n">
        <f aca="false">IF(A662-7&lt;$R$2,"",C662/INDEX(Clean_Data!$C$2:$C$4314,MATCH(A662-7,Clean_Data!$A$2:$A$4314,1))-1)</f>
        <v>0.0302152383051755</v>
      </c>
      <c r="O662" s="25" t="n">
        <f aca="false">IF(A662-30&lt;$R$2,"",C662/INDEX(Clean_Data!$C$2:$C$4314,MATCH(A662-30,Clean_Data!$A$2:$A$4314,1))-1)</f>
        <v>0.087473199594462</v>
      </c>
    </row>
    <row r="663" customFormat="false" ht="15" hidden="false" customHeight="false" outlineLevel="0" collapsed="false">
      <c r="A663" s="16" t="n">
        <v>42669</v>
      </c>
      <c r="B663" s="23" t="n">
        <f aca="false">YEAR(A663)</f>
        <v>2016</v>
      </c>
      <c r="C663" s="17" t="n">
        <v>674</v>
      </c>
      <c r="D663" s="23" t="n">
        <f aca="false">A663-A662</f>
        <v>1</v>
      </c>
      <c r="E663" s="24" t="n">
        <f aca="false">LN(C663)</f>
        <v>6.51323011091231</v>
      </c>
      <c r="F663" s="25" t="n">
        <f aca="false">LN(C663/C662)</f>
        <v>0.0296641490366141</v>
      </c>
      <c r="G663" s="25" t="n">
        <f aca="false">IF(AND(D663=1,A663&gt;=$R$2),F663,"")</f>
        <v>0.0296641490366141</v>
      </c>
      <c r="H663" s="27" t="n">
        <f aca="false">IF(G663="","",G663^2)</f>
        <v>0.000879961738066451</v>
      </c>
      <c r="I663" s="25" t="n">
        <f aca="false">IF(G663="","",C663/C662-1)</f>
        <v>0.0301085129145653</v>
      </c>
      <c r="J663" s="17" t="n">
        <f aca="false">AVERAGE(C464:C663)</f>
        <v>580.84295</v>
      </c>
      <c r="K663" s="17" t="n">
        <f aca="false">MAX(K662,C663)</f>
        <v>769.76</v>
      </c>
      <c r="L663" s="25" t="n">
        <f aca="false">C663/K663-1</f>
        <v>-0.124402411141135</v>
      </c>
      <c r="M663" s="25" t="n">
        <f aca="false">IF(COUNT(G634:G663)&lt;20,"",_xlfn.STDEV.S(G634:G663)*SQRT($R$3))</f>
        <v>0.217700925262149</v>
      </c>
      <c r="N663" s="25" t="n">
        <f aca="false">IF(A663-7&lt;$R$2,"",C663/INDEX(Clean_Data!$C$2:$C$4314,MATCH(A663-7,Clean_Data!$A$2:$A$4314,1))-1)</f>
        <v>0.0701980025087727</v>
      </c>
      <c r="O663" s="25" t="n">
        <f aca="false">IF(A663-30&lt;$R$2,"",C663/INDEX(Clean_Data!$C$2:$C$4314,MATCH(A663-30,Clean_Data!$A$2:$A$4314,1))-1)</f>
        <v>0.110232588785662</v>
      </c>
    </row>
    <row r="664" customFormat="false" ht="15" hidden="false" customHeight="false" outlineLevel="0" collapsed="false">
      <c r="A664" s="16" t="n">
        <v>42670</v>
      </c>
      <c r="B664" s="23" t="n">
        <f aca="false">YEAR(A664)</f>
        <v>2016</v>
      </c>
      <c r="C664" s="17" t="n">
        <v>691.21</v>
      </c>
      <c r="D664" s="23" t="n">
        <f aca="false">A664-A663</f>
        <v>1</v>
      </c>
      <c r="E664" s="24" t="n">
        <f aca="false">LN(C664)</f>
        <v>6.53844368497778</v>
      </c>
      <c r="F664" s="25" t="n">
        <f aca="false">LN(C664/C663)</f>
        <v>0.0252135740654768</v>
      </c>
      <c r="G664" s="25" t="n">
        <f aca="false">IF(AND(D664=1,A664&gt;=$R$2),F664,"")</f>
        <v>0.0252135740654768</v>
      </c>
      <c r="H664" s="27" t="n">
        <f aca="false">IF(G664="","",G664^2)</f>
        <v>0.000635724317155285</v>
      </c>
      <c r="I664" s="25" t="n">
        <f aca="false">IF(G664="","",C664/C663-1)</f>
        <v>0.0255341246290801</v>
      </c>
      <c r="J664" s="17" t="n">
        <f aca="false">AVERAGE(C465:C664)</f>
        <v>582.182</v>
      </c>
      <c r="K664" s="17" t="n">
        <f aca="false">MAX(K663,C664)</f>
        <v>769.76</v>
      </c>
      <c r="L664" s="25" t="n">
        <f aca="false">C664/K664-1</f>
        <v>-0.102044793182291</v>
      </c>
      <c r="M664" s="25" t="n">
        <f aca="false">IF(COUNT(G635:G664)&lt;20,"",_xlfn.STDEV.S(G635:G664)*SQRT($R$3))</f>
        <v>0.229354810890746</v>
      </c>
      <c r="N664" s="25" t="n">
        <f aca="false">IF(A664-7&lt;$R$2,"",C664/INDEX(Clean_Data!$C$2:$C$4314,MATCH(A664-7,Clean_Data!$A$2:$A$4314,1))-1)</f>
        <v>0.10056524162089</v>
      </c>
      <c r="O664" s="25" t="n">
        <f aca="false">IF(A664-30&lt;$R$2,"",C664/INDEX(Clean_Data!$C$2:$C$4314,MATCH(A664-30,Clean_Data!$A$2:$A$4314,1))-1)</f>
        <v>0.141156659127305</v>
      </c>
    </row>
    <row r="665" customFormat="false" ht="15" hidden="false" customHeight="false" outlineLevel="0" collapsed="false">
      <c r="A665" s="16" t="n">
        <v>42671</v>
      </c>
      <c r="B665" s="23" t="n">
        <f aca="false">YEAR(A665)</f>
        <v>2016</v>
      </c>
      <c r="C665" s="17" t="n">
        <v>689.95</v>
      </c>
      <c r="D665" s="23" t="n">
        <f aca="false">A665-A664</f>
        <v>1</v>
      </c>
      <c r="E665" s="24" t="n">
        <f aca="false">LN(C665)</f>
        <v>6.53661913119756</v>
      </c>
      <c r="F665" s="25" t="n">
        <f aca="false">LN(C665/C664)</f>
        <v>-0.00182455378022039</v>
      </c>
      <c r="G665" s="25" t="n">
        <f aca="false">IF(AND(D665=1,A665&gt;=$R$2),F665,"")</f>
        <v>-0.00182455378022039</v>
      </c>
      <c r="H665" s="27" t="n">
        <f aca="false">IF(G665="","",G665^2)</f>
        <v>3.32899649691653E-006</v>
      </c>
      <c r="I665" s="25" t="n">
        <f aca="false">IF(G665="","",C665/C664-1)</f>
        <v>-0.00182289029383254</v>
      </c>
      <c r="J665" s="17" t="n">
        <f aca="false">AVERAGE(C466:C665)</f>
        <v>583.51205</v>
      </c>
      <c r="K665" s="17" t="n">
        <f aca="false">MAX(K664,C665)</f>
        <v>769.76</v>
      </c>
      <c r="L665" s="25" t="n">
        <f aca="false">C665/K665-1</f>
        <v>-0.103681667013095</v>
      </c>
      <c r="M665" s="25" t="n">
        <f aca="false">IF(COUNT(G636:G665)&lt;20,"",_xlfn.STDEV.S(G636:G665)*SQRT($R$3))</f>
        <v>0.229585330412614</v>
      </c>
      <c r="N665" s="25" t="n">
        <f aca="false">IF(A665-7&lt;$R$2,"",C665/INDEX(Clean_Data!$C$2:$C$4314,MATCH(A665-7,Clean_Data!$A$2:$A$4314,1))-1)</f>
        <v>0.0937178003582582</v>
      </c>
      <c r="O665" s="25" t="n">
        <f aca="false">IF(A665-30&lt;$R$2,"",C665/INDEX(Clean_Data!$C$2:$C$4314,MATCH(A665-30,Clean_Data!$A$2:$A$4314,1))-1)</f>
        <v>0.140337828903874</v>
      </c>
    </row>
    <row r="666" customFormat="false" ht="15" hidden="false" customHeight="false" outlineLevel="0" collapsed="false">
      <c r="A666" s="16" t="n">
        <v>42672</v>
      </c>
      <c r="B666" s="23" t="n">
        <f aca="false">YEAR(A666)</f>
        <v>2016</v>
      </c>
      <c r="C666" s="17" t="n">
        <v>714.28</v>
      </c>
      <c r="D666" s="23" t="n">
        <f aca="false">A666-A665</f>
        <v>1</v>
      </c>
      <c r="E666" s="24" t="n">
        <f aca="false">LN(C666)</f>
        <v>6.57127504232892</v>
      </c>
      <c r="F666" s="25" t="n">
        <f aca="false">LN(C666/C665)</f>
        <v>0.0346559111313604</v>
      </c>
      <c r="G666" s="25" t="n">
        <f aca="false">IF(AND(D666=1,A666&gt;=$R$2),F666,"")</f>
        <v>0.0346559111313604</v>
      </c>
      <c r="H666" s="27" t="n">
        <f aca="false">IF(G666="","",G666^2)</f>
        <v>0.00120103217634475</v>
      </c>
      <c r="I666" s="25" t="n">
        <f aca="false">IF(G666="","",C666/C665-1)</f>
        <v>0.0352634248858612</v>
      </c>
      <c r="J666" s="17" t="n">
        <f aca="false">AVERAGE(C467:C666)</f>
        <v>584.94445</v>
      </c>
      <c r="K666" s="17" t="n">
        <f aca="false">MAX(K665,C666)</f>
        <v>769.76</v>
      </c>
      <c r="L666" s="25" t="n">
        <f aca="false">C666/K666-1</f>
        <v>-0.0720744128039909</v>
      </c>
      <c r="M666" s="25" t="n">
        <f aca="false">IF(COUNT(G637:G666)&lt;20,"",_xlfn.STDEV.S(G637:G666)*SQRT($R$3))</f>
        <v>0.2523681296934</v>
      </c>
      <c r="N666" s="25" t="n">
        <f aca="false">IF(A666-7&lt;$R$2,"",C666/INDEX(Clean_Data!$C$2:$C$4314,MATCH(A666-7,Clean_Data!$A$2:$A$4314,1))-1)</f>
        <v>0.0942627345844505</v>
      </c>
      <c r="O666" s="25" t="n">
        <f aca="false">IF(A666-30&lt;$R$2,"",C666/INDEX(Clean_Data!$C$2:$C$4314,MATCH(A666-30,Clean_Data!$A$2:$A$4314,1))-1)</f>
        <v>0.178699318470602</v>
      </c>
    </row>
    <row r="667" customFormat="false" ht="15" hidden="false" customHeight="false" outlineLevel="0" collapsed="false">
      <c r="A667" s="16" t="n">
        <v>42673</v>
      </c>
      <c r="B667" s="23" t="n">
        <f aca="false">YEAR(A667)</f>
        <v>2016</v>
      </c>
      <c r="C667" s="17" t="n">
        <v>697.41</v>
      </c>
      <c r="D667" s="23" t="n">
        <f aca="false">A667-A666</f>
        <v>1</v>
      </c>
      <c r="E667" s="24" t="n">
        <f aca="false">LN(C667)</f>
        <v>6.54737347311208</v>
      </c>
      <c r="F667" s="25" t="n">
        <f aca="false">LN(C667/C666)</f>
        <v>-0.0239015692168458</v>
      </c>
      <c r="G667" s="25" t="n">
        <f aca="false">IF(AND(D667=1,A667&gt;=$R$2),F667,"")</f>
        <v>-0.0239015692168458</v>
      </c>
      <c r="H667" s="27" t="n">
        <f aca="false">IF(G667="","",G667^2)</f>
        <v>0.00057128501102767</v>
      </c>
      <c r="I667" s="25" t="n">
        <f aca="false">IF(G667="","",C667/C666-1)</f>
        <v>-0.0236181889455116</v>
      </c>
      <c r="J667" s="17" t="n">
        <f aca="false">AVERAGE(C468:C667)</f>
        <v>586.3036</v>
      </c>
      <c r="K667" s="17" t="n">
        <f aca="false">MAX(K666,C667)</f>
        <v>769.76</v>
      </c>
      <c r="L667" s="25" t="n">
        <f aca="false">C667/K667-1</f>
        <v>-0.093990334649761</v>
      </c>
      <c r="M667" s="25" t="n">
        <f aca="false">IF(COUNT(G638:G667)&lt;20,"",_xlfn.STDEV.S(G638:G667)*SQRT($R$3))</f>
        <v>0.272401705342544</v>
      </c>
      <c r="N667" s="25" t="n">
        <f aca="false">IF(A667-7&lt;$R$2,"",C667/INDEX(Clean_Data!$C$2:$C$4314,MATCH(A667-7,Clean_Data!$A$2:$A$4314,1))-1)</f>
        <v>0.071224502334726</v>
      </c>
      <c r="O667" s="25" t="n">
        <f aca="false">IF(A667-30&lt;$R$2,"",C667/INDEX(Clean_Data!$C$2:$C$4314,MATCH(A667-30,Clean_Data!$A$2:$A$4314,1))-1)</f>
        <v>0.145191218246605</v>
      </c>
    </row>
    <row r="668" customFormat="false" ht="15" hidden="false" customHeight="false" outlineLevel="0" collapsed="false">
      <c r="A668" s="16" t="n">
        <v>42674</v>
      </c>
      <c r="B668" s="23" t="n">
        <f aca="false">YEAR(A668)</f>
        <v>2016</v>
      </c>
      <c r="C668" s="17" t="n">
        <v>696.9</v>
      </c>
      <c r="D668" s="23" t="n">
        <f aca="false">A668-A667</f>
        <v>1</v>
      </c>
      <c r="E668" s="24" t="n">
        <f aca="false">LN(C668)</f>
        <v>6.54664192844447</v>
      </c>
      <c r="F668" s="25" t="n">
        <f aca="false">LN(C668/C667)</f>
        <v>-0.000731544667605088</v>
      </c>
      <c r="G668" s="25" t="n">
        <f aca="false">IF(AND(D668=1,A668&gt;=$R$2),F668,"")</f>
        <v>-0.000731544667605088</v>
      </c>
      <c r="H668" s="27" t="n">
        <f aca="false">IF(G668="","",G668^2)</f>
        <v>5.35157600701439E-007</v>
      </c>
      <c r="I668" s="25" t="n">
        <f aca="false">IF(G668="","",C668/C667-1)</f>
        <v>-0.000731277154041421</v>
      </c>
      <c r="J668" s="17" t="n">
        <f aca="false">AVERAGE(C469:C668)</f>
        <v>587.6565</v>
      </c>
      <c r="K668" s="17" t="n">
        <f aca="false">MAX(K667,C668)</f>
        <v>769.76</v>
      </c>
      <c r="L668" s="25" t="n">
        <f aca="false">C668/K668-1</f>
        <v>-0.0946528788193723</v>
      </c>
      <c r="M668" s="25" t="n">
        <f aca="false">IF(COUNT(G639:G668)&lt;20,"",_xlfn.STDEV.S(G639:G668)*SQRT($R$3))</f>
        <v>0.272000734070918</v>
      </c>
      <c r="N668" s="25" t="n">
        <f aca="false">IF(A668-7&lt;$R$2,"",C668/INDEX(Clean_Data!$C$2:$C$4314,MATCH(A668-7,Clean_Data!$A$2:$A$4314,1))-1)</f>
        <v>0.0721868365180467</v>
      </c>
      <c r="O668" s="25" t="n">
        <f aca="false">IF(A668-30&lt;$R$2,"",C668/INDEX(Clean_Data!$C$2:$C$4314,MATCH(A668-30,Clean_Data!$A$2:$A$4314,1))-1)</f>
        <v>0.131974336067571</v>
      </c>
    </row>
    <row r="669" customFormat="false" ht="15" hidden="false" customHeight="false" outlineLevel="0" collapsed="false">
      <c r="A669" s="16" t="n">
        <v>42675</v>
      </c>
      <c r="B669" s="23" t="n">
        <f aca="false">YEAR(A669)</f>
        <v>2016</v>
      </c>
      <c r="C669" s="17" t="n">
        <v>730.7</v>
      </c>
      <c r="D669" s="23" t="n">
        <f aca="false">A669-A668</f>
        <v>1</v>
      </c>
      <c r="E669" s="24" t="n">
        <f aca="false">LN(C669)</f>
        <v>6.59400297879717</v>
      </c>
      <c r="F669" s="25" t="n">
        <f aca="false">LN(C669/C668)</f>
        <v>0.0473610503526991</v>
      </c>
      <c r="G669" s="25" t="n">
        <f aca="false">IF(AND(D669=1,A669&gt;=$R$2),F669,"")</f>
        <v>0.0473610503526991</v>
      </c>
      <c r="H669" s="27" t="n">
        <f aca="false">IF(G669="","",G669^2)</f>
        <v>0.0022430690905109</v>
      </c>
      <c r="I669" s="25" t="n">
        <f aca="false">IF(G669="","",C669/C668-1)</f>
        <v>0.0485005022241356</v>
      </c>
      <c r="J669" s="17" t="n">
        <f aca="false">AVERAGE(C470:C669)</f>
        <v>589.15535</v>
      </c>
      <c r="K669" s="17" t="n">
        <f aca="false">MAX(K668,C669)</f>
        <v>769.76</v>
      </c>
      <c r="L669" s="25" t="n">
        <f aca="false">C669/K669-1</f>
        <v>-0.0507430887549365</v>
      </c>
      <c r="M669" s="25" t="n">
        <f aca="false">IF(COUNT(G640:G669)&lt;20,"",_xlfn.STDEV.S(G640:G669)*SQRT($R$3))</f>
        <v>0.308583141216477</v>
      </c>
      <c r="N669" s="25" t="n">
        <f aca="false">IF(A669-7&lt;$R$2,"",C669/INDEX(Clean_Data!$C$2:$C$4314,MATCH(A669-7,Clean_Data!$A$2:$A$4314,1))-1)</f>
        <v>0.116766009475776</v>
      </c>
      <c r="O669" s="25" t="n">
        <f aca="false">IF(A669-30&lt;$R$2,"",C669/INDEX(Clean_Data!$C$2:$C$4314,MATCH(A669-30,Clean_Data!$A$2:$A$4314,1))-1)</f>
        <v>0.193174395819726</v>
      </c>
    </row>
    <row r="670" customFormat="false" ht="15" hidden="false" customHeight="false" outlineLevel="0" collapsed="false">
      <c r="A670" s="16" t="n">
        <v>42676</v>
      </c>
      <c r="B670" s="23" t="n">
        <f aca="false">YEAR(A670)</f>
        <v>2016</v>
      </c>
      <c r="C670" s="17" t="n">
        <v>744.6</v>
      </c>
      <c r="D670" s="23" t="n">
        <f aca="false">A670-A669</f>
        <v>1</v>
      </c>
      <c r="E670" s="24" t="n">
        <f aca="false">LN(C670)</f>
        <v>6.61284716143862</v>
      </c>
      <c r="F670" s="25" t="n">
        <f aca="false">LN(C670/C669)</f>
        <v>0.0188441826414443</v>
      </c>
      <c r="G670" s="25" t="n">
        <f aca="false">IF(AND(D670=1,A670&gt;=$R$2),F670,"")</f>
        <v>0.0188441826414443</v>
      </c>
      <c r="H670" s="27" t="n">
        <f aca="false">IF(G670="","",G670^2)</f>
        <v>0.000355103219424111</v>
      </c>
      <c r="I670" s="25" t="n">
        <f aca="false">IF(G670="","",C670/C669-1)</f>
        <v>0.0190228547967701</v>
      </c>
      <c r="J670" s="17" t="n">
        <f aca="false">AVERAGE(C471:C670)</f>
        <v>590.7114</v>
      </c>
      <c r="K670" s="17" t="n">
        <f aca="false">MAX(K669,C670)</f>
        <v>769.76</v>
      </c>
      <c r="L670" s="25" t="n">
        <f aca="false">C670/K670-1</f>
        <v>-0.0326855123674912</v>
      </c>
      <c r="M670" s="25" t="n">
        <f aca="false">IF(COUNT(G641:G670)&lt;20,"",_xlfn.STDEV.S(G641:G670)*SQRT($R$3))</f>
        <v>0.311283175318078</v>
      </c>
      <c r="N670" s="25" t="n">
        <f aca="false">IF(A670-7&lt;$R$2,"",C670/INDEX(Clean_Data!$C$2:$C$4314,MATCH(A670-7,Clean_Data!$A$2:$A$4314,1))-1)</f>
        <v>0.104747774480712</v>
      </c>
      <c r="O670" s="25" t="n">
        <f aca="false">IF(A670-30&lt;$R$2,"",C670/INDEX(Clean_Data!$C$2:$C$4314,MATCH(A670-30,Clean_Data!$A$2:$A$4314,1))-1)</f>
        <v>0.214701708021338</v>
      </c>
    </row>
    <row r="671" customFormat="false" ht="15" hidden="false" customHeight="false" outlineLevel="0" collapsed="false">
      <c r="A671" s="16" t="n">
        <v>42677</v>
      </c>
      <c r="B671" s="23" t="n">
        <f aca="false">YEAR(A671)</f>
        <v>2016</v>
      </c>
      <c r="C671" s="17" t="n">
        <v>690</v>
      </c>
      <c r="D671" s="23" t="n">
        <f aca="false">A671-A670</f>
        <v>1</v>
      </c>
      <c r="E671" s="24" t="n">
        <f aca="false">LN(C671)</f>
        <v>6.53669159759131</v>
      </c>
      <c r="F671" s="25" t="n">
        <f aca="false">LN(C671/C670)</f>
        <v>-0.0761555638473115</v>
      </c>
      <c r="G671" s="25" t="n">
        <f aca="false">IF(AND(D671=1,A671&gt;=$R$2),F671,"")</f>
        <v>-0.0761555638473115</v>
      </c>
      <c r="H671" s="27" t="n">
        <f aca="false">IF(G671="","",G671^2)</f>
        <v>0.00579966990490194</v>
      </c>
      <c r="I671" s="25" t="n">
        <f aca="false">IF(G671="","",C671/C670-1)</f>
        <v>-0.073327961321515</v>
      </c>
      <c r="J671" s="17" t="n">
        <f aca="false">AVERAGE(C472:C671)</f>
        <v>592.0064</v>
      </c>
      <c r="K671" s="17" t="n">
        <f aca="false">MAX(K670,C671)</f>
        <v>769.76</v>
      </c>
      <c r="L671" s="25" t="n">
        <f aca="false">C671/K671-1</f>
        <v>-0.103616711702349</v>
      </c>
      <c r="M671" s="25" t="n">
        <f aca="false">IF(COUNT(G642:G671)&lt;20,"",_xlfn.STDEV.S(G642:G671)*SQRT($R$3))</f>
        <v>0.423336887890412</v>
      </c>
      <c r="N671" s="25" t="n">
        <f aca="false">IF(A671-7&lt;$R$2,"",C671/INDEX(Clean_Data!$C$2:$C$4314,MATCH(A671-7,Clean_Data!$A$2:$A$4314,1))-1)</f>
        <v>-0.0017505533774107</v>
      </c>
      <c r="O671" s="25" t="n">
        <f aca="false">IF(A671-30&lt;$R$2,"",C671/INDEX(Clean_Data!$C$2:$C$4314,MATCH(A671-30,Clean_Data!$A$2:$A$4314,1))-1)</f>
        <v>0.130517416521939</v>
      </c>
    </row>
    <row r="672" customFormat="false" ht="15" hidden="false" customHeight="false" outlineLevel="0" collapsed="false">
      <c r="A672" s="16" t="n">
        <v>42678</v>
      </c>
      <c r="B672" s="23" t="n">
        <f aca="false">YEAR(A672)</f>
        <v>2016</v>
      </c>
      <c r="C672" s="17" t="n">
        <v>706.32</v>
      </c>
      <c r="D672" s="23" t="n">
        <f aca="false">A672-A671</f>
        <v>1</v>
      </c>
      <c r="E672" s="24" t="n">
        <f aca="false">LN(C672)</f>
        <v>6.56006839259333</v>
      </c>
      <c r="F672" s="25" t="n">
        <f aca="false">LN(C672/C671)</f>
        <v>0.023376795002022</v>
      </c>
      <c r="G672" s="25" t="n">
        <f aca="false">IF(AND(D672=1,A672&gt;=$R$2),F672,"")</f>
        <v>0.023376795002022</v>
      </c>
      <c r="H672" s="27" t="n">
        <f aca="false">IF(G672="","",G672^2)</f>
        <v>0.000546474544566561</v>
      </c>
      <c r="I672" s="25" t="n">
        <f aca="false">IF(G672="","",C672/C671-1)</f>
        <v>0.0236521739130435</v>
      </c>
      <c r="J672" s="17" t="n">
        <f aca="false">AVERAGE(C473:C672)</f>
        <v>593.38315</v>
      </c>
      <c r="K672" s="17" t="n">
        <f aca="false">MAX(K671,C672)</f>
        <v>769.76</v>
      </c>
      <c r="L672" s="25" t="n">
        <f aca="false">C672/K672-1</f>
        <v>-0.0824152982747869</v>
      </c>
      <c r="M672" s="25" t="n">
        <f aca="false">IF(COUNT(G643:G672)&lt;20,"",_xlfn.STDEV.S(G643:G672)*SQRT($R$3))</f>
        <v>0.428655068561058</v>
      </c>
      <c r="N672" s="25" t="n">
        <f aca="false">IF(A672-7&lt;$R$2,"",C672/INDEX(Clean_Data!$C$2:$C$4314,MATCH(A672-7,Clean_Data!$A$2:$A$4314,1))-1)</f>
        <v>0.02372635698239</v>
      </c>
      <c r="O672" s="25" t="n">
        <f aca="false">IF(A672-30&lt;$R$2,"",C672/INDEX(Clean_Data!$C$2:$C$4314,MATCH(A672-30,Clean_Data!$A$2:$A$4314,1))-1)</f>
        <v>0.151934242285864</v>
      </c>
    </row>
    <row r="673" customFormat="false" ht="15" hidden="false" customHeight="false" outlineLevel="0" collapsed="false">
      <c r="A673" s="16" t="n">
        <v>42679</v>
      </c>
      <c r="B673" s="23" t="n">
        <f aca="false">YEAR(A673)</f>
        <v>2016</v>
      </c>
      <c r="C673" s="17" t="n">
        <v>706.99</v>
      </c>
      <c r="D673" s="23" t="n">
        <f aca="false">A673-A672</f>
        <v>1</v>
      </c>
      <c r="E673" s="24" t="n">
        <f aca="false">LN(C673)</f>
        <v>6.56101652152497</v>
      </c>
      <c r="F673" s="25" t="n">
        <f aca="false">LN(C673/C672)</f>
        <v>0.000948128931644453</v>
      </c>
      <c r="G673" s="25" t="n">
        <f aca="false">IF(AND(D673=1,A673&gt;=$R$2),F673,"")</f>
        <v>0.000948128931644453</v>
      </c>
      <c r="H673" s="27" t="n">
        <f aca="false">IF(G673="","",G673^2)</f>
        <v>8.98948471021251E-007</v>
      </c>
      <c r="I673" s="25" t="n">
        <f aca="false">IF(G673="","",C673/C672-1)</f>
        <v>0.000948578547966816</v>
      </c>
      <c r="J673" s="17" t="n">
        <f aca="false">AVERAGE(C474:C673)</f>
        <v>594.7328</v>
      </c>
      <c r="K673" s="17" t="n">
        <f aca="false">MAX(K672,C673)</f>
        <v>769.76</v>
      </c>
      <c r="L673" s="25" t="n">
        <f aca="false">C673/K673-1</f>
        <v>-0.0815448971107877</v>
      </c>
      <c r="M673" s="25" t="n">
        <f aca="false">IF(COUNT(G644:G673)&lt;20,"",_xlfn.STDEV.S(G644:G673)*SQRT($R$3))</f>
        <v>0.428178828334902</v>
      </c>
      <c r="N673" s="25" t="n">
        <f aca="false">IF(A673-7&lt;$R$2,"",C673/INDEX(Clean_Data!$C$2:$C$4314,MATCH(A673-7,Clean_Data!$A$2:$A$4314,1))-1)</f>
        <v>-0.0102060816486531</v>
      </c>
      <c r="O673" s="25" t="n">
        <f aca="false">IF(A673-30&lt;$R$2,"",C673/INDEX(Clean_Data!$C$2:$C$4314,MATCH(A673-30,Clean_Data!$A$2:$A$4314,1))-1)</f>
        <v>0.155438974962411</v>
      </c>
    </row>
    <row r="674" customFormat="false" ht="15" hidden="false" customHeight="false" outlineLevel="0" collapsed="false">
      <c r="A674" s="16" t="n">
        <v>42680</v>
      </c>
      <c r="B674" s="23" t="n">
        <f aca="false">YEAR(A674)</f>
        <v>2016</v>
      </c>
      <c r="C674" s="17" t="n">
        <v>717.02</v>
      </c>
      <c r="D674" s="23" t="n">
        <f aca="false">A674-A673</f>
        <v>1</v>
      </c>
      <c r="E674" s="24" t="n">
        <f aca="false">LN(C674)</f>
        <v>6.57510373421338</v>
      </c>
      <c r="F674" s="25" t="n">
        <f aca="false">LN(C674/C673)</f>
        <v>0.0140872126884076</v>
      </c>
      <c r="G674" s="25" t="n">
        <f aca="false">IF(AND(D674=1,A674&gt;=$R$2),F674,"")</f>
        <v>0.0140872126884076</v>
      </c>
      <c r="H674" s="27" t="n">
        <f aca="false">IF(G674="","",G674^2)</f>
        <v>0.000198449561328431</v>
      </c>
      <c r="I674" s="25" t="n">
        <f aca="false">IF(G674="","",C674/C673-1)</f>
        <v>0.0141869050481618</v>
      </c>
      <c r="J674" s="17" t="n">
        <f aca="false">AVERAGE(C475:C674)</f>
        <v>596.1031</v>
      </c>
      <c r="K674" s="17" t="n">
        <f aca="false">MAX(K673,C674)</f>
        <v>769.76</v>
      </c>
      <c r="L674" s="25" t="n">
        <f aca="false">C674/K674-1</f>
        <v>-0.0685148617750987</v>
      </c>
      <c r="M674" s="25" t="n">
        <f aca="false">IF(COUNT(G645:G674)&lt;20,"",_xlfn.STDEV.S(G645:G674)*SQRT($R$3))</f>
        <v>0.429049886208124</v>
      </c>
      <c r="N674" s="25" t="n">
        <f aca="false">IF(A674-7&lt;$R$2,"",C674/INDEX(Clean_Data!$C$2:$C$4314,MATCH(A674-7,Clean_Data!$A$2:$A$4314,1))-1)</f>
        <v>0.0281183235112774</v>
      </c>
      <c r="O674" s="25" t="n">
        <f aca="false">IF(A674-30&lt;$R$2,"",C674/INDEX(Clean_Data!$C$2:$C$4314,MATCH(A674-30,Clean_Data!$A$2:$A$4314,1))-1)</f>
        <v>0.160264086216382</v>
      </c>
    </row>
    <row r="675" customFormat="false" ht="15" hidden="false" customHeight="false" outlineLevel="0" collapsed="false">
      <c r="A675" s="16" t="n">
        <v>42681</v>
      </c>
      <c r="B675" s="23" t="n">
        <f aca="false">YEAR(A675)</f>
        <v>2016</v>
      </c>
      <c r="C675" s="17" t="n">
        <v>706.42</v>
      </c>
      <c r="D675" s="23" t="n">
        <f aca="false">A675-A674</f>
        <v>1</v>
      </c>
      <c r="E675" s="24" t="n">
        <f aca="false">LN(C675)</f>
        <v>6.56020996145974</v>
      </c>
      <c r="F675" s="25" t="n">
        <f aca="false">LN(C675/C674)</f>
        <v>-0.0148937727536409</v>
      </c>
      <c r="G675" s="25" t="n">
        <f aca="false">IF(AND(D675=1,A675&gt;=$R$2),F675,"")</f>
        <v>-0.0148937727536409</v>
      </c>
      <c r="H675" s="27" t="n">
        <f aca="false">IF(G675="","",G675^2)</f>
        <v>0.000221824466837097</v>
      </c>
      <c r="I675" s="25" t="n">
        <f aca="false">IF(G675="","",C675/C674-1)</f>
        <v>-0.0147834091099273</v>
      </c>
      <c r="J675" s="17" t="n">
        <f aca="false">AVERAGE(C476:C675)</f>
        <v>597.37395</v>
      </c>
      <c r="K675" s="17" t="n">
        <f aca="false">MAX(K674,C675)</f>
        <v>769.76</v>
      </c>
      <c r="L675" s="25" t="n">
        <f aca="false">C675/K675-1</f>
        <v>-0.0822853876532946</v>
      </c>
      <c r="M675" s="25" t="n">
        <f aca="false">IF(COUNT(G646:G675)&lt;20,"",_xlfn.STDEV.S(G646:G675)*SQRT($R$3))</f>
        <v>0.434554423180758</v>
      </c>
      <c r="N675" s="25" t="n">
        <f aca="false">IF(A675-7&lt;$R$2,"",C675/INDEX(Clean_Data!$C$2:$C$4314,MATCH(A675-7,Clean_Data!$A$2:$A$4314,1))-1)</f>
        <v>0.0136604964844311</v>
      </c>
      <c r="O675" s="25" t="n">
        <f aca="false">IF(A675-30&lt;$R$2,"",C675/INDEX(Clean_Data!$C$2:$C$4314,MATCH(A675-30,Clean_Data!$A$2:$A$4314,1))-1)</f>
        <v>0.140306698950767</v>
      </c>
    </row>
    <row r="676" customFormat="false" ht="15" hidden="false" customHeight="false" outlineLevel="0" collapsed="false">
      <c r="A676" s="16" t="n">
        <v>42682</v>
      </c>
      <c r="B676" s="23" t="n">
        <f aca="false">YEAR(A676)</f>
        <v>2016</v>
      </c>
      <c r="C676" s="17" t="n">
        <v>711.15</v>
      </c>
      <c r="D676" s="23" t="n">
        <f aca="false">A676-A675</f>
        <v>1</v>
      </c>
      <c r="E676" s="24" t="n">
        <f aca="false">LN(C676)</f>
        <v>6.56688337801624</v>
      </c>
      <c r="F676" s="25" t="n">
        <f aca="false">LN(C676/C675)</f>
        <v>0.00667341655649872</v>
      </c>
      <c r="G676" s="25" t="n">
        <f aca="false">IF(AND(D676=1,A676&gt;=$R$2),F676,"")</f>
        <v>0.00667341655649872</v>
      </c>
      <c r="H676" s="27" t="n">
        <f aca="false">IF(G676="","",G676^2)</f>
        <v>4.45344885365513E-005</v>
      </c>
      <c r="I676" s="25" t="n">
        <f aca="false">IF(G676="","",C676/C675-1)</f>
        <v>0.0066957334163813</v>
      </c>
      <c r="J676" s="17" t="n">
        <f aca="false">AVERAGE(C477:C676)</f>
        <v>598.68765</v>
      </c>
      <c r="K676" s="17" t="n">
        <f aca="false">MAX(K675,C676)</f>
        <v>769.76</v>
      </c>
      <c r="L676" s="25" t="n">
        <f aca="false">C676/K676-1</f>
        <v>-0.0761406152567035</v>
      </c>
      <c r="M676" s="25" t="n">
        <f aca="false">IF(COUNT(G647:G676)&lt;20,"",_xlfn.STDEV.S(G647:G676)*SQRT($R$3))</f>
        <v>0.43371386693022</v>
      </c>
      <c r="N676" s="25" t="n">
        <f aca="false">IF(A676-7&lt;$R$2,"",C676/INDEX(Clean_Data!$C$2:$C$4314,MATCH(A676-7,Clean_Data!$A$2:$A$4314,1))-1)</f>
        <v>-0.0267551662789107</v>
      </c>
      <c r="O676" s="25" t="n">
        <f aca="false">IF(A676-30&lt;$R$2,"",C676/INDEX(Clean_Data!$C$2:$C$4314,MATCH(A676-30,Clean_Data!$A$2:$A$4314,1))-1)</f>
        <v>0.151809141265265</v>
      </c>
    </row>
    <row r="677" customFormat="false" ht="15" hidden="false" customHeight="false" outlineLevel="0" collapsed="false">
      <c r="A677" s="16" t="n">
        <v>42683</v>
      </c>
      <c r="B677" s="23" t="n">
        <f aca="false">YEAR(A677)</f>
        <v>2016</v>
      </c>
      <c r="C677" s="17" t="n">
        <v>720.97</v>
      </c>
      <c r="D677" s="23" t="n">
        <f aca="false">A677-A676</f>
        <v>1</v>
      </c>
      <c r="E677" s="24" t="n">
        <f aca="false">LN(C677)</f>
        <v>6.58059752754272</v>
      </c>
      <c r="F677" s="25" t="n">
        <f aca="false">LN(C677/C676)</f>
        <v>0.0137141495264784</v>
      </c>
      <c r="G677" s="25" t="n">
        <f aca="false">IF(AND(D677=1,A677&gt;=$R$2),F677,"")</f>
        <v>0.0137141495264784</v>
      </c>
      <c r="H677" s="27" t="n">
        <f aca="false">IF(G677="","",G677^2)</f>
        <v>0.000188077897234609</v>
      </c>
      <c r="I677" s="25" t="n">
        <f aca="false">IF(G677="","",C677/C676-1)</f>
        <v>0.0138086198411025</v>
      </c>
      <c r="J677" s="17" t="n">
        <f aca="false">AVERAGE(C478:C677)</f>
        <v>600.01405</v>
      </c>
      <c r="K677" s="17" t="n">
        <f aca="false">MAX(K676,C677)</f>
        <v>769.76</v>
      </c>
      <c r="L677" s="25" t="n">
        <f aca="false">C677/K677-1</f>
        <v>-0.0633833922261484</v>
      </c>
      <c r="M677" s="25" t="n">
        <f aca="false">IF(COUNT(G648:G677)&lt;20,"",_xlfn.STDEV.S(G648:G677)*SQRT($R$3))</f>
        <v>0.434724892663438</v>
      </c>
      <c r="N677" s="25" t="n">
        <f aca="false">IF(A677-7&lt;$R$2,"",C677/INDEX(Clean_Data!$C$2:$C$4314,MATCH(A677-7,Clean_Data!$A$2:$A$4314,1))-1)</f>
        <v>-0.0317351598173516</v>
      </c>
      <c r="O677" s="25" t="n">
        <f aca="false">IF(A677-30&lt;$R$2,"",C677/INDEX(Clean_Data!$C$2:$C$4314,MATCH(A677-30,Clean_Data!$A$2:$A$4314,1))-1)</f>
        <v>0.165260537884665</v>
      </c>
    </row>
    <row r="678" customFormat="false" ht="15" hidden="false" customHeight="false" outlineLevel="0" collapsed="false">
      <c r="A678" s="16" t="n">
        <v>42684</v>
      </c>
      <c r="B678" s="23" t="n">
        <f aca="false">YEAR(A678)</f>
        <v>2016</v>
      </c>
      <c r="C678" s="17" t="n">
        <v>712.91</v>
      </c>
      <c r="D678" s="23" t="n">
        <f aca="false">A678-A677</f>
        <v>1</v>
      </c>
      <c r="E678" s="24" t="n">
        <f aca="false">LN(C678)</f>
        <v>6.569355185238</v>
      </c>
      <c r="F678" s="25" t="n">
        <f aca="false">LN(C678/C677)</f>
        <v>-0.0112423423047203</v>
      </c>
      <c r="G678" s="25" t="n">
        <f aca="false">IF(AND(D678=1,A678&gt;=$R$2),F678,"")</f>
        <v>-0.0112423423047203</v>
      </c>
      <c r="H678" s="27" t="n">
        <f aca="false">IF(G678="","",G678^2)</f>
        <v>0.000126390260496504</v>
      </c>
      <c r="I678" s="25" t="n">
        <f aca="false">IF(G678="","",C678/C677-1)</f>
        <v>-0.0111793833307905</v>
      </c>
      <c r="J678" s="17" t="n">
        <f aca="false">AVERAGE(C479:C678)</f>
        <v>601.2563</v>
      </c>
      <c r="K678" s="17" t="n">
        <f aca="false">MAX(K677,C678)</f>
        <v>769.76</v>
      </c>
      <c r="L678" s="25" t="n">
        <f aca="false">C678/K678-1</f>
        <v>-0.0738541883184369</v>
      </c>
      <c r="M678" s="25" t="n">
        <f aca="false">IF(COUNT(G649:G678)&lt;20,"",_xlfn.STDEV.S(G649:G678)*SQRT($R$3))</f>
        <v>0.422441999205555</v>
      </c>
      <c r="N678" s="25" t="n">
        <f aca="false">IF(A678-7&lt;$R$2,"",C678/INDEX(Clean_Data!$C$2:$C$4314,MATCH(A678-7,Clean_Data!$A$2:$A$4314,1))-1)</f>
        <v>0.0332028985507247</v>
      </c>
      <c r="O678" s="25" t="n">
        <f aca="false">IF(A678-30&lt;$R$2,"",C678/INDEX(Clean_Data!$C$2:$C$4314,MATCH(A678-30,Clean_Data!$A$2:$A$4314,1))-1)</f>
        <v>0.110244191116925</v>
      </c>
    </row>
    <row r="679" customFormat="false" ht="15" hidden="false" customHeight="false" outlineLevel="0" collapsed="false">
      <c r="A679" s="16" t="n">
        <v>42685</v>
      </c>
      <c r="B679" s="23" t="n">
        <f aca="false">YEAR(A679)</f>
        <v>2016</v>
      </c>
      <c r="C679" s="17" t="n">
        <v>716.9</v>
      </c>
      <c r="D679" s="23" t="n">
        <f aca="false">A679-A678</f>
        <v>1</v>
      </c>
      <c r="E679" s="24" t="n">
        <f aca="false">LN(C679)</f>
        <v>6.57493636085883</v>
      </c>
      <c r="F679" s="25" t="n">
        <f aca="false">LN(C679/C678)</f>
        <v>0.00558117562083131</v>
      </c>
      <c r="G679" s="25" t="n">
        <f aca="false">IF(AND(D679=1,A679&gt;=$R$2),F679,"")</f>
        <v>0.00558117562083131</v>
      </c>
      <c r="H679" s="27" t="n">
        <f aca="false">IF(G679="","",G679^2)</f>
        <v>3.11495213105617E-005</v>
      </c>
      <c r="I679" s="25" t="n">
        <f aca="false">IF(G679="","",C679/C678-1)</f>
        <v>0.00559677939711878</v>
      </c>
      <c r="J679" s="17" t="n">
        <f aca="false">AVERAGE(C480:C679)</f>
        <v>602.50995</v>
      </c>
      <c r="K679" s="17" t="n">
        <f aca="false">MAX(K678,C679)</f>
        <v>769.76</v>
      </c>
      <c r="L679" s="25" t="n">
        <f aca="false">C679/K679-1</f>
        <v>-0.0686707545208897</v>
      </c>
      <c r="M679" s="25" t="n">
        <f aca="false">IF(COUNT(G650:G679)&lt;20,"",_xlfn.STDEV.S(G650:G679)*SQRT($R$3))</f>
        <v>0.419707368420113</v>
      </c>
      <c r="N679" s="25" t="n">
        <f aca="false">IF(A679-7&lt;$R$2,"",C679/INDEX(Clean_Data!$C$2:$C$4314,MATCH(A679-7,Clean_Data!$A$2:$A$4314,1))-1)</f>
        <v>0.014979046324612</v>
      </c>
      <c r="O679" s="25" t="n">
        <f aca="false">IF(A679-30&lt;$R$2,"",C679/INDEX(Clean_Data!$C$2:$C$4314,MATCH(A679-30,Clean_Data!$A$2:$A$4314,1))-1)</f>
        <v>0.127573569889429</v>
      </c>
    </row>
    <row r="680" customFormat="false" ht="15" hidden="false" customHeight="false" outlineLevel="0" collapsed="false">
      <c r="A680" s="16" t="n">
        <v>42686</v>
      </c>
      <c r="B680" s="23" t="n">
        <f aca="false">YEAR(A680)</f>
        <v>2016</v>
      </c>
      <c r="C680" s="17" t="n">
        <v>704.53</v>
      </c>
      <c r="D680" s="23" t="n">
        <f aca="false">A680-A679</f>
        <v>1</v>
      </c>
      <c r="E680" s="24" t="n">
        <f aca="false">LN(C680)</f>
        <v>6.55753091382457</v>
      </c>
      <c r="F680" s="25" t="n">
        <f aca="false">LN(C680/C679)</f>
        <v>-0.0174054470342616</v>
      </c>
      <c r="G680" s="25" t="n">
        <f aca="false">IF(AND(D680=1,A680&gt;=$R$2),F680,"")</f>
        <v>-0.0174054470342616</v>
      </c>
      <c r="H680" s="27" t="n">
        <f aca="false">IF(G680="","",G680^2)</f>
        <v>0.000302949586462486</v>
      </c>
      <c r="I680" s="25" t="n">
        <f aca="false">IF(G680="","",C680/C679-1)</f>
        <v>-0.0172548472590319</v>
      </c>
      <c r="J680" s="17" t="n">
        <f aca="false">AVERAGE(C481:C680)</f>
        <v>603.67965</v>
      </c>
      <c r="K680" s="17" t="n">
        <f aca="false">MAX(K679,C680)</f>
        <v>769.76</v>
      </c>
      <c r="L680" s="25" t="n">
        <f aca="false">C680/K680-1</f>
        <v>-0.0847406983995012</v>
      </c>
      <c r="M680" s="25" t="n">
        <f aca="false">IF(COUNT(G651:G680)&lt;20,"",_xlfn.STDEV.S(G651:G680)*SQRT($R$3))</f>
        <v>0.426116820551931</v>
      </c>
      <c r="N680" s="25" t="n">
        <f aca="false">IF(A680-7&lt;$R$2,"",C680/INDEX(Clean_Data!$C$2:$C$4314,MATCH(A680-7,Clean_Data!$A$2:$A$4314,1))-1)</f>
        <v>-0.00347954002178252</v>
      </c>
      <c r="O680" s="25" t="n">
        <f aca="false">IF(A680-30&lt;$R$2,"",C680/INDEX(Clean_Data!$C$2:$C$4314,MATCH(A680-30,Clean_Data!$A$2:$A$4314,1))-1)</f>
        <v>0.10834408331498</v>
      </c>
    </row>
    <row r="681" customFormat="false" ht="15" hidden="false" customHeight="false" outlineLevel="0" collapsed="false">
      <c r="A681" s="16" t="n">
        <v>42687</v>
      </c>
      <c r="B681" s="23" t="n">
        <f aca="false">YEAR(A681)</f>
        <v>2016</v>
      </c>
      <c r="C681" s="17" t="n">
        <v>704.01</v>
      </c>
      <c r="D681" s="23" t="n">
        <f aca="false">A681-A680</f>
        <v>1</v>
      </c>
      <c r="E681" s="24" t="n">
        <f aca="false">LN(C681)</f>
        <v>6.55679256060261</v>
      </c>
      <c r="F681" s="25" t="n">
        <f aca="false">LN(C681/C680)</f>
        <v>-0.000738353221951565</v>
      </c>
      <c r="G681" s="25" t="n">
        <f aca="false">IF(AND(D681=1,A681&gt;=$R$2),F681,"")</f>
        <v>-0.000738353221951565</v>
      </c>
      <c r="H681" s="27" t="n">
        <f aca="false">IF(G681="","",G681^2)</f>
        <v>5.45165480366257E-007</v>
      </c>
      <c r="I681" s="25" t="n">
        <f aca="false">IF(G681="","",C681/C680-1)</f>
        <v>-0.000738080706286448</v>
      </c>
      <c r="J681" s="17" t="n">
        <f aca="false">AVERAGE(C482:C681)</f>
        <v>604.97315</v>
      </c>
      <c r="K681" s="17" t="n">
        <f aca="false">MAX(K680,C681)</f>
        <v>769.76</v>
      </c>
      <c r="L681" s="25" t="n">
        <f aca="false">C681/K681-1</f>
        <v>-0.0854162336312617</v>
      </c>
      <c r="M681" s="25" t="n">
        <f aca="false">IF(COUNT(G652:G681)&lt;20,"",_xlfn.STDEV.S(G652:G681)*SQRT($R$3))</f>
        <v>0.426362164211615</v>
      </c>
      <c r="N681" s="25" t="n">
        <f aca="false">IF(A681-7&lt;$R$2,"",C681/INDEX(Clean_Data!$C$2:$C$4314,MATCH(A681-7,Clean_Data!$A$2:$A$4314,1))-1)</f>
        <v>-0.0181445426905804</v>
      </c>
      <c r="O681" s="25" t="n">
        <f aca="false">IF(A681-30&lt;$R$2,"",C681/INDEX(Clean_Data!$C$2:$C$4314,MATCH(A681-30,Clean_Data!$A$2:$A$4314,1))-1)</f>
        <v>0.103412065263389</v>
      </c>
    </row>
    <row r="682" customFormat="false" ht="15" hidden="false" customHeight="false" outlineLevel="0" collapsed="false">
      <c r="A682" s="16" t="n">
        <v>42688</v>
      </c>
      <c r="B682" s="23" t="n">
        <f aca="false">YEAR(A682)</f>
        <v>2016</v>
      </c>
      <c r="C682" s="17" t="n">
        <v>708.32</v>
      </c>
      <c r="D682" s="23" t="n">
        <f aca="false">A682-A681</f>
        <v>1</v>
      </c>
      <c r="E682" s="24" t="n">
        <f aca="false">LN(C682)</f>
        <v>6.56289596898383</v>
      </c>
      <c r="F682" s="25" t="n">
        <f aca="false">LN(C682/C681)</f>
        <v>0.00610340838121762</v>
      </c>
      <c r="G682" s="25" t="n">
        <f aca="false">IF(AND(D682=1,A682&gt;=$R$2),F682,"")</f>
        <v>0.00610340838121762</v>
      </c>
      <c r="H682" s="27" t="n">
        <f aca="false">IF(G682="","",G682^2)</f>
        <v>3.72515938679175E-005</v>
      </c>
      <c r="I682" s="25" t="n">
        <f aca="false">IF(G682="","",C682/C681-1)</f>
        <v>0.00612207212965732</v>
      </c>
      <c r="J682" s="17" t="n">
        <f aca="false">AVERAGE(C483:C682)</f>
        <v>606.25635</v>
      </c>
      <c r="K682" s="17" t="n">
        <f aca="false">MAX(K681,C682)</f>
        <v>769.76</v>
      </c>
      <c r="L682" s="25" t="n">
        <f aca="false">C682/K682-1</f>
        <v>-0.0798170858449386</v>
      </c>
      <c r="M682" s="25" t="n">
        <f aca="false">IF(COUNT(G653:G682)&lt;20,"",_xlfn.STDEV.S(G653:G682)*SQRT($R$3))</f>
        <v>0.426322976781702</v>
      </c>
      <c r="N682" s="25" t="n">
        <f aca="false">IF(A682-7&lt;$R$2,"",C682/INDEX(Clean_Data!$C$2:$C$4314,MATCH(A682-7,Clean_Data!$A$2:$A$4314,1))-1)</f>
        <v>0.00268961807423351</v>
      </c>
      <c r="O682" s="25" t="n">
        <f aca="false">IF(A682-30&lt;$R$2,"",C682/INDEX(Clean_Data!$C$2:$C$4314,MATCH(A682-30,Clean_Data!$A$2:$A$4314,1))-1)</f>
        <v>0.109941080606744</v>
      </c>
    </row>
    <row r="683" customFormat="false" ht="15" hidden="false" customHeight="false" outlineLevel="0" collapsed="false">
      <c r="A683" s="16" t="n">
        <v>42689</v>
      </c>
      <c r="B683" s="23" t="n">
        <f aca="false">YEAR(A683)</f>
        <v>2016</v>
      </c>
      <c r="C683" s="17" t="n">
        <v>712.29</v>
      </c>
      <c r="D683" s="23" t="n">
        <f aca="false">A683-A682</f>
        <v>1</v>
      </c>
      <c r="E683" s="24" t="n">
        <f aca="false">LN(C683)</f>
        <v>6.56848513185726</v>
      </c>
      <c r="F683" s="25" t="n">
        <f aca="false">LN(C683/C682)</f>
        <v>0.00558916287342975</v>
      </c>
      <c r="G683" s="25" t="n">
        <f aca="false">IF(AND(D683=1,A683&gt;=$R$2),F683,"")</f>
        <v>0.00558916287342975</v>
      </c>
      <c r="H683" s="27" t="n">
        <f aca="false">IF(G683="","",G683^2)</f>
        <v>3.12387416257255E-005</v>
      </c>
      <c r="I683" s="25" t="n">
        <f aca="false">IF(G683="","",C683/C682-1)</f>
        <v>0.00560481138468472</v>
      </c>
      <c r="J683" s="17" t="n">
        <f aca="false">AVERAGE(C484:C683)</f>
        <v>607.5237</v>
      </c>
      <c r="K683" s="17" t="n">
        <f aca="false">MAX(K682,C683)</f>
        <v>769.76</v>
      </c>
      <c r="L683" s="25" t="n">
        <f aca="false">C683/K683-1</f>
        <v>-0.0746596341716899</v>
      </c>
      <c r="M683" s="25" t="n">
        <f aca="false">IF(COUNT(G654:G683)&lt;20,"",_xlfn.STDEV.S(G654:G683)*SQRT($R$3))</f>
        <v>0.42630393026594</v>
      </c>
      <c r="N683" s="25" t="n">
        <f aca="false">IF(A683-7&lt;$R$2,"",C683/INDEX(Clean_Data!$C$2:$C$4314,MATCH(A683-7,Clean_Data!$A$2:$A$4314,1))-1)</f>
        <v>0.00160303733389577</v>
      </c>
      <c r="O683" s="25" t="n">
        <f aca="false">IF(A683-30&lt;$R$2,"",C683/INDEX(Clean_Data!$C$2:$C$4314,MATCH(A683-30,Clean_Data!$A$2:$A$4314,1))-1)</f>
        <v>0.10962425224327</v>
      </c>
    </row>
    <row r="684" customFormat="false" ht="15" hidden="false" customHeight="false" outlineLevel="0" collapsed="false">
      <c r="A684" s="16" t="n">
        <v>42690</v>
      </c>
      <c r="B684" s="23" t="n">
        <f aca="false">YEAR(A684)</f>
        <v>2016</v>
      </c>
      <c r="C684" s="17" t="n">
        <v>739.85</v>
      </c>
      <c r="D684" s="23" t="n">
        <f aca="false">A684-A683</f>
        <v>1</v>
      </c>
      <c r="E684" s="24" t="n">
        <f aca="false">LN(C684)</f>
        <v>6.60644746294854</v>
      </c>
      <c r="F684" s="25" t="n">
        <f aca="false">LN(C684/C683)</f>
        <v>0.0379623310912825</v>
      </c>
      <c r="G684" s="25" t="n">
        <f aca="false">IF(AND(D684=1,A684&gt;=$R$2),F684,"")</f>
        <v>0.0379623310912825</v>
      </c>
      <c r="H684" s="27" t="n">
        <f aca="false">IF(G684="","",G684^2)</f>
        <v>0.00144113858188415</v>
      </c>
      <c r="I684" s="25" t="n">
        <f aca="false">IF(G684="","",C684/C683-1)</f>
        <v>0.0386921057434473</v>
      </c>
      <c r="J684" s="17" t="n">
        <f aca="false">AVERAGE(C485:C684)</f>
        <v>608.95285</v>
      </c>
      <c r="K684" s="17" t="n">
        <f aca="false">MAX(K683,C684)</f>
        <v>769.76</v>
      </c>
      <c r="L684" s="25" t="n">
        <f aca="false">C684/K684-1</f>
        <v>-0.0388562668883807</v>
      </c>
      <c r="M684" s="25" t="n">
        <f aca="false">IF(COUNT(G655:G684)&lt;20,"",_xlfn.STDEV.S(G655:G684)*SQRT($R$3))</f>
        <v>0.441973082294562</v>
      </c>
      <c r="N684" s="25" t="n">
        <f aca="false">IF(A684-7&lt;$R$2,"",C684/INDEX(Clean_Data!$C$2:$C$4314,MATCH(A684-7,Clean_Data!$A$2:$A$4314,1))-1)</f>
        <v>0.0261869425912313</v>
      </c>
      <c r="O684" s="25" t="n">
        <f aca="false">IF(A684-30&lt;$R$2,"",C684/INDEX(Clean_Data!$C$2:$C$4314,MATCH(A684-30,Clean_Data!$A$2:$A$4314,1))-1)</f>
        <v>0.156810932516105</v>
      </c>
    </row>
    <row r="685" customFormat="false" ht="15" hidden="false" customHeight="false" outlineLevel="0" collapsed="false">
      <c r="A685" s="16" t="n">
        <v>42691</v>
      </c>
      <c r="B685" s="23" t="n">
        <f aca="false">YEAR(A685)</f>
        <v>2016</v>
      </c>
      <c r="C685" s="17" t="n">
        <v>730.71</v>
      </c>
      <c r="D685" s="23" t="n">
        <f aca="false">A685-A684</f>
        <v>1</v>
      </c>
      <c r="E685" s="24" t="n">
        <f aca="false">LN(C685)</f>
        <v>6.59401666421057</v>
      </c>
      <c r="F685" s="25" t="n">
        <f aca="false">LN(C685/C684)</f>
        <v>-0.0124307987379687</v>
      </c>
      <c r="G685" s="25" t="n">
        <f aca="false">IF(AND(D685=1,A685&gt;=$R$2),F685,"")</f>
        <v>-0.0124307987379687</v>
      </c>
      <c r="H685" s="27" t="n">
        <f aca="false">IF(G685="","",G685^2)</f>
        <v>0.000154524757263884</v>
      </c>
      <c r="I685" s="25" t="n">
        <f aca="false">IF(G685="","",C685/C684-1)</f>
        <v>-0.0123538555112522</v>
      </c>
      <c r="J685" s="17" t="n">
        <f aca="false">AVERAGE(C486:C685)</f>
        <v>610.3215</v>
      </c>
      <c r="K685" s="17" t="n">
        <f aca="false">MAX(K684,C685)</f>
        <v>769.76</v>
      </c>
      <c r="L685" s="25" t="n">
        <f aca="false">C685/K685-1</f>
        <v>-0.0507300976927874</v>
      </c>
      <c r="M685" s="25" t="n">
        <f aca="false">IF(COUNT(G656:G685)&lt;20,"",_xlfn.STDEV.S(G656:G685)*SQRT($R$3))</f>
        <v>0.444212779687873</v>
      </c>
      <c r="N685" s="25" t="n">
        <f aca="false">IF(A685-7&lt;$R$2,"",C685/INDEX(Clean_Data!$C$2:$C$4314,MATCH(A685-7,Clean_Data!$A$2:$A$4314,1))-1)</f>
        <v>0.0249680885385253</v>
      </c>
      <c r="O685" s="25" t="n">
        <f aca="false">IF(A685-30&lt;$R$2,"",C685/INDEX(Clean_Data!$C$2:$C$4314,MATCH(A685-30,Clean_Data!$A$2:$A$4314,1))-1)</f>
        <v>0.150525105887169</v>
      </c>
    </row>
    <row r="686" customFormat="false" ht="15" hidden="false" customHeight="false" outlineLevel="0" collapsed="false">
      <c r="A686" s="16" t="n">
        <v>42692</v>
      </c>
      <c r="B686" s="23" t="n">
        <f aca="false">YEAR(A686)</f>
        <v>2016</v>
      </c>
      <c r="C686" s="17" t="n">
        <v>748.54</v>
      </c>
      <c r="D686" s="23" t="n">
        <f aca="false">A686-A685</f>
        <v>1</v>
      </c>
      <c r="E686" s="24" t="n">
        <f aca="false">LN(C686)</f>
        <v>6.61812464264557</v>
      </c>
      <c r="F686" s="25" t="n">
        <f aca="false">LN(C686/C685)</f>
        <v>0.0241079784349921</v>
      </c>
      <c r="G686" s="25" t="n">
        <f aca="false">IF(AND(D686=1,A686&gt;=$R$2),F686,"")</f>
        <v>0.0241079784349921</v>
      </c>
      <c r="H686" s="27" t="n">
        <f aca="false">IF(G686="","",G686^2)</f>
        <v>0.000581194624222043</v>
      </c>
      <c r="I686" s="25" t="n">
        <f aca="false">IF(G686="","",C686/C685-1)</f>
        <v>0.0244009251276156</v>
      </c>
      <c r="J686" s="17" t="n">
        <f aca="false">AVERAGE(C487:C686)</f>
        <v>611.8321</v>
      </c>
      <c r="K686" s="17" t="n">
        <f aca="false">MAX(K685,C686)</f>
        <v>769.76</v>
      </c>
      <c r="L686" s="25" t="n">
        <f aca="false">C686/K686-1</f>
        <v>-0.0275670338806902</v>
      </c>
      <c r="M686" s="25" t="n">
        <f aca="false">IF(COUNT(G657:G686)&lt;20,"",_xlfn.STDEV.S(G657:G686)*SQRT($R$3))</f>
        <v>0.446631477972449</v>
      </c>
      <c r="N686" s="25" t="n">
        <f aca="false">IF(A686-7&lt;$R$2,"",C686/INDEX(Clean_Data!$C$2:$C$4314,MATCH(A686-7,Clean_Data!$A$2:$A$4314,1))-1)</f>
        <v>0.0441344678476774</v>
      </c>
      <c r="O686" s="25" t="n">
        <f aca="false">IF(A686-30&lt;$R$2,"",C686/INDEX(Clean_Data!$C$2:$C$4314,MATCH(A686-30,Clean_Data!$A$2:$A$4314,1))-1)</f>
        <v>0.18855491513044</v>
      </c>
    </row>
    <row r="687" customFormat="false" ht="15" hidden="false" customHeight="false" outlineLevel="0" collapsed="false">
      <c r="A687" s="16" t="n">
        <v>42693</v>
      </c>
      <c r="B687" s="23" t="n">
        <f aca="false">YEAR(A687)</f>
        <v>2016</v>
      </c>
      <c r="C687" s="17" t="n">
        <v>750.77</v>
      </c>
      <c r="D687" s="23" t="n">
        <f aca="false">A687-A686</f>
        <v>1</v>
      </c>
      <c r="E687" s="24" t="n">
        <f aca="false">LN(C687)</f>
        <v>6.62109934653524</v>
      </c>
      <c r="F687" s="25" t="n">
        <f aca="false">LN(C687/C686)</f>
        <v>0.00297470388967402</v>
      </c>
      <c r="G687" s="25" t="n">
        <f aca="false">IF(AND(D687=1,A687&gt;=$R$2),F687,"")</f>
        <v>0.00297470388967402</v>
      </c>
      <c r="H687" s="27" t="n">
        <f aca="false">IF(G687="","",G687^2)</f>
        <v>8.84886323124171E-006</v>
      </c>
      <c r="I687" s="25" t="n">
        <f aca="false">IF(G687="","",C687/C686-1)</f>
        <v>0.00297913271167882</v>
      </c>
      <c r="J687" s="17" t="n">
        <f aca="false">AVERAGE(C488:C687)</f>
        <v>613.3249</v>
      </c>
      <c r="K687" s="17" t="n">
        <f aca="false">MAX(K686,C687)</f>
        <v>769.76</v>
      </c>
      <c r="L687" s="25" t="n">
        <f aca="false">C687/K687-1</f>
        <v>-0.0246700270214093</v>
      </c>
      <c r="M687" s="25" t="n">
        <f aca="false">IF(COUNT(G658:G687)&lt;20,"",_xlfn.STDEV.S(G658:G687)*SQRT($R$3))</f>
        <v>0.445700261608136</v>
      </c>
      <c r="N687" s="25" t="n">
        <f aca="false">IF(A687-7&lt;$R$2,"",C687/INDEX(Clean_Data!$C$2:$C$4314,MATCH(A687-7,Clean_Data!$A$2:$A$4314,1))-1)</f>
        <v>0.0656324074205499</v>
      </c>
      <c r="O687" s="25" t="n">
        <f aca="false">IF(A687-30&lt;$R$2,"",C687/INDEX(Clean_Data!$C$2:$C$4314,MATCH(A687-30,Clean_Data!$A$2:$A$4314,1))-1)</f>
        <v>0.19539845553698</v>
      </c>
    </row>
    <row r="688" customFormat="false" ht="15" hidden="false" customHeight="false" outlineLevel="0" collapsed="false">
      <c r="A688" s="16" t="n">
        <v>42694</v>
      </c>
      <c r="B688" s="23" t="n">
        <f aca="false">YEAR(A688)</f>
        <v>2016</v>
      </c>
      <c r="C688" s="17" t="n">
        <v>731.99</v>
      </c>
      <c r="D688" s="23" t="n">
        <f aca="false">A688-A687</f>
        <v>1</v>
      </c>
      <c r="E688" s="24" t="n">
        <f aca="false">LN(C688)</f>
        <v>6.59576685266581</v>
      </c>
      <c r="F688" s="25" t="n">
        <f aca="false">LN(C688/C687)</f>
        <v>-0.0253324938694297</v>
      </c>
      <c r="G688" s="25" t="n">
        <f aca="false">IF(AND(D688=1,A688&gt;=$R$2),F688,"")</f>
        <v>-0.0253324938694297</v>
      </c>
      <c r="H688" s="27" t="n">
        <f aca="false">IF(G688="","",G688^2)</f>
        <v>0.000641735245644694</v>
      </c>
      <c r="I688" s="25" t="n">
        <f aca="false">IF(G688="","",C688/C687-1)</f>
        <v>-0.0250143186328702</v>
      </c>
      <c r="J688" s="17" t="n">
        <f aca="false">AVERAGE(C489:C688)</f>
        <v>614.74145</v>
      </c>
      <c r="K688" s="17" t="n">
        <f aca="false">MAX(K687,C688)</f>
        <v>769.76</v>
      </c>
      <c r="L688" s="25" t="n">
        <f aca="false">C688/K688-1</f>
        <v>-0.0490672417376844</v>
      </c>
      <c r="M688" s="25" t="n">
        <f aca="false">IF(COUNT(G659:G688)&lt;20,"",_xlfn.STDEV.S(G659:G688)*SQRT($R$3))</f>
        <v>0.458872656150167</v>
      </c>
      <c r="N688" s="25" t="n">
        <f aca="false">IF(A688-7&lt;$R$2,"",C688/INDEX(Clean_Data!$C$2:$C$4314,MATCH(A688-7,Clean_Data!$A$2:$A$4314,1))-1)</f>
        <v>0.039743753639863</v>
      </c>
      <c r="O688" s="25" t="n">
        <f aca="false">IF(A688-30&lt;$R$2,"",C688/INDEX(Clean_Data!$C$2:$C$4314,MATCH(A688-30,Clean_Data!$A$2:$A$4314,1))-1)</f>
        <v>0.160360160423569</v>
      </c>
    </row>
    <row r="689" customFormat="false" ht="15" hidden="false" customHeight="false" outlineLevel="0" collapsed="false">
      <c r="A689" s="16" t="n">
        <v>42695</v>
      </c>
      <c r="B689" s="23" t="n">
        <f aca="false">YEAR(A689)</f>
        <v>2016</v>
      </c>
      <c r="C689" s="17" t="n">
        <v>736.4</v>
      </c>
      <c r="D689" s="23" t="n">
        <f aca="false">A689-A688</f>
        <v>1</v>
      </c>
      <c r="E689" s="24" t="n">
        <f aca="false">LN(C689)</f>
        <v>6.60177344935892</v>
      </c>
      <c r="F689" s="25" t="n">
        <f aca="false">LN(C689/C688)</f>
        <v>0.00600659669311213</v>
      </c>
      <c r="G689" s="25" t="n">
        <f aca="false">IF(AND(D689=1,A689&gt;=$R$2),F689,"")</f>
        <v>0.00600659669311213</v>
      </c>
      <c r="H689" s="27" t="n">
        <f aca="false">IF(G689="","",G689^2)</f>
        <v>3.60792038337056E-005</v>
      </c>
      <c r="I689" s="25" t="n">
        <f aca="false">IF(G689="","",C689/C688-1)</f>
        <v>0.00602467246820315</v>
      </c>
      <c r="J689" s="17" t="n">
        <f aca="false">AVERAGE(C490:C689)</f>
        <v>616.17355</v>
      </c>
      <c r="K689" s="17" t="n">
        <f aca="false">MAX(K688,C689)</f>
        <v>769.76</v>
      </c>
      <c r="L689" s="25" t="n">
        <f aca="false">C689/K689-1</f>
        <v>-0.0433381833298691</v>
      </c>
      <c r="M689" s="25" t="n">
        <f aca="false">IF(COUNT(G660:G689)&lt;20,"",_xlfn.STDEV.S(G660:G689)*SQRT($R$3))</f>
        <v>0.446669781616684</v>
      </c>
      <c r="N689" s="25" t="n">
        <f aca="false">IF(A689-7&lt;$R$2,"",C689/INDEX(Clean_Data!$C$2:$C$4314,MATCH(A689-7,Clean_Data!$A$2:$A$4314,1))-1)</f>
        <v>0.0396430991642194</v>
      </c>
      <c r="O689" s="25" t="n">
        <f aca="false">IF(A689-30&lt;$R$2,"",C689/INDEX(Clean_Data!$C$2:$C$4314,MATCH(A689-30,Clean_Data!$A$2:$A$4314,1))-1)</f>
        <v>0.128150134048257</v>
      </c>
    </row>
    <row r="690" customFormat="false" ht="15" hidden="false" customHeight="false" outlineLevel="0" collapsed="false">
      <c r="A690" s="16" t="n">
        <v>42696</v>
      </c>
      <c r="B690" s="23" t="n">
        <f aca="false">YEAR(A690)</f>
        <v>2016</v>
      </c>
      <c r="C690" s="17" t="n">
        <v>746.66</v>
      </c>
      <c r="D690" s="23" t="n">
        <f aca="false">A690-A689</f>
        <v>1</v>
      </c>
      <c r="E690" s="24" t="n">
        <f aca="false">LN(C690)</f>
        <v>6.61560992756969</v>
      </c>
      <c r="F690" s="25" t="n">
        <f aca="false">LN(C690/C689)</f>
        <v>0.0138364782107645</v>
      </c>
      <c r="G690" s="25" t="n">
        <f aca="false">IF(AND(D690=1,A690&gt;=$R$2),F690,"")</f>
        <v>0.0138364782107645</v>
      </c>
      <c r="H690" s="27" t="n">
        <f aca="false">IF(G690="","",G690^2)</f>
        <v>0.000191448129276961</v>
      </c>
      <c r="I690" s="25" t="n">
        <f aca="false">IF(G690="","",C690/C689-1)</f>
        <v>0.0139326453014665</v>
      </c>
      <c r="J690" s="17" t="n">
        <f aca="false">AVERAGE(C491:C690)</f>
        <v>617.5953</v>
      </c>
      <c r="K690" s="17" t="n">
        <f aca="false">MAX(K689,C690)</f>
        <v>769.76</v>
      </c>
      <c r="L690" s="25" t="n">
        <f aca="false">C690/K690-1</f>
        <v>-0.0300093535647474</v>
      </c>
      <c r="M690" s="25" t="n">
        <f aca="false">IF(COUNT(G661:G690)&lt;20,"",_xlfn.STDEV.S(G661:G690)*SQRT($R$3))</f>
        <v>0.447278351847249</v>
      </c>
      <c r="N690" s="25" t="n">
        <f aca="false">IF(A690-7&lt;$R$2,"",C690/INDEX(Clean_Data!$C$2:$C$4314,MATCH(A690-7,Clean_Data!$A$2:$A$4314,1))-1)</f>
        <v>0.0482528183745385</v>
      </c>
      <c r="O690" s="25" t="n">
        <f aca="false">IF(A690-30&lt;$R$2,"",C690/INDEX(Clean_Data!$C$2:$C$4314,MATCH(A690-30,Clean_Data!$A$2:$A$4314,1))-1)</f>
        <v>0.146872695994102</v>
      </c>
    </row>
    <row r="691" customFormat="false" ht="15" hidden="false" customHeight="false" outlineLevel="0" collapsed="false">
      <c r="A691" s="16" t="n">
        <v>42697</v>
      </c>
      <c r="B691" s="23" t="n">
        <f aca="false">YEAR(A691)</f>
        <v>2016</v>
      </c>
      <c r="C691" s="17" t="n">
        <v>741.52</v>
      </c>
      <c r="D691" s="23" t="n">
        <f aca="false">A691-A690</f>
        <v>1</v>
      </c>
      <c r="E691" s="24" t="n">
        <f aca="false">LN(C691)</f>
        <v>6.60870213356758</v>
      </c>
      <c r="F691" s="25" t="n">
        <f aca="false">LN(C691/C690)</f>
        <v>-0.00690779400211013</v>
      </c>
      <c r="G691" s="25" t="n">
        <f aca="false">IF(AND(D691=1,A691&gt;=$R$2),F691,"")</f>
        <v>-0.00690779400211013</v>
      </c>
      <c r="H691" s="27" t="n">
        <f aca="false">IF(G691="","",G691^2)</f>
        <v>4.77176179755887E-005</v>
      </c>
      <c r="I691" s="25" t="n">
        <f aca="false">IF(G691="","",C691/C690-1)</f>
        <v>-0.00688399003562534</v>
      </c>
      <c r="J691" s="17" t="n">
        <f aca="false">AVERAGE(C492:C691)</f>
        <v>618.99335</v>
      </c>
      <c r="K691" s="17" t="n">
        <f aca="false">MAX(K690,C691)</f>
        <v>769.76</v>
      </c>
      <c r="L691" s="25" t="n">
        <f aca="false">C691/K691-1</f>
        <v>-0.0366867595094575</v>
      </c>
      <c r="M691" s="25" t="n">
        <f aca="false">IF(COUNT(G662:G691)&lt;20,"",_xlfn.STDEV.S(G662:G691)*SQRT($R$3))</f>
        <v>0.448575895503921</v>
      </c>
      <c r="N691" s="25" t="n">
        <f aca="false">IF(A691-7&lt;$R$2,"",C691/INDEX(Clean_Data!$C$2:$C$4314,MATCH(A691-7,Clean_Data!$A$2:$A$4314,1))-1)</f>
        <v>0.00225721430019599</v>
      </c>
      <c r="O691" s="25" t="n">
        <f aca="false">IF(A691-30&lt;$R$2,"",C691/INDEX(Clean_Data!$C$2:$C$4314,MATCH(A691-30,Clean_Data!$A$2:$A$4314,1))-1)</f>
        <v>0.140835102618542</v>
      </c>
    </row>
    <row r="692" customFormat="false" ht="15" hidden="false" customHeight="false" outlineLevel="0" collapsed="false">
      <c r="A692" s="16" t="n">
        <v>42698</v>
      </c>
      <c r="B692" s="23" t="n">
        <f aca="false">YEAR(A692)</f>
        <v>2016</v>
      </c>
      <c r="C692" s="17" t="n">
        <v>737.99</v>
      </c>
      <c r="D692" s="23" t="n">
        <f aca="false">A692-A691</f>
        <v>1</v>
      </c>
      <c r="E692" s="24" t="n">
        <f aca="false">LN(C692)</f>
        <v>6.60393027437317</v>
      </c>
      <c r="F692" s="25" t="n">
        <f aca="false">LN(C692/C691)</f>
        <v>-0.00477185919440994</v>
      </c>
      <c r="G692" s="25" t="n">
        <f aca="false">IF(AND(D692=1,A692&gt;=$R$2),F692,"")</f>
        <v>-0.00477185919440994</v>
      </c>
      <c r="H692" s="27" t="n">
        <f aca="false">IF(G692="","",G692^2)</f>
        <v>2.27706401712747E-005</v>
      </c>
      <c r="I692" s="25" t="n">
        <f aca="false">IF(G692="","",C692/C691-1)</f>
        <v>-0.00476049196245543</v>
      </c>
      <c r="J692" s="17" t="n">
        <f aca="false">AVERAGE(C493:C692)</f>
        <v>620.36935</v>
      </c>
      <c r="K692" s="17" t="n">
        <f aca="false">MAX(K691,C692)</f>
        <v>769.76</v>
      </c>
      <c r="L692" s="25" t="n">
        <f aca="false">C692/K692-1</f>
        <v>-0.0412726044481396</v>
      </c>
      <c r="M692" s="25" t="n">
        <f aca="false">IF(COUNT(G663:G692)&lt;20,"",_xlfn.STDEV.S(G663:G692)*SQRT($R$3))</f>
        <v>0.449622143713567</v>
      </c>
      <c r="N692" s="25" t="n">
        <f aca="false">IF(A692-7&lt;$R$2,"",C692/INDEX(Clean_Data!$C$2:$C$4314,MATCH(A692-7,Clean_Data!$A$2:$A$4314,1))-1)</f>
        <v>0.00996291278345707</v>
      </c>
      <c r="O692" s="25" t="n">
        <f aca="false">IF(A692-30&lt;$R$2,"",C692/INDEX(Clean_Data!$C$2:$C$4314,MATCH(A692-30,Clean_Data!$A$2:$A$4314,1))-1)</f>
        <v>0.127907687605074</v>
      </c>
    </row>
    <row r="693" customFormat="false" ht="15" hidden="false" customHeight="false" outlineLevel="0" collapsed="false">
      <c r="A693" s="16" t="n">
        <v>42699</v>
      </c>
      <c r="B693" s="23" t="n">
        <f aca="false">YEAR(A693)</f>
        <v>2016</v>
      </c>
      <c r="C693" s="17" t="n">
        <v>739.74</v>
      </c>
      <c r="D693" s="23" t="n">
        <f aca="false">A693-A692</f>
        <v>1</v>
      </c>
      <c r="E693" s="24" t="n">
        <f aca="false">LN(C693)</f>
        <v>6.60629877310852</v>
      </c>
      <c r="F693" s="25" t="n">
        <f aca="false">LN(C693/C692)</f>
        <v>0.00236849873534924</v>
      </c>
      <c r="G693" s="25" t="n">
        <f aca="false">IF(AND(D693=1,A693&gt;=$R$2),F693,"")</f>
        <v>0.00236849873534924</v>
      </c>
      <c r="H693" s="27" t="n">
        <f aca="false">IF(G693="","",G693^2)</f>
        <v>5.60978625935093E-006</v>
      </c>
      <c r="I693" s="25" t="n">
        <f aca="false">IF(G693="","",C693/C692-1)</f>
        <v>0.00237130584425271</v>
      </c>
      <c r="J693" s="17" t="n">
        <f aca="false">AVERAGE(C494:C693)</f>
        <v>621.74725</v>
      </c>
      <c r="K693" s="17" t="n">
        <f aca="false">MAX(K692,C693)</f>
        <v>769.76</v>
      </c>
      <c r="L693" s="25" t="n">
        <f aca="false">C693/K693-1</f>
        <v>-0.0389991685720225</v>
      </c>
      <c r="M693" s="25" t="n">
        <f aca="false">IF(COUNT(G664:G693)&lt;20,"",_xlfn.STDEV.S(G664:G693)*SQRT($R$3))</f>
        <v>0.43999937681723</v>
      </c>
      <c r="N693" s="25" t="n">
        <f aca="false">IF(A693-7&lt;$R$2,"",C693/INDEX(Clean_Data!$C$2:$C$4314,MATCH(A693-7,Clean_Data!$A$2:$A$4314,1))-1)</f>
        <v>-0.0117562187725438</v>
      </c>
      <c r="O693" s="25" t="n">
        <f aca="false">IF(A693-30&lt;$R$2,"",C693/INDEX(Clean_Data!$C$2:$C$4314,MATCH(A693-30,Clean_Data!$A$2:$A$4314,1))-1)</f>
        <v>0.0975370919881307</v>
      </c>
    </row>
    <row r="694" customFormat="false" ht="15" hidden="false" customHeight="false" outlineLevel="0" collapsed="false">
      <c r="A694" s="16" t="n">
        <v>42700</v>
      </c>
      <c r="B694" s="23" t="n">
        <f aca="false">YEAR(A694)</f>
        <v>2016</v>
      </c>
      <c r="C694" s="17" t="n">
        <v>735.7</v>
      </c>
      <c r="D694" s="23" t="n">
        <f aca="false">A694-A693</f>
        <v>1</v>
      </c>
      <c r="E694" s="24" t="n">
        <f aca="false">LN(C694)</f>
        <v>6.60082242693822</v>
      </c>
      <c r="F694" s="25" t="n">
        <f aca="false">LN(C694/C693)</f>
        <v>-0.00547634617029759</v>
      </c>
      <c r="G694" s="25" t="n">
        <f aca="false">IF(AND(D694=1,A694&gt;=$R$2),F694,"")</f>
        <v>-0.00547634617029759</v>
      </c>
      <c r="H694" s="27" t="n">
        <f aca="false">IF(G694="","",G694^2)</f>
        <v>2.99903673769331E-005</v>
      </c>
      <c r="I694" s="25" t="n">
        <f aca="false">IF(G694="","",C694/C693-1)</f>
        <v>-0.00546137832211313</v>
      </c>
      <c r="J694" s="17" t="n">
        <f aca="false">AVERAGE(C495:C694)</f>
        <v>623.16185</v>
      </c>
      <c r="K694" s="17" t="n">
        <f aca="false">MAX(K693,C694)</f>
        <v>769.76</v>
      </c>
      <c r="L694" s="25" t="n">
        <f aca="false">C694/K694-1</f>
        <v>-0.0442475576803159</v>
      </c>
      <c r="M694" s="25" t="n">
        <f aca="false">IF(COUNT(G665:G694)&lt;20,"",_xlfn.STDEV.S(G665:G694)*SQRT($R$3))</f>
        <v>0.43356319737157</v>
      </c>
      <c r="N694" s="25" t="n">
        <f aca="false">IF(A694-7&lt;$R$2,"",C694/INDEX(Clean_Data!$C$2:$C$4314,MATCH(A694-7,Clean_Data!$A$2:$A$4314,1))-1)</f>
        <v>-0.0200727253353223</v>
      </c>
      <c r="O694" s="25" t="n">
        <f aca="false">IF(A694-30&lt;$R$2,"",C694/INDEX(Clean_Data!$C$2:$C$4314,MATCH(A694-30,Clean_Data!$A$2:$A$4314,1))-1)</f>
        <v>0.0643653882322304</v>
      </c>
    </row>
    <row r="695" customFormat="false" ht="15" hidden="false" customHeight="false" outlineLevel="0" collapsed="false">
      <c r="A695" s="16" t="n">
        <v>42701</v>
      </c>
      <c r="B695" s="23" t="n">
        <f aca="false">YEAR(A695)</f>
        <v>2016</v>
      </c>
      <c r="C695" s="17" t="n">
        <v>729.24</v>
      </c>
      <c r="D695" s="23" t="n">
        <f aca="false">A695-A694</f>
        <v>1</v>
      </c>
      <c r="E695" s="24" t="n">
        <f aca="false">LN(C695)</f>
        <v>6.59200289593527</v>
      </c>
      <c r="F695" s="25" t="n">
        <f aca="false">LN(C695/C694)</f>
        <v>-0.00881953100295458</v>
      </c>
      <c r="G695" s="25" t="n">
        <f aca="false">IF(AND(D695=1,A695&gt;=$R$2),F695,"")</f>
        <v>-0.00881953100295458</v>
      </c>
      <c r="H695" s="27" t="n">
        <f aca="false">IF(G695="","",G695^2)</f>
        <v>7.77841271120771E-005</v>
      </c>
      <c r="I695" s="25" t="n">
        <f aca="false">IF(G695="","",C695/C694-1)</f>
        <v>-0.00878075302433057</v>
      </c>
      <c r="J695" s="17" t="n">
        <f aca="false">AVERAGE(C496:C695)</f>
        <v>624.5362</v>
      </c>
      <c r="K695" s="17" t="n">
        <f aca="false">MAX(K694,C695)</f>
        <v>769.76</v>
      </c>
      <c r="L695" s="25" t="n">
        <f aca="false">C695/K695-1</f>
        <v>-0.0526397838287258</v>
      </c>
      <c r="M695" s="25" t="n">
        <f aca="false">IF(COUNT(G666:G695)&lt;20,"",_xlfn.STDEV.S(G666:G695)*SQRT($R$3))</f>
        <v>0.435039938857955</v>
      </c>
      <c r="N695" s="25" t="n">
        <f aca="false">IF(A695-7&lt;$R$2,"",C695/INDEX(Clean_Data!$C$2:$C$4314,MATCH(A695-7,Clean_Data!$A$2:$A$4314,1))-1)</f>
        <v>-0.00375688192461643</v>
      </c>
      <c r="O695" s="25" t="n">
        <f aca="false">IF(A695-30&lt;$R$2,"",C695/INDEX(Clean_Data!$C$2:$C$4314,MATCH(A695-30,Clean_Data!$A$2:$A$4314,1))-1)</f>
        <v>0.0569461555185158</v>
      </c>
    </row>
    <row r="696" customFormat="false" ht="15" hidden="false" customHeight="false" outlineLevel="0" collapsed="false">
      <c r="A696" s="16" t="n">
        <v>42702</v>
      </c>
      <c r="B696" s="23" t="n">
        <f aca="false">YEAR(A696)</f>
        <v>2016</v>
      </c>
      <c r="C696" s="17" t="n">
        <v>729.77</v>
      </c>
      <c r="D696" s="23" t="n">
        <f aca="false">A696-A695</f>
        <v>1</v>
      </c>
      <c r="E696" s="24" t="n">
        <f aca="false">LN(C696)</f>
        <v>6.59272941600478</v>
      </c>
      <c r="F696" s="25" t="n">
        <f aca="false">LN(C696/C695)</f>
        <v>0.000726520069516277</v>
      </c>
      <c r="G696" s="25" t="n">
        <f aca="false">IF(AND(D696=1,A696&gt;=$R$2),F696,"")</f>
        <v>0.000726520069516277</v>
      </c>
      <c r="H696" s="27" t="n">
        <f aca="false">IF(G696="","",G696^2)</f>
        <v>5.27831411409936E-007</v>
      </c>
      <c r="I696" s="25" t="n">
        <f aca="false">IF(G696="","",C696/C695-1)</f>
        <v>0.000726784049146945</v>
      </c>
      <c r="J696" s="17" t="n">
        <f aca="false">AVERAGE(C497:C696)</f>
        <v>625.90265</v>
      </c>
      <c r="K696" s="17" t="n">
        <f aca="false">MAX(K695,C696)</f>
        <v>769.76</v>
      </c>
      <c r="L696" s="25" t="n">
        <f aca="false">C696/K696-1</f>
        <v>-0.0519512575348161</v>
      </c>
      <c r="M696" s="25" t="n">
        <f aca="false">IF(COUNT(G667:G696)&lt;20,"",_xlfn.STDEV.S(G667:G696)*SQRT($R$3))</f>
        <v>0.418621217338729</v>
      </c>
      <c r="N696" s="25" t="n">
        <f aca="false">IF(A696-7&lt;$R$2,"",C696/INDEX(Clean_Data!$C$2:$C$4314,MATCH(A696-7,Clean_Data!$A$2:$A$4314,1))-1)</f>
        <v>-0.00900325909831612</v>
      </c>
      <c r="O696" s="25" t="n">
        <f aca="false">IF(A696-30&lt;$R$2,"",C696/INDEX(Clean_Data!$C$2:$C$4314,MATCH(A696-30,Clean_Data!$A$2:$A$4314,1))-1)</f>
        <v>0.0216861734893878</v>
      </c>
    </row>
    <row r="697" customFormat="false" ht="15" hidden="false" customHeight="false" outlineLevel="0" collapsed="false">
      <c r="A697" s="16" t="n">
        <v>42703</v>
      </c>
      <c r="B697" s="23" t="n">
        <f aca="false">YEAR(A697)</f>
        <v>2016</v>
      </c>
      <c r="C697" s="17" t="n">
        <v>732.37</v>
      </c>
      <c r="D697" s="23" t="n">
        <f aca="false">A697-A696</f>
        <v>1</v>
      </c>
      <c r="E697" s="24" t="n">
        <f aca="false">LN(C697)</f>
        <v>6.59628585073805</v>
      </c>
      <c r="F697" s="25" t="n">
        <f aca="false">LN(C697/C696)</f>
        <v>0.00355643473326621</v>
      </c>
      <c r="G697" s="25" t="n">
        <f aca="false">IF(AND(D697=1,A697&gt;=$R$2),F697,"")</f>
        <v>0.00355643473326621</v>
      </c>
      <c r="H697" s="27" t="n">
        <f aca="false">IF(G697="","",G697^2)</f>
        <v>1.26482280119823E-005</v>
      </c>
      <c r="I697" s="25" t="n">
        <f aca="false">IF(G697="","",C697/C696-1)</f>
        <v>0.00356276635104225</v>
      </c>
      <c r="J697" s="17" t="n">
        <f aca="false">AVERAGE(C498:C697)</f>
        <v>627.2746</v>
      </c>
      <c r="K697" s="17" t="n">
        <f aca="false">MAX(K696,C697)</f>
        <v>769.76</v>
      </c>
      <c r="L697" s="25" t="n">
        <f aca="false">C697/K697-1</f>
        <v>-0.0485735813760133</v>
      </c>
      <c r="M697" s="25" t="n">
        <f aca="false">IF(COUNT(G668:G697)&lt;20,"",_xlfn.STDEV.S(G668:G697)*SQRT($R$3))</f>
        <v>0.409147893781934</v>
      </c>
      <c r="N697" s="25" t="n">
        <f aca="false">IF(A697-7&lt;$R$2,"",C697/INDEX(Clean_Data!$C$2:$C$4314,MATCH(A697-7,Clean_Data!$A$2:$A$4314,1))-1)</f>
        <v>-0.0191385637371762</v>
      </c>
      <c r="O697" s="25" t="n">
        <f aca="false">IF(A697-30&lt;$R$2,"",C697/INDEX(Clean_Data!$C$2:$C$4314,MATCH(A697-30,Clean_Data!$A$2:$A$4314,1))-1)</f>
        <v>0.0501283319711505</v>
      </c>
    </row>
    <row r="698" customFormat="false" ht="15" hidden="false" customHeight="false" outlineLevel="0" collapsed="false">
      <c r="A698" s="16" t="n">
        <v>42704</v>
      </c>
      <c r="B698" s="23" t="n">
        <f aca="false">YEAR(A698)</f>
        <v>2016</v>
      </c>
      <c r="C698" s="17" t="n">
        <v>742.69</v>
      </c>
      <c r="D698" s="23" t="n">
        <f aca="false">A698-A697</f>
        <v>1</v>
      </c>
      <c r="E698" s="24" t="n">
        <f aca="false">LN(C698)</f>
        <v>6.61027873019791</v>
      </c>
      <c r="F698" s="25" t="n">
        <f aca="false">LN(C698/C697)</f>
        <v>0.0139928794598613</v>
      </c>
      <c r="G698" s="25" t="n">
        <f aca="false">IF(AND(D698=1,A698&gt;=$R$2),F698,"")</f>
        <v>0.0139928794598613</v>
      </c>
      <c r="H698" s="27" t="n">
        <f aca="false">IF(G698="","",G698^2)</f>
        <v>0.000195800675578207</v>
      </c>
      <c r="I698" s="25" t="n">
        <f aca="false">IF(G698="","",C698/C697-1)</f>
        <v>0.0140912380354192</v>
      </c>
      <c r="J698" s="17" t="n">
        <f aca="false">AVERAGE(C499:C698)</f>
        <v>628.69355</v>
      </c>
      <c r="K698" s="17" t="n">
        <f aca="false">MAX(K697,C698)</f>
        <v>769.76</v>
      </c>
      <c r="L698" s="25" t="n">
        <f aca="false">C698/K698-1</f>
        <v>-0.0351668052379962</v>
      </c>
      <c r="M698" s="25" t="n">
        <f aca="false">IF(COUNT(G669:G698)&lt;20,"",_xlfn.STDEV.S(G669:G698)*SQRT($R$3))</f>
        <v>0.411295976102735</v>
      </c>
      <c r="N698" s="25" t="n">
        <f aca="false">IF(A698-7&lt;$R$2,"",C698/INDEX(Clean_Data!$C$2:$C$4314,MATCH(A698-7,Clean_Data!$A$2:$A$4314,1))-1)</f>
        <v>0.00157784011220197</v>
      </c>
      <c r="O698" s="25" t="n">
        <f aca="false">IF(A698-30&lt;$R$2,"",C698/INDEX(Clean_Data!$C$2:$C$4314,MATCH(A698-30,Clean_Data!$A$2:$A$4314,1))-1)</f>
        <v>0.0657052661787918</v>
      </c>
    </row>
    <row r="699" customFormat="false" ht="15" hidden="false" customHeight="false" outlineLevel="0" collapsed="false">
      <c r="A699" s="16" t="n">
        <v>42705</v>
      </c>
      <c r="B699" s="23" t="n">
        <f aca="false">YEAR(A699)</f>
        <v>2016</v>
      </c>
      <c r="C699" s="17" t="n">
        <v>754</v>
      </c>
      <c r="D699" s="23" t="n">
        <f aca="false">A699-A698</f>
        <v>1</v>
      </c>
      <c r="E699" s="24" t="n">
        <f aca="false">LN(C699)</f>
        <v>6.62539236800796</v>
      </c>
      <c r="F699" s="25" t="n">
        <f aca="false">LN(C699/C698)</f>
        <v>0.0151136378100481</v>
      </c>
      <c r="G699" s="25" t="n">
        <f aca="false">IF(AND(D699=1,A699&gt;=$R$2),F699,"")</f>
        <v>0.0151136378100481</v>
      </c>
      <c r="H699" s="27" t="n">
        <f aca="false">IF(G699="","",G699^2)</f>
        <v>0.000228422047853316</v>
      </c>
      <c r="I699" s="25" t="n">
        <f aca="false">IF(G699="","",C699/C698-1)</f>
        <v>0.015228426395939</v>
      </c>
      <c r="J699" s="17" t="n">
        <f aca="false">AVERAGE(C500:C699)</f>
        <v>630.1562</v>
      </c>
      <c r="K699" s="17" t="n">
        <f aca="false">MAX(K698,C699)</f>
        <v>769.76</v>
      </c>
      <c r="L699" s="25" t="n">
        <f aca="false">C699/K699-1</f>
        <v>-0.0204739139472043</v>
      </c>
      <c r="M699" s="25" t="n">
        <f aca="false">IF(COUNT(G670:G699)&lt;20,"",_xlfn.STDEV.S(G670:G699)*SQRT($R$3))</f>
        <v>0.380911056610983</v>
      </c>
      <c r="N699" s="25" t="n">
        <f aca="false">IF(A699-7&lt;$R$2,"",C699/INDEX(Clean_Data!$C$2:$C$4314,MATCH(A699-7,Clean_Data!$A$2:$A$4314,1))-1)</f>
        <v>0.0216940608951342</v>
      </c>
      <c r="O699" s="25" t="n">
        <f aca="false">IF(A699-30&lt;$R$2,"",C699/INDEX(Clean_Data!$C$2:$C$4314,MATCH(A699-30,Clean_Data!$A$2:$A$4314,1))-1)</f>
        <v>0.0318872314219241</v>
      </c>
    </row>
    <row r="700" customFormat="false" ht="15" hidden="false" customHeight="false" outlineLevel="0" collapsed="false">
      <c r="A700" s="16" t="n">
        <v>42706</v>
      </c>
      <c r="B700" s="23" t="n">
        <f aca="false">YEAR(A700)</f>
        <v>2016</v>
      </c>
      <c r="C700" s="17" t="n">
        <v>769.25</v>
      </c>
      <c r="D700" s="23" t="n">
        <f aca="false">A700-A699</f>
        <v>1</v>
      </c>
      <c r="E700" s="24" t="n">
        <f aca="false">LN(C700)</f>
        <v>6.64541601420215</v>
      </c>
      <c r="F700" s="25" t="n">
        <f aca="false">LN(C700/C699)</f>
        <v>0.0200236461941951</v>
      </c>
      <c r="G700" s="25" t="n">
        <f aca="false">IF(AND(D700=1,A700&gt;=$R$2),F700,"")</f>
        <v>0.0200236461941951</v>
      </c>
      <c r="H700" s="27" t="n">
        <f aca="false">IF(G700="","",G700^2)</f>
        <v>0.000400946406910303</v>
      </c>
      <c r="I700" s="25" t="n">
        <f aca="false">IF(G700="","",C700/C699-1)</f>
        <v>0.0202254641909814</v>
      </c>
      <c r="J700" s="17" t="n">
        <f aca="false">AVERAGE(C501:C700)</f>
        <v>631.72415</v>
      </c>
      <c r="K700" s="17" t="n">
        <f aca="false">MAX(K699,C700)</f>
        <v>769.76</v>
      </c>
      <c r="L700" s="25" t="n">
        <f aca="false">C700/K700-1</f>
        <v>-0.000662544169611312</v>
      </c>
      <c r="M700" s="25" t="n">
        <f aca="false">IF(COUNT(G671:G700)&lt;20,"",_xlfn.STDEV.S(G671:G700)*SQRT($R$3))</f>
        <v>0.381626225880735</v>
      </c>
      <c r="N700" s="25" t="n">
        <f aca="false">IF(A700-7&lt;$R$2,"",C700/INDEX(Clean_Data!$C$2:$C$4314,MATCH(A700-7,Clean_Data!$A$2:$A$4314,1))-1)</f>
        <v>0.0398923946251386</v>
      </c>
      <c r="O700" s="25" t="n">
        <f aca="false">IF(A700-30&lt;$R$2,"",C700/INDEX(Clean_Data!$C$2:$C$4314,MATCH(A700-30,Clean_Data!$A$2:$A$4314,1))-1)</f>
        <v>0.0331050228310501</v>
      </c>
    </row>
    <row r="701" customFormat="false" ht="15" hidden="false" customHeight="false" outlineLevel="0" collapsed="false">
      <c r="A701" s="16" t="n">
        <v>42707</v>
      </c>
      <c r="B701" s="23" t="n">
        <f aca="false">YEAR(A701)</f>
        <v>2016</v>
      </c>
      <c r="C701" s="17" t="n">
        <v>766.98</v>
      </c>
      <c r="D701" s="23" t="n">
        <f aca="false">A701-A700</f>
        <v>1</v>
      </c>
      <c r="E701" s="24" t="n">
        <f aca="false">LN(C701)</f>
        <v>6.64246072540799</v>
      </c>
      <c r="F701" s="25" t="n">
        <f aca="false">LN(C701/C700)</f>
        <v>-0.00295528879416586</v>
      </c>
      <c r="G701" s="25" t="n">
        <f aca="false">IF(AND(D701=1,A701&gt;=$R$2),F701,"")</f>
        <v>-0.00295528879416586</v>
      </c>
      <c r="H701" s="27" t="n">
        <f aca="false">IF(G701="","",G701^2)</f>
        <v>8.73373185692232E-006</v>
      </c>
      <c r="I701" s="25" t="n">
        <f aca="false">IF(G701="","",C701/C700-1)</f>
        <v>-0.00295092622684434</v>
      </c>
      <c r="J701" s="17" t="n">
        <f aca="false">AVERAGE(C502:C701)</f>
        <v>633.2881</v>
      </c>
      <c r="K701" s="17" t="n">
        <f aca="false">MAX(K700,C701)</f>
        <v>769.76</v>
      </c>
      <c r="L701" s="25" t="n">
        <f aca="false">C701/K701-1</f>
        <v>-0.00361151527748904</v>
      </c>
      <c r="M701" s="25" t="n">
        <f aca="false">IF(COUNT(G672:G701)&lt;20,"",_xlfn.STDEV.S(G672:G701)*SQRT($R$3))</f>
        <v>0.261733132085534</v>
      </c>
      <c r="N701" s="25" t="n">
        <f aca="false">IF(A701-7&lt;$R$2,"",C701/INDEX(Clean_Data!$C$2:$C$4314,MATCH(A701-7,Clean_Data!$A$2:$A$4314,1))-1)</f>
        <v>0.0425173304336006</v>
      </c>
      <c r="O701" s="25" t="n">
        <f aca="false">IF(A701-30&lt;$R$2,"",C701/INDEX(Clean_Data!$C$2:$C$4314,MATCH(A701-30,Clean_Data!$A$2:$A$4314,1))-1)</f>
        <v>0.111565217391304</v>
      </c>
    </row>
    <row r="702" customFormat="false" ht="15" hidden="false" customHeight="false" outlineLevel="0" collapsed="false">
      <c r="A702" s="16" t="n">
        <v>42708</v>
      </c>
      <c r="B702" s="23" t="n">
        <f aca="false">YEAR(A702)</f>
        <v>2016</v>
      </c>
      <c r="C702" s="17" t="n">
        <v>767.99</v>
      </c>
      <c r="D702" s="23" t="n">
        <f aca="false">A702-A701</f>
        <v>1</v>
      </c>
      <c r="E702" s="24" t="n">
        <f aca="false">LN(C702)</f>
        <v>6.64377671222957</v>
      </c>
      <c r="F702" s="25" t="n">
        <f aca="false">LN(C702/C701)</f>
        <v>0.00131598682158168</v>
      </c>
      <c r="G702" s="25" t="n">
        <f aca="false">IF(AND(D702=1,A702&gt;=$R$2),F702,"")</f>
        <v>0.00131598682158168</v>
      </c>
      <c r="H702" s="27" t="n">
        <f aca="false">IF(G702="","",G702^2)</f>
        <v>1.73182131457665E-006</v>
      </c>
      <c r="I702" s="25" t="n">
        <f aca="false">IF(G702="","",C702/C701-1)</f>
        <v>0.00131685311220631</v>
      </c>
      <c r="J702" s="17" t="n">
        <f aca="false">AVERAGE(C503:C702)</f>
        <v>634.85025</v>
      </c>
      <c r="K702" s="17" t="n">
        <f aca="false">MAX(K701,C702)</f>
        <v>769.76</v>
      </c>
      <c r="L702" s="25" t="n">
        <f aca="false">C702/K702-1</f>
        <v>-0.00229941800041567</v>
      </c>
      <c r="M702" s="25" t="n">
        <f aca="false">IF(COUNT(G673:G702)&lt;20,"",_xlfn.STDEV.S(G673:G702)*SQRT($R$3))</f>
        <v>0.251796895774688</v>
      </c>
      <c r="N702" s="25" t="n">
        <f aca="false">IF(A702-7&lt;$R$2,"",C702/INDEX(Clean_Data!$C$2:$C$4314,MATCH(A702-7,Clean_Data!$A$2:$A$4314,1))-1)</f>
        <v>0.0531375130272613</v>
      </c>
      <c r="O702" s="25" t="n">
        <f aca="false">IF(A702-30&lt;$R$2,"",C702/INDEX(Clean_Data!$C$2:$C$4314,MATCH(A702-30,Clean_Data!$A$2:$A$4314,1))-1)</f>
        <v>0.087311700079284</v>
      </c>
    </row>
    <row r="703" customFormat="false" ht="15" hidden="false" customHeight="false" outlineLevel="0" collapsed="false">
      <c r="A703" s="16" t="n">
        <v>42709</v>
      </c>
      <c r="B703" s="23" t="n">
        <f aca="false">YEAR(A703)</f>
        <v>2016</v>
      </c>
      <c r="C703" s="17" t="n">
        <v>752</v>
      </c>
      <c r="D703" s="23" t="n">
        <f aca="false">A703-A702</f>
        <v>1</v>
      </c>
      <c r="E703" s="24" t="n">
        <f aca="false">LN(C703)</f>
        <v>6.62273632394984</v>
      </c>
      <c r="F703" s="25" t="n">
        <f aca="false">LN(C703/C702)</f>
        <v>-0.0210403882797272</v>
      </c>
      <c r="G703" s="25" t="n">
        <f aca="false">IF(AND(D703=1,A703&gt;=$R$2),F703,"")</f>
        <v>-0.0210403882797272</v>
      </c>
      <c r="H703" s="27" t="n">
        <f aca="false">IF(G703="","",G703^2)</f>
        <v>0.000442697938961683</v>
      </c>
      <c r="I703" s="25" t="n">
        <f aca="false">IF(G703="","",C703/C702-1)</f>
        <v>-0.020820583601349</v>
      </c>
      <c r="J703" s="17" t="n">
        <f aca="false">AVERAGE(C504:C703)</f>
        <v>636.41835</v>
      </c>
      <c r="K703" s="17" t="n">
        <f aca="false">MAX(K702,C703)</f>
        <v>769.76</v>
      </c>
      <c r="L703" s="25" t="n">
        <f aca="false">C703/K703-1</f>
        <v>-0.0230721263770526</v>
      </c>
      <c r="M703" s="25" t="n">
        <f aca="false">IF(COUNT(G674:G703)&lt;20,"",_xlfn.STDEV.S(G674:G703)*SQRT($R$3))</f>
        <v>0.265148702570345</v>
      </c>
      <c r="N703" s="25" t="n">
        <f aca="false">IF(A703-7&lt;$R$2,"",C703/INDEX(Clean_Data!$C$2:$C$4314,MATCH(A703-7,Clean_Data!$A$2:$A$4314,1))-1)</f>
        <v>0.0304616523014101</v>
      </c>
      <c r="O703" s="25" t="n">
        <f aca="false">IF(A703-30&lt;$R$2,"",C703/INDEX(Clean_Data!$C$2:$C$4314,MATCH(A703-30,Clean_Data!$A$2:$A$4314,1))-1)</f>
        <v>0.063664266821313</v>
      </c>
    </row>
    <row r="704" customFormat="false" ht="15" hidden="false" customHeight="false" outlineLevel="0" collapsed="false">
      <c r="A704" s="16" t="n">
        <v>42710</v>
      </c>
      <c r="B704" s="23" t="n">
        <f aca="false">YEAR(A704)</f>
        <v>2016</v>
      </c>
      <c r="C704" s="17" t="n">
        <v>759.8</v>
      </c>
      <c r="D704" s="23" t="n">
        <f aca="false">A704-A703</f>
        <v>1</v>
      </c>
      <c r="E704" s="24" t="n">
        <f aca="false">LN(C704)</f>
        <v>6.63305524075353</v>
      </c>
      <c r="F704" s="25" t="n">
        <f aca="false">LN(C704/C703)</f>
        <v>0.0103189168036853</v>
      </c>
      <c r="G704" s="25" t="n">
        <f aca="false">IF(AND(D704=1,A704&gt;=$R$2),F704,"")</f>
        <v>0.0103189168036853</v>
      </c>
      <c r="H704" s="27" t="n">
        <f aca="false">IF(G704="","",G704^2)</f>
        <v>0.000106480044001378</v>
      </c>
      <c r="I704" s="25" t="n">
        <f aca="false">IF(G704="","",C704/C703-1)</f>
        <v>0.0103723404255318</v>
      </c>
      <c r="J704" s="17" t="n">
        <f aca="false">AVERAGE(C505:C704)</f>
        <v>637.9891</v>
      </c>
      <c r="K704" s="17" t="n">
        <f aca="false">MAX(K703,C704)</f>
        <v>769.76</v>
      </c>
      <c r="L704" s="25" t="n">
        <f aca="false">C704/K704-1</f>
        <v>-0.0129390979006444</v>
      </c>
      <c r="M704" s="25" t="n">
        <f aca="false">IF(COUNT(G675:G704)&lt;20,"",_xlfn.STDEV.S(G675:G704)*SQRT($R$3))</f>
        <v>0.26331631484478</v>
      </c>
      <c r="N704" s="25" t="n">
        <f aca="false">IF(A704-7&lt;$R$2,"",C704/INDEX(Clean_Data!$C$2:$C$4314,MATCH(A704-7,Clean_Data!$A$2:$A$4314,1))-1)</f>
        <v>0.0374537460573208</v>
      </c>
      <c r="O704" s="25" t="n">
        <f aca="false">IF(A704-30&lt;$R$2,"",C704/INDEX(Clean_Data!$C$2:$C$4314,MATCH(A704-30,Clean_Data!$A$2:$A$4314,1))-1)</f>
        <v>0.0596636077096873</v>
      </c>
    </row>
    <row r="705" customFormat="false" ht="15" hidden="false" customHeight="false" outlineLevel="0" collapsed="false">
      <c r="A705" s="16" t="n">
        <v>42711</v>
      </c>
      <c r="B705" s="23" t="n">
        <f aca="false">YEAR(A705)</f>
        <v>2016</v>
      </c>
      <c r="C705" s="17" t="n">
        <v>764.34</v>
      </c>
      <c r="D705" s="23" t="n">
        <f aca="false">A705-A704</f>
        <v>1</v>
      </c>
      <c r="E705" s="24" t="n">
        <f aca="false">LN(C705)</f>
        <v>6.63901271634975</v>
      </c>
      <c r="F705" s="25" t="n">
        <f aca="false">LN(C705/C704)</f>
        <v>0.00595747559622551</v>
      </c>
      <c r="G705" s="25" t="n">
        <f aca="false">IF(AND(D705=1,A705&gt;=$R$2),F705,"")</f>
        <v>0.00595747559622551</v>
      </c>
      <c r="H705" s="27" t="n">
        <f aca="false">IF(G705="","",G705^2)</f>
        <v>3.54915154796225E-005</v>
      </c>
      <c r="I705" s="25" t="n">
        <f aca="false">IF(G705="","",C705/C704-1)</f>
        <v>0.00597525664648613</v>
      </c>
      <c r="J705" s="17" t="n">
        <f aca="false">AVERAGE(C506:C705)</f>
        <v>639.5794</v>
      </c>
      <c r="K705" s="17" t="n">
        <f aca="false">MAX(K704,C705)</f>
        <v>769.76</v>
      </c>
      <c r="L705" s="25" t="n">
        <f aca="false">C705/K705-1</f>
        <v>-0.00704115568488872</v>
      </c>
      <c r="M705" s="25" t="n">
        <f aca="false">IF(COUNT(G676:G705)&lt;20,"",_xlfn.STDEV.S(G676:G705)*SQRT($R$3))</f>
        <v>0.256503292085281</v>
      </c>
      <c r="N705" s="25" t="n">
        <f aca="false">IF(A705-7&lt;$R$2,"",C705/INDEX(Clean_Data!$C$2:$C$4314,MATCH(A705-7,Clean_Data!$A$2:$A$4314,1))-1)</f>
        <v>0.0291507896969125</v>
      </c>
      <c r="O705" s="25" t="n">
        <f aca="false">IF(A705-30&lt;$R$2,"",C705/INDEX(Clean_Data!$C$2:$C$4314,MATCH(A705-30,Clean_Data!$A$2:$A$4314,1))-1)</f>
        <v>0.0819908836103169</v>
      </c>
    </row>
    <row r="706" customFormat="false" ht="15" hidden="false" customHeight="false" outlineLevel="0" collapsed="false">
      <c r="A706" s="16" t="n">
        <v>42712</v>
      </c>
      <c r="B706" s="23" t="n">
        <f aca="false">YEAR(A706)</f>
        <v>2016</v>
      </c>
      <c r="C706" s="17" t="n">
        <v>767.89</v>
      </c>
      <c r="D706" s="23" t="n">
        <f aca="false">A706-A705</f>
        <v>1</v>
      </c>
      <c r="E706" s="24" t="n">
        <f aca="false">LN(C706)</f>
        <v>6.64364649372273</v>
      </c>
      <c r="F706" s="25" t="n">
        <f aca="false">LN(C706/C705)</f>
        <v>0.00463377737297834</v>
      </c>
      <c r="G706" s="25" t="n">
        <f aca="false">IF(AND(D706=1,A706&gt;=$R$2),F706,"")</f>
        <v>0.00463377737297834</v>
      </c>
      <c r="H706" s="27" t="n">
        <f aca="false">IF(G706="","",G706^2)</f>
        <v>2.14718927423261E-005</v>
      </c>
      <c r="I706" s="25" t="n">
        <f aca="false">IF(G706="","",C706/C705-1)</f>
        <v>0.0046445299212392</v>
      </c>
      <c r="J706" s="17" t="n">
        <f aca="false">AVERAGE(C507:C706)</f>
        <v>641.20645</v>
      </c>
      <c r="K706" s="17" t="n">
        <f aca="false">MAX(K705,C706)</f>
        <v>769.76</v>
      </c>
      <c r="L706" s="25" t="n">
        <f aca="false">C706/K706-1</f>
        <v>-0.00242932862190814</v>
      </c>
      <c r="M706" s="25" t="n">
        <f aca="false">IF(COUNT(G677:G706)&lt;20,"",_xlfn.STDEV.S(G677:G706)*SQRT($R$3))</f>
        <v>0.256196775208275</v>
      </c>
      <c r="N706" s="25" t="n">
        <f aca="false">IF(A706-7&lt;$R$2,"",C706/INDEX(Clean_Data!$C$2:$C$4314,MATCH(A706-7,Clean_Data!$A$2:$A$4314,1))-1)</f>
        <v>0.0184217506631299</v>
      </c>
      <c r="O706" s="25" t="n">
        <f aca="false">IF(A706-30&lt;$R$2,"",C706/INDEX(Clean_Data!$C$2:$C$4314,MATCH(A706-30,Clean_Data!$A$2:$A$4314,1))-1)</f>
        <v>0.0797862616888139</v>
      </c>
    </row>
    <row r="707" customFormat="false" ht="15" hidden="false" customHeight="false" outlineLevel="0" collapsed="false">
      <c r="A707" s="16" t="n">
        <v>42713</v>
      </c>
      <c r="B707" s="23" t="n">
        <f aca="false">YEAR(A707)</f>
        <v>2016</v>
      </c>
      <c r="C707" s="17" t="n">
        <v>773.22</v>
      </c>
      <c r="D707" s="23" t="n">
        <f aca="false">A707-A706</f>
        <v>1</v>
      </c>
      <c r="E707" s="24" t="n">
        <f aca="false">LN(C707)</f>
        <v>6.65056361352836</v>
      </c>
      <c r="F707" s="25" t="n">
        <f aca="false">LN(C707/C706)</f>
        <v>0.006917119805626</v>
      </c>
      <c r="G707" s="25" t="n">
        <f aca="false">IF(AND(D707=1,A707&gt;=$R$2),F707,"")</f>
        <v>0.006917119805626</v>
      </c>
      <c r="H707" s="27" t="n">
        <f aca="false">IF(G707="","",G707^2)</f>
        <v>4.78465464053835E-005</v>
      </c>
      <c r="I707" s="25" t="n">
        <f aca="false">IF(G707="","",C707/C706-1)</f>
        <v>0.00694109833439693</v>
      </c>
      <c r="J707" s="17" t="n">
        <f aca="false">AVERAGE(C508:C707)</f>
        <v>642.8442</v>
      </c>
      <c r="K707" s="17" t="n">
        <f aca="false">MAX(K706,C707)</f>
        <v>773.22</v>
      </c>
      <c r="L707" s="25" t="n">
        <f aca="false">C707/K707-1</f>
        <v>0</v>
      </c>
      <c r="M707" s="25" t="n">
        <f aca="false">IF(COUNT(G678:G707)&lt;20,"",_xlfn.STDEV.S(G678:G707)*SQRT($R$3))</f>
        <v>0.253555169235081</v>
      </c>
      <c r="N707" s="25" t="n">
        <f aca="false">IF(A707-7&lt;$R$2,"",C707/INDEX(Clean_Data!$C$2:$C$4314,MATCH(A707-7,Clean_Data!$A$2:$A$4314,1))-1)</f>
        <v>0.0051608709782256</v>
      </c>
      <c r="O707" s="25" t="n">
        <f aca="false">IF(A707-30&lt;$R$2,"",C707/INDEX(Clean_Data!$C$2:$C$4314,MATCH(A707-30,Clean_Data!$A$2:$A$4314,1))-1)</f>
        <v>0.0724718088131267</v>
      </c>
    </row>
    <row r="708" customFormat="false" ht="15" hidden="false" customHeight="false" outlineLevel="0" collapsed="false">
      <c r="A708" s="16" t="n">
        <v>42714</v>
      </c>
      <c r="B708" s="23" t="n">
        <f aca="false">YEAR(A708)</f>
        <v>2016</v>
      </c>
      <c r="C708" s="17" t="n">
        <v>775.87</v>
      </c>
      <c r="D708" s="23" t="n">
        <f aca="false">A708-A707</f>
        <v>1</v>
      </c>
      <c r="E708" s="24" t="n">
        <f aca="false">LN(C708)</f>
        <v>6.65398498037601</v>
      </c>
      <c r="F708" s="25" t="n">
        <f aca="false">LN(C708/C707)</f>
        <v>0.00342136684765831</v>
      </c>
      <c r="G708" s="25" t="n">
        <f aca="false">IF(AND(D708=1,A708&gt;=$R$2),F708,"")</f>
        <v>0.00342136684765831</v>
      </c>
      <c r="H708" s="27" t="n">
        <f aca="false">IF(G708="","",G708^2)</f>
        <v>1.17057511062554E-005</v>
      </c>
      <c r="I708" s="25" t="n">
        <f aca="false">IF(G708="","",C708/C707-1)</f>
        <v>0.0034272264038695</v>
      </c>
      <c r="J708" s="17" t="n">
        <f aca="false">AVERAGE(C509:C708)</f>
        <v>644.4886</v>
      </c>
      <c r="K708" s="17" t="n">
        <f aca="false">MAX(K707,C708)</f>
        <v>775.87</v>
      </c>
      <c r="L708" s="25" t="n">
        <f aca="false">C708/K708-1</f>
        <v>0</v>
      </c>
      <c r="M708" s="25" t="n">
        <f aca="false">IF(COUNT(G679:G708)&lt;20,"",_xlfn.STDEV.S(G679:G708)*SQRT($R$3))</f>
        <v>0.248788473532667</v>
      </c>
      <c r="N708" s="25" t="n">
        <f aca="false">IF(A708-7&lt;$R$2,"",C708/INDEX(Clean_Data!$C$2:$C$4314,MATCH(A708-7,Clean_Data!$A$2:$A$4314,1))-1)</f>
        <v>0.0115909150173408</v>
      </c>
      <c r="O708" s="25" t="n">
        <f aca="false">IF(A708-30&lt;$R$2,"",C708/INDEX(Clean_Data!$C$2:$C$4314,MATCH(A708-30,Clean_Data!$A$2:$A$4314,1))-1)</f>
        <v>0.0883140929430082</v>
      </c>
    </row>
    <row r="709" customFormat="false" ht="15" hidden="false" customHeight="false" outlineLevel="0" collapsed="false">
      <c r="A709" s="16" t="n">
        <v>42715</v>
      </c>
      <c r="B709" s="23" t="n">
        <f aca="false">YEAR(A709)</f>
        <v>2016</v>
      </c>
      <c r="C709" s="17" t="n">
        <v>771.05</v>
      </c>
      <c r="D709" s="23" t="n">
        <f aca="false">A709-A708</f>
        <v>1</v>
      </c>
      <c r="E709" s="24" t="n">
        <f aca="false">LN(C709)</f>
        <v>6.64775322230367</v>
      </c>
      <c r="F709" s="25" t="n">
        <f aca="false">LN(C709/C708)</f>
        <v>-0.00623175807234777</v>
      </c>
      <c r="G709" s="25" t="n">
        <f aca="false">IF(AND(D709=1,A709&gt;=$R$2),F709,"")</f>
        <v>-0.00623175807234777</v>
      </c>
      <c r="H709" s="27" t="n">
        <f aca="false">IF(G709="","",G709^2)</f>
        <v>3.88348086722716E-005</v>
      </c>
      <c r="I709" s="25" t="n">
        <f aca="false">IF(G709="","",C709/C708-1)</f>
        <v>-0.00621238094010601</v>
      </c>
      <c r="J709" s="17" t="n">
        <f aca="false">AVERAGE(C510:C709)</f>
        <v>646.0864</v>
      </c>
      <c r="K709" s="17" t="n">
        <f aca="false">MAX(K708,C709)</f>
        <v>775.87</v>
      </c>
      <c r="L709" s="25" t="n">
        <f aca="false">C709/K709-1</f>
        <v>-0.00621238094010601</v>
      </c>
      <c r="M709" s="25" t="n">
        <f aca="false">IF(COUNT(G680:G709)&lt;20,"",_xlfn.STDEV.S(G680:G709)*SQRT($R$3))</f>
        <v>0.250544884110515</v>
      </c>
      <c r="N709" s="25" t="n">
        <f aca="false">IF(A709-7&lt;$R$2,"",C709/INDEX(Clean_Data!$C$2:$C$4314,MATCH(A709-7,Clean_Data!$A$2:$A$4314,1))-1)</f>
        <v>0.00398442688055822</v>
      </c>
      <c r="O709" s="25" t="n">
        <f aca="false">IF(A709-30&lt;$R$2,"",C709/INDEX(Clean_Data!$C$2:$C$4314,MATCH(A709-30,Clean_Data!$A$2:$A$4314,1))-1)</f>
        <v>0.075533547217185</v>
      </c>
    </row>
    <row r="710" customFormat="false" ht="15" hidden="false" customHeight="false" outlineLevel="0" collapsed="false">
      <c r="A710" s="16" t="n">
        <v>42716</v>
      </c>
      <c r="B710" s="23" t="n">
        <f aca="false">YEAR(A710)</f>
        <v>2016</v>
      </c>
      <c r="C710" s="17" t="n">
        <v>778.94</v>
      </c>
      <c r="D710" s="23" t="n">
        <f aca="false">A710-A709</f>
        <v>1</v>
      </c>
      <c r="E710" s="24" t="n">
        <f aca="false">LN(C710)</f>
        <v>6.65793402108157</v>
      </c>
      <c r="F710" s="25" t="n">
        <f aca="false">LN(C710/C709)</f>
        <v>0.0101807987779001</v>
      </c>
      <c r="G710" s="25" t="n">
        <f aca="false">IF(AND(D710=1,A710&gt;=$R$2),F710,"")</f>
        <v>0.0101807987779001</v>
      </c>
      <c r="H710" s="27" t="n">
        <f aca="false">IF(G710="","",G710^2)</f>
        <v>0.000103648663756093</v>
      </c>
      <c r="I710" s="25" t="n">
        <f aca="false">IF(G710="","",C710/C709-1)</f>
        <v>0.0102327994293496</v>
      </c>
      <c r="J710" s="17" t="n">
        <f aca="false">AVERAGE(C511:C710)</f>
        <v>647.70625</v>
      </c>
      <c r="K710" s="17" t="n">
        <f aca="false">MAX(K709,C710)</f>
        <v>778.94</v>
      </c>
      <c r="L710" s="25" t="n">
        <f aca="false">C710/K710-1</f>
        <v>0</v>
      </c>
      <c r="M710" s="25" t="n">
        <f aca="false">IF(COUNT(G681:G710)&lt;20,"",_xlfn.STDEV.S(G681:G710)*SQRT($R$3))</f>
        <v>0.241370106030484</v>
      </c>
      <c r="N710" s="25" t="n">
        <f aca="false">IF(A710-7&lt;$R$2,"",C710/INDEX(Clean_Data!$C$2:$C$4314,MATCH(A710-7,Clean_Data!$A$2:$A$4314,1))-1)</f>
        <v>0.0358244680851065</v>
      </c>
      <c r="O710" s="25" t="n">
        <f aca="false">IF(A710-30&lt;$R$2,"",C710/INDEX(Clean_Data!$C$2:$C$4314,MATCH(A710-30,Clean_Data!$A$2:$A$4314,1))-1)</f>
        <v>0.105616510297645</v>
      </c>
    </row>
    <row r="711" customFormat="false" ht="15" hidden="false" customHeight="false" outlineLevel="0" collapsed="false">
      <c r="A711" s="16" t="n">
        <v>42717</v>
      </c>
      <c r="B711" s="23" t="n">
        <f aca="false">YEAR(A711)</f>
        <v>2016</v>
      </c>
      <c r="C711" s="17" t="n">
        <v>776.18</v>
      </c>
      <c r="D711" s="23" t="n">
        <f aca="false">A711-A710</f>
        <v>1</v>
      </c>
      <c r="E711" s="24" t="n">
        <f aca="false">LN(C711)</f>
        <v>6.65438445204783</v>
      </c>
      <c r="F711" s="25" t="n">
        <f aca="false">LN(C711/C710)</f>
        <v>-0.00354956903373477</v>
      </c>
      <c r="G711" s="25" t="n">
        <f aca="false">IF(AND(D711=1,A711&gt;=$R$2),F711,"")</f>
        <v>-0.00354956903373477</v>
      </c>
      <c r="H711" s="27" t="n">
        <f aca="false">IF(G711="","",G711^2)</f>
        <v>1.25994403252488E-005</v>
      </c>
      <c r="I711" s="25" t="n">
        <f aca="false">IF(G711="","",C711/C710-1)</f>
        <v>-0.0035432767607263</v>
      </c>
      <c r="J711" s="17" t="n">
        <f aca="false">AVERAGE(C512:C711)</f>
        <v>649.2308</v>
      </c>
      <c r="K711" s="17" t="n">
        <f aca="false">MAX(K710,C711)</f>
        <v>778.94</v>
      </c>
      <c r="L711" s="25" t="n">
        <f aca="false">C711/K711-1</f>
        <v>-0.0035432767607263</v>
      </c>
      <c r="M711" s="25" t="n">
        <f aca="false">IF(COUNT(G682:G711)&lt;20,"",_xlfn.STDEV.S(G682:G711)*SQRT($R$3))</f>
        <v>0.242166811460741</v>
      </c>
      <c r="N711" s="25" t="n">
        <f aca="false">IF(A711-7&lt;$R$2,"",C711/INDEX(Clean_Data!$C$2:$C$4314,MATCH(A711-7,Clean_Data!$A$2:$A$4314,1))-1)</f>
        <v>0.0215583048170571</v>
      </c>
      <c r="O711" s="25" t="n">
        <f aca="false">IF(A711-30&lt;$R$2,"",C711/INDEX(Clean_Data!$C$2:$C$4314,MATCH(A711-30,Clean_Data!$A$2:$A$4314,1))-1)</f>
        <v>0.10251274839846</v>
      </c>
    </row>
    <row r="712" customFormat="false" ht="15" hidden="false" customHeight="false" outlineLevel="0" collapsed="false">
      <c r="A712" s="16" t="n">
        <v>42718</v>
      </c>
      <c r="B712" s="23" t="n">
        <f aca="false">YEAR(A712)</f>
        <v>2016</v>
      </c>
      <c r="C712" s="17" t="n">
        <v>777.66</v>
      </c>
      <c r="D712" s="23" t="n">
        <f aca="false">A712-A711</f>
        <v>1</v>
      </c>
      <c r="E712" s="24" t="n">
        <f aca="false">LN(C712)</f>
        <v>6.65628941066334</v>
      </c>
      <c r="F712" s="25" t="n">
        <f aca="false">LN(C712/C711)</f>
        <v>0.00190495861550771</v>
      </c>
      <c r="G712" s="25" t="n">
        <f aca="false">IF(AND(D712=1,A712&gt;=$R$2),F712,"")</f>
        <v>0.00190495861550771</v>
      </c>
      <c r="H712" s="27" t="n">
        <f aca="false">IF(G712="","",G712^2)</f>
        <v>3.62886732679706E-006</v>
      </c>
      <c r="I712" s="25" t="n">
        <f aca="false">IF(G712="","",C712/C711-1)</f>
        <v>0.00190677420186036</v>
      </c>
      <c r="J712" s="17" t="n">
        <f aca="false">AVERAGE(C513:C712)</f>
        <v>650.50285</v>
      </c>
      <c r="K712" s="17" t="n">
        <f aca="false">MAX(K711,C712)</f>
        <v>778.94</v>
      </c>
      <c r="L712" s="25" t="n">
        <f aca="false">C712/K712-1</f>
        <v>-0.0016432587875832</v>
      </c>
      <c r="M712" s="25" t="n">
        <f aca="false">IF(COUNT(G683:G712)&lt;20,"",_xlfn.STDEV.S(G683:G712)*SQRT($R$3))</f>
        <v>0.241987576322912</v>
      </c>
      <c r="N712" s="25" t="n">
        <f aca="false">IF(A712-7&lt;$R$2,"",C712/INDEX(Clean_Data!$C$2:$C$4314,MATCH(A712-7,Clean_Data!$A$2:$A$4314,1))-1)</f>
        <v>0.0174267995918047</v>
      </c>
      <c r="O712" s="25" t="n">
        <f aca="false">IF(A712-30&lt;$R$2,"",C712/INDEX(Clean_Data!$C$2:$C$4314,MATCH(A712-30,Clean_Data!$A$2:$A$4314,1))-1)</f>
        <v>0.0978936074090806</v>
      </c>
    </row>
    <row r="713" customFormat="false" ht="15" hidden="false" customHeight="false" outlineLevel="0" collapsed="false">
      <c r="A713" s="16" t="n">
        <v>42719</v>
      </c>
      <c r="B713" s="23" t="n">
        <f aca="false">YEAR(A713)</f>
        <v>2016</v>
      </c>
      <c r="C713" s="17" t="n">
        <v>776.16</v>
      </c>
      <c r="D713" s="23" t="n">
        <f aca="false">A713-A712</f>
        <v>1</v>
      </c>
      <c r="E713" s="24" t="n">
        <f aca="false">LN(C713)</f>
        <v>6.65435868449691</v>
      </c>
      <c r="F713" s="25" t="n">
        <f aca="false">LN(C713/C712)</f>
        <v>-0.00193072616643228</v>
      </c>
      <c r="G713" s="25" t="n">
        <f aca="false">IF(AND(D713=1,A713&gt;=$R$2),F713,"")</f>
        <v>-0.00193072616643228</v>
      </c>
      <c r="H713" s="27" t="n">
        <f aca="false">IF(G713="","",G713^2)</f>
        <v>3.72770352974628E-006</v>
      </c>
      <c r="I713" s="25" t="n">
        <f aca="false">IF(G713="","",C713/C712-1)</f>
        <v>-0.00192886351361776</v>
      </c>
      <c r="J713" s="17" t="n">
        <f aca="false">AVERAGE(C514:C713)</f>
        <v>651.75755</v>
      </c>
      <c r="K713" s="17" t="n">
        <f aca="false">MAX(K712,C713)</f>
        <v>778.94</v>
      </c>
      <c r="L713" s="25" t="n">
        <f aca="false">C713/K713-1</f>
        <v>-0.00356895267928226</v>
      </c>
      <c r="M713" s="25" t="n">
        <f aca="false">IF(COUNT(G684:G713)&lt;20,"",_xlfn.STDEV.S(G684:G713)*SQRT($R$3))</f>
        <v>0.242440294085612</v>
      </c>
      <c r="N713" s="25" t="n">
        <f aca="false">IF(A713-7&lt;$R$2,"",C713/INDEX(Clean_Data!$C$2:$C$4314,MATCH(A713-7,Clean_Data!$A$2:$A$4314,1))-1)</f>
        <v>0.0107697717120943</v>
      </c>
      <c r="O713" s="25" t="n">
        <f aca="false">IF(A713-30&lt;$R$2,"",C713/INDEX(Clean_Data!$C$2:$C$4314,MATCH(A713-30,Clean_Data!$A$2:$A$4314,1))-1)</f>
        <v>0.0896685338836709</v>
      </c>
    </row>
    <row r="714" customFormat="false" ht="15" hidden="false" customHeight="false" outlineLevel="0" collapsed="false">
      <c r="A714" s="16" t="n">
        <v>42720</v>
      </c>
      <c r="B714" s="23" t="n">
        <f aca="false">YEAR(A714)</f>
        <v>2016</v>
      </c>
      <c r="C714" s="17" t="n">
        <v>780.98</v>
      </c>
      <c r="D714" s="23" t="n">
        <f aca="false">A714-A713</f>
        <v>1</v>
      </c>
      <c r="E714" s="24" t="n">
        <f aca="false">LN(C714)</f>
        <v>6.66054954131717</v>
      </c>
      <c r="F714" s="25" t="n">
        <f aca="false">LN(C714/C713)</f>
        <v>0.00619085682026199</v>
      </c>
      <c r="G714" s="25" t="n">
        <f aca="false">IF(AND(D714=1,A714&gt;=$R$2),F714,"")</f>
        <v>0.00619085682026199</v>
      </c>
      <c r="H714" s="27" t="n">
        <f aca="false">IF(G714="","",G714^2)</f>
        <v>3.83267081689844E-005</v>
      </c>
      <c r="I714" s="25" t="n">
        <f aca="false">IF(G714="","",C714/C713-1)</f>
        <v>0.00621005978148848</v>
      </c>
      <c r="J714" s="17" t="n">
        <f aca="false">AVERAGE(C515:C714)</f>
        <v>652.9997</v>
      </c>
      <c r="K714" s="17" t="n">
        <f aca="false">MAX(K713,C714)</f>
        <v>780.98</v>
      </c>
      <c r="L714" s="25" t="n">
        <f aca="false">C714/K714-1</f>
        <v>0</v>
      </c>
      <c r="M714" s="25" t="n">
        <f aca="false">IF(COUNT(G685:G714)&lt;20,"",_xlfn.STDEV.S(G685:G714)*SQRT($R$3))</f>
        <v>0.207333085925043</v>
      </c>
      <c r="N714" s="25" t="n">
        <f aca="false">IF(A714-7&lt;$R$2,"",C714/INDEX(Clean_Data!$C$2:$C$4314,MATCH(A714-7,Clean_Data!$A$2:$A$4314,1))-1)</f>
        <v>0.0100359535449162</v>
      </c>
      <c r="O714" s="25" t="n">
        <f aca="false">IF(A714-30&lt;$R$2,"",C714/INDEX(Clean_Data!$C$2:$C$4314,MATCH(A714-30,Clean_Data!$A$2:$A$4314,1))-1)</f>
        <v>0.0555923498006352</v>
      </c>
    </row>
    <row r="715" customFormat="false" ht="15" hidden="false" customHeight="false" outlineLevel="0" collapsed="false">
      <c r="A715" s="16" t="n">
        <v>42721</v>
      </c>
      <c r="B715" s="23" t="n">
        <f aca="false">YEAR(A715)</f>
        <v>2016</v>
      </c>
      <c r="C715" s="17" t="n">
        <v>788.57</v>
      </c>
      <c r="D715" s="23" t="n">
        <f aca="false">A715-A714</f>
        <v>1</v>
      </c>
      <c r="E715" s="24" t="n">
        <f aca="false">LN(C715)</f>
        <v>6.67022117861998</v>
      </c>
      <c r="F715" s="25" t="n">
        <f aca="false">LN(C715/C714)</f>
        <v>0.00967163730281552</v>
      </c>
      <c r="G715" s="25" t="n">
        <f aca="false">IF(AND(D715=1,A715&gt;=$R$2),F715,"")</f>
        <v>0.00967163730281552</v>
      </c>
      <c r="H715" s="27" t="n">
        <f aca="false">IF(G715="","",G715^2)</f>
        <v>9.35405681172127E-005</v>
      </c>
      <c r="I715" s="25" t="n">
        <f aca="false">IF(G715="","",C715/C714-1)</f>
        <v>0.00971855873389838</v>
      </c>
      <c r="J715" s="17" t="n">
        <f aca="false">AVERAGE(C516:C715)</f>
        <v>654.28585</v>
      </c>
      <c r="K715" s="17" t="n">
        <f aca="false">MAX(K714,C715)</f>
        <v>788.57</v>
      </c>
      <c r="L715" s="25" t="n">
        <f aca="false">C715/K715-1</f>
        <v>0</v>
      </c>
      <c r="M715" s="25" t="n">
        <f aca="false">IF(COUNT(G686:G715)&lt;20,"",_xlfn.STDEV.S(G686:G715)*SQRT($R$3))</f>
        <v>0.202512058807011</v>
      </c>
      <c r="N715" s="25" t="n">
        <f aca="false">IF(A715-7&lt;$R$2,"",C715/INDEX(Clean_Data!$C$2:$C$4314,MATCH(A715-7,Clean_Data!$A$2:$A$4314,1))-1)</f>
        <v>0.0163687215641797</v>
      </c>
      <c r="O715" s="25" t="n">
        <f aca="false">IF(A715-30&lt;$R$2,"",C715/INDEX(Clean_Data!$C$2:$C$4314,MATCH(A715-30,Clean_Data!$A$2:$A$4314,1))-1)</f>
        <v>0.0791832601168727</v>
      </c>
    </row>
    <row r="716" customFormat="false" ht="15" hidden="false" customHeight="false" outlineLevel="0" collapsed="false">
      <c r="A716" s="16" t="n">
        <v>42722</v>
      </c>
      <c r="B716" s="23" t="n">
        <f aca="false">YEAR(A716)</f>
        <v>2016</v>
      </c>
      <c r="C716" s="17" t="n">
        <v>790.72</v>
      </c>
      <c r="D716" s="23" t="n">
        <f aca="false">A716-A715</f>
        <v>1</v>
      </c>
      <c r="E716" s="24" t="n">
        <f aca="false">LN(C716)</f>
        <v>6.67294392280025</v>
      </c>
      <c r="F716" s="25" t="n">
        <f aca="false">LN(C716/C715)</f>
        <v>0.00272274418026127</v>
      </c>
      <c r="G716" s="25" t="n">
        <f aca="false">IF(AND(D716=1,A716&gt;=$R$2),F716,"")</f>
        <v>0.00272274418026127</v>
      </c>
      <c r="H716" s="27" t="n">
        <f aca="false">IF(G716="","",G716^2)</f>
        <v>7.41333587114659E-006</v>
      </c>
      <c r="I716" s="25" t="n">
        <f aca="false">IF(G716="","",C716/C715-1)</f>
        <v>0.00272645421459083</v>
      </c>
      <c r="J716" s="17" t="n">
        <f aca="false">AVERAGE(C517:C716)</f>
        <v>655.56525</v>
      </c>
      <c r="K716" s="17" t="n">
        <f aca="false">MAX(K715,C716)</f>
        <v>790.72</v>
      </c>
      <c r="L716" s="25" t="n">
        <f aca="false">C716/K716-1</f>
        <v>0</v>
      </c>
      <c r="M716" s="25" t="n">
        <f aca="false">IF(COUNT(G687:G716)&lt;20,"",_xlfn.STDEV.S(G687:G716)*SQRT($R$3))</f>
        <v>0.186989157429559</v>
      </c>
      <c r="N716" s="25" t="n">
        <f aca="false">IF(A716-7&lt;$R$2,"",C716/INDEX(Clean_Data!$C$2:$C$4314,MATCH(A716-7,Clean_Data!$A$2:$A$4314,1))-1)</f>
        <v>0.0255106672719021</v>
      </c>
      <c r="O716" s="25" t="n">
        <f aca="false">IF(A716-30&lt;$R$2,"",C716/INDEX(Clean_Data!$C$2:$C$4314,MATCH(A716-30,Clean_Data!$A$2:$A$4314,1))-1)</f>
        <v>0.0563496940711252</v>
      </c>
    </row>
    <row r="717" customFormat="false" ht="15" hidden="false" customHeight="false" outlineLevel="0" collapsed="false">
      <c r="A717" s="16" t="n">
        <v>42723</v>
      </c>
      <c r="B717" s="23" t="n">
        <f aca="false">YEAR(A717)</f>
        <v>2016</v>
      </c>
      <c r="C717" s="17" t="n">
        <v>790.81</v>
      </c>
      <c r="D717" s="23" t="n">
        <f aca="false">A717-A716</f>
        <v>1</v>
      </c>
      <c r="E717" s="24" t="n">
        <f aca="false">LN(C717)</f>
        <v>6.67305773663887</v>
      </c>
      <c r="F717" s="25" t="n">
        <f aca="false">LN(C717/C716)</f>
        <v>0.000113813838620996</v>
      </c>
      <c r="G717" s="25" t="n">
        <f aca="false">IF(AND(D717=1,A717&gt;=$R$2),F717,"")</f>
        <v>0.000113813838620996</v>
      </c>
      <c r="H717" s="27" t="n">
        <f aca="false">IF(G717="","",G717^2)</f>
        <v>1.29535898616461E-008</v>
      </c>
      <c r="I717" s="25" t="n">
        <f aca="false">IF(G717="","",C717/C716-1)</f>
        <v>0.00011382031566165</v>
      </c>
      <c r="J717" s="17" t="n">
        <f aca="false">AVERAGE(C518:C717)</f>
        <v>656.82995</v>
      </c>
      <c r="K717" s="17" t="n">
        <f aca="false">MAX(K716,C717)</f>
        <v>790.81</v>
      </c>
      <c r="L717" s="25" t="n">
        <f aca="false">C717/K717-1</f>
        <v>0</v>
      </c>
      <c r="M717" s="25" t="n">
        <f aca="false">IF(COUNT(G688:G717)&lt;20,"",_xlfn.STDEV.S(G688:G717)*SQRT($R$3))</f>
        <v>0.18703447599962</v>
      </c>
      <c r="N717" s="25" t="n">
        <f aca="false">IF(A717-7&lt;$R$2,"",C717/INDEX(Clean_Data!$C$2:$C$4314,MATCH(A717-7,Clean_Data!$A$2:$A$4314,1))-1)</f>
        <v>0.0152386576629777</v>
      </c>
      <c r="O717" s="25" t="n">
        <f aca="false">IF(A717-30&lt;$R$2,"",C717/INDEX(Clean_Data!$C$2:$C$4314,MATCH(A717-30,Clean_Data!$A$2:$A$4314,1))-1)</f>
        <v>0.0533319125697618</v>
      </c>
    </row>
    <row r="718" customFormat="false" ht="15" hidden="false" customHeight="false" outlineLevel="0" collapsed="false">
      <c r="A718" s="16" t="n">
        <v>42724</v>
      </c>
      <c r="B718" s="23" t="n">
        <f aca="false">YEAR(A718)</f>
        <v>2016</v>
      </c>
      <c r="C718" s="17" t="n">
        <v>798.99</v>
      </c>
      <c r="D718" s="23" t="n">
        <f aca="false">A718-A717</f>
        <v>1</v>
      </c>
      <c r="E718" s="24" t="n">
        <f aca="false">LN(C718)</f>
        <v>6.6833484300434</v>
      </c>
      <c r="F718" s="25" t="n">
        <f aca="false">LN(C718/C717)</f>
        <v>0.0102906934045314</v>
      </c>
      <c r="G718" s="25" t="n">
        <f aca="false">IF(AND(D718=1,A718&gt;=$R$2),F718,"")</f>
        <v>0.0102906934045314</v>
      </c>
      <c r="H718" s="27" t="n">
        <f aca="false">IF(G718="","",G718^2)</f>
        <v>0.000105898370746067</v>
      </c>
      <c r="I718" s="25" t="n">
        <f aca="false">IF(G718="","",C718/C717-1)</f>
        <v>0.0103438246860814</v>
      </c>
      <c r="J718" s="17" t="n">
        <f aca="false">AVERAGE(C519:C718)</f>
        <v>657.96865</v>
      </c>
      <c r="K718" s="17" t="n">
        <f aca="false">MAX(K717,C718)</f>
        <v>798.99</v>
      </c>
      <c r="L718" s="25" t="n">
        <f aca="false">C718/K718-1</f>
        <v>0</v>
      </c>
      <c r="M718" s="25" t="n">
        <f aca="false">IF(COUNT(G689:G718)&lt;20,"",_xlfn.STDEV.S(G689:G718)*SQRT($R$3))</f>
        <v>0.161716623662881</v>
      </c>
      <c r="N718" s="25" t="n">
        <f aca="false">IF(A718-7&lt;$R$2,"",C718/INDEX(Clean_Data!$C$2:$C$4314,MATCH(A718-7,Clean_Data!$A$2:$A$4314,1))-1)</f>
        <v>0.0293875132056998</v>
      </c>
      <c r="O718" s="25" t="n">
        <f aca="false">IF(A718-30&lt;$R$2,"",C718/INDEX(Clean_Data!$C$2:$C$4314,MATCH(A718-30,Clean_Data!$A$2:$A$4314,1))-1)</f>
        <v>0.0915313050724738</v>
      </c>
    </row>
    <row r="719" customFormat="false" ht="15" hidden="false" customHeight="false" outlineLevel="0" collapsed="false">
      <c r="A719" s="16" t="n">
        <v>42725</v>
      </c>
      <c r="B719" s="23" t="n">
        <f aca="false">YEAR(A719)</f>
        <v>2016</v>
      </c>
      <c r="C719" s="17" t="n">
        <v>834.5</v>
      </c>
      <c r="D719" s="23" t="n">
        <f aca="false">A719-A718</f>
        <v>1</v>
      </c>
      <c r="E719" s="24" t="n">
        <f aca="false">LN(C719)</f>
        <v>6.72683274310189</v>
      </c>
      <c r="F719" s="25" t="n">
        <f aca="false">LN(C719/C718)</f>
        <v>0.0434843130584922</v>
      </c>
      <c r="G719" s="25" t="n">
        <f aca="false">IF(AND(D719=1,A719&gt;=$R$2),F719,"")</f>
        <v>0.0434843130584922</v>
      </c>
      <c r="H719" s="27" t="n">
        <f aca="false">IF(G719="","",G719^2)</f>
        <v>0.00189088548216896</v>
      </c>
      <c r="I719" s="25" t="n">
        <f aca="false">IF(G719="","",C719/C718-1)</f>
        <v>0.0444436100576979</v>
      </c>
      <c r="J719" s="17" t="n">
        <f aca="false">AVERAGE(C520:C719)</f>
        <v>659.2596</v>
      </c>
      <c r="K719" s="17" t="n">
        <f aca="false">MAX(K718,C719)</f>
        <v>834.5</v>
      </c>
      <c r="L719" s="25" t="n">
        <f aca="false">C719/K719-1</f>
        <v>0</v>
      </c>
      <c r="M719" s="25" t="n">
        <f aca="false">IF(COUNT(G690:G719)&lt;20,"",_xlfn.STDEV.S(G690:G719)*SQRT($R$3))</f>
        <v>0.214834360373475</v>
      </c>
      <c r="N719" s="25" t="n">
        <f aca="false">IF(A719-7&lt;$R$2,"",C719/INDEX(Clean_Data!$C$2:$C$4314,MATCH(A719-7,Clean_Data!$A$2:$A$4314,1))-1)</f>
        <v>0.0730910680760231</v>
      </c>
      <c r="O719" s="25" t="n">
        <f aca="false">IF(A719-30&lt;$R$2,"",C719/INDEX(Clean_Data!$C$2:$C$4314,MATCH(A719-30,Clean_Data!$A$2:$A$4314,1))-1)</f>
        <v>0.133215643671917</v>
      </c>
    </row>
    <row r="720" customFormat="false" ht="15" hidden="false" customHeight="false" outlineLevel="0" collapsed="false">
      <c r="A720" s="16" t="n">
        <v>42726</v>
      </c>
      <c r="B720" s="23" t="n">
        <f aca="false">YEAR(A720)</f>
        <v>2016</v>
      </c>
      <c r="C720" s="17" t="n">
        <v>856.02</v>
      </c>
      <c r="D720" s="23" t="n">
        <f aca="false">A720-A719</f>
        <v>1</v>
      </c>
      <c r="E720" s="24" t="n">
        <f aca="false">LN(C720)</f>
        <v>6.75229374035478</v>
      </c>
      <c r="F720" s="25" t="n">
        <f aca="false">LN(C720/C719)</f>
        <v>0.0254609972528882</v>
      </c>
      <c r="G720" s="25" t="n">
        <f aca="false">IF(AND(D720=1,A720&gt;=$R$2),F720,"")</f>
        <v>0.0254609972528882</v>
      </c>
      <c r="H720" s="27" t="n">
        <f aca="false">IF(G720="","",G720^2)</f>
        <v>0.000648262381111583</v>
      </c>
      <c r="I720" s="25" t="n">
        <f aca="false">IF(G720="","",C720/C719-1)</f>
        <v>0.025787896944278</v>
      </c>
      <c r="J720" s="17" t="n">
        <f aca="false">AVERAGE(C521:C720)</f>
        <v>660.66385</v>
      </c>
      <c r="K720" s="17" t="n">
        <f aca="false">MAX(K719,C720)</f>
        <v>856.02</v>
      </c>
      <c r="L720" s="25" t="n">
        <f aca="false">C720/K720-1</f>
        <v>0</v>
      </c>
      <c r="M720" s="25" t="n">
        <f aca="false">IF(COUNT(G691:G720)&lt;20,"",_xlfn.STDEV.S(G691:G720)*SQRT($R$3))</f>
        <v>0.225004115857798</v>
      </c>
      <c r="N720" s="25" t="n">
        <f aca="false">IF(A720-7&lt;$R$2,"",C720/INDEX(Clean_Data!$C$2:$C$4314,MATCH(A720-7,Clean_Data!$A$2:$A$4314,1))-1)</f>
        <v>0.102891156462585</v>
      </c>
      <c r="O720" s="25" t="n">
        <f aca="false">IF(A720-30&lt;$R$2,"",C720/INDEX(Clean_Data!$C$2:$C$4314,MATCH(A720-30,Clean_Data!$A$2:$A$4314,1))-1)</f>
        <v>0.146465593442799</v>
      </c>
    </row>
    <row r="721" customFormat="false" ht="15" hidden="false" customHeight="false" outlineLevel="0" collapsed="false">
      <c r="A721" s="16" t="n">
        <v>42727</v>
      </c>
      <c r="B721" s="23" t="n">
        <f aca="false">YEAR(A721)</f>
        <v>2016</v>
      </c>
      <c r="C721" s="17" t="n">
        <v>917.26</v>
      </c>
      <c r="D721" s="23" t="n">
        <f aca="false">A721-A720</f>
        <v>1</v>
      </c>
      <c r="E721" s="24" t="n">
        <f aca="false">LN(C721)</f>
        <v>6.82139096532914</v>
      </c>
      <c r="F721" s="25" t="n">
        <f aca="false">LN(C721/C720)</f>
        <v>0.0690972249743605</v>
      </c>
      <c r="G721" s="25" t="n">
        <f aca="false">IF(AND(D721=1,A721&gt;=$R$2),F721,"")</f>
        <v>0.0690972249743605</v>
      </c>
      <c r="H721" s="27" t="n">
        <f aca="false">IF(G721="","",G721^2)</f>
        <v>0.00477442649915739</v>
      </c>
      <c r="I721" s="25" t="n">
        <f aca="false">IF(G721="","",C721/C720-1)</f>
        <v>0.0715403845704539</v>
      </c>
      <c r="J721" s="17" t="n">
        <f aca="false">AVERAGE(C522:C721)</f>
        <v>662.3163</v>
      </c>
      <c r="K721" s="17" t="n">
        <f aca="false">MAX(K720,C721)</f>
        <v>917.26</v>
      </c>
      <c r="L721" s="25" t="n">
        <f aca="false">C721/K721-1</f>
        <v>0</v>
      </c>
      <c r="M721" s="25" t="n">
        <f aca="false">IF(COUNT(G692:G721)&lt;20,"",_xlfn.STDEV.S(G692:G721)*SQRT($R$3))</f>
        <v>0.314607192479962</v>
      </c>
      <c r="N721" s="25" t="n">
        <f aca="false">IF(A721-7&lt;$R$2,"",C721/INDEX(Clean_Data!$C$2:$C$4314,MATCH(A721-7,Clean_Data!$A$2:$A$4314,1))-1)</f>
        <v>0.174498706753054</v>
      </c>
      <c r="O721" s="25" t="n">
        <f aca="false">IF(A721-30&lt;$R$2,"",C721/INDEX(Clean_Data!$C$2:$C$4314,MATCH(A721-30,Clean_Data!$A$2:$A$4314,1))-1)</f>
        <v>0.23699967634049</v>
      </c>
    </row>
    <row r="722" customFormat="false" ht="15" hidden="false" customHeight="false" outlineLevel="0" collapsed="false">
      <c r="A722" s="16" t="n">
        <v>42728</v>
      </c>
      <c r="B722" s="23" t="n">
        <f aca="false">YEAR(A722)</f>
        <v>2016</v>
      </c>
      <c r="C722" s="17" t="n">
        <v>891.5</v>
      </c>
      <c r="D722" s="23" t="n">
        <f aca="false">A722-A721</f>
        <v>1</v>
      </c>
      <c r="E722" s="24" t="n">
        <f aca="false">LN(C722)</f>
        <v>6.7929054373032</v>
      </c>
      <c r="F722" s="25" t="n">
        <f aca="false">LN(C722/C721)</f>
        <v>-0.0284855280259436</v>
      </c>
      <c r="G722" s="25" t="n">
        <f aca="false">IF(AND(D722=1,A722&gt;=$R$2),F722,"")</f>
        <v>-0.0284855280259436</v>
      </c>
      <c r="H722" s="27" t="n">
        <f aca="false">IF(G722="","",G722^2)</f>
        <v>0.000811425306916818</v>
      </c>
      <c r="I722" s="25" t="n">
        <f aca="false">IF(G722="","",C722/C721-1)</f>
        <v>-0.0280836404073</v>
      </c>
      <c r="J722" s="17" t="n">
        <f aca="false">AVERAGE(C523:C722)</f>
        <v>663.87525</v>
      </c>
      <c r="K722" s="17" t="n">
        <f aca="false">MAX(K721,C722)</f>
        <v>917.26</v>
      </c>
      <c r="L722" s="25" t="n">
        <f aca="false">C722/K722-1</f>
        <v>-0.0280836404073</v>
      </c>
      <c r="M722" s="25" t="n">
        <f aca="false">IF(COUNT(G693:G722)&lt;20,"",_xlfn.STDEV.S(G693:G722)*SQRT($R$3))</f>
        <v>0.336005872580607</v>
      </c>
      <c r="N722" s="25" t="n">
        <f aca="false">IF(A722-7&lt;$R$2,"",C722/INDEX(Clean_Data!$C$2:$C$4314,MATCH(A722-7,Clean_Data!$A$2:$A$4314,1))-1)</f>
        <v>0.130527410375743</v>
      </c>
      <c r="O722" s="25" t="n">
        <f aca="false">IF(A722-30&lt;$R$2,"",C722/INDEX(Clean_Data!$C$2:$C$4314,MATCH(A722-30,Clean_Data!$A$2:$A$4314,1))-1)</f>
        <v>0.208010948657841</v>
      </c>
    </row>
    <row r="723" customFormat="false" ht="15" hidden="false" customHeight="false" outlineLevel="0" collapsed="false">
      <c r="A723" s="16" t="n">
        <v>42729</v>
      </c>
      <c r="B723" s="23" t="n">
        <f aca="false">YEAR(A723)</f>
        <v>2016</v>
      </c>
      <c r="C723" s="17" t="n">
        <v>896.12</v>
      </c>
      <c r="D723" s="23" t="n">
        <f aca="false">A723-A722</f>
        <v>1</v>
      </c>
      <c r="E723" s="24" t="n">
        <f aca="false">LN(C723)</f>
        <v>6.79807433257873</v>
      </c>
      <c r="F723" s="25" t="n">
        <f aca="false">LN(C723/C722)</f>
        <v>0.00516889527553352</v>
      </c>
      <c r="G723" s="25" t="n">
        <f aca="false">IF(AND(D723=1,A723&gt;=$R$2),F723,"")</f>
        <v>0.00516889527553352</v>
      </c>
      <c r="H723" s="27" t="n">
        <f aca="false">IF(G723="","",G723^2)</f>
        <v>2.67174783694327E-005</v>
      </c>
      <c r="I723" s="25" t="n">
        <f aca="false">IF(G723="","",C723/C722-1)</f>
        <v>0.00518227706113295</v>
      </c>
      <c r="J723" s="17" t="n">
        <f aca="false">AVERAGE(C524:C723)</f>
        <v>665.4398</v>
      </c>
      <c r="K723" s="17" t="n">
        <f aca="false">MAX(K722,C723)</f>
        <v>917.26</v>
      </c>
      <c r="L723" s="25" t="n">
        <f aca="false">C723/K723-1</f>
        <v>-0.0230469005516429</v>
      </c>
      <c r="M723" s="25" t="n">
        <f aca="false">IF(COUNT(G694:G723)&lt;20,"",_xlfn.STDEV.S(G694:G723)*SQRT($R$3))</f>
        <v>0.335735425830432</v>
      </c>
      <c r="N723" s="25" t="n">
        <f aca="false">IF(A723-7&lt;$R$2,"",C723/INDEX(Clean_Data!$C$2:$C$4314,MATCH(A723-7,Clean_Data!$A$2:$A$4314,1))-1)</f>
        <v>0.133296236341562</v>
      </c>
      <c r="O723" s="25" t="n">
        <f aca="false">IF(A723-30&lt;$R$2,"",C723/INDEX(Clean_Data!$C$2:$C$4314,MATCH(A723-30,Clean_Data!$A$2:$A$4314,1))-1)</f>
        <v>0.211398599507935</v>
      </c>
    </row>
    <row r="724" customFormat="false" ht="15" hidden="false" customHeight="false" outlineLevel="0" collapsed="false">
      <c r="A724" s="16" t="n">
        <v>42730</v>
      </c>
      <c r="B724" s="23" t="n">
        <f aca="false">YEAR(A724)</f>
        <v>2016</v>
      </c>
      <c r="C724" s="17" t="n">
        <v>902.09</v>
      </c>
      <c r="D724" s="23" t="n">
        <f aca="false">A724-A723</f>
        <v>1</v>
      </c>
      <c r="E724" s="24" t="n">
        <f aca="false">LN(C724)</f>
        <v>6.80471429335561</v>
      </c>
      <c r="F724" s="25" t="n">
        <f aca="false">LN(C724/C723)</f>
        <v>0.00663996077688451</v>
      </c>
      <c r="G724" s="25" t="n">
        <f aca="false">IF(AND(D724=1,A724&gt;=$R$2),F724,"")</f>
        <v>0.00663996077688451</v>
      </c>
      <c r="H724" s="27" t="n">
        <f aca="false">IF(G724="","",G724^2)</f>
        <v>4.40890791185647E-005</v>
      </c>
      <c r="I724" s="25" t="n">
        <f aca="false">IF(G724="","",C724/C723-1)</f>
        <v>0.0066620541891711</v>
      </c>
      <c r="J724" s="17" t="n">
        <f aca="false">AVERAGE(C525:C724)</f>
        <v>667.06295</v>
      </c>
      <c r="K724" s="17" t="n">
        <f aca="false">MAX(K723,C724)</f>
        <v>917.26</v>
      </c>
      <c r="L724" s="25" t="n">
        <f aca="false">C724/K724-1</f>
        <v>-0.0165383860628393</v>
      </c>
      <c r="M724" s="25" t="n">
        <f aca="false">IF(COUNT(G695:G724)&lt;20,"",_xlfn.STDEV.S(G695:G724)*SQRT($R$3))</f>
        <v>0.332993149868355</v>
      </c>
      <c r="N724" s="25" t="n">
        <f aca="false">IF(A724-7&lt;$R$2,"",C724/INDEX(Clean_Data!$C$2:$C$4314,MATCH(A724-7,Clean_Data!$A$2:$A$4314,1))-1)</f>
        <v>0.140716480570554</v>
      </c>
      <c r="O724" s="25" t="n">
        <f aca="false">IF(A724-30&lt;$R$2,"",C724/INDEX(Clean_Data!$C$2:$C$4314,MATCH(A724-30,Clean_Data!$A$2:$A$4314,1))-1)</f>
        <v>0.22616555661275</v>
      </c>
    </row>
    <row r="725" customFormat="false" ht="15" hidden="false" customHeight="false" outlineLevel="0" collapsed="false">
      <c r="A725" s="16" t="n">
        <v>42731</v>
      </c>
      <c r="B725" s="23" t="n">
        <f aca="false">YEAR(A725)</f>
        <v>2016</v>
      </c>
      <c r="C725" s="17" t="n">
        <v>925.2</v>
      </c>
      <c r="D725" s="23" t="n">
        <f aca="false">A725-A724</f>
        <v>1</v>
      </c>
      <c r="E725" s="24" t="n">
        <f aca="false">LN(C725)</f>
        <v>6.83000993035728</v>
      </c>
      <c r="F725" s="25" t="n">
        <f aca="false">LN(C725/C724)</f>
        <v>0.025295637001671</v>
      </c>
      <c r="G725" s="25" t="n">
        <f aca="false">IF(AND(D725=1,A725&gt;=$R$2),F725,"")</f>
        <v>0.025295637001671</v>
      </c>
      <c r="H725" s="27" t="n">
        <f aca="false">IF(G725="","",G725^2)</f>
        <v>0.000639869251320308</v>
      </c>
      <c r="I725" s="25" t="n">
        <f aca="false">IF(G725="","",C725/C724-1)</f>
        <v>0.0256182864237493</v>
      </c>
      <c r="J725" s="17" t="n">
        <f aca="false">AVERAGE(C526:C725)</f>
        <v>668.7874</v>
      </c>
      <c r="K725" s="17" t="n">
        <f aca="false">MAX(K724,C725)</f>
        <v>925.2</v>
      </c>
      <c r="L725" s="25" t="n">
        <f aca="false">C725/K725-1</f>
        <v>0</v>
      </c>
      <c r="M725" s="25" t="n">
        <f aca="false">IF(COUNT(G696:G725)&lt;20,"",_xlfn.STDEV.S(G696:G725)*SQRT($R$3))</f>
        <v>0.334117041719897</v>
      </c>
      <c r="N725" s="25" t="n">
        <f aca="false">IF(A725-7&lt;$R$2,"",C725/INDEX(Clean_Data!$C$2:$C$4314,MATCH(A725-7,Clean_Data!$A$2:$A$4314,1))-1)</f>
        <v>0.157961926932753</v>
      </c>
      <c r="O725" s="25" t="n">
        <f aca="false">IF(A725-30&lt;$R$2,"",C725/INDEX(Clean_Data!$C$2:$C$4314,MATCH(A725-30,Clean_Data!$A$2:$A$4314,1))-1)</f>
        <v>0.268718117492184</v>
      </c>
    </row>
    <row r="726" customFormat="false" ht="15" hidden="false" customHeight="false" outlineLevel="0" collapsed="false">
      <c r="A726" s="16" t="n">
        <v>42732</v>
      </c>
      <c r="B726" s="23" t="n">
        <f aca="false">YEAR(A726)</f>
        <v>2016</v>
      </c>
      <c r="C726" s="17" t="n">
        <v>982.17</v>
      </c>
      <c r="D726" s="23" t="n">
        <f aca="false">A726-A725</f>
        <v>1</v>
      </c>
      <c r="E726" s="24" t="n">
        <f aca="false">LN(C726)</f>
        <v>6.88976440946122</v>
      </c>
      <c r="F726" s="25" t="n">
        <f aca="false">LN(C726/C725)</f>
        <v>0.0597544791039337</v>
      </c>
      <c r="G726" s="25" t="n">
        <f aca="false">IF(AND(D726=1,A726&gt;=$R$2),F726,"")</f>
        <v>0.0597544791039337</v>
      </c>
      <c r="H726" s="27" t="n">
        <f aca="false">IF(G726="","",G726^2)</f>
        <v>0.00357059777298245</v>
      </c>
      <c r="I726" s="25" t="n">
        <f aca="false">IF(G726="","",C726/C725-1)</f>
        <v>0.0615758754863813</v>
      </c>
      <c r="J726" s="17" t="n">
        <f aca="false">AVERAGE(C527:C726)</f>
        <v>670.65075</v>
      </c>
      <c r="K726" s="17" t="n">
        <f aca="false">MAX(K725,C726)</f>
        <v>982.17</v>
      </c>
      <c r="L726" s="25" t="n">
        <f aca="false">C726/K726-1</f>
        <v>0</v>
      </c>
      <c r="M726" s="25" t="n">
        <f aca="false">IF(COUNT(G697:G726)&lt;20,"",_xlfn.STDEV.S(G697:G726)*SQRT($R$3))</f>
        <v>0.378573285916488</v>
      </c>
      <c r="N726" s="25" t="n">
        <f aca="false">IF(A726-7&lt;$R$2,"",C726/INDEX(Clean_Data!$C$2:$C$4314,MATCH(A726-7,Clean_Data!$A$2:$A$4314,1))-1)</f>
        <v>0.176956261234272</v>
      </c>
      <c r="O726" s="25" t="n">
        <f aca="false">IF(A726-30&lt;$R$2,"",C726/INDEX(Clean_Data!$C$2:$C$4314,MATCH(A726-30,Clean_Data!$A$2:$A$4314,1))-1)</f>
        <v>0.345862395001165</v>
      </c>
    </row>
    <row r="727" customFormat="false" ht="15" hidden="false" customHeight="false" outlineLevel="0" collapsed="false">
      <c r="A727" s="16" t="n">
        <v>42733</v>
      </c>
      <c r="B727" s="23" t="n">
        <f aca="false">YEAR(A727)</f>
        <v>2016</v>
      </c>
      <c r="C727" s="17" t="n">
        <v>970.72</v>
      </c>
      <c r="D727" s="23" t="n">
        <f aca="false">A727-A726</f>
        <v>1</v>
      </c>
      <c r="E727" s="24" t="n">
        <f aca="false">LN(C727)</f>
        <v>6.87803806419399</v>
      </c>
      <c r="F727" s="25" t="n">
        <f aca="false">LN(C727/C726)</f>
        <v>-0.01172634526723</v>
      </c>
      <c r="G727" s="25" t="n">
        <f aca="false">IF(AND(D727=1,A727&gt;=$R$2),F727,"")</f>
        <v>-0.01172634526723</v>
      </c>
      <c r="H727" s="27" t="n">
        <f aca="false">IF(G727="","",G727^2)</f>
        <v>0.000137507173326288</v>
      </c>
      <c r="I727" s="25" t="n">
        <f aca="false">IF(G727="","",C727/C726-1)</f>
        <v>-0.0116578596373336</v>
      </c>
      <c r="J727" s="17" t="n">
        <f aca="false">AVERAGE(C528:C727)</f>
        <v>672.11505</v>
      </c>
      <c r="K727" s="17" t="n">
        <f aca="false">MAX(K726,C727)</f>
        <v>982.17</v>
      </c>
      <c r="L727" s="25" t="n">
        <f aca="false">C727/K727-1</f>
        <v>-0.0116578596373336</v>
      </c>
      <c r="M727" s="25" t="n">
        <f aca="false">IF(COUNT(G698:G727)&lt;20,"",_xlfn.STDEV.S(G698:G727)*SQRT($R$3))</f>
        <v>0.385487051680251</v>
      </c>
      <c r="N727" s="25" t="n">
        <f aca="false">IF(A727-7&lt;$R$2,"",C727/INDEX(Clean_Data!$C$2:$C$4314,MATCH(A727-7,Clean_Data!$A$2:$A$4314,1))-1)</f>
        <v>0.133992196444008</v>
      </c>
      <c r="O727" s="25" t="n">
        <f aca="false">IF(A727-30&lt;$R$2,"",C727/INDEX(Clean_Data!$C$2:$C$4314,MATCH(A727-30,Clean_Data!$A$2:$A$4314,1))-1)</f>
        <v>0.325450250556413</v>
      </c>
    </row>
    <row r="728" customFormat="false" ht="15" hidden="false" customHeight="false" outlineLevel="0" collapsed="false">
      <c r="A728" s="16" t="n">
        <v>42734</v>
      </c>
      <c r="B728" s="23" t="n">
        <f aca="false">YEAR(A728)</f>
        <v>2016</v>
      </c>
      <c r="C728" s="17" t="n">
        <v>960.81</v>
      </c>
      <c r="D728" s="23" t="n">
        <f aca="false">A728-A727</f>
        <v>1</v>
      </c>
      <c r="E728" s="24" t="n">
        <f aca="false">LN(C728)</f>
        <v>6.86777667870495</v>
      </c>
      <c r="F728" s="25" t="n">
        <f aca="false">LN(C728/C727)</f>
        <v>-0.0102613854890379</v>
      </c>
      <c r="G728" s="25" t="n">
        <f aca="false">IF(AND(D728=1,A728&gt;=$R$2),F728,"")</f>
        <v>-0.0102613854890379</v>
      </c>
      <c r="H728" s="27" t="n">
        <f aca="false">IF(G728="","",G728^2)</f>
        <v>0.000105296032154638</v>
      </c>
      <c r="I728" s="25" t="n">
        <f aca="false">IF(G728="","",C728/C727-1)</f>
        <v>-0.0102089170924675</v>
      </c>
      <c r="J728" s="17" t="n">
        <f aca="false">AVERAGE(C529:C728)</f>
        <v>673.38905</v>
      </c>
      <c r="K728" s="17" t="n">
        <f aca="false">MAX(K727,C728)</f>
        <v>982.17</v>
      </c>
      <c r="L728" s="25" t="n">
        <f aca="false">C728/K728-1</f>
        <v>-0.0217477626072879</v>
      </c>
      <c r="M728" s="25" t="n">
        <f aca="false">IF(COUNT(G699:G728)&lt;20,"",_xlfn.STDEV.S(G699:G728)*SQRT($R$3))</f>
        <v>0.391086144354328</v>
      </c>
      <c r="N728" s="25" t="n">
        <f aca="false">IF(A728-7&lt;$R$2,"",C728/INDEX(Clean_Data!$C$2:$C$4314,MATCH(A728-7,Clean_Data!$A$2:$A$4314,1))-1)</f>
        <v>0.0474783594618755</v>
      </c>
      <c r="O728" s="25" t="n">
        <f aca="false">IF(A728-30&lt;$R$2,"",C728/INDEX(Clean_Data!$C$2:$C$4314,MATCH(A728-30,Clean_Data!$A$2:$A$4314,1))-1)</f>
        <v>0.293689156983398</v>
      </c>
    </row>
    <row r="729" customFormat="false" ht="15" hidden="false" customHeight="false" outlineLevel="0" collapsed="false">
      <c r="A729" s="16" t="n">
        <v>42735</v>
      </c>
      <c r="B729" s="23" t="n">
        <f aca="false">YEAR(A729)</f>
        <v>2016</v>
      </c>
      <c r="C729" s="17" t="n">
        <v>973.37</v>
      </c>
      <c r="D729" s="23" t="n">
        <f aca="false">A729-A728</f>
        <v>1</v>
      </c>
      <c r="E729" s="24" t="n">
        <f aca="false">LN(C729)</f>
        <v>6.88076427711755</v>
      </c>
      <c r="F729" s="25" t="n">
        <f aca="false">LN(C729/C728)</f>
        <v>0.0129875984126017</v>
      </c>
      <c r="G729" s="25" t="n">
        <f aca="false">IF(AND(D729=1,A729&gt;=$R$2),F729,"")</f>
        <v>0.0129875984126017</v>
      </c>
      <c r="H729" s="27" t="n">
        <f aca="false">IF(G729="","",G729^2)</f>
        <v>0.000168677712527013</v>
      </c>
      <c r="I729" s="25" t="n">
        <f aca="false">IF(G729="","",C729/C728-1)</f>
        <v>0.0130723035771902</v>
      </c>
      <c r="J729" s="17" t="n">
        <f aca="false">AVERAGE(C530:C729)</f>
        <v>674.83115</v>
      </c>
      <c r="K729" s="17" t="n">
        <f aca="false">MAX(K728,C729)</f>
        <v>982.17</v>
      </c>
      <c r="L729" s="25" t="n">
        <f aca="false">C729/K729-1</f>
        <v>-0.008959752385025</v>
      </c>
      <c r="M729" s="25" t="n">
        <f aca="false">IF(COUNT(G700:G729)&lt;20,"",_xlfn.STDEV.S(G700:G729)*SQRT($R$3))</f>
        <v>0.390709452989642</v>
      </c>
      <c r="N729" s="25" t="n">
        <f aca="false">IF(A729-7&lt;$R$2,"",C729/INDEX(Clean_Data!$C$2:$C$4314,MATCH(A729-7,Clean_Data!$A$2:$A$4314,1))-1)</f>
        <v>0.0918339876612451</v>
      </c>
      <c r="O729" s="25" t="n">
        <f aca="false">IF(A729-30&lt;$R$2,"",C729/INDEX(Clean_Data!$C$2:$C$4314,MATCH(A729-30,Clean_Data!$A$2:$A$4314,1))-1)</f>
        <v>0.290941644562334</v>
      </c>
    </row>
    <row r="730" customFormat="false" ht="15" hidden="false" customHeight="false" outlineLevel="0" collapsed="false">
      <c r="A730" s="16" t="n">
        <v>42736</v>
      </c>
      <c r="B730" s="23" t="n">
        <f aca="false">YEAR(A730)</f>
        <v>2017</v>
      </c>
      <c r="C730" s="17" t="n">
        <v>992.95</v>
      </c>
      <c r="D730" s="23" t="n">
        <f aca="false">A730-A729</f>
        <v>1</v>
      </c>
      <c r="E730" s="24" t="n">
        <f aca="false">LN(C730)</f>
        <v>6.90068031031017</v>
      </c>
      <c r="F730" s="25" t="n">
        <f aca="false">LN(C730/C729)</f>
        <v>0.0199160331926223</v>
      </c>
      <c r="G730" s="25" t="n">
        <f aca="false">IF(AND(D730=1,A730&gt;=$R$2),F730,"")</f>
        <v>0.0199160331926223</v>
      </c>
      <c r="H730" s="27" t="n">
        <f aca="false">IF(G730="","",G730^2)</f>
        <v>0.000396648378129635</v>
      </c>
      <c r="I730" s="25" t="n">
        <f aca="false">IF(G730="","",C730/C729-1)</f>
        <v>0.0201156805736771</v>
      </c>
      <c r="J730" s="17" t="n">
        <f aca="false">AVERAGE(C531:C730)</f>
        <v>676.302</v>
      </c>
      <c r="K730" s="17" t="n">
        <f aca="false">MAX(K729,C730)</f>
        <v>992.95</v>
      </c>
      <c r="L730" s="25" t="n">
        <f aca="false">C730/K730-1</f>
        <v>0</v>
      </c>
      <c r="M730" s="25" t="n">
        <f aca="false">IF(COUNT(G701:G730)&lt;20,"",_xlfn.STDEV.S(G701:G730)*SQRT($R$3))</f>
        <v>0.390669726202211</v>
      </c>
      <c r="N730" s="25" t="n">
        <f aca="false">IF(A730-7&lt;$R$2,"",C730/INDEX(Clean_Data!$C$2:$C$4314,MATCH(A730-7,Clean_Data!$A$2:$A$4314,1))-1)</f>
        <v>0.108054724813641</v>
      </c>
      <c r="O730" s="25" t="n">
        <f aca="false">IF(A730-30&lt;$R$2,"",C730/INDEX(Clean_Data!$C$2:$C$4314,MATCH(A730-30,Clean_Data!$A$2:$A$4314,1))-1)</f>
        <v>0.290802729931752</v>
      </c>
    </row>
    <row r="731" customFormat="false" ht="15" hidden="false" customHeight="false" outlineLevel="0" collapsed="false">
      <c r="A731" s="16" t="n">
        <v>42737</v>
      </c>
      <c r="B731" s="23" t="n">
        <f aca="false">YEAR(A731)</f>
        <v>2017</v>
      </c>
      <c r="C731" s="17" t="n">
        <v>1011.45</v>
      </c>
      <c r="D731" s="23" t="n">
        <f aca="false">A731-A730</f>
        <v>1</v>
      </c>
      <c r="E731" s="24" t="n">
        <f aca="false">LN(C731)</f>
        <v>6.9191402238487</v>
      </c>
      <c r="F731" s="25" t="n">
        <f aca="false">LN(C731/C730)</f>
        <v>0.0184599135385269</v>
      </c>
      <c r="G731" s="25" t="n">
        <f aca="false">IF(AND(D731=1,A731&gt;=$R$2),F731,"")</f>
        <v>0.0184599135385269</v>
      </c>
      <c r="H731" s="27" t="n">
        <f aca="false">IF(G731="","",G731^2)</f>
        <v>0.000340768407849889</v>
      </c>
      <c r="I731" s="25" t="n">
        <f aca="false">IF(G731="","",C731/C730-1)</f>
        <v>0.0186313510247242</v>
      </c>
      <c r="J731" s="17" t="n">
        <f aca="false">AVERAGE(C532:C731)</f>
        <v>677.51045</v>
      </c>
      <c r="K731" s="17" t="n">
        <f aca="false">MAX(K730,C731)</f>
        <v>1011.45</v>
      </c>
      <c r="L731" s="25" t="n">
        <f aca="false">C731/K731-1</f>
        <v>0</v>
      </c>
      <c r="M731" s="25" t="n">
        <f aca="false">IF(COUNT(G702:G731)&lt;20,"",_xlfn.STDEV.S(G702:G731)*SQRT($R$3))</f>
        <v>0.389900785302998</v>
      </c>
      <c r="N731" s="25" t="n">
        <f aca="false">IF(A731-7&lt;$R$2,"",C731/INDEX(Clean_Data!$C$2:$C$4314,MATCH(A731-7,Clean_Data!$A$2:$A$4314,1))-1)</f>
        <v>0.121229589065393</v>
      </c>
      <c r="O731" s="25" t="n">
        <f aca="false">IF(A731-30&lt;$R$2,"",C731/INDEX(Clean_Data!$C$2:$C$4314,MATCH(A731-30,Clean_Data!$A$2:$A$4314,1))-1)</f>
        <v>0.318743643902057</v>
      </c>
    </row>
    <row r="732" customFormat="false" ht="15" hidden="false" customHeight="false" outlineLevel="0" collapsed="false">
      <c r="A732" s="16" t="n">
        <v>42738</v>
      </c>
      <c r="B732" s="23" t="n">
        <f aca="false">YEAR(A732)</f>
        <v>2017</v>
      </c>
      <c r="C732" s="17" t="n">
        <v>1020.67</v>
      </c>
      <c r="D732" s="23" t="n">
        <f aca="false">A732-A731</f>
        <v>1</v>
      </c>
      <c r="E732" s="24" t="n">
        <f aca="false">LN(C732)</f>
        <v>6.92821455338351</v>
      </c>
      <c r="F732" s="25" t="n">
        <f aca="false">LN(C732/C731)</f>
        <v>0.00907432953480655</v>
      </c>
      <c r="G732" s="25" t="n">
        <f aca="false">IF(AND(D732=1,A732&gt;=$R$2),F732,"")</f>
        <v>0.00907432953480655</v>
      </c>
      <c r="H732" s="27" t="n">
        <f aca="false">IF(G732="","",G732^2)</f>
        <v>8.23434565062625E-005</v>
      </c>
      <c r="I732" s="25" t="n">
        <f aca="false">IF(G732="","",C732/C731-1)</f>
        <v>0.00911562608136829</v>
      </c>
      <c r="J732" s="17" t="n">
        <f aca="false">AVERAGE(C533:C732)</f>
        <v>678.8525</v>
      </c>
      <c r="K732" s="17" t="n">
        <f aca="false">MAX(K731,C732)</f>
        <v>1020.67</v>
      </c>
      <c r="L732" s="25" t="n">
        <f aca="false">C732/K732-1</f>
        <v>0</v>
      </c>
      <c r="M732" s="25" t="n">
        <f aca="false">IF(COUNT(G703:G732)&lt;20,"",_xlfn.STDEV.S(G703:G732)*SQRT($R$3))</f>
        <v>0.38885834898197</v>
      </c>
      <c r="N732" s="25" t="n">
        <f aca="false">IF(A732-7&lt;$R$2,"",C732/INDEX(Clean_Data!$C$2:$C$4314,MATCH(A732-7,Clean_Data!$A$2:$A$4314,1))-1)</f>
        <v>0.10318849978383</v>
      </c>
      <c r="O732" s="25" t="n">
        <f aca="false">IF(A732-30&lt;$R$2,"",C732/INDEX(Clean_Data!$C$2:$C$4314,MATCH(A732-30,Clean_Data!$A$2:$A$4314,1))-1)</f>
        <v>0.329014700712249</v>
      </c>
    </row>
    <row r="733" customFormat="false" ht="15" hidden="false" customHeight="false" outlineLevel="0" collapsed="false">
      <c r="A733" s="16" t="n">
        <v>42739</v>
      </c>
      <c r="B733" s="23" t="n">
        <f aca="false">YEAR(A733)</f>
        <v>2017</v>
      </c>
      <c r="C733" s="17" t="n">
        <v>1130.3</v>
      </c>
      <c r="D733" s="23" t="n">
        <f aca="false">A733-A732</f>
        <v>1</v>
      </c>
      <c r="E733" s="24" t="n">
        <f aca="false">LN(C733)</f>
        <v>7.03023836319669</v>
      </c>
      <c r="F733" s="25" t="n">
        <f aca="false">LN(C733/C732)</f>
        <v>0.102023809813178</v>
      </c>
      <c r="G733" s="25" t="n">
        <f aca="false">IF(AND(D733=1,A733&gt;=$R$2),F733,"")</f>
        <v>0.102023809813178</v>
      </c>
      <c r="H733" s="27" t="n">
        <f aca="false">IF(G733="","",G733^2)</f>
        <v>0.0104088577687955</v>
      </c>
      <c r="I733" s="25" t="n">
        <f aca="false">IF(G733="","",C733/C732-1)</f>
        <v>0.107409838635406</v>
      </c>
      <c r="J733" s="17" t="n">
        <f aca="false">AVERAGE(C534:C733)</f>
        <v>680.70905</v>
      </c>
      <c r="K733" s="17" t="n">
        <f aca="false">MAX(K732,C733)</f>
        <v>1130.3</v>
      </c>
      <c r="L733" s="25" t="n">
        <f aca="false">C733/K733-1</f>
        <v>0</v>
      </c>
      <c r="M733" s="25" t="n">
        <f aca="false">IF(COUNT(G704:G733)&lt;20,"",_xlfn.STDEV.S(G704:G733)*SQRT($R$3))</f>
        <v>0.490837900775757</v>
      </c>
      <c r="N733" s="25" t="n">
        <f aca="false">IF(A733-7&lt;$R$2,"",C733/INDEX(Clean_Data!$C$2:$C$4314,MATCH(A733-7,Clean_Data!$A$2:$A$4314,1))-1)</f>
        <v>0.150819104635654</v>
      </c>
      <c r="O733" s="25" t="n">
        <f aca="false">IF(A733-30&lt;$R$2,"",C733/INDEX(Clean_Data!$C$2:$C$4314,MATCH(A733-30,Clean_Data!$A$2:$A$4314,1))-1)</f>
        <v>0.503058510638298</v>
      </c>
    </row>
    <row r="734" customFormat="false" ht="15" hidden="false" customHeight="false" outlineLevel="0" collapsed="false">
      <c r="A734" s="16" t="n">
        <v>42740</v>
      </c>
      <c r="B734" s="23" t="n">
        <f aca="false">YEAR(A734)</f>
        <v>2017</v>
      </c>
      <c r="C734" s="17" t="n">
        <v>1007</v>
      </c>
      <c r="D734" s="23" t="n">
        <f aca="false">A734-A733</f>
        <v>1</v>
      </c>
      <c r="E734" s="24" t="n">
        <f aca="false">LN(C734)</f>
        <v>6.91473089271856</v>
      </c>
      <c r="F734" s="25" t="n">
        <f aca="false">LN(C734/C733)</f>
        <v>-0.115507470478123</v>
      </c>
      <c r="G734" s="25" t="n">
        <f aca="false">IF(AND(D734=1,A734&gt;=$R$2),F734,"")</f>
        <v>-0.115507470478123</v>
      </c>
      <c r="H734" s="27" t="n">
        <f aca="false">IF(G734="","",G734^2)</f>
        <v>0.0133419757362545</v>
      </c>
      <c r="I734" s="25" t="n">
        <f aca="false">IF(G734="","",C734/C733-1)</f>
        <v>-0.109086083340706</v>
      </c>
      <c r="J734" s="17" t="n">
        <f aca="false">AVERAGE(C535:C734)</f>
        <v>681.90025</v>
      </c>
      <c r="K734" s="17" t="n">
        <f aca="false">MAX(K733,C734)</f>
        <v>1130.3</v>
      </c>
      <c r="L734" s="25" t="n">
        <f aca="false">C734/K734-1</f>
        <v>-0.109086083340706</v>
      </c>
      <c r="M734" s="25" t="n">
        <f aca="false">IF(COUNT(G705:G734)&lt;20,"",_xlfn.STDEV.S(G705:G734)*SQRT($R$3))</f>
        <v>0.666248971967496</v>
      </c>
      <c r="N734" s="25" t="n">
        <f aca="false">IF(A734-7&lt;$R$2,"",C734/INDEX(Clean_Data!$C$2:$C$4314,MATCH(A734-7,Clean_Data!$A$2:$A$4314,1))-1)</f>
        <v>0.0373743200923027</v>
      </c>
      <c r="O734" s="25" t="n">
        <f aca="false">IF(A734-30&lt;$R$2,"",C734/INDEX(Clean_Data!$C$2:$C$4314,MATCH(A734-30,Clean_Data!$A$2:$A$4314,1))-1)</f>
        <v>0.325348775993683</v>
      </c>
    </row>
    <row r="735" customFormat="false" ht="15" hidden="false" customHeight="false" outlineLevel="0" collapsed="false">
      <c r="A735" s="16" t="n">
        <v>42741</v>
      </c>
      <c r="B735" s="23" t="n">
        <f aca="false">YEAR(A735)</f>
        <v>2017</v>
      </c>
      <c r="C735" s="17" t="n">
        <v>895.71</v>
      </c>
      <c r="D735" s="23" t="n">
        <f aca="false">A735-A734</f>
        <v>1</v>
      </c>
      <c r="E735" s="24" t="n">
        <f aca="false">LN(C735)</f>
        <v>6.79761669987121</v>
      </c>
      <c r="F735" s="25" t="n">
        <f aca="false">LN(C735/C734)</f>
        <v>-0.117114192847351</v>
      </c>
      <c r="G735" s="25" t="n">
        <f aca="false">IF(AND(D735=1,A735&gt;=$R$2),F735,"")</f>
        <v>-0.117114192847351</v>
      </c>
      <c r="H735" s="27" t="n">
        <f aca="false">IF(G735="","",G735^2)</f>
        <v>0.0137157341662865</v>
      </c>
      <c r="I735" s="25" t="n">
        <f aca="false">IF(G735="","",C735/C734-1)</f>
        <v>-0.11051638530288</v>
      </c>
      <c r="J735" s="17" t="n">
        <f aca="false">AVERAGE(C536:C735)</f>
        <v>682.8632</v>
      </c>
      <c r="K735" s="17" t="n">
        <f aca="false">MAX(K734,C735)</f>
        <v>1130.3</v>
      </c>
      <c r="L735" s="25" t="n">
        <f aca="false">C735/K735-1</f>
        <v>-0.207546669025922</v>
      </c>
      <c r="M735" s="25" t="n">
        <f aca="false">IF(COUNT(G706:G735)&lt;20,"",_xlfn.STDEV.S(G706:G735)*SQRT($R$3))</f>
        <v>0.799251676682963</v>
      </c>
      <c r="N735" s="25" t="n">
        <f aca="false">IF(A735-7&lt;$R$2,"",C735/INDEX(Clean_Data!$C$2:$C$4314,MATCH(A735-7,Clean_Data!$A$2:$A$4314,1))-1)</f>
        <v>-0.0677553314390982</v>
      </c>
      <c r="O735" s="25" t="n">
        <f aca="false">IF(A735-30&lt;$R$2,"",C735/INDEX(Clean_Data!$C$2:$C$4314,MATCH(A735-30,Clean_Data!$A$2:$A$4314,1))-1)</f>
        <v>0.171873773451605</v>
      </c>
    </row>
    <row r="736" customFormat="false" ht="15" hidden="false" customHeight="false" outlineLevel="0" collapsed="false">
      <c r="A736" s="16" t="n">
        <v>42742</v>
      </c>
      <c r="B736" s="23" t="n">
        <f aca="false">YEAR(A736)</f>
        <v>2017</v>
      </c>
      <c r="C736" s="17" t="n">
        <v>909</v>
      </c>
      <c r="D736" s="23" t="n">
        <f aca="false">A736-A735</f>
        <v>1</v>
      </c>
      <c r="E736" s="24" t="n">
        <f aca="false">LN(C736)</f>
        <v>6.81234509417748</v>
      </c>
      <c r="F736" s="25" t="n">
        <f aca="false">LN(C736/C735)</f>
        <v>0.0147283943062676</v>
      </c>
      <c r="G736" s="25" t="n">
        <f aca="false">IF(AND(D736=1,A736&gt;=$R$2),F736,"")</f>
        <v>0.0147283943062676</v>
      </c>
      <c r="H736" s="27" t="n">
        <f aca="false">IF(G736="","",G736^2)</f>
        <v>0.000216925598840896</v>
      </c>
      <c r="I736" s="25" t="n">
        <f aca="false">IF(G736="","",C736/C735-1)</f>
        <v>0.0148373915664668</v>
      </c>
      <c r="J736" s="17" t="n">
        <f aca="false">AVERAGE(C537:C736)</f>
        <v>684.0699</v>
      </c>
      <c r="K736" s="17" t="n">
        <f aca="false">MAX(K735,C736)</f>
        <v>1130.3</v>
      </c>
      <c r="L736" s="25" t="n">
        <f aca="false">C736/K736-1</f>
        <v>-0.195788728656109</v>
      </c>
      <c r="M736" s="25" t="n">
        <f aca="false">IF(COUNT(G707:G736)&lt;20,"",_xlfn.STDEV.S(G707:G736)*SQRT($R$3))</f>
        <v>0.79992318692187</v>
      </c>
      <c r="N736" s="25" t="n">
        <f aca="false">IF(A736-7&lt;$R$2,"",C736/INDEX(Clean_Data!$C$2:$C$4314,MATCH(A736-7,Clean_Data!$A$2:$A$4314,1))-1)</f>
        <v>-0.066131070404882</v>
      </c>
      <c r="O736" s="25" t="n">
        <f aca="false">IF(A736-30&lt;$R$2,"",C736/INDEX(Clean_Data!$C$2:$C$4314,MATCH(A736-30,Clean_Data!$A$2:$A$4314,1))-1)</f>
        <v>0.183763299430908</v>
      </c>
    </row>
    <row r="737" customFormat="false" ht="15" hidden="false" customHeight="false" outlineLevel="0" collapsed="false">
      <c r="A737" s="16" t="n">
        <v>42743</v>
      </c>
      <c r="B737" s="23" t="n">
        <f aca="false">YEAR(A737)</f>
        <v>2017</v>
      </c>
      <c r="C737" s="17" t="n">
        <v>923.33</v>
      </c>
      <c r="D737" s="23" t="n">
        <f aca="false">A737-A736</f>
        <v>1</v>
      </c>
      <c r="E737" s="24" t="n">
        <f aca="false">LN(C737)</f>
        <v>6.82798670039846</v>
      </c>
      <c r="F737" s="25" t="n">
        <f aca="false">LN(C737/C736)</f>
        <v>0.0156416062209759</v>
      </c>
      <c r="G737" s="25" t="n">
        <f aca="false">IF(AND(D737=1,A737&gt;=$R$2),F737,"")</f>
        <v>0.0156416062209759</v>
      </c>
      <c r="H737" s="27" t="n">
        <f aca="false">IF(G737="","",G737^2)</f>
        <v>0.000244659845172073</v>
      </c>
      <c r="I737" s="25" t="n">
        <f aca="false">IF(G737="","",C737/C736-1)</f>
        <v>0.0157645764576457</v>
      </c>
      <c r="J737" s="17" t="n">
        <f aca="false">AVERAGE(C538:C737)</f>
        <v>685.66405</v>
      </c>
      <c r="K737" s="17" t="n">
        <f aca="false">MAX(K736,C737)</f>
        <v>1130.3</v>
      </c>
      <c r="L737" s="25" t="n">
        <f aca="false">C737/K737-1</f>
        <v>-0.183110678580908</v>
      </c>
      <c r="M737" s="25" t="n">
        <f aca="false">IF(COUNT(G708:G737)&lt;20,"",_xlfn.STDEV.S(G708:G737)*SQRT($R$3))</f>
        <v>0.800679297842844</v>
      </c>
      <c r="N737" s="25" t="n">
        <f aca="false">IF(A737-7&lt;$R$2,"",C737/INDEX(Clean_Data!$C$2:$C$4314,MATCH(A737-7,Clean_Data!$A$2:$A$4314,1))-1)</f>
        <v>-0.0701143058562869</v>
      </c>
      <c r="O737" s="25" t="n">
        <f aca="false">IF(A737-30&lt;$R$2,"",C737/INDEX(Clean_Data!$C$2:$C$4314,MATCH(A737-30,Clean_Data!$A$2:$A$4314,1))-1)</f>
        <v>0.194136209616927</v>
      </c>
    </row>
    <row r="738" customFormat="false" ht="15" hidden="false" customHeight="false" outlineLevel="0" collapsed="false">
      <c r="A738" s="16" t="n">
        <v>42744</v>
      </c>
      <c r="B738" s="23" t="n">
        <f aca="false">YEAR(A738)</f>
        <v>2017</v>
      </c>
      <c r="C738" s="17" t="n">
        <v>902.66</v>
      </c>
      <c r="D738" s="23" t="n">
        <f aca="false">A738-A737</f>
        <v>1</v>
      </c>
      <c r="E738" s="24" t="n">
        <f aca="false">LN(C738)</f>
        <v>6.80534595981241</v>
      </c>
      <c r="F738" s="25" t="n">
        <f aca="false">LN(C738/C737)</f>
        <v>-0.0226407405860443</v>
      </c>
      <c r="G738" s="25" t="n">
        <f aca="false">IF(AND(D738=1,A738&gt;=$R$2),F738,"")</f>
        <v>-0.0226407405860443</v>
      </c>
      <c r="H738" s="27" t="n">
        <f aca="false">IF(G738="","",G738^2)</f>
        <v>0.000512603134284553</v>
      </c>
      <c r="I738" s="25" t="n">
        <f aca="false">IF(G738="","",C738/C737-1)</f>
        <v>-0.0223863624056405</v>
      </c>
      <c r="J738" s="17" t="n">
        <f aca="false">AVERAGE(C539:C738)</f>
        <v>687.02185</v>
      </c>
      <c r="K738" s="17" t="n">
        <f aca="false">MAX(K737,C738)</f>
        <v>1130.3</v>
      </c>
      <c r="L738" s="25" t="n">
        <f aca="false">C738/K738-1</f>
        <v>-0.201397858975493</v>
      </c>
      <c r="M738" s="25" t="n">
        <f aca="false">IF(COUNT(G709:G738)&lt;20,"",_xlfn.STDEV.S(G709:G738)*SQRT($R$3))</f>
        <v>0.806837464913826</v>
      </c>
      <c r="N738" s="25" t="n">
        <f aca="false">IF(A738-7&lt;$R$2,"",C738/INDEX(Clean_Data!$C$2:$C$4314,MATCH(A738-7,Clean_Data!$A$2:$A$4314,1))-1)</f>
        <v>-0.107558455682436</v>
      </c>
      <c r="O738" s="25" t="n">
        <f aca="false">IF(A738-30&lt;$R$2,"",C738/INDEX(Clean_Data!$C$2:$C$4314,MATCH(A738-30,Clean_Data!$A$2:$A$4314,1))-1)</f>
        <v>0.163416551741916</v>
      </c>
    </row>
    <row r="739" customFormat="false" ht="15" hidden="false" customHeight="false" outlineLevel="0" collapsed="false">
      <c r="A739" s="16" t="n">
        <v>42745</v>
      </c>
      <c r="B739" s="23" t="n">
        <f aca="false">YEAR(A739)</f>
        <v>2017</v>
      </c>
      <c r="C739" s="17" t="n">
        <v>907</v>
      </c>
      <c r="D739" s="23" t="n">
        <f aca="false">A739-A738</f>
        <v>1</v>
      </c>
      <c r="E739" s="24" t="n">
        <f aca="false">LN(C739)</f>
        <v>6.81014245011514</v>
      </c>
      <c r="F739" s="25" t="n">
        <f aca="false">LN(C739/C738)</f>
        <v>0.00479649030272612</v>
      </c>
      <c r="G739" s="25" t="n">
        <f aca="false">IF(AND(D739=1,A739&gt;=$R$2),F739,"")</f>
        <v>0.00479649030272612</v>
      </c>
      <c r="H739" s="27" t="n">
        <f aca="false">IF(G739="","",G739^2)</f>
        <v>2.30063192241457E-005</v>
      </c>
      <c r="I739" s="25" t="n">
        <f aca="false">IF(G739="","",C739/C738-1)</f>
        <v>0.00480801187601099</v>
      </c>
      <c r="J739" s="17" t="n">
        <f aca="false">AVERAGE(C540:C739)</f>
        <v>688.20695</v>
      </c>
      <c r="K739" s="17" t="n">
        <f aca="false">MAX(K738,C739)</f>
        <v>1130.3</v>
      </c>
      <c r="L739" s="25" t="n">
        <f aca="false">C739/K739-1</f>
        <v>-0.19755817039724</v>
      </c>
      <c r="M739" s="25" t="n">
        <f aca="false">IF(COUNT(G710:G739)&lt;20,"",_xlfn.STDEV.S(G710:G739)*SQRT($R$3))</f>
        <v>0.805813760501467</v>
      </c>
      <c r="N739" s="25" t="n">
        <f aca="false">IF(A739-7&lt;$R$2,"",C739/INDEX(Clean_Data!$C$2:$C$4314,MATCH(A739-7,Clean_Data!$A$2:$A$4314,1))-1)</f>
        <v>-0.111368022965307</v>
      </c>
      <c r="O739" s="25" t="n">
        <f aca="false">IF(A739-30&lt;$R$2,"",C739/INDEX(Clean_Data!$C$2:$C$4314,MATCH(A739-30,Clean_Data!$A$2:$A$4314,1))-1)</f>
        <v>0.17631800791129</v>
      </c>
    </row>
    <row r="740" customFormat="false" ht="15" hidden="false" customHeight="false" outlineLevel="0" collapsed="false">
      <c r="A740" s="16" t="n">
        <v>42746</v>
      </c>
      <c r="B740" s="23" t="n">
        <f aca="false">YEAR(A740)</f>
        <v>2017</v>
      </c>
      <c r="C740" s="17" t="n">
        <v>795.77</v>
      </c>
      <c r="D740" s="23" t="n">
        <f aca="false">A740-A739</f>
        <v>1</v>
      </c>
      <c r="E740" s="24" t="n">
        <f aca="false">LN(C740)</f>
        <v>6.6793101993682</v>
      </c>
      <c r="F740" s="25" t="n">
        <f aca="false">LN(C740/C739)</f>
        <v>-0.130832250746941</v>
      </c>
      <c r="G740" s="25" t="n">
        <f aca="false">IF(AND(D740=1,A740&gt;=$R$2),F740,"")</f>
        <v>-0.130832250746941</v>
      </c>
      <c r="H740" s="27" t="n">
        <f aca="false">IF(G740="","",G740^2)</f>
        <v>0.0171170778355105</v>
      </c>
      <c r="I740" s="25" t="n">
        <f aca="false">IF(G740="","",C740/C739-1)</f>
        <v>-0.122635060639471</v>
      </c>
      <c r="J740" s="17" t="n">
        <f aca="false">AVERAGE(C541:C740)</f>
        <v>688.81725</v>
      </c>
      <c r="K740" s="17" t="n">
        <f aca="false">MAX(K739,C740)</f>
        <v>1130.3</v>
      </c>
      <c r="L740" s="25" t="n">
        <f aca="false">C740/K740-1</f>
        <v>-0.295965672830222</v>
      </c>
      <c r="M740" s="25" t="n">
        <f aca="false">IF(COUNT(G711:G740)&lt;20,"",_xlfn.STDEV.S(G711:G740)*SQRT($R$3))</f>
        <v>0.93506258429553</v>
      </c>
      <c r="N740" s="25" t="n">
        <f aca="false">IF(A740-7&lt;$R$2,"",C740/INDEX(Clean_Data!$C$2:$C$4314,MATCH(A740-7,Clean_Data!$A$2:$A$4314,1))-1)</f>
        <v>-0.295965672830222</v>
      </c>
      <c r="O740" s="25" t="n">
        <f aca="false">IF(A740-30&lt;$R$2,"",C740/INDEX(Clean_Data!$C$2:$C$4314,MATCH(A740-30,Clean_Data!$A$2:$A$4314,1))-1)</f>
        <v>0.0216062854648624</v>
      </c>
    </row>
    <row r="741" customFormat="false" ht="15" hidden="false" customHeight="false" outlineLevel="0" collapsed="false">
      <c r="A741" s="16" t="n">
        <v>42747</v>
      </c>
      <c r="B741" s="23" t="n">
        <f aca="false">YEAR(A741)</f>
        <v>2017</v>
      </c>
      <c r="C741" s="17" t="n">
        <v>812.25</v>
      </c>
      <c r="D741" s="23" t="n">
        <f aca="false">A741-A740</f>
        <v>1</v>
      </c>
      <c r="E741" s="24" t="n">
        <f aca="false">LN(C741)</f>
        <v>6.69980817454921</v>
      </c>
      <c r="F741" s="25" t="n">
        <f aca="false">LN(C741/C740)</f>
        <v>0.0204979751810145</v>
      </c>
      <c r="G741" s="25" t="n">
        <f aca="false">IF(AND(D741=1,A741&gt;=$R$2),F741,"")</f>
        <v>0.0204979751810145</v>
      </c>
      <c r="H741" s="27" t="n">
        <f aca="false">IF(G741="","",G741^2)</f>
        <v>0.000420166986521487</v>
      </c>
      <c r="I741" s="25" t="n">
        <f aca="false">IF(G741="","",C741/C740-1)</f>
        <v>0.0207095014891239</v>
      </c>
      <c r="J741" s="17" t="n">
        <f aca="false">AVERAGE(C542:C741)</f>
        <v>689.6857</v>
      </c>
      <c r="K741" s="17" t="n">
        <f aca="false">MAX(K740,C741)</f>
        <v>1130.3</v>
      </c>
      <c r="L741" s="25" t="n">
        <f aca="false">C741/K741-1</f>
        <v>-0.281385472883305</v>
      </c>
      <c r="M741" s="25" t="n">
        <f aca="false">IF(COUNT(G712:G741)&lt;20,"",_xlfn.STDEV.S(G712:G741)*SQRT($R$3))</f>
        <v>0.937442172976173</v>
      </c>
      <c r="N741" s="25" t="n">
        <f aca="false">IF(A741-7&lt;$R$2,"",C741/INDEX(Clean_Data!$C$2:$C$4314,MATCH(A741-7,Clean_Data!$A$2:$A$4314,1))-1)</f>
        <v>-0.193396226415094</v>
      </c>
      <c r="O741" s="25" t="n">
        <f aca="false">IF(A741-30&lt;$R$2,"",C741/INDEX(Clean_Data!$C$2:$C$4314,MATCH(A741-30,Clean_Data!$A$2:$A$4314,1))-1)</f>
        <v>0.0464711793656112</v>
      </c>
    </row>
    <row r="742" customFormat="false" ht="15" hidden="false" customHeight="false" outlineLevel="0" collapsed="false">
      <c r="A742" s="16" t="n">
        <v>42748</v>
      </c>
      <c r="B742" s="23" t="n">
        <f aca="false">YEAR(A742)</f>
        <v>2017</v>
      </c>
      <c r="C742" s="17" t="n">
        <v>831.42</v>
      </c>
      <c r="D742" s="23" t="n">
        <f aca="false">A742-A741</f>
        <v>1</v>
      </c>
      <c r="E742" s="24" t="n">
        <f aca="false">LN(C742)</f>
        <v>6.72313508233868</v>
      </c>
      <c r="F742" s="25" t="n">
        <f aca="false">LN(C742/C741)</f>
        <v>0.023326907789469</v>
      </c>
      <c r="G742" s="25" t="n">
        <f aca="false">IF(AND(D742=1,A742&gt;=$R$2),F742,"")</f>
        <v>0.023326907789469</v>
      </c>
      <c r="H742" s="27" t="n">
        <f aca="false">IF(G742="","",G742^2)</f>
        <v>0.000544144627018391</v>
      </c>
      <c r="I742" s="25" t="n">
        <f aca="false">IF(G742="","",C742/C741-1)</f>
        <v>0.023601108033241</v>
      </c>
      <c r="J742" s="17" t="n">
        <f aca="false">AVERAGE(C543:C742)</f>
        <v>690.55345</v>
      </c>
      <c r="K742" s="17" t="n">
        <f aca="false">MAX(K741,C742)</f>
        <v>1130.3</v>
      </c>
      <c r="L742" s="25" t="n">
        <f aca="false">C742/K742-1</f>
        <v>-0.264425373794568</v>
      </c>
      <c r="M742" s="25" t="n">
        <f aca="false">IF(COUNT(G713:G742)&lt;20,"",_xlfn.STDEV.S(G713:G742)*SQRT($R$3))</f>
        <v>0.940527439434776</v>
      </c>
      <c r="N742" s="25" t="n">
        <f aca="false">IF(A742-7&lt;$R$2,"",C742/INDEX(Clean_Data!$C$2:$C$4314,MATCH(A742-7,Clean_Data!$A$2:$A$4314,1))-1)</f>
        <v>-0.0717754630404931</v>
      </c>
      <c r="O742" s="25" t="n">
        <f aca="false">IF(A742-30&lt;$R$2,"",C742/INDEX(Clean_Data!$C$2:$C$4314,MATCH(A742-30,Clean_Data!$A$2:$A$4314,1))-1)</f>
        <v>0.0691304683280611</v>
      </c>
    </row>
    <row r="743" customFormat="false" ht="15" hidden="false" customHeight="false" outlineLevel="0" collapsed="false">
      <c r="A743" s="16" t="n">
        <v>42749</v>
      </c>
      <c r="B743" s="23" t="n">
        <f aca="false">YEAR(A743)</f>
        <v>2017</v>
      </c>
      <c r="C743" s="17" t="n">
        <v>828</v>
      </c>
      <c r="D743" s="23" t="n">
        <f aca="false">A743-A742</f>
        <v>1</v>
      </c>
      <c r="E743" s="24" t="n">
        <f aca="false">LN(C743)</f>
        <v>6.71901315438526</v>
      </c>
      <c r="F743" s="25" t="n">
        <f aca="false">LN(C743/C742)</f>
        <v>-0.00412192795341894</v>
      </c>
      <c r="G743" s="25" t="n">
        <f aca="false">IF(AND(D743=1,A743&gt;=$R$2),F743,"")</f>
        <v>-0.00412192795341894</v>
      </c>
      <c r="H743" s="27" t="n">
        <f aca="false">IF(G743="","",G743^2)</f>
        <v>1.69902900531764E-005</v>
      </c>
      <c r="I743" s="25" t="n">
        <f aca="false">IF(G743="","",C743/C742-1)</f>
        <v>-0.00411344446849959</v>
      </c>
      <c r="J743" s="17" t="n">
        <f aca="false">AVERAGE(C544:C743)</f>
        <v>691.4513</v>
      </c>
      <c r="K743" s="17" t="n">
        <f aca="false">MAX(K742,C743)</f>
        <v>1130.3</v>
      </c>
      <c r="L743" s="25" t="n">
        <f aca="false">C743/K743-1</f>
        <v>-0.267451119171901</v>
      </c>
      <c r="M743" s="25" t="n">
        <f aca="false">IF(COUNT(G714:G743)&lt;20,"",_xlfn.STDEV.S(G714:G743)*SQRT($R$3))</f>
        <v>0.940680433363521</v>
      </c>
      <c r="N743" s="25" t="n">
        <f aca="false">IF(A743-7&lt;$R$2,"",C743/INDEX(Clean_Data!$C$2:$C$4314,MATCH(A743-7,Clean_Data!$A$2:$A$4314,1))-1)</f>
        <v>-0.0891089108910891</v>
      </c>
      <c r="O743" s="25" t="n">
        <f aca="false">IF(A743-30&lt;$R$2,"",C743/INDEX(Clean_Data!$C$2:$C$4314,MATCH(A743-30,Clean_Data!$A$2:$A$4314,1))-1)</f>
        <v>0.0667903525046383</v>
      </c>
    </row>
    <row r="744" customFormat="false" ht="15" hidden="false" customHeight="false" outlineLevel="0" collapsed="false">
      <c r="A744" s="16" t="n">
        <v>42750</v>
      </c>
      <c r="B744" s="23" t="n">
        <f aca="false">YEAR(A744)</f>
        <v>2017</v>
      </c>
      <c r="C744" s="17" t="n">
        <v>833.31</v>
      </c>
      <c r="D744" s="23" t="n">
        <f aca="false">A744-A743</f>
        <v>1</v>
      </c>
      <c r="E744" s="24" t="n">
        <f aca="false">LN(C744)</f>
        <v>6.72540572179618</v>
      </c>
      <c r="F744" s="25" t="n">
        <f aca="false">LN(C744/C743)</f>
        <v>0.00639256741091532</v>
      </c>
      <c r="G744" s="25" t="n">
        <f aca="false">IF(AND(D744=1,A744&gt;=$R$2),F744,"")</f>
        <v>0.00639256741091532</v>
      </c>
      <c r="H744" s="27" t="n">
        <f aca="false">IF(G744="","",G744^2)</f>
        <v>4.08649181030966E-005</v>
      </c>
      <c r="I744" s="25" t="n">
        <f aca="false">IF(G744="","",C744/C743-1)</f>
        <v>0.00641304347826077</v>
      </c>
      <c r="J744" s="17" t="n">
        <f aca="false">AVERAGE(C545:C744)</f>
        <v>692.42075</v>
      </c>
      <c r="K744" s="17" t="n">
        <f aca="false">MAX(K743,C744)</f>
        <v>1130.3</v>
      </c>
      <c r="L744" s="25" t="n">
        <f aca="false">C744/K744-1</f>
        <v>-0.262753251349199</v>
      </c>
      <c r="M744" s="25" t="n">
        <f aca="false">IF(COUNT(G715:G744)&lt;20,"",_xlfn.STDEV.S(G715:G744)*SQRT($R$3))</f>
        <v>0.940691588257243</v>
      </c>
      <c r="N744" s="25" t="n">
        <f aca="false">IF(A744-7&lt;$R$2,"",C744/INDEX(Clean_Data!$C$2:$C$4314,MATCH(A744-7,Clean_Data!$A$2:$A$4314,1))-1)</f>
        <v>-0.0974949368048261</v>
      </c>
      <c r="O744" s="25" t="n">
        <f aca="false">IF(A744-30&lt;$R$2,"",C744/INDEX(Clean_Data!$C$2:$C$4314,MATCH(A744-30,Clean_Data!$A$2:$A$4314,1))-1)</f>
        <v>0.0670055571205408</v>
      </c>
    </row>
    <row r="745" customFormat="false" ht="15" hidden="false" customHeight="false" outlineLevel="0" collapsed="false">
      <c r="A745" s="16" t="n">
        <v>42751</v>
      </c>
      <c r="B745" s="23" t="n">
        <f aca="false">YEAR(A745)</f>
        <v>2017</v>
      </c>
      <c r="C745" s="17" t="n">
        <v>834.41</v>
      </c>
      <c r="D745" s="23" t="n">
        <f aca="false">A745-A744</f>
        <v>1</v>
      </c>
      <c r="E745" s="24" t="n">
        <f aca="false">LN(C745)</f>
        <v>6.72672488827438</v>
      </c>
      <c r="F745" s="25" t="n">
        <f aca="false">LN(C745/C744)</f>
        <v>0.00131916647820777</v>
      </c>
      <c r="G745" s="25" t="n">
        <f aca="false">IF(AND(D745=1,A745&gt;=$R$2),F745,"")</f>
        <v>0.00131916647820777</v>
      </c>
      <c r="H745" s="27" t="n">
        <f aca="false">IF(G745="","",G745^2)</f>
        <v>1.74020019722708E-006</v>
      </c>
      <c r="I745" s="25" t="n">
        <f aca="false">IF(G745="","",C745/C744-1)</f>
        <v>0.00132003696103489</v>
      </c>
      <c r="J745" s="17" t="n">
        <f aca="false">AVERAGE(C546:C745)</f>
        <v>693.22535</v>
      </c>
      <c r="K745" s="17" t="n">
        <f aca="false">MAX(K744,C745)</f>
        <v>1130.3</v>
      </c>
      <c r="L745" s="25" t="n">
        <f aca="false">C745/K745-1</f>
        <v>-0.261780058391578</v>
      </c>
      <c r="M745" s="25" t="n">
        <f aca="false">IF(COUNT(G716:G745)&lt;20,"",_xlfn.STDEV.S(G716:G745)*SQRT($R$3))</f>
        <v>0.940303416361625</v>
      </c>
      <c r="N745" s="25" t="n">
        <f aca="false">IF(A745-7&lt;$R$2,"",C745/INDEX(Clean_Data!$C$2:$C$4314,MATCH(A745-7,Clean_Data!$A$2:$A$4314,1))-1)</f>
        <v>-0.0756098641792037</v>
      </c>
      <c r="O745" s="25" t="n">
        <f aca="false">IF(A745-30&lt;$R$2,"",C745/INDEX(Clean_Data!$C$2:$C$4314,MATCH(A745-30,Clean_Data!$A$2:$A$4314,1))-1)</f>
        <v>0.0581305400915579</v>
      </c>
    </row>
    <row r="746" customFormat="false" ht="15" hidden="false" customHeight="false" outlineLevel="0" collapsed="false">
      <c r="A746" s="16" t="n">
        <v>42752</v>
      </c>
      <c r="B746" s="23" t="n">
        <f aca="false">YEAR(A746)</f>
        <v>2017</v>
      </c>
      <c r="C746" s="17" t="n">
        <v>906</v>
      </c>
      <c r="D746" s="23" t="n">
        <f aca="false">A746-A745</f>
        <v>1</v>
      </c>
      <c r="E746" s="24" t="n">
        <f aca="false">LN(C746)</f>
        <v>6.80903930604298</v>
      </c>
      <c r="F746" s="25" t="n">
        <f aca="false">LN(C746/C745)</f>
        <v>0.0823144177685965</v>
      </c>
      <c r="G746" s="25" t="n">
        <f aca="false">IF(AND(D746=1,A746&gt;=$R$2),F746,"")</f>
        <v>0.0823144177685965</v>
      </c>
      <c r="H746" s="27" t="n">
        <f aca="false">IF(G746="","",G746^2)</f>
        <v>0.00677566337258303</v>
      </c>
      <c r="I746" s="25" t="n">
        <f aca="false">IF(G746="","",C746/C745-1)</f>
        <v>0.085797150082094</v>
      </c>
      <c r="J746" s="17" t="n">
        <f aca="false">AVERAGE(C547:C746)</f>
        <v>694.3644</v>
      </c>
      <c r="K746" s="17" t="n">
        <f aca="false">MAX(K745,C746)</f>
        <v>1130.3</v>
      </c>
      <c r="L746" s="25" t="n">
        <f aca="false">C746/K746-1</f>
        <v>-0.198442891267805</v>
      </c>
      <c r="M746" s="25" t="n">
        <f aca="false">IF(COUNT(G717:G746)&lt;20,"",_xlfn.STDEV.S(G717:G746)*SQRT($R$3))</f>
        <v>0.981287857216681</v>
      </c>
      <c r="N746" s="25" t="n">
        <f aca="false">IF(A746-7&lt;$R$2,"",C746/INDEX(Clean_Data!$C$2:$C$4314,MATCH(A746-7,Clean_Data!$A$2:$A$4314,1))-1)</f>
        <v>-0.0011025358324146</v>
      </c>
      <c r="O746" s="25" t="n">
        <f aca="false">IF(A746-30&lt;$R$2,"",C746/INDEX(Clean_Data!$C$2:$C$4314,MATCH(A746-30,Clean_Data!$A$2:$A$4314,1))-1)</f>
        <v>0.145791177660866</v>
      </c>
    </row>
    <row r="747" customFormat="false" ht="15" hidden="false" customHeight="false" outlineLevel="0" collapsed="false">
      <c r="A747" s="16" t="n">
        <v>42753</v>
      </c>
      <c r="B747" s="23" t="n">
        <f aca="false">YEAR(A747)</f>
        <v>2017</v>
      </c>
      <c r="C747" s="17" t="n">
        <v>887.99</v>
      </c>
      <c r="D747" s="23" t="n">
        <f aca="false">A747-A746</f>
        <v>1</v>
      </c>
      <c r="E747" s="24" t="n">
        <f aca="false">LN(C747)</f>
        <v>6.7889604816675</v>
      </c>
      <c r="F747" s="25" t="n">
        <f aca="false">LN(C747/C746)</f>
        <v>-0.020078824375479</v>
      </c>
      <c r="G747" s="25" t="n">
        <f aca="false">IF(AND(D747=1,A747&gt;=$R$2),F747,"")</f>
        <v>-0.020078824375479</v>
      </c>
      <c r="H747" s="27" t="n">
        <f aca="false">IF(G747="","",G747^2)</f>
        <v>0.000403159188301328</v>
      </c>
      <c r="I747" s="25" t="n">
        <f aca="false">IF(G747="","",C747/C746-1)</f>
        <v>-0.019878587196468</v>
      </c>
      <c r="J747" s="17" t="n">
        <f aca="false">AVERAGE(C548:C747)</f>
        <v>695.2796</v>
      </c>
      <c r="K747" s="17" t="n">
        <f aca="false">MAX(K746,C747)</f>
        <v>1130.3</v>
      </c>
      <c r="L747" s="25" t="n">
        <f aca="false">C747/K747-1</f>
        <v>-0.214376714146687</v>
      </c>
      <c r="M747" s="25" t="n">
        <f aca="false">IF(COUNT(G718:G747)&lt;20,"",_xlfn.STDEV.S(G718:G747)*SQRT($R$3))</f>
        <v>0.984954198961407</v>
      </c>
      <c r="N747" s="25" t="n">
        <f aca="false">IF(A747-7&lt;$R$2,"",C747/INDEX(Clean_Data!$C$2:$C$4314,MATCH(A747-7,Clean_Data!$A$2:$A$4314,1))-1)</f>
        <v>0.11588775651256</v>
      </c>
      <c r="O747" s="25" t="n">
        <f aca="false">IF(A747-30&lt;$R$2,"",C747/INDEX(Clean_Data!$C$2:$C$4314,MATCH(A747-30,Clean_Data!$A$2:$A$4314,1))-1)</f>
        <v>0.122886660512639</v>
      </c>
    </row>
    <row r="748" customFormat="false" ht="15" hidden="false" customHeight="false" outlineLevel="0" collapsed="false">
      <c r="A748" s="16" t="n">
        <v>42754</v>
      </c>
      <c r="B748" s="23" t="n">
        <f aca="false">YEAR(A748)</f>
        <v>2017</v>
      </c>
      <c r="C748" s="17" t="n">
        <v>902.92</v>
      </c>
      <c r="D748" s="23" t="n">
        <f aca="false">A748-A747</f>
        <v>1</v>
      </c>
      <c r="E748" s="24" t="n">
        <f aca="false">LN(C748)</f>
        <v>6.80563395591538</v>
      </c>
      <c r="F748" s="25" t="n">
        <f aca="false">LN(C748/C747)</f>
        <v>0.0166734742478767</v>
      </c>
      <c r="G748" s="25" t="n">
        <f aca="false">IF(AND(D748=1,A748&gt;=$R$2),F748,"")</f>
        <v>0.0166734742478767</v>
      </c>
      <c r="H748" s="27" t="n">
        <f aca="false">IF(G748="","",G748^2)</f>
        <v>0.000278004743494607</v>
      </c>
      <c r="I748" s="25" t="n">
        <f aca="false">IF(G748="","",C748/C747-1)</f>
        <v>0.016813252401491</v>
      </c>
      <c r="J748" s="17" t="n">
        <f aca="false">AVERAGE(C549:C748)</f>
        <v>696.47645</v>
      </c>
      <c r="K748" s="17" t="n">
        <f aca="false">MAX(K747,C748)</f>
        <v>1130.3</v>
      </c>
      <c r="L748" s="25" t="n">
        <f aca="false">C748/K748-1</f>
        <v>-0.201167831549146</v>
      </c>
      <c r="M748" s="25" t="n">
        <f aca="false">IF(COUNT(G719:G748)&lt;20,"",_xlfn.STDEV.S(G719:G748)*SQRT($R$3))</f>
        <v>0.985729735766233</v>
      </c>
      <c r="N748" s="25" t="n">
        <f aca="false">IF(A748-7&lt;$R$2,"",C748/INDEX(Clean_Data!$C$2:$C$4314,MATCH(A748-7,Clean_Data!$A$2:$A$4314,1))-1)</f>
        <v>0.111628193290243</v>
      </c>
      <c r="O748" s="25" t="n">
        <f aca="false">IF(A748-30&lt;$R$2,"",C748/INDEX(Clean_Data!$C$2:$C$4314,MATCH(A748-30,Clean_Data!$A$2:$A$4314,1))-1)</f>
        <v>0.13007672186135</v>
      </c>
    </row>
    <row r="749" customFormat="false" ht="15" hidden="false" customHeight="false" outlineLevel="0" collapsed="false">
      <c r="A749" s="16" t="n">
        <v>42755</v>
      </c>
      <c r="B749" s="23" t="n">
        <f aca="false">YEAR(A749)</f>
        <v>2017</v>
      </c>
      <c r="C749" s="17" t="n">
        <v>894.31</v>
      </c>
      <c r="D749" s="23" t="n">
        <f aca="false">A749-A748</f>
        <v>1</v>
      </c>
      <c r="E749" s="24" t="n">
        <f aca="false">LN(C749)</f>
        <v>6.79605247121962</v>
      </c>
      <c r="F749" s="25" t="n">
        <f aca="false">LN(C749/C748)</f>
        <v>-0.00958148469575782</v>
      </c>
      <c r="G749" s="25" t="n">
        <f aca="false">IF(AND(D749=1,A749&gt;=$R$2),F749,"")</f>
        <v>-0.00958148469575782</v>
      </c>
      <c r="H749" s="27" t="n">
        <f aca="false">IF(G749="","",G749^2)</f>
        <v>9.18048489750414E-005</v>
      </c>
      <c r="I749" s="25" t="n">
        <f aca="false">IF(G749="","",C749/C748-1)</f>
        <v>-0.00953572852522933</v>
      </c>
      <c r="J749" s="17" t="n">
        <f aca="false">AVERAGE(C550:C749)</f>
        <v>697.5381</v>
      </c>
      <c r="K749" s="17" t="n">
        <f aca="false">MAX(K748,C749)</f>
        <v>1130.3</v>
      </c>
      <c r="L749" s="25" t="n">
        <f aca="false">C749/K749-1</f>
        <v>-0.208785278244714</v>
      </c>
      <c r="M749" s="25" t="n">
        <f aca="false">IF(COUNT(G720:G749)&lt;20,"",_xlfn.STDEV.S(G720:G749)*SQRT($R$3))</f>
        <v>0.976362144777742</v>
      </c>
      <c r="N749" s="25" t="n">
        <f aca="false">IF(A749-7&lt;$R$2,"",C749/INDEX(Clean_Data!$C$2:$C$4314,MATCH(A749-7,Clean_Data!$A$2:$A$4314,1))-1)</f>
        <v>0.0756416732818552</v>
      </c>
      <c r="O749" s="25" t="n">
        <f aca="false">IF(A749-30&lt;$R$2,"",C749/INDEX(Clean_Data!$C$2:$C$4314,MATCH(A749-30,Clean_Data!$A$2:$A$4314,1))-1)</f>
        <v>0.0716716596764528</v>
      </c>
    </row>
    <row r="750" customFormat="false" ht="15" hidden="false" customHeight="false" outlineLevel="0" collapsed="false">
      <c r="A750" s="16" t="n">
        <v>42756</v>
      </c>
      <c r="B750" s="23" t="n">
        <f aca="false">YEAR(A750)</f>
        <v>2017</v>
      </c>
      <c r="C750" s="17" t="n">
        <v>925.06</v>
      </c>
      <c r="D750" s="23" t="n">
        <f aca="false">A750-A749</f>
        <v>1</v>
      </c>
      <c r="E750" s="24" t="n">
        <f aca="false">LN(C750)</f>
        <v>6.82985860027366</v>
      </c>
      <c r="F750" s="25" t="n">
        <f aca="false">LN(C750/C749)</f>
        <v>0.0338061290540365</v>
      </c>
      <c r="G750" s="25" t="n">
        <f aca="false">IF(AND(D750=1,A750&gt;=$R$2),F750,"")</f>
        <v>0.0338061290540365</v>
      </c>
      <c r="H750" s="27" t="n">
        <f aca="false">IF(G750="","",G750^2)</f>
        <v>0.00114285436161817</v>
      </c>
      <c r="I750" s="25" t="n">
        <f aca="false">IF(G750="","",C750/C749-1)</f>
        <v>0.0343840502733952</v>
      </c>
      <c r="J750" s="17" t="n">
        <f aca="false">AVERAGE(C551:C750)</f>
        <v>698.81405</v>
      </c>
      <c r="K750" s="17" t="n">
        <f aca="false">MAX(K749,C750)</f>
        <v>1130.3</v>
      </c>
      <c r="L750" s="25" t="n">
        <f aca="false">C750/K750-1</f>
        <v>-0.18158011147483</v>
      </c>
      <c r="M750" s="25" t="n">
        <f aca="false">IF(COUNT(G721:G750)&lt;20,"",_xlfn.STDEV.S(G721:G750)*SQRT($R$3))</f>
        <v>0.979282474320989</v>
      </c>
      <c r="N750" s="25" t="n">
        <f aca="false">IF(A750-7&lt;$R$2,"",C750/INDEX(Clean_Data!$C$2:$C$4314,MATCH(A750-7,Clean_Data!$A$2:$A$4314,1))-1)</f>
        <v>0.117222222222222</v>
      </c>
      <c r="O750" s="25" t="n">
        <f aca="false">IF(A750-30&lt;$R$2,"",C750/INDEX(Clean_Data!$C$2:$C$4314,MATCH(A750-30,Clean_Data!$A$2:$A$4314,1))-1)</f>
        <v>0.0806523212074484</v>
      </c>
    </row>
    <row r="751" customFormat="false" ht="15" hidden="false" customHeight="false" outlineLevel="0" collapsed="false">
      <c r="A751" s="16" t="n">
        <v>42757</v>
      </c>
      <c r="B751" s="23" t="n">
        <f aca="false">YEAR(A751)</f>
        <v>2017</v>
      </c>
      <c r="C751" s="17" t="n">
        <v>931.22</v>
      </c>
      <c r="D751" s="23" t="n">
        <f aca="false">A751-A750</f>
        <v>1</v>
      </c>
      <c r="E751" s="24" t="n">
        <f aca="false">LN(C751)</f>
        <v>6.83649555440976</v>
      </c>
      <c r="F751" s="25" t="n">
        <f aca="false">LN(C751/C750)</f>
        <v>0.00663695413610626</v>
      </c>
      <c r="G751" s="25" t="n">
        <f aca="false">IF(AND(D751=1,A751&gt;=$R$2),F751,"")</f>
        <v>0.00663695413610626</v>
      </c>
      <c r="H751" s="27" t="n">
        <f aca="false">IF(G751="","",G751^2)</f>
        <v>4.4049160204778E-005</v>
      </c>
      <c r="I751" s="25" t="n">
        <f aca="false">IF(G751="","",C751/C750-1)</f>
        <v>0.00665902752253911</v>
      </c>
      <c r="J751" s="17" t="n">
        <f aca="false">AVERAGE(C552:C751)</f>
        <v>700.0762</v>
      </c>
      <c r="K751" s="17" t="n">
        <f aca="false">MAX(K750,C751)</f>
        <v>1130.3</v>
      </c>
      <c r="L751" s="25" t="n">
        <f aca="false">C751/K751-1</f>
        <v>-0.176130230912147</v>
      </c>
      <c r="M751" s="25" t="n">
        <f aca="false">IF(COUNT(G722:G751)&lt;20,"",_xlfn.STDEV.S(G722:G751)*SQRT($R$3))</f>
        <v>0.949676272281129</v>
      </c>
      <c r="N751" s="25" t="n">
        <f aca="false">IF(A751-7&lt;$R$2,"",C751/INDEX(Clean_Data!$C$2:$C$4314,MATCH(A751-7,Clean_Data!$A$2:$A$4314,1))-1)</f>
        <v>0.117495289868116</v>
      </c>
      <c r="O751" s="25" t="n">
        <f aca="false">IF(A751-30&lt;$R$2,"",C751/INDEX(Clean_Data!$C$2:$C$4314,MATCH(A751-30,Clean_Data!$A$2:$A$4314,1))-1)</f>
        <v>0.0152192399101674</v>
      </c>
    </row>
    <row r="752" customFormat="false" ht="15" hidden="false" customHeight="false" outlineLevel="0" collapsed="false">
      <c r="A752" s="16" t="n">
        <v>42758</v>
      </c>
      <c r="B752" s="23" t="n">
        <f aca="false">YEAR(A752)</f>
        <v>2017</v>
      </c>
      <c r="C752" s="17" t="n">
        <v>910.7</v>
      </c>
      <c r="D752" s="23" t="n">
        <f aca="false">A752-A751</f>
        <v>1</v>
      </c>
      <c r="E752" s="24" t="n">
        <f aca="false">LN(C752)</f>
        <v>6.81421353457377</v>
      </c>
      <c r="F752" s="25" t="n">
        <f aca="false">LN(C752/C751)</f>
        <v>-0.022282019835989</v>
      </c>
      <c r="G752" s="25" t="n">
        <f aca="false">IF(AND(D752=1,A752&gt;=$R$2),F752,"")</f>
        <v>-0.022282019835989</v>
      </c>
      <c r="H752" s="27" t="n">
        <f aca="false">IF(G752="","",G752^2)</f>
        <v>0.000496488407971405</v>
      </c>
      <c r="I752" s="25" t="n">
        <f aca="false">IF(G752="","",C752/C751-1)</f>
        <v>-0.0220356092008333</v>
      </c>
      <c r="J752" s="17" t="n">
        <f aca="false">AVERAGE(C553:C752)</f>
        <v>701.41985</v>
      </c>
      <c r="K752" s="17" t="n">
        <f aca="false">MAX(K751,C752)</f>
        <v>1130.3</v>
      </c>
      <c r="L752" s="25" t="n">
        <f aca="false">C752/K752-1</f>
        <v>-0.194284703176148</v>
      </c>
      <c r="M752" s="25" t="n">
        <f aca="false">IF(COUNT(G723:G752)&lt;20,"",_xlfn.STDEV.S(G723:G752)*SQRT($R$3))</f>
        <v>0.947537013911832</v>
      </c>
      <c r="N752" s="25" t="n">
        <f aca="false">IF(A752-7&lt;$R$2,"",C752/INDEX(Clean_Data!$C$2:$C$4314,MATCH(A752-7,Clean_Data!$A$2:$A$4314,1))-1)</f>
        <v>0.091429872604595</v>
      </c>
      <c r="O752" s="25" t="n">
        <f aca="false">IF(A752-30&lt;$R$2,"",C752/INDEX(Clean_Data!$C$2:$C$4314,MATCH(A752-30,Clean_Data!$A$2:$A$4314,1))-1)</f>
        <v>0.0215367358384746</v>
      </c>
    </row>
    <row r="753" customFormat="false" ht="15" hidden="false" customHeight="false" outlineLevel="0" collapsed="false">
      <c r="A753" s="16" t="n">
        <v>42759</v>
      </c>
      <c r="B753" s="23" t="n">
        <f aca="false">YEAR(A753)</f>
        <v>2017</v>
      </c>
      <c r="C753" s="17" t="n">
        <v>887</v>
      </c>
      <c r="D753" s="23" t="n">
        <f aca="false">A753-A752</f>
        <v>1</v>
      </c>
      <c r="E753" s="24" t="n">
        <f aca="false">LN(C753)</f>
        <v>6.78784498230958</v>
      </c>
      <c r="F753" s="25" t="n">
        <f aca="false">LN(C753/C752)</f>
        <v>-0.0263685522641934</v>
      </c>
      <c r="G753" s="25" t="n">
        <f aca="false">IF(AND(D753=1,A753&gt;=$R$2),F753,"")</f>
        <v>-0.0263685522641934</v>
      </c>
      <c r="H753" s="27" t="n">
        <f aca="false">IF(G753="","",G753^2)</f>
        <v>0.000695300548509501</v>
      </c>
      <c r="I753" s="25" t="n">
        <f aca="false">IF(G753="","",C753/C752-1)</f>
        <v>-0.0260239376303942</v>
      </c>
      <c r="J753" s="17" t="n">
        <f aca="false">AVERAGE(C554:C753)</f>
        <v>702.5182</v>
      </c>
      <c r="K753" s="17" t="n">
        <f aca="false">MAX(K752,C753)</f>
        <v>1130.3</v>
      </c>
      <c r="L753" s="25" t="n">
        <f aca="false">C753/K753-1</f>
        <v>-0.215252587808546</v>
      </c>
      <c r="M753" s="25" t="n">
        <f aca="false">IF(COUNT(G724:G753)&lt;20,"",_xlfn.STDEV.S(G724:G753)*SQRT($R$3))</f>
        <v>0.952044065686403</v>
      </c>
      <c r="N753" s="25" t="n">
        <f aca="false">IF(A753-7&lt;$R$2,"",C753/INDEX(Clean_Data!$C$2:$C$4314,MATCH(A753-7,Clean_Data!$A$2:$A$4314,1))-1)</f>
        <v>-0.0209713024282561</v>
      </c>
      <c r="O753" s="25" t="n">
        <f aca="false">IF(A753-30&lt;$R$2,"",C753/INDEX(Clean_Data!$C$2:$C$4314,MATCH(A753-30,Clean_Data!$A$2:$A$4314,1))-1)</f>
        <v>-0.010177208409588</v>
      </c>
    </row>
    <row r="754" customFormat="false" ht="15" hidden="false" customHeight="false" outlineLevel="0" collapsed="false">
      <c r="A754" s="16" t="n">
        <v>42760</v>
      </c>
      <c r="B754" s="23" t="n">
        <f aca="false">YEAR(A754)</f>
        <v>2017</v>
      </c>
      <c r="C754" s="17" t="n">
        <v>896</v>
      </c>
      <c r="D754" s="23" t="n">
        <f aca="false">A754-A753</f>
        <v>1</v>
      </c>
      <c r="E754" s="24" t="n">
        <f aca="false">LN(C754)</f>
        <v>6.79794041297493</v>
      </c>
      <c r="F754" s="25" t="n">
        <f aca="false">LN(C754/C753)</f>
        <v>0.0100954306653509</v>
      </c>
      <c r="G754" s="25" t="n">
        <f aca="false">IF(AND(D754=1,A754&gt;=$R$2),F754,"")</f>
        <v>0.0100954306653509</v>
      </c>
      <c r="H754" s="27" t="n">
        <f aca="false">IF(G754="","",G754^2)</f>
        <v>0.000101917720318908</v>
      </c>
      <c r="I754" s="25" t="n">
        <f aca="false">IF(G754="","",C754/C753-1)</f>
        <v>0.0101465614430665</v>
      </c>
      <c r="J754" s="17" t="n">
        <f aca="false">AVERAGE(C555:C754)</f>
        <v>703.71015</v>
      </c>
      <c r="K754" s="17" t="n">
        <f aca="false">MAX(K753,C754)</f>
        <v>1130.3</v>
      </c>
      <c r="L754" s="25" t="n">
        <f aca="false">C754/K754-1</f>
        <v>-0.207290099973458</v>
      </c>
      <c r="M754" s="25" t="n">
        <f aca="false">IF(COUNT(G725:G754)&lt;20,"",_xlfn.STDEV.S(G725:G754)*SQRT($R$3))</f>
        <v>0.952439182300699</v>
      </c>
      <c r="N754" s="25" t="n">
        <f aca="false">IF(A754-7&lt;$R$2,"",C754/INDEX(Clean_Data!$C$2:$C$4314,MATCH(A754-7,Clean_Data!$A$2:$A$4314,1))-1)</f>
        <v>0.00902037185103444</v>
      </c>
      <c r="O754" s="25" t="n">
        <f aca="false">IF(A754-30&lt;$R$2,"",C754/INDEX(Clean_Data!$C$2:$C$4314,MATCH(A754-30,Clean_Data!$A$2:$A$4314,1))-1)</f>
        <v>-0.00675098936913177</v>
      </c>
    </row>
    <row r="755" customFormat="false" ht="15" hidden="false" customHeight="false" outlineLevel="0" collapsed="false">
      <c r="A755" s="16" t="n">
        <v>42761</v>
      </c>
      <c r="B755" s="23" t="n">
        <f aca="false">YEAR(A755)</f>
        <v>2017</v>
      </c>
      <c r="C755" s="17" t="n">
        <v>917.02</v>
      </c>
      <c r="D755" s="23" t="n">
        <f aca="false">A755-A754</f>
        <v>1</v>
      </c>
      <c r="E755" s="24" t="n">
        <f aca="false">LN(C755)</f>
        <v>6.82112928226944</v>
      </c>
      <c r="F755" s="25" t="n">
        <f aca="false">LN(C755/C754)</f>
        <v>0.0231888692945123</v>
      </c>
      <c r="G755" s="25" t="n">
        <f aca="false">IF(AND(D755=1,A755&gt;=$R$2),F755,"")</f>
        <v>0.0231888692945123</v>
      </c>
      <c r="H755" s="27" t="n">
        <f aca="false">IF(G755="","",G755^2)</f>
        <v>0.000537723659157974</v>
      </c>
      <c r="I755" s="25" t="n">
        <f aca="false">IF(G755="","",C755/C754-1)</f>
        <v>0.0234598214285715</v>
      </c>
      <c r="J755" s="17" t="n">
        <f aca="false">AVERAGE(C556:C755)</f>
        <v>705.03305</v>
      </c>
      <c r="K755" s="17" t="n">
        <f aca="false">MAX(K754,C755)</f>
        <v>1130.3</v>
      </c>
      <c r="L755" s="25" t="n">
        <f aca="false">C755/K755-1</f>
        <v>-0.188693267274175</v>
      </c>
      <c r="M755" s="25" t="n">
        <f aca="false">IF(COUNT(G726:G755)&lt;20,"",_xlfn.STDEV.S(G726:G755)*SQRT($R$3))</f>
        <v>0.951756761886883</v>
      </c>
      <c r="N755" s="25" t="n">
        <f aca="false">IF(A755-7&lt;$R$2,"",C755/INDEX(Clean_Data!$C$2:$C$4314,MATCH(A755-7,Clean_Data!$A$2:$A$4314,1))-1)</f>
        <v>0.0156160014176228</v>
      </c>
      <c r="O755" s="25" t="n">
        <f aca="false">IF(A755-30&lt;$R$2,"",C755/INDEX(Clean_Data!$C$2:$C$4314,MATCH(A755-30,Clean_Data!$A$2:$A$4314,1))-1)</f>
        <v>-0.0088413316039776</v>
      </c>
    </row>
    <row r="756" customFormat="false" ht="15" hidden="false" customHeight="false" outlineLevel="0" collapsed="false">
      <c r="A756" s="16" t="n">
        <v>42762</v>
      </c>
      <c r="B756" s="23" t="n">
        <f aca="false">YEAR(A756)</f>
        <v>2017</v>
      </c>
      <c r="C756" s="17" t="n">
        <v>922.63</v>
      </c>
      <c r="D756" s="23" t="n">
        <f aca="false">A756-A755</f>
        <v>1</v>
      </c>
      <c r="E756" s="24" t="n">
        <f aca="false">LN(C756)</f>
        <v>6.82722828739541</v>
      </c>
      <c r="F756" s="25" t="n">
        <f aca="false">LN(C756/C755)</f>
        <v>0.00609900512596474</v>
      </c>
      <c r="G756" s="25" t="n">
        <f aca="false">IF(AND(D756=1,A756&gt;=$R$2),F756,"")</f>
        <v>0.00609900512596474</v>
      </c>
      <c r="H756" s="27" t="n">
        <f aca="false">IF(G756="","",G756^2)</f>
        <v>3.71978635265442E-005</v>
      </c>
      <c r="I756" s="25" t="n">
        <f aca="false">IF(G756="","",C756/C755-1)</f>
        <v>0.00611764192711184</v>
      </c>
      <c r="J756" s="17" t="n">
        <f aca="false">AVERAGE(C557:C756)</f>
        <v>706.39135</v>
      </c>
      <c r="K756" s="17" t="n">
        <f aca="false">MAX(K755,C756)</f>
        <v>1130.3</v>
      </c>
      <c r="L756" s="25" t="n">
        <f aca="false">C756/K756-1</f>
        <v>-0.183729983190303</v>
      </c>
      <c r="M756" s="25" t="n">
        <f aca="false">IF(COUNT(G727:G756)&lt;20,"",_xlfn.STDEV.S(G727:G756)*SQRT($R$3))</f>
        <v>0.92723308558747</v>
      </c>
      <c r="N756" s="25" t="n">
        <f aca="false">IF(A756-7&lt;$R$2,"",C756/INDEX(Clean_Data!$C$2:$C$4314,MATCH(A756-7,Clean_Data!$A$2:$A$4314,1))-1)</f>
        <v>0.0316668716664243</v>
      </c>
      <c r="O756" s="25" t="n">
        <f aca="false">IF(A756-30&lt;$R$2,"",C756/INDEX(Clean_Data!$C$2:$C$4314,MATCH(A756-30,Clean_Data!$A$2:$A$4314,1))-1)</f>
        <v>-0.060620870114135</v>
      </c>
    </row>
    <row r="757" customFormat="false" ht="15" hidden="false" customHeight="false" outlineLevel="0" collapsed="false">
      <c r="A757" s="16" t="n">
        <v>42763</v>
      </c>
      <c r="B757" s="23" t="n">
        <f aca="false">YEAR(A757)</f>
        <v>2017</v>
      </c>
      <c r="C757" s="17" t="n">
        <v>924.98</v>
      </c>
      <c r="D757" s="23" t="n">
        <f aca="false">A757-A756</f>
        <v>1</v>
      </c>
      <c r="E757" s="24" t="n">
        <f aca="false">LN(C757)</f>
        <v>6.82977211565705</v>
      </c>
      <c r="F757" s="25" t="n">
        <f aca="false">LN(C757/C756)</f>
        <v>0.00254382826164573</v>
      </c>
      <c r="G757" s="25" t="n">
        <f aca="false">IF(AND(D757=1,A757&gt;=$R$2),F757,"")</f>
        <v>0.00254382826164573</v>
      </c>
      <c r="H757" s="27" t="n">
        <f aca="false">IF(G757="","",G757^2)</f>
        <v>6.47106222474751E-006</v>
      </c>
      <c r="I757" s="25" t="n">
        <f aca="false">IF(G757="","",C757/C756-1)</f>
        <v>0.00254706653804893</v>
      </c>
      <c r="J757" s="17" t="n">
        <f aca="false">AVERAGE(C558:C757)</f>
        <v>707.68345</v>
      </c>
      <c r="K757" s="17" t="n">
        <f aca="false">MAX(K756,C757)</f>
        <v>1130.3</v>
      </c>
      <c r="L757" s="25" t="n">
        <f aca="false">C757/K757-1</f>
        <v>-0.181650889144475</v>
      </c>
      <c r="M757" s="25" t="n">
        <f aca="false">IF(COUNT(G728:G757)&lt;20,"",_xlfn.STDEV.S(G728:G757)*SQRT($R$3))</f>
        <v>0.926701305511084</v>
      </c>
      <c r="N757" s="25" t="n">
        <f aca="false">IF(A757-7&lt;$R$2,"",C757/INDEX(Clean_Data!$C$2:$C$4314,MATCH(A757-7,Clean_Data!$A$2:$A$4314,1))-1)</f>
        <v>-8.64808769159842E-005</v>
      </c>
      <c r="O757" s="25" t="n">
        <f aca="false">IF(A757-30&lt;$R$2,"",C757/INDEX(Clean_Data!$C$2:$C$4314,MATCH(A757-30,Clean_Data!$A$2:$A$4314,1))-1)</f>
        <v>-0.0471196637547388</v>
      </c>
    </row>
    <row r="758" customFormat="false" ht="15" hidden="false" customHeight="false" outlineLevel="0" collapsed="false">
      <c r="A758" s="16" t="n">
        <v>42764</v>
      </c>
      <c r="B758" s="23" t="n">
        <f aca="false">YEAR(A758)</f>
        <v>2017</v>
      </c>
      <c r="C758" s="17" t="n">
        <v>916.54</v>
      </c>
      <c r="D758" s="23" t="n">
        <f aca="false">A758-A757</f>
        <v>1</v>
      </c>
      <c r="E758" s="24" t="n">
        <f aca="false">LN(C758)</f>
        <v>6.82060571062634</v>
      </c>
      <c r="F758" s="25" t="n">
        <f aca="false">LN(C758/C757)</f>
        <v>-0.00916640503071461</v>
      </c>
      <c r="G758" s="25" t="n">
        <f aca="false">IF(AND(D758=1,A758&gt;=$R$2),F758,"")</f>
        <v>-0.00916640503071461</v>
      </c>
      <c r="H758" s="27" t="n">
        <f aca="false">IF(G758="","",G758^2)</f>
        <v>8.402298118711E-005</v>
      </c>
      <c r="I758" s="25" t="n">
        <f aca="false">IF(G758="","",C758/C757-1)</f>
        <v>-0.00912452161127819</v>
      </c>
      <c r="J758" s="17" t="n">
        <f aca="false">AVERAGE(C559:C758)</f>
        <v>708.98945</v>
      </c>
      <c r="K758" s="17" t="n">
        <f aca="false">MAX(K757,C758)</f>
        <v>1130.3</v>
      </c>
      <c r="L758" s="25" t="n">
        <f aca="false">C758/K758-1</f>
        <v>-0.189117933292046</v>
      </c>
      <c r="M758" s="25" t="n">
        <f aca="false">IF(COUNT(G729:G758)&lt;20,"",_xlfn.STDEV.S(G729:G758)*SQRT($R$3))</f>
        <v>0.926580490417917</v>
      </c>
      <c r="N758" s="25" t="n">
        <f aca="false">IF(A758-7&lt;$R$2,"",C758/INDEX(Clean_Data!$C$2:$C$4314,MATCH(A758-7,Clean_Data!$A$2:$A$4314,1))-1)</f>
        <v>-0.0157642662313955</v>
      </c>
      <c r="O758" s="25" t="n">
        <f aca="false">IF(A758-30&lt;$R$2,"",C758/INDEX(Clean_Data!$C$2:$C$4314,MATCH(A758-30,Clean_Data!$A$2:$A$4314,1))-1)</f>
        <v>-0.0460757069555895</v>
      </c>
    </row>
    <row r="759" customFormat="false" ht="15" hidden="false" customHeight="false" outlineLevel="0" collapsed="false">
      <c r="A759" s="16" t="n">
        <v>42765</v>
      </c>
      <c r="B759" s="23" t="n">
        <f aca="false">YEAR(A759)</f>
        <v>2017</v>
      </c>
      <c r="C759" s="17" t="n">
        <v>923.23</v>
      </c>
      <c r="D759" s="23" t="n">
        <f aca="false">A759-A758</f>
        <v>1</v>
      </c>
      <c r="E759" s="24" t="n">
        <f aca="false">LN(C759)</f>
        <v>6.82787839089311</v>
      </c>
      <c r="F759" s="25" t="n">
        <f aca="false">LN(C759/C758)</f>
        <v>0.00727268026676838</v>
      </c>
      <c r="G759" s="25" t="n">
        <f aca="false">IF(AND(D759=1,A759&gt;=$R$2),F759,"")</f>
        <v>0.00727268026676838</v>
      </c>
      <c r="H759" s="27" t="n">
        <f aca="false">IF(G759="","",G759^2)</f>
        <v>5.28918782626422E-005</v>
      </c>
      <c r="I759" s="25" t="n">
        <f aca="false">IF(G759="","",C759/C758-1)</f>
        <v>0.00729919043358729</v>
      </c>
      <c r="J759" s="17" t="n">
        <f aca="false">AVERAGE(C560:C759)</f>
        <v>710.29735</v>
      </c>
      <c r="K759" s="17" t="n">
        <f aca="false">MAX(K758,C759)</f>
        <v>1130.3</v>
      </c>
      <c r="L759" s="25" t="n">
        <f aca="false">C759/K759-1</f>
        <v>-0.183199150667964</v>
      </c>
      <c r="M759" s="25" t="n">
        <f aca="false">IF(COUNT(G730:G759)&lt;20,"",_xlfn.STDEV.S(G730:G759)*SQRT($R$3))</f>
        <v>0.925664194313498</v>
      </c>
      <c r="N759" s="25" t="n">
        <f aca="false">IF(A759-7&lt;$R$2,"",C759/INDEX(Clean_Data!$C$2:$C$4314,MATCH(A759-7,Clean_Data!$A$2:$A$4314,1))-1)</f>
        <v>0.0137586471944657</v>
      </c>
      <c r="O759" s="25" t="n">
        <f aca="false">IF(A759-30&lt;$R$2,"",C759/INDEX(Clean_Data!$C$2:$C$4314,MATCH(A759-30,Clean_Data!$A$2:$A$4314,1))-1)</f>
        <v>-0.051511758118701</v>
      </c>
    </row>
    <row r="760" customFormat="false" ht="15" hidden="false" customHeight="false" outlineLevel="0" collapsed="false">
      <c r="A760" s="16" t="n">
        <v>42766</v>
      </c>
      <c r="B760" s="23" t="n">
        <f aca="false">YEAR(A760)</f>
        <v>2017</v>
      </c>
      <c r="C760" s="17" t="n">
        <v>970.01</v>
      </c>
      <c r="D760" s="23" t="n">
        <f aca="false">A760-A759</f>
        <v>1</v>
      </c>
      <c r="E760" s="24" t="n">
        <f aca="false">LN(C760)</f>
        <v>6.87730638072264</v>
      </c>
      <c r="F760" s="25" t="n">
        <f aca="false">LN(C760/C759)</f>
        <v>0.0494279898295319</v>
      </c>
      <c r="G760" s="25" t="n">
        <f aca="false">IF(AND(D760=1,A760&gt;=$R$2),F760,"")</f>
        <v>0.0494279898295319</v>
      </c>
      <c r="H760" s="27" t="n">
        <f aca="false">IF(G760="","",G760^2)</f>
        <v>0.00244312617858831</v>
      </c>
      <c r="I760" s="25" t="n">
        <f aca="false">IF(G760="","",C760/C759-1)</f>
        <v>0.050669930569847</v>
      </c>
      <c r="J760" s="17" t="n">
        <f aca="false">AVERAGE(C561:C760)</f>
        <v>711.81</v>
      </c>
      <c r="K760" s="17" t="n">
        <f aca="false">MAX(K759,C760)</f>
        <v>1130.3</v>
      </c>
      <c r="L760" s="25" t="n">
        <f aca="false">C760/K760-1</f>
        <v>-0.141811908342918</v>
      </c>
      <c r="M760" s="25" t="n">
        <f aca="false">IF(COUNT(G731:G760)&lt;20,"",_xlfn.STDEV.S(G731:G760)*SQRT($R$3))</f>
        <v>0.939976489583953</v>
      </c>
      <c r="N760" s="25" t="n">
        <f aca="false">IF(A760-7&lt;$R$2,"",C760/INDEX(Clean_Data!$C$2:$C$4314,MATCH(A760-7,Clean_Data!$A$2:$A$4314,1))-1)</f>
        <v>0.0935851183765502</v>
      </c>
      <c r="O760" s="25" t="n">
        <f aca="false">IF(A760-30&lt;$R$2,"",C760/INDEX(Clean_Data!$C$2:$C$4314,MATCH(A760-30,Clean_Data!$A$2:$A$4314,1))-1)</f>
        <v>-0.0231028752706582</v>
      </c>
    </row>
    <row r="761" customFormat="false" ht="15" hidden="false" customHeight="false" outlineLevel="0" collapsed="false">
      <c r="A761" s="16" t="n">
        <v>42767</v>
      </c>
      <c r="B761" s="23" t="n">
        <f aca="false">YEAR(A761)</f>
        <v>2017</v>
      </c>
      <c r="C761" s="17" t="n">
        <v>992.75</v>
      </c>
      <c r="D761" s="23" t="n">
        <f aca="false">A761-A760</f>
        <v>1</v>
      </c>
      <c r="E761" s="24" t="n">
        <f aca="false">LN(C761)</f>
        <v>6.90047887001136</v>
      </c>
      <c r="F761" s="25" t="n">
        <f aca="false">LN(C761/C760)</f>
        <v>0.0231724892887222</v>
      </c>
      <c r="G761" s="25" t="n">
        <f aca="false">IF(AND(D761=1,A761&gt;=$R$2),F761,"")</f>
        <v>0.0231724892887222</v>
      </c>
      <c r="H761" s="27" t="n">
        <f aca="false">IF(G761="","",G761^2)</f>
        <v>0.000536964259835943</v>
      </c>
      <c r="I761" s="25" t="n">
        <f aca="false">IF(G761="","",C761/C760-1)</f>
        <v>0.0234430572880693</v>
      </c>
      <c r="J761" s="17" t="n">
        <f aca="false">AVERAGE(C562:C761)</f>
        <v>713.44215</v>
      </c>
      <c r="K761" s="17" t="n">
        <f aca="false">MAX(K760,C761)</f>
        <v>1130.3</v>
      </c>
      <c r="L761" s="25" t="n">
        <f aca="false">C761/K761-1</f>
        <v>-0.121693355746262</v>
      </c>
      <c r="M761" s="25" t="n">
        <f aca="false">IF(COUNT(G732:G761)&lt;20,"",_xlfn.STDEV.S(G732:G761)*SQRT($R$3))</f>
        <v>0.941333241286037</v>
      </c>
      <c r="N761" s="25" t="n">
        <f aca="false">IF(A761-7&lt;$R$2,"",C761/INDEX(Clean_Data!$C$2:$C$4314,MATCH(A761-7,Clean_Data!$A$2:$A$4314,1))-1)</f>
        <v>0.107979910714286</v>
      </c>
      <c r="O761" s="25" t="n">
        <f aca="false">IF(A761-30&lt;$R$2,"",C761/INDEX(Clean_Data!$C$2:$C$4314,MATCH(A761-30,Clean_Data!$A$2:$A$4314,1))-1)</f>
        <v>-0.0184883088635128</v>
      </c>
    </row>
    <row r="762" customFormat="false" ht="15" hidden="false" customHeight="false" outlineLevel="0" collapsed="false">
      <c r="A762" s="16" t="n">
        <v>42768</v>
      </c>
      <c r="B762" s="23" t="n">
        <f aca="false">YEAR(A762)</f>
        <v>2017</v>
      </c>
      <c r="C762" s="17" t="n">
        <v>1008.38</v>
      </c>
      <c r="D762" s="23" t="n">
        <f aca="false">A762-A761</f>
        <v>1</v>
      </c>
      <c r="E762" s="24" t="n">
        <f aca="false">LN(C762)</f>
        <v>6.91610036171764</v>
      </c>
      <c r="F762" s="25" t="n">
        <f aca="false">LN(C762/C761)</f>
        <v>0.0156214917062748</v>
      </c>
      <c r="G762" s="25" t="n">
        <f aca="false">IF(AND(D762=1,A762&gt;=$R$2),F762,"")</f>
        <v>0.0156214917062748</v>
      </c>
      <c r="H762" s="27" t="n">
        <f aca="false">IF(G762="","",G762^2)</f>
        <v>0.000244031003129211</v>
      </c>
      <c r="I762" s="25" t="n">
        <f aca="false">IF(G762="","",C762/C761-1)</f>
        <v>0.0157441450516242</v>
      </c>
      <c r="J762" s="17" t="n">
        <f aca="false">AVERAGE(C563:C762)</f>
        <v>715.08405</v>
      </c>
      <c r="K762" s="17" t="n">
        <f aca="false">MAX(K761,C762)</f>
        <v>1130.3</v>
      </c>
      <c r="L762" s="25" t="n">
        <f aca="false">C762/K762-1</f>
        <v>-0.107865168539326</v>
      </c>
      <c r="M762" s="25" t="n">
        <f aca="false">IF(COUNT(G733:G762)&lt;20,"",_xlfn.STDEV.S(G733:G762)*SQRT($R$3))</f>
        <v>0.94245840134667</v>
      </c>
      <c r="N762" s="25" t="n">
        <f aca="false">IF(A762-7&lt;$R$2,"",C762/INDEX(Clean_Data!$C$2:$C$4314,MATCH(A762-7,Clean_Data!$A$2:$A$4314,1))-1)</f>
        <v>0.0996270528450851</v>
      </c>
      <c r="O762" s="25" t="n">
        <f aca="false">IF(A762-30&lt;$R$2,"",C762/INDEX(Clean_Data!$C$2:$C$4314,MATCH(A762-30,Clean_Data!$A$2:$A$4314,1))-1)</f>
        <v>-0.0120411102511095</v>
      </c>
    </row>
    <row r="763" customFormat="false" ht="15" hidden="false" customHeight="false" outlineLevel="0" collapsed="false">
      <c r="A763" s="16" t="n">
        <v>42769</v>
      </c>
      <c r="B763" s="23" t="n">
        <f aca="false">YEAR(A763)</f>
        <v>2017</v>
      </c>
      <c r="C763" s="17" t="n">
        <v>1018</v>
      </c>
      <c r="D763" s="23" t="n">
        <f aca="false">A763-A762</f>
        <v>1</v>
      </c>
      <c r="E763" s="24" t="n">
        <f aca="false">LN(C763)</f>
        <v>6.92559519711047</v>
      </c>
      <c r="F763" s="25" t="n">
        <f aca="false">LN(C763/C762)</f>
        <v>0.00949483539283237</v>
      </c>
      <c r="G763" s="25" t="n">
        <f aca="false">IF(AND(D763=1,A763&gt;=$R$2),F763,"")</f>
        <v>0.00949483539283237</v>
      </c>
      <c r="H763" s="27" t="n">
        <f aca="false">IF(G763="","",G763^2)</f>
        <v>9.01518991369823E-005</v>
      </c>
      <c r="I763" s="25" t="n">
        <f aca="false">IF(G763="","",C763/C762-1)</f>
        <v>0.00954005434459226</v>
      </c>
      <c r="J763" s="17" t="n">
        <f aca="false">AVERAGE(C564:C763)</f>
        <v>716.79655</v>
      </c>
      <c r="K763" s="17" t="n">
        <f aca="false">MAX(K762,C763)</f>
        <v>1130.3</v>
      </c>
      <c r="L763" s="25" t="n">
        <f aca="false">C763/K763-1</f>
        <v>-0.0993541537644873</v>
      </c>
      <c r="M763" s="25" t="n">
        <f aca="false">IF(COUNT(G734:G763)&lt;20,"",_xlfn.STDEV.S(G734:G763)*SQRT($R$3))</f>
        <v>0.868229229056486</v>
      </c>
      <c r="N763" s="25" t="n">
        <f aca="false">IF(A763-7&lt;$R$2,"",C763/INDEX(Clean_Data!$C$2:$C$4314,MATCH(A763-7,Clean_Data!$A$2:$A$4314,1))-1)</f>
        <v>0.103367547120731</v>
      </c>
      <c r="O763" s="25" t="n">
        <f aca="false">IF(A763-30&lt;$R$2,"",C763/INDEX(Clean_Data!$C$2:$C$4314,MATCH(A763-30,Clean_Data!$A$2:$A$4314,1))-1)</f>
        <v>-0.0993541537644873</v>
      </c>
    </row>
    <row r="764" customFormat="false" ht="15" hidden="false" customHeight="false" outlineLevel="0" collapsed="false">
      <c r="A764" s="16" t="n">
        <v>42770</v>
      </c>
      <c r="B764" s="23" t="n">
        <f aca="false">YEAR(A764)</f>
        <v>2017</v>
      </c>
      <c r="C764" s="17" t="n">
        <v>1035.54</v>
      </c>
      <c r="D764" s="23" t="n">
        <f aca="false">A764-A763</f>
        <v>1</v>
      </c>
      <c r="E764" s="24" t="n">
        <f aca="false">LN(C764)</f>
        <v>6.94267830877137</v>
      </c>
      <c r="F764" s="25" t="n">
        <f aca="false">LN(C764/C763)</f>
        <v>0.0170831116608988</v>
      </c>
      <c r="G764" s="25" t="n">
        <f aca="false">IF(AND(D764=1,A764&gt;=$R$2),F764,"")</f>
        <v>0.0170831116608988</v>
      </c>
      <c r="H764" s="27" t="n">
        <f aca="false">IF(G764="","",G764^2)</f>
        <v>0.000291832704018736</v>
      </c>
      <c r="I764" s="25" t="n">
        <f aca="false">IF(G764="","",C764/C763-1)</f>
        <v>0.0172298624754421</v>
      </c>
      <c r="J764" s="17" t="n">
        <f aca="false">AVERAGE(C565:C764)</f>
        <v>718.60435</v>
      </c>
      <c r="K764" s="17" t="n">
        <f aca="false">MAX(K763,C764)</f>
        <v>1130.3</v>
      </c>
      <c r="L764" s="25" t="n">
        <f aca="false">C764/K764-1</f>
        <v>-0.0838361496947713</v>
      </c>
      <c r="M764" s="25" t="n">
        <f aca="false">IF(COUNT(G735:G764)&lt;20,"",_xlfn.STDEV.S(G735:G764)*SQRT($R$3))</f>
        <v>0.770607912515457</v>
      </c>
      <c r="N764" s="25" t="n">
        <f aca="false">IF(A764-7&lt;$R$2,"",C764/INDEX(Clean_Data!$C$2:$C$4314,MATCH(A764-7,Clean_Data!$A$2:$A$4314,1))-1)</f>
        <v>0.119526908689918</v>
      </c>
      <c r="O764" s="25" t="n">
        <f aca="false">IF(A764-30&lt;$R$2,"",C764/INDEX(Clean_Data!$C$2:$C$4314,MATCH(A764-30,Clean_Data!$A$2:$A$4314,1))-1)</f>
        <v>0.0283416087388282</v>
      </c>
    </row>
    <row r="765" customFormat="false" ht="15" hidden="false" customHeight="false" outlineLevel="0" collapsed="false">
      <c r="A765" s="16" t="n">
        <v>42771</v>
      </c>
      <c r="B765" s="23" t="n">
        <f aca="false">YEAR(A765)</f>
        <v>2017</v>
      </c>
      <c r="C765" s="17" t="n">
        <v>1016.32</v>
      </c>
      <c r="D765" s="23" t="n">
        <f aca="false">A765-A764</f>
        <v>1</v>
      </c>
      <c r="E765" s="24" t="n">
        <f aca="false">LN(C765)</f>
        <v>6.92394353917866</v>
      </c>
      <c r="F765" s="25" t="n">
        <f aca="false">LN(C765/C764)</f>
        <v>-0.0187347695927051</v>
      </c>
      <c r="G765" s="25" t="n">
        <f aca="false">IF(AND(D765=1,A765&gt;=$R$2),F765,"")</f>
        <v>-0.0187347695927051</v>
      </c>
      <c r="H765" s="27" t="n">
        <f aca="false">IF(G765="","",G765^2)</f>
        <v>0.000350991591691749</v>
      </c>
      <c r="I765" s="25" t="n">
        <f aca="false">IF(G765="","",C765/C764-1)</f>
        <v>-0.0185603646406705</v>
      </c>
      <c r="J765" s="17" t="n">
        <f aca="false">AVERAGE(C566:C765)</f>
        <v>720.35135</v>
      </c>
      <c r="K765" s="17" t="n">
        <f aca="false">MAX(K764,C765)</f>
        <v>1130.3</v>
      </c>
      <c r="L765" s="25" t="n">
        <f aca="false">C765/K765-1</f>
        <v>-0.100840484827037</v>
      </c>
      <c r="M765" s="25" t="n">
        <f aca="false">IF(COUNT(G736:G765)&lt;20,"",_xlfn.STDEV.S(G736:G765)*SQRT($R$3))</f>
        <v>0.647501046051316</v>
      </c>
      <c r="N765" s="25" t="n">
        <f aca="false">IF(A765-7&lt;$R$2,"",C765/INDEX(Clean_Data!$C$2:$C$4314,MATCH(A765-7,Clean_Data!$A$2:$A$4314,1))-1)</f>
        <v>0.108865952386148</v>
      </c>
      <c r="O765" s="25" t="n">
        <f aca="false">IF(A765-30&lt;$R$2,"",C765/INDEX(Clean_Data!$C$2:$C$4314,MATCH(A765-30,Clean_Data!$A$2:$A$4314,1))-1)</f>
        <v>0.134652956872202</v>
      </c>
    </row>
    <row r="766" customFormat="false" ht="15" hidden="false" customHeight="false" outlineLevel="0" collapsed="false">
      <c r="A766" s="16" t="n">
        <v>42772</v>
      </c>
      <c r="B766" s="23" t="n">
        <f aca="false">YEAR(A766)</f>
        <v>2017</v>
      </c>
      <c r="C766" s="17" t="n">
        <v>1022.58</v>
      </c>
      <c r="D766" s="23" t="n">
        <f aca="false">A766-A765</f>
        <v>1</v>
      </c>
      <c r="E766" s="24" t="n">
        <f aca="false">LN(C766)</f>
        <v>6.9300841244652</v>
      </c>
      <c r="F766" s="25" t="n">
        <f aca="false">LN(C766/C765)</f>
        <v>0.00614058528653878</v>
      </c>
      <c r="G766" s="25" t="n">
        <f aca="false">IF(AND(D766=1,A766&gt;=$R$2),F766,"")</f>
        <v>0.00614058528653878</v>
      </c>
      <c r="H766" s="27" t="n">
        <f aca="false">IF(G766="","",G766^2)</f>
        <v>3.77067876612566E-005</v>
      </c>
      <c r="I766" s="25" t="n">
        <f aca="false">IF(G766="","",C766/C765-1)</f>
        <v>0.00615947732997491</v>
      </c>
      <c r="J766" s="17" t="n">
        <f aca="false">AVERAGE(C567:C766)</f>
        <v>722.12785</v>
      </c>
      <c r="K766" s="17" t="n">
        <f aca="false">MAX(K765,C766)</f>
        <v>1130.3</v>
      </c>
      <c r="L766" s="25" t="n">
        <f aca="false">C766/K766-1</f>
        <v>-0.095302132177298</v>
      </c>
      <c r="M766" s="25" t="n">
        <f aca="false">IF(COUNT(G737:G766)&lt;20,"",_xlfn.STDEV.S(G737:G766)*SQRT($R$3))</f>
        <v>0.646437369107234</v>
      </c>
      <c r="N766" s="25" t="n">
        <f aca="false">IF(A766-7&lt;$R$2,"",C766/INDEX(Clean_Data!$C$2:$C$4314,MATCH(A766-7,Clean_Data!$A$2:$A$4314,1))-1)</f>
        <v>0.10761132112258</v>
      </c>
      <c r="O766" s="25" t="n">
        <f aca="false">IF(A766-30&lt;$R$2,"",C766/INDEX(Clean_Data!$C$2:$C$4314,MATCH(A766-30,Clean_Data!$A$2:$A$4314,1))-1)</f>
        <v>0.124950495049505</v>
      </c>
    </row>
    <row r="767" customFormat="false" ht="15" hidden="false" customHeight="false" outlineLevel="0" collapsed="false">
      <c r="A767" s="16" t="n">
        <v>42773</v>
      </c>
      <c r="B767" s="23" t="n">
        <f aca="false">YEAR(A767)</f>
        <v>2017</v>
      </c>
      <c r="C767" s="17" t="n">
        <v>1053.96</v>
      </c>
      <c r="D767" s="23" t="n">
        <f aca="false">A767-A766</f>
        <v>1</v>
      </c>
      <c r="E767" s="24" t="n">
        <f aca="false">LN(C767)</f>
        <v>6.96030977771703</v>
      </c>
      <c r="F767" s="25" t="n">
        <f aca="false">LN(C767/C766)</f>
        <v>0.0302256532518261</v>
      </c>
      <c r="G767" s="25" t="n">
        <f aca="false">IF(AND(D767=1,A767&gt;=$R$2),F767,"")</f>
        <v>0.0302256532518261</v>
      </c>
      <c r="H767" s="27" t="n">
        <f aca="false">IF(G767="","",G767^2)</f>
        <v>0.000913590114499627</v>
      </c>
      <c r="I767" s="25" t="n">
        <f aca="false">IF(G767="","",C767/C766-1)</f>
        <v>0.0306870856069941</v>
      </c>
      <c r="J767" s="17" t="n">
        <f aca="false">AVERAGE(C568:C767)</f>
        <v>724.1243</v>
      </c>
      <c r="K767" s="17" t="n">
        <f aca="false">MAX(K766,C767)</f>
        <v>1130.3</v>
      </c>
      <c r="L767" s="25" t="n">
        <f aca="false">C767/K767-1</f>
        <v>-0.0675395912589577</v>
      </c>
      <c r="M767" s="25" t="n">
        <f aca="false">IF(COUNT(G738:G767)&lt;20,"",_xlfn.STDEV.S(G738:G767)*SQRT($R$3))</f>
        <v>0.651744227688406</v>
      </c>
      <c r="N767" s="25" t="n">
        <f aca="false">IF(A767-7&lt;$R$2,"",C767/INDEX(Clean_Data!$C$2:$C$4314,MATCH(A767-7,Clean_Data!$A$2:$A$4314,1))-1)</f>
        <v>0.0865454995309327</v>
      </c>
      <c r="O767" s="25" t="n">
        <f aca="false">IF(A767-30&lt;$R$2,"",C767/INDEX(Clean_Data!$C$2:$C$4314,MATCH(A767-30,Clean_Data!$A$2:$A$4314,1))-1)</f>
        <v>0.141477045043484</v>
      </c>
    </row>
    <row r="768" customFormat="false" ht="15" hidden="false" customHeight="false" outlineLevel="0" collapsed="false">
      <c r="A768" s="16" t="n">
        <v>42774</v>
      </c>
      <c r="B768" s="23" t="n">
        <f aca="false">YEAR(A768)</f>
        <v>2017</v>
      </c>
      <c r="C768" s="17" t="n">
        <v>1056.7</v>
      </c>
      <c r="D768" s="23" t="n">
        <f aca="false">A768-A767</f>
        <v>1</v>
      </c>
      <c r="E768" s="24" t="n">
        <f aca="false">LN(C768)</f>
        <v>6.96290612344699</v>
      </c>
      <c r="F768" s="25" t="n">
        <f aca="false">LN(C768/C767)</f>
        <v>0.00259634572995878</v>
      </c>
      <c r="G768" s="25" t="n">
        <f aca="false">IF(AND(D768=1,A768&gt;=$R$2),F768,"")</f>
        <v>0.00259634572995878</v>
      </c>
      <c r="H768" s="27" t="n">
        <f aca="false">IF(G768="","",G768^2)</f>
        <v>6.74101114947519E-006</v>
      </c>
      <c r="I768" s="25" t="n">
        <f aca="false">IF(G768="","",C768/C767-1)</f>
        <v>0.00259971915442714</v>
      </c>
      <c r="J768" s="17" t="n">
        <f aca="false">AVERAGE(C569:C768)</f>
        <v>726.1203</v>
      </c>
      <c r="K768" s="17" t="n">
        <f aca="false">MAX(K767,C768)</f>
        <v>1130.3</v>
      </c>
      <c r="L768" s="25" t="n">
        <f aca="false">C768/K768-1</f>
        <v>-0.0651154560736087</v>
      </c>
      <c r="M768" s="25" t="n">
        <f aca="false">IF(COUNT(G739:G768)&lt;20,"",_xlfn.STDEV.S(G739:G768)*SQRT($R$3))</f>
        <v>0.64446441100765</v>
      </c>
      <c r="N768" s="25" t="n">
        <f aca="false">IF(A768-7&lt;$R$2,"",C768/INDEX(Clean_Data!$C$2:$C$4314,MATCH(A768-7,Clean_Data!$A$2:$A$4314,1))-1)</f>
        <v>0.0644170234197936</v>
      </c>
      <c r="O768" s="25" t="n">
        <f aca="false">IF(A768-30&lt;$R$2,"",C768/INDEX(Clean_Data!$C$2:$C$4314,MATCH(A768-30,Clean_Data!$A$2:$A$4314,1))-1)</f>
        <v>0.170651186493253</v>
      </c>
    </row>
    <row r="769" customFormat="false" ht="15" hidden="false" customHeight="false" outlineLevel="0" collapsed="false">
      <c r="A769" s="16" t="n">
        <v>42775</v>
      </c>
      <c r="B769" s="23" t="n">
        <f aca="false">YEAR(A769)</f>
        <v>2017</v>
      </c>
      <c r="C769" s="17" t="n">
        <v>994.24</v>
      </c>
      <c r="D769" s="23" t="n">
        <f aca="false">A769-A768</f>
        <v>1</v>
      </c>
      <c r="E769" s="24" t="n">
        <f aca="false">LN(C769)</f>
        <v>6.90197862620468</v>
      </c>
      <c r="F769" s="25" t="n">
        <f aca="false">LN(C769/C768)</f>
        <v>-0.0609274972423025</v>
      </c>
      <c r="G769" s="25" t="n">
        <f aca="false">IF(AND(D769=1,A769&gt;=$R$2),F769,"")</f>
        <v>-0.0609274972423025</v>
      </c>
      <c r="H769" s="27" t="n">
        <f aca="false">IF(G769="","",G769^2)</f>
        <v>0.00371215992021078</v>
      </c>
      <c r="I769" s="25" t="n">
        <f aca="false">IF(G769="","",C769/C768-1)</f>
        <v>-0.0591085454717517</v>
      </c>
      <c r="J769" s="17" t="n">
        <f aca="false">AVERAGE(C570:C769)</f>
        <v>727.7865</v>
      </c>
      <c r="K769" s="17" t="n">
        <f aca="false">MAX(K768,C769)</f>
        <v>1130.3</v>
      </c>
      <c r="L769" s="25" t="n">
        <f aca="false">C769/K769-1</f>
        <v>-0.12037512164912</v>
      </c>
      <c r="M769" s="25" t="n">
        <f aca="false">IF(COUNT(G740:G769)&lt;20,"",_xlfn.STDEV.S(G740:G769)*SQRT($R$3))</f>
        <v>0.684575522874932</v>
      </c>
      <c r="N769" s="25" t="n">
        <f aca="false">IF(A769-7&lt;$R$2,"",C769/INDEX(Clean_Data!$C$2:$C$4314,MATCH(A769-7,Clean_Data!$A$2:$A$4314,1))-1)</f>
        <v>-0.0140224915210535</v>
      </c>
      <c r="O769" s="25" t="n">
        <f aca="false">IF(A769-30&lt;$R$2,"",C769/INDEX(Clean_Data!$C$2:$C$4314,MATCH(A769-30,Clean_Data!$A$2:$A$4314,1))-1)</f>
        <v>0.0961852260198457</v>
      </c>
    </row>
    <row r="770" customFormat="false" ht="15" hidden="false" customHeight="false" outlineLevel="0" collapsed="false">
      <c r="A770" s="16" t="n">
        <v>42776</v>
      </c>
      <c r="B770" s="23" t="n">
        <f aca="false">YEAR(A770)</f>
        <v>2017</v>
      </c>
      <c r="C770" s="17" t="n">
        <v>1001.99</v>
      </c>
      <c r="D770" s="23" t="n">
        <f aca="false">A770-A769</f>
        <v>1</v>
      </c>
      <c r="E770" s="24" t="n">
        <f aca="false">LN(C770)</f>
        <v>6.90974330155509</v>
      </c>
      <c r="F770" s="25" t="n">
        <f aca="false">LN(C770/C769)</f>
        <v>0.00776467535040645</v>
      </c>
      <c r="G770" s="25" t="n">
        <f aca="false">IF(AND(D770=1,A770&gt;=$R$2),F770,"")</f>
        <v>0.00776467535040645</v>
      </c>
      <c r="H770" s="27" t="n">
        <f aca="false">IF(G770="","",G770^2)</f>
        <v>6.02901832972095E-005</v>
      </c>
      <c r="I770" s="25" t="n">
        <f aca="false">IF(G770="","",C770/C769-1)</f>
        <v>0.00779489861602833</v>
      </c>
      <c r="J770" s="17" t="n">
        <f aca="false">AVERAGE(C571:C770)</f>
        <v>729.5075</v>
      </c>
      <c r="K770" s="17" t="n">
        <f aca="false">MAX(K769,C770)</f>
        <v>1130.3</v>
      </c>
      <c r="L770" s="25" t="n">
        <f aca="false">C770/K770-1</f>
        <v>-0.113518534902238</v>
      </c>
      <c r="M770" s="25" t="n">
        <f aca="false">IF(COUNT(G741:G770)&lt;20,"",_xlfn.STDEV.S(G741:G770)*SQRT($R$3))</f>
        <v>0.484999382319066</v>
      </c>
      <c r="N770" s="25" t="n">
        <f aca="false">IF(A770-7&lt;$R$2,"",C770/INDEX(Clean_Data!$C$2:$C$4314,MATCH(A770-7,Clean_Data!$A$2:$A$4314,1))-1)</f>
        <v>-0.0157269155206287</v>
      </c>
      <c r="O770" s="25" t="n">
        <f aca="false">IF(A770-30&lt;$R$2,"",C770/INDEX(Clean_Data!$C$2:$C$4314,MATCH(A770-30,Clean_Data!$A$2:$A$4314,1))-1)</f>
        <v>0.259145230405771</v>
      </c>
    </row>
    <row r="771" customFormat="false" ht="15" hidden="false" customHeight="false" outlineLevel="0" collapsed="false">
      <c r="A771" s="16" t="n">
        <v>42777</v>
      </c>
      <c r="B771" s="23" t="n">
        <f aca="false">YEAR(A771)</f>
        <v>2017</v>
      </c>
      <c r="C771" s="17" t="n">
        <v>1018.65</v>
      </c>
      <c r="D771" s="23" t="n">
        <f aca="false">A771-A770</f>
        <v>1</v>
      </c>
      <c r="E771" s="24" t="n">
        <f aca="false">LN(C771)</f>
        <v>6.92623350022791</v>
      </c>
      <c r="F771" s="25" t="n">
        <f aca="false">LN(C771/C770)</f>
        <v>0.0164901986728211</v>
      </c>
      <c r="G771" s="25" t="n">
        <f aca="false">IF(AND(D771=1,A771&gt;=$R$2),F771,"")</f>
        <v>0.0164901986728211</v>
      </c>
      <c r="H771" s="27" t="n">
        <f aca="false">IF(G771="","",G771^2)</f>
        <v>0.00027192665226911</v>
      </c>
      <c r="I771" s="25" t="n">
        <f aca="false">IF(G771="","",C771/C770-1)</f>
        <v>0.016626912444236</v>
      </c>
      <c r="J771" s="17" t="n">
        <f aca="false">AVERAGE(C572:C771)</f>
        <v>731.33045</v>
      </c>
      <c r="K771" s="17" t="n">
        <f aca="false">MAX(K770,C771)</f>
        <v>1130.3</v>
      </c>
      <c r="L771" s="25" t="n">
        <f aca="false">C771/K771-1</f>
        <v>-0.0987790851986198</v>
      </c>
      <c r="M771" s="25" t="n">
        <f aca="false">IF(COUNT(G742:G771)&lt;20,"",_xlfn.STDEV.S(G742:G771)*SQRT($R$3))</f>
        <v>0.483866499996748</v>
      </c>
      <c r="N771" s="25" t="n">
        <f aca="false">IF(A771-7&lt;$R$2,"",C771/INDEX(Clean_Data!$C$2:$C$4314,MATCH(A771-7,Clean_Data!$A$2:$A$4314,1))-1)</f>
        <v>-0.0163103308418796</v>
      </c>
      <c r="O771" s="25" t="n">
        <f aca="false">IF(A771-30&lt;$R$2,"",C771/INDEX(Clean_Data!$C$2:$C$4314,MATCH(A771-30,Clean_Data!$A$2:$A$4314,1))-1)</f>
        <v>0.254108956602031</v>
      </c>
    </row>
    <row r="772" customFormat="false" ht="15" hidden="false" customHeight="false" outlineLevel="0" collapsed="false">
      <c r="A772" s="16" t="n">
        <v>42778</v>
      </c>
      <c r="B772" s="23" t="n">
        <f aca="false">YEAR(A772)</f>
        <v>2017</v>
      </c>
      <c r="C772" s="17" t="n">
        <v>1010</v>
      </c>
      <c r="D772" s="23" t="n">
        <f aca="false">A772-A771</f>
        <v>1</v>
      </c>
      <c r="E772" s="24" t="n">
        <f aca="false">LN(C772)</f>
        <v>6.91770560983531</v>
      </c>
      <c r="F772" s="25" t="n">
        <f aca="false">LN(C772/C771)</f>
        <v>-0.00852789039260497</v>
      </c>
      <c r="G772" s="25" t="n">
        <f aca="false">IF(AND(D772=1,A772&gt;=$R$2),F772,"")</f>
        <v>-0.00852789039260497</v>
      </c>
      <c r="H772" s="27" t="n">
        <f aca="false">IF(G772="","",G772^2)</f>
        <v>7.27249145482841E-005</v>
      </c>
      <c r="I772" s="25" t="n">
        <f aca="false">IF(G772="","",C772/C771-1)</f>
        <v>-0.00849163108035145</v>
      </c>
      <c r="J772" s="17" t="n">
        <f aca="false">AVERAGE(C573:C772)</f>
        <v>733.0937</v>
      </c>
      <c r="K772" s="17" t="n">
        <f aca="false">MAX(K771,C772)</f>
        <v>1130.3</v>
      </c>
      <c r="L772" s="25" t="n">
        <f aca="false">C772/K772-1</f>
        <v>-0.10643192072901</v>
      </c>
      <c r="M772" s="25" t="n">
        <f aca="false">IF(COUNT(G743:G772)&lt;20,"",_xlfn.STDEV.S(G743:G772)*SQRT($R$3))</f>
        <v>0.483549116285452</v>
      </c>
      <c r="N772" s="25" t="n">
        <f aca="false">IF(A772-7&lt;$R$2,"",C772/INDEX(Clean_Data!$C$2:$C$4314,MATCH(A772-7,Clean_Data!$A$2:$A$4314,1))-1)</f>
        <v>-0.00621851385390437</v>
      </c>
      <c r="O772" s="25" t="n">
        <f aca="false">IF(A772-30&lt;$R$2,"",C772/INDEX(Clean_Data!$C$2:$C$4314,MATCH(A772-30,Clean_Data!$A$2:$A$4314,1))-1)</f>
        <v>0.214789155901951</v>
      </c>
    </row>
    <row r="773" customFormat="false" ht="15" hidden="false" customHeight="false" outlineLevel="0" collapsed="false">
      <c r="A773" s="16" t="n">
        <v>42779</v>
      </c>
      <c r="B773" s="23" t="n">
        <f aca="false">YEAR(A773)</f>
        <v>2017</v>
      </c>
      <c r="C773" s="17" t="n">
        <v>1002.82</v>
      </c>
      <c r="D773" s="23" t="n">
        <f aca="false">A773-A772</f>
        <v>1</v>
      </c>
      <c r="E773" s="24" t="n">
        <f aca="false">LN(C773)</f>
        <v>6.91057131024162</v>
      </c>
      <c r="F773" s="25" t="n">
        <f aca="false">LN(C773/C772)</f>
        <v>-0.00713429959368656</v>
      </c>
      <c r="G773" s="25" t="n">
        <f aca="false">IF(AND(D773=1,A773&gt;=$R$2),F773,"")</f>
        <v>-0.00713429959368656</v>
      </c>
      <c r="H773" s="27" t="n">
        <f aca="false">IF(G773="","",G773^2)</f>
        <v>5.08982306924762E-005</v>
      </c>
      <c r="I773" s="25" t="n">
        <f aca="false">IF(G773="","",C773/C772-1)</f>
        <v>-0.007108910891089</v>
      </c>
      <c r="J773" s="17" t="n">
        <f aca="false">AVERAGE(C574:C773)</f>
        <v>734.8208</v>
      </c>
      <c r="K773" s="17" t="n">
        <f aca="false">MAX(K772,C773)</f>
        <v>1130.3</v>
      </c>
      <c r="L773" s="25" t="n">
        <f aca="false">C773/K773-1</f>
        <v>-0.112784216579669</v>
      </c>
      <c r="M773" s="25" t="n">
        <f aca="false">IF(COUNT(G744:G773)&lt;20,"",_xlfn.STDEV.S(G744:G773)*SQRT($R$3))</f>
        <v>0.484494080386055</v>
      </c>
      <c r="N773" s="25" t="n">
        <f aca="false">IF(A773-7&lt;$R$2,"",C773/INDEX(Clean_Data!$C$2:$C$4314,MATCH(A773-7,Clean_Data!$A$2:$A$4314,1))-1)</f>
        <v>-0.0193236714975845</v>
      </c>
      <c r="O773" s="25" t="n">
        <f aca="false">IF(A773-30&lt;$R$2,"",C773/INDEX(Clean_Data!$C$2:$C$4314,MATCH(A773-30,Clean_Data!$A$2:$A$4314,1))-1)</f>
        <v>0.211135265700483</v>
      </c>
    </row>
    <row r="774" customFormat="false" ht="15" hidden="false" customHeight="false" outlineLevel="0" collapsed="false">
      <c r="A774" s="16" t="n">
        <v>42780</v>
      </c>
      <c r="B774" s="23" t="n">
        <f aca="false">YEAR(A774)</f>
        <v>2017</v>
      </c>
      <c r="C774" s="17" t="n">
        <v>1013.92</v>
      </c>
      <c r="D774" s="23" t="n">
        <f aca="false">A774-A773</f>
        <v>1</v>
      </c>
      <c r="E774" s="24" t="n">
        <f aca="false">LN(C774)</f>
        <v>6.92157928557521</v>
      </c>
      <c r="F774" s="25" t="n">
        <f aca="false">LN(C774/C773)</f>
        <v>0.0110079753335884</v>
      </c>
      <c r="G774" s="25" t="n">
        <f aca="false">IF(AND(D774=1,A774&gt;=$R$2),F774,"")</f>
        <v>0.0110079753335884</v>
      </c>
      <c r="H774" s="27" t="n">
        <f aca="false">IF(G774="","",G774^2)</f>
        <v>0.00012117552094489</v>
      </c>
      <c r="I774" s="25" t="n">
        <f aca="false">IF(G774="","",C774/C773-1)</f>
        <v>0.011068786023414</v>
      </c>
      <c r="J774" s="17" t="n">
        <f aca="false">AVERAGE(C575:C774)</f>
        <v>736.6054</v>
      </c>
      <c r="K774" s="17" t="n">
        <f aca="false">MAX(K773,C774)</f>
        <v>1130.3</v>
      </c>
      <c r="L774" s="25" t="n">
        <f aca="false">C774/K774-1</f>
        <v>-0.102963814916394</v>
      </c>
      <c r="M774" s="25" t="n">
        <f aca="false">IF(COUNT(G745:G774)&lt;20,"",_xlfn.STDEV.S(G745:G774)*SQRT($R$3))</f>
        <v>0.484762349763503</v>
      </c>
      <c r="N774" s="25" t="n">
        <f aca="false">IF(A774-7&lt;$R$2,"",C774/INDEX(Clean_Data!$C$2:$C$4314,MATCH(A774-7,Clean_Data!$A$2:$A$4314,1))-1)</f>
        <v>-0.0379900565486357</v>
      </c>
      <c r="O774" s="25" t="n">
        <f aca="false">IF(A774-30&lt;$R$2,"",C774/INDEX(Clean_Data!$C$2:$C$4314,MATCH(A774-30,Clean_Data!$A$2:$A$4314,1))-1)</f>
        <v>0.216738068665923</v>
      </c>
    </row>
    <row r="775" customFormat="false" ht="15" hidden="false" customHeight="false" outlineLevel="0" collapsed="false">
      <c r="A775" s="16" t="n">
        <v>42781</v>
      </c>
      <c r="B775" s="23" t="n">
        <f aca="false">YEAR(A775)</f>
        <v>2017</v>
      </c>
      <c r="C775" s="17" t="n">
        <v>1014.53</v>
      </c>
      <c r="D775" s="23" t="n">
        <f aca="false">A775-A774</f>
        <v>1</v>
      </c>
      <c r="E775" s="24" t="n">
        <f aca="false">LN(C775)</f>
        <v>6.922180730046</v>
      </c>
      <c r="F775" s="25" t="n">
        <f aca="false">LN(C775/C774)</f>
        <v>0.000601444470791337</v>
      </c>
      <c r="G775" s="25" t="n">
        <f aca="false">IF(AND(D775=1,A775&gt;=$R$2),F775,"")</f>
        <v>0.000601444470791337</v>
      </c>
      <c r="H775" s="27" t="n">
        <f aca="false">IF(G775="","",G775^2)</f>
        <v>3.61735451445471E-007</v>
      </c>
      <c r="I775" s="25" t="n">
        <f aca="false">IF(G775="","",C775/C774-1)</f>
        <v>0.000601625374783144</v>
      </c>
      <c r="J775" s="17" t="n">
        <f aca="false">AVERAGE(C576:C775)</f>
        <v>738.3987</v>
      </c>
      <c r="K775" s="17" t="n">
        <f aca="false">MAX(K774,C775)</f>
        <v>1130.3</v>
      </c>
      <c r="L775" s="25" t="n">
        <f aca="false">C775/K775-1</f>
        <v>-0.102424135185349</v>
      </c>
      <c r="M775" s="25" t="n">
        <f aca="false">IF(COUNT(G746:G775)&lt;20,"",_xlfn.STDEV.S(G746:G775)*SQRT($R$3))</f>
        <v>0.484866075232314</v>
      </c>
      <c r="N775" s="25" t="n">
        <f aca="false">IF(A775-7&lt;$R$2,"",C775/INDEX(Clean_Data!$C$2:$C$4314,MATCH(A775-7,Clean_Data!$A$2:$A$4314,1))-1)</f>
        <v>-0.0399072584461059</v>
      </c>
      <c r="O775" s="25" t="n">
        <f aca="false">IF(A775-30&lt;$R$2,"",C775/INDEX(Clean_Data!$C$2:$C$4314,MATCH(A775-30,Clean_Data!$A$2:$A$4314,1))-1)</f>
        <v>0.215865102287844</v>
      </c>
    </row>
    <row r="776" customFormat="false" ht="15" hidden="false" customHeight="false" outlineLevel="0" collapsed="false">
      <c r="A776" s="16" t="n">
        <v>42782</v>
      </c>
      <c r="B776" s="23" t="n">
        <f aca="false">YEAR(A776)</f>
        <v>2017</v>
      </c>
      <c r="C776" s="17" t="n">
        <v>1038.94</v>
      </c>
      <c r="D776" s="23" t="n">
        <f aca="false">A776-A775</f>
        <v>1</v>
      </c>
      <c r="E776" s="24" t="n">
        <f aca="false">LN(C776)</f>
        <v>6.9459562415973</v>
      </c>
      <c r="F776" s="25" t="n">
        <f aca="false">LN(C776/C775)</f>
        <v>0.0237755115513028</v>
      </c>
      <c r="G776" s="25" t="n">
        <f aca="false">IF(AND(D776=1,A776&gt;=$R$2),F776,"")</f>
        <v>0.0237755115513028</v>
      </c>
      <c r="H776" s="27" t="n">
        <f aca="false">IF(G776="","",G776^2)</f>
        <v>0.000565274949526133</v>
      </c>
      <c r="I776" s="25" t="n">
        <f aca="false">IF(G776="","",C776/C775-1)</f>
        <v>0.0240604023537994</v>
      </c>
      <c r="J776" s="17" t="n">
        <f aca="false">AVERAGE(C577:C776)</f>
        <v>740.45855</v>
      </c>
      <c r="K776" s="17" t="n">
        <f aca="false">MAX(K775,C776)</f>
        <v>1130.3</v>
      </c>
      <c r="L776" s="25" t="n">
        <f aca="false">C776/K776-1</f>
        <v>-0.0808280987348491</v>
      </c>
      <c r="M776" s="25" t="n">
        <f aca="false">IF(COUNT(G747:G776)&lt;20,"",_xlfn.STDEV.S(G747:G776)*SQRT($R$3))</f>
        <v>0.406316086313153</v>
      </c>
      <c r="N776" s="25" t="n">
        <f aca="false">IF(A776-7&lt;$R$2,"",C776/INDEX(Clean_Data!$C$2:$C$4314,MATCH(A776-7,Clean_Data!$A$2:$A$4314,1))-1)</f>
        <v>0.0449589636305119</v>
      </c>
      <c r="O776" s="25" t="n">
        <f aca="false">IF(A776-30&lt;$R$2,"",C776/INDEX(Clean_Data!$C$2:$C$4314,MATCH(A776-30,Clean_Data!$A$2:$A$4314,1))-1)</f>
        <v>0.14673289183223</v>
      </c>
    </row>
    <row r="777" customFormat="false" ht="15" hidden="false" customHeight="false" outlineLevel="0" collapsed="false">
      <c r="A777" s="16" t="n">
        <v>42783</v>
      </c>
      <c r="B777" s="23" t="n">
        <f aca="false">YEAR(A777)</f>
        <v>2017</v>
      </c>
      <c r="C777" s="17" t="n">
        <v>1057.3</v>
      </c>
      <c r="D777" s="23" t="n">
        <f aca="false">A777-A776</f>
        <v>1</v>
      </c>
      <c r="E777" s="24" t="n">
        <f aca="false">LN(C777)</f>
        <v>6.96347376773848</v>
      </c>
      <c r="F777" s="25" t="n">
        <f aca="false">LN(C777/C776)</f>
        <v>0.0175175261411799</v>
      </c>
      <c r="G777" s="25" t="n">
        <f aca="false">IF(AND(D777=1,A777&gt;=$R$2),F777,"")</f>
        <v>0.0175175261411799</v>
      </c>
      <c r="H777" s="27" t="n">
        <f aca="false">IF(G777="","",G777^2)</f>
        <v>0.00030686372210692</v>
      </c>
      <c r="I777" s="25" t="n">
        <f aca="false">IF(G777="","",C777/C776-1)</f>
        <v>0.0176718578551214</v>
      </c>
      <c r="J777" s="17" t="n">
        <f aca="false">AVERAGE(C578:C777)</f>
        <v>742.71905</v>
      </c>
      <c r="K777" s="17" t="n">
        <f aca="false">MAX(K776,C777)</f>
        <v>1130.3</v>
      </c>
      <c r="L777" s="25" t="n">
        <f aca="false">C777/K777-1</f>
        <v>-0.0645846235512696</v>
      </c>
      <c r="M777" s="25" t="n">
        <f aca="false">IF(COUNT(G748:G777)&lt;20,"",_xlfn.STDEV.S(G748:G777)*SQRT($R$3))</f>
        <v>0.398708567645358</v>
      </c>
      <c r="N777" s="25" t="n">
        <f aca="false">IF(A777-7&lt;$R$2,"",C777/INDEX(Clean_Data!$C$2:$C$4314,MATCH(A777-7,Clean_Data!$A$2:$A$4314,1))-1)</f>
        <v>0.0552001516981207</v>
      </c>
      <c r="O777" s="25" t="n">
        <f aca="false">IF(A777-30&lt;$R$2,"",C777/INDEX(Clean_Data!$C$2:$C$4314,MATCH(A777-30,Clean_Data!$A$2:$A$4314,1))-1)</f>
        <v>0.190666561560378</v>
      </c>
    </row>
    <row r="778" customFormat="false" ht="15" hidden="false" customHeight="false" outlineLevel="0" collapsed="false">
      <c r="A778" s="16" t="n">
        <v>42784</v>
      </c>
      <c r="B778" s="23" t="n">
        <f aca="false">YEAR(A778)</f>
        <v>2017</v>
      </c>
      <c r="C778" s="17" t="n">
        <v>1062.15</v>
      </c>
      <c r="D778" s="23" t="n">
        <f aca="false">A778-A777</f>
        <v>1</v>
      </c>
      <c r="E778" s="24" t="n">
        <f aca="false">LN(C778)</f>
        <v>6.96805043476589</v>
      </c>
      <c r="F778" s="25" t="n">
        <f aca="false">LN(C778/C777)</f>
        <v>0.00457666702741189</v>
      </c>
      <c r="G778" s="25" t="n">
        <f aca="false">IF(AND(D778=1,A778&gt;=$R$2),F778,"")</f>
        <v>0.00457666702741189</v>
      </c>
      <c r="H778" s="27" t="n">
        <f aca="false">IF(G778="","",G778^2)</f>
        <v>2.09458810797992E-005</v>
      </c>
      <c r="I778" s="25" t="n">
        <f aca="false">IF(G778="","",C778/C777-1)</f>
        <v>0.00458715596330284</v>
      </c>
      <c r="J778" s="17" t="n">
        <f aca="false">AVERAGE(C579:C778)</f>
        <v>745.34245</v>
      </c>
      <c r="K778" s="17" t="n">
        <f aca="false">MAX(K777,C778)</f>
        <v>1130.3</v>
      </c>
      <c r="L778" s="25" t="n">
        <f aca="false">C778/K778-1</f>
        <v>-0.0602937273290276</v>
      </c>
      <c r="M778" s="25" t="n">
        <f aca="false">IF(COUNT(G749:G778)&lt;20,"",_xlfn.STDEV.S(G749:G778)*SQRT($R$3))</f>
        <v>0.396790974218286</v>
      </c>
      <c r="N778" s="25" t="n">
        <f aca="false">IF(A778-7&lt;$R$2,"",C778/INDEX(Clean_Data!$C$2:$C$4314,MATCH(A778-7,Clean_Data!$A$2:$A$4314,1))-1)</f>
        <v>0.0427035782653513</v>
      </c>
      <c r="O778" s="25" t="n">
        <f aca="false">IF(A778-30&lt;$R$2,"",C778/INDEX(Clean_Data!$C$2:$C$4314,MATCH(A778-30,Clean_Data!$A$2:$A$4314,1))-1)</f>
        <v>0.176350064236034</v>
      </c>
    </row>
    <row r="779" customFormat="false" ht="15" hidden="false" customHeight="false" outlineLevel="0" collapsed="false">
      <c r="A779" s="16" t="n">
        <v>42785</v>
      </c>
      <c r="B779" s="23" t="n">
        <f aca="false">YEAR(A779)</f>
        <v>2017</v>
      </c>
      <c r="C779" s="17" t="n">
        <v>1059.88</v>
      </c>
      <c r="D779" s="23" t="n">
        <f aca="false">A779-A778</f>
        <v>1</v>
      </c>
      <c r="E779" s="24" t="n">
        <f aca="false">LN(C779)</f>
        <v>6.96591097315049</v>
      </c>
      <c r="F779" s="25" t="n">
        <f aca="false">LN(C779/C778)</f>
        <v>-0.00213946161540767</v>
      </c>
      <c r="G779" s="25" t="n">
        <f aca="false">IF(AND(D779=1,A779&gt;=$R$2),F779,"")</f>
        <v>-0.00213946161540767</v>
      </c>
      <c r="H779" s="27" t="n">
        <f aca="false">IF(G779="","",G779^2)</f>
        <v>4.57729600380279E-006</v>
      </c>
      <c r="I779" s="25" t="n">
        <f aca="false">IF(G779="","",C779/C778-1)</f>
        <v>-0.00213717459869134</v>
      </c>
      <c r="J779" s="17" t="n">
        <f aca="false">AVERAGE(C580:C779)</f>
        <v>747.77505</v>
      </c>
      <c r="K779" s="17" t="n">
        <f aca="false">MAX(K778,C779)</f>
        <v>1130.3</v>
      </c>
      <c r="L779" s="25" t="n">
        <f aca="false">C779/K779-1</f>
        <v>-0.0623020437052109</v>
      </c>
      <c r="M779" s="25" t="n">
        <f aca="false">IF(COUNT(G750:G779)&lt;20,"",_xlfn.STDEV.S(G750:G779)*SQRT($R$3))</f>
        <v>0.394091074396588</v>
      </c>
      <c r="N779" s="25" t="n">
        <f aca="false">IF(A779-7&lt;$R$2,"",C779/INDEX(Clean_Data!$C$2:$C$4314,MATCH(A779-7,Clean_Data!$A$2:$A$4314,1))-1)</f>
        <v>0.0493861386138614</v>
      </c>
      <c r="O779" s="25" t="n">
        <f aca="false">IF(A779-30&lt;$R$2,"",C779/INDEX(Clean_Data!$C$2:$C$4314,MATCH(A779-30,Clean_Data!$A$2:$A$4314,1))-1)</f>
        <v>0.18513714483792</v>
      </c>
    </row>
    <row r="780" customFormat="false" ht="15" hidden="false" customHeight="false" outlineLevel="0" collapsed="false">
      <c r="A780" s="16" t="n">
        <v>42786</v>
      </c>
      <c r="B780" s="23" t="n">
        <f aca="false">YEAR(A780)</f>
        <v>2017</v>
      </c>
      <c r="C780" s="17" t="n">
        <v>1089.82</v>
      </c>
      <c r="D780" s="23" t="n">
        <f aca="false">A780-A779</f>
        <v>1</v>
      </c>
      <c r="E780" s="24" t="n">
        <f aca="false">LN(C780)</f>
        <v>6.99376782397179</v>
      </c>
      <c r="F780" s="25" t="n">
        <f aca="false">LN(C780/C779)</f>
        <v>0.0278568508213081</v>
      </c>
      <c r="G780" s="25" t="n">
        <f aca="false">IF(AND(D780=1,A780&gt;=$R$2),F780,"")</f>
        <v>0.0278568508213081</v>
      </c>
      <c r="H780" s="27" t="n">
        <f aca="false">IF(G780="","",G780^2)</f>
        <v>0.000776004137680612</v>
      </c>
      <c r="I780" s="25" t="n">
        <f aca="false">IF(G780="","",C780/C779-1)</f>
        <v>0.0282484809601085</v>
      </c>
      <c r="J780" s="17" t="n">
        <f aca="false">AVERAGE(C581:C780)</f>
        <v>750.28665</v>
      </c>
      <c r="K780" s="17" t="n">
        <f aca="false">MAX(K779,C780)</f>
        <v>1130.3</v>
      </c>
      <c r="L780" s="25" t="n">
        <f aca="false">C780/K780-1</f>
        <v>-0.0358135008404848</v>
      </c>
      <c r="M780" s="25" t="n">
        <f aca="false">IF(COUNT(G751:G780)&lt;20,"",_xlfn.STDEV.S(G751:G780)*SQRT($R$3))</f>
        <v>0.389260315872048</v>
      </c>
      <c r="N780" s="25" t="n">
        <f aca="false">IF(A780-7&lt;$R$2,"",C780/INDEX(Clean_Data!$C$2:$C$4314,MATCH(A780-7,Clean_Data!$A$2:$A$4314,1))-1)</f>
        <v>0.0867553499132445</v>
      </c>
      <c r="O780" s="25" t="n">
        <f aca="false">IF(A780-30&lt;$R$2,"",C780/INDEX(Clean_Data!$C$2:$C$4314,MATCH(A780-30,Clean_Data!$A$2:$A$4314,1))-1)</f>
        <v>0.178107366008691</v>
      </c>
    </row>
    <row r="781" customFormat="false" ht="15" hidden="false" customHeight="false" outlineLevel="0" collapsed="false">
      <c r="A781" s="16" t="n">
        <v>42787</v>
      </c>
      <c r="B781" s="23" t="n">
        <f aca="false">YEAR(A781)</f>
        <v>2017</v>
      </c>
      <c r="C781" s="17" t="n">
        <v>1128.29</v>
      </c>
      <c r="D781" s="23" t="n">
        <f aca="false">A781-A780</f>
        <v>1</v>
      </c>
      <c r="E781" s="24" t="n">
        <f aca="false">LN(C781)</f>
        <v>7.02845849121405</v>
      </c>
      <c r="F781" s="25" t="n">
        <f aca="false">LN(C781/C780)</f>
        <v>0.0346906672422565</v>
      </c>
      <c r="G781" s="25" t="n">
        <f aca="false">IF(AND(D781=1,A781&gt;=$R$2),F781,"")</f>
        <v>0.0346906672422565</v>
      </c>
      <c r="H781" s="27" t="n">
        <f aca="false">IF(G781="","",G781^2)</f>
        <v>0.00120344239371296</v>
      </c>
      <c r="I781" s="25" t="n">
        <f aca="false">IF(G781="","",C781/C780-1)</f>
        <v>0.0352994072415629</v>
      </c>
      <c r="J781" s="17" t="n">
        <f aca="false">AVERAGE(C582:C781)</f>
        <v>753.0131</v>
      </c>
      <c r="K781" s="17" t="n">
        <f aca="false">MAX(K780,C781)</f>
        <v>1130.3</v>
      </c>
      <c r="L781" s="25" t="n">
        <f aca="false">C781/K781-1</f>
        <v>-0.00177828894983634</v>
      </c>
      <c r="M781" s="25" t="n">
        <f aca="false">IF(COUNT(G752:G781)&lt;20,"",_xlfn.STDEV.S(G752:G781)*SQRT($R$3))</f>
        <v>0.402402114617107</v>
      </c>
      <c r="N781" s="25" t="n">
        <f aca="false">IF(A781-7&lt;$R$2,"",C781/INDEX(Clean_Data!$C$2:$C$4314,MATCH(A781-7,Clean_Data!$A$2:$A$4314,1))-1)</f>
        <v>0.112799826416285</v>
      </c>
      <c r="O781" s="25" t="n">
        <f aca="false">IF(A781-30&lt;$R$2,"",C781/INDEX(Clean_Data!$C$2:$C$4314,MATCH(A781-30,Clean_Data!$A$2:$A$4314,1))-1)</f>
        <v>0.211625609415605</v>
      </c>
    </row>
    <row r="782" customFormat="false" ht="15" hidden="false" customHeight="false" outlineLevel="0" collapsed="false">
      <c r="A782" s="16" t="n">
        <v>42788</v>
      </c>
      <c r="B782" s="23" t="n">
        <f aca="false">YEAR(A782)</f>
        <v>2017</v>
      </c>
      <c r="C782" s="17" t="n">
        <v>1128.71</v>
      </c>
      <c r="D782" s="23" t="n">
        <f aca="false">A782-A781</f>
        <v>1</v>
      </c>
      <c r="E782" s="24" t="n">
        <f aca="false">LN(C782)</f>
        <v>7.02883066667249</v>
      </c>
      <c r="F782" s="25" t="n">
        <f aca="false">LN(C782/C781)</f>
        <v>0.000372175458438609</v>
      </c>
      <c r="G782" s="25" t="n">
        <f aca="false">IF(AND(D782=1,A782&gt;=$R$2),F782,"")</f>
        <v>0.000372175458438609</v>
      </c>
      <c r="H782" s="27" t="n">
        <f aca="false">IF(G782="","",G782^2)</f>
        <v>1.38514571863989E-007</v>
      </c>
      <c r="I782" s="25" t="n">
        <f aca="false">IF(G782="","",C782/C781-1)</f>
        <v>0.000372244724317294</v>
      </c>
      <c r="J782" s="17" t="n">
        <f aca="false">AVERAGE(C583:C782)</f>
        <v>755.6981</v>
      </c>
      <c r="K782" s="17" t="n">
        <f aca="false">MAX(K781,C782)</f>
        <v>1130.3</v>
      </c>
      <c r="L782" s="25" t="n">
        <f aca="false">C782/K782-1</f>
        <v>-0.0014067061841988</v>
      </c>
      <c r="M782" s="25" t="n">
        <f aca="false">IF(COUNT(G753:G782)&lt;20,"",_xlfn.STDEV.S(G753:G782)*SQRT($R$3))</f>
        <v>0.389635755061948</v>
      </c>
      <c r="N782" s="25" t="n">
        <f aca="false">IF(A782-7&lt;$R$2,"",C782/INDEX(Clean_Data!$C$2:$C$4314,MATCH(A782-7,Clean_Data!$A$2:$A$4314,1))-1)</f>
        <v>0.112544725143663</v>
      </c>
      <c r="O782" s="25" t="n">
        <f aca="false">IF(A782-30&lt;$R$2,"",C782/INDEX(Clean_Data!$C$2:$C$4314,MATCH(A782-30,Clean_Data!$A$2:$A$4314,1))-1)</f>
        <v>0.239387284506424</v>
      </c>
    </row>
    <row r="783" customFormat="false" ht="15" hidden="false" customHeight="false" outlineLevel="0" collapsed="false">
      <c r="A783" s="16" t="n">
        <v>42789</v>
      </c>
      <c r="B783" s="23" t="n">
        <f aca="false">YEAR(A783)</f>
        <v>2017</v>
      </c>
      <c r="C783" s="17" t="n">
        <v>1186.9</v>
      </c>
      <c r="D783" s="23" t="n">
        <f aca="false">A783-A782</f>
        <v>1</v>
      </c>
      <c r="E783" s="24" t="n">
        <f aca="false">LN(C783)</f>
        <v>7.07910014506246</v>
      </c>
      <c r="F783" s="25" t="n">
        <f aca="false">LN(C783/C782)</f>
        <v>0.0502694783899712</v>
      </c>
      <c r="G783" s="25" t="n">
        <f aca="false">IF(AND(D783=1,A783&gt;=$R$2),F783,"")</f>
        <v>0.0502694783899712</v>
      </c>
      <c r="H783" s="27" t="n">
        <f aca="false">IF(G783="","",G783^2)</f>
        <v>0.00252702045759978</v>
      </c>
      <c r="I783" s="25" t="n">
        <f aca="false">IF(G783="","",C783/C782-1)</f>
        <v>0.0515544293928467</v>
      </c>
      <c r="J783" s="17" t="n">
        <f aca="false">AVERAGE(C584:C783)</f>
        <v>758.6569</v>
      </c>
      <c r="K783" s="17" t="n">
        <f aca="false">MAX(K782,C783)</f>
        <v>1186.9</v>
      </c>
      <c r="L783" s="25" t="n">
        <f aca="false">C783/K783-1</f>
        <v>0</v>
      </c>
      <c r="M783" s="25" t="n">
        <f aca="false">IF(COUNT(G754:G783)&lt;20,"",_xlfn.STDEV.S(G754:G783)*SQRT($R$3))</f>
        <v>0.398252744527646</v>
      </c>
      <c r="N783" s="25" t="n">
        <f aca="false">IF(A783-7&lt;$R$2,"",C783/INDEX(Clean_Data!$C$2:$C$4314,MATCH(A783-7,Clean_Data!$A$2:$A$4314,1))-1)</f>
        <v>0.142414383891274</v>
      </c>
      <c r="O783" s="25" t="n">
        <f aca="false">IF(A783-30&lt;$R$2,"",C783/INDEX(Clean_Data!$C$2:$C$4314,MATCH(A783-30,Clean_Data!$A$2:$A$4314,1))-1)</f>
        <v>0.338105975197294</v>
      </c>
    </row>
    <row r="784" customFormat="false" ht="15" hidden="false" customHeight="false" outlineLevel="0" collapsed="false">
      <c r="A784" s="16" t="n">
        <v>42790</v>
      </c>
      <c r="B784" s="23" t="n">
        <f aca="false">YEAR(A784)</f>
        <v>2017</v>
      </c>
      <c r="C784" s="17" t="n">
        <v>1186.91</v>
      </c>
      <c r="D784" s="23" t="n">
        <f aca="false">A784-A783</f>
        <v>1</v>
      </c>
      <c r="E784" s="24" t="n">
        <f aca="false">LN(C784)</f>
        <v>7.0791085703366</v>
      </c>
      <c r="F784" s="25" t="n">
        <f aca="false">LN(C784/C783)</f>
        <v>8.42527413746712E-006</v>
      </c>
      <c r="G784" s="25" t="n">
        <f aca="false">IF(AND(D784=1,A784&gt;=$R$2),F784,"")</f>
        <v>8.42527413746712E-006</v>
      </c>
      <c r="H784" s="27" t="n">
        <f aca="false">IF(G784="","",G784^2)</f>
        <v>7.09852442914724E-011</v>
      </c>
      <c r="I784" s="25" t="n">
        <f aca="false">IF(G784="","",C784/C783-1)</f>
        <v>8.42530963018895E-006</v>
      </c>
      <c r="J784" s="17" t="n">
        <f aca="false">AVERAGE(C585:C784)</f>
        <v>761.63405</v>
      </c>
      <c r="K784" s="17" t="n">
        <f aca="false">MAX(K783,C784)</f>
        <v>1186.91</v>
      </c>
      <c r="L784" s="25" t="n">
        <f aca="false">C784/K784-1</f>
        <v>0</v>
      </c>
      <c r="M784" s="25" t="n">
        <f aca="false">IF(COUNT(G755:G784)&lt;20,"",_xlfn.STDEV.S(G755:G784)*SQRT($R$3))</f>
        <v>0.399681038782067</v>
      </c>
      <c r="N784" s="25" t="n">
        <f aca="false">IF(A784-7&lt;$R$2,"",C784/INDEX(Clean_Data!$C$2:$C$4314,MATCH(A784-7,Clean_Data!$A$2:$A$4314,1))-1)</f>
        <v>0.122585831835808</v>
      </c>
      <c r="O784" s="25" t="n">
        <f aca="false">IF(A784-30&lt;$R$2,"",C784/INDEX(Clean_Data!$C$2:$C$4314,MATCH(A784-30,Clean_Data!$A$2:$A$4314,1))-1)</f>
        <v>0.324676339285714</v>
      </c>
    </row>
    <row r="785" customFormat="false" ht="15" hidden="false" customHeight="false" outlineLevel="0" collapsed="false">
      <c r="A785" s="16" t="n">
        <v>42791</v>
      </c>
      <c r="B785" s="23" t="n">
        <f aca="false">YEAR(A785)</f>
        <v>2017</v>
      </c>
      <c r="C785" s="17" t="n">
        <v>1158</v>
      </c>
      <c r="D785" s="23" t="n">
        <f aca="false">A785-A784</f>
        <v>1</v>
      </c>
      <c r="E785" s="24" t="n">
        <f aca="false">LN(C785)</f>
        <v>7.05444965813294</v>
      </c>
      <c r="F785" s="25" t="n">
        <f aca="false">LN(C785/C784)</f>
        <v>-0.0246589122036565</v>
      </c>
      <c r="G785" s="25" t="n">
        <f aca="false">IF(AND(D785=1,A785&gt;=$R$2),F785,"")</f>
        <v>-0.0246589122036565</v>
      </c>
      <c r="H785" s="27" t="n">
        <f aca="false">IF(G785="","",G785^2)</f>
        <v>0.000608061951067638</v>
      </c>
      <c r="I785" s="25" t="n">
        <f aca="false">IF(G785="","",C785/C784-1)</f>
        <v>-0.0243573649223615</v>
      </c>
      <c r="J785" s="17" t="n">
        <f aca="false">AVERAGE(C586:C785)</f>
        <v>764.4918</v>
      </c>
      <c r="K785" s="17" t="n">
        <f aca="false">MAX(K784,C785)</f>
        <v>1186.91</v>
      </c>
      <c r="L785" s="25" t="n">
        <f aca="false">C785/K785-1</f>
        <v>-0.0243573649223615</v>
      </c>
      <c r="M785" s="25" t="n">
        <f aca="false">IF(COUNT(G756:G785)&lt;20,"",_xlfn.STDEV.S(G756:G785)*SQRT($R$3))</f>
        <v>0.413470801267194</v>
      </c>
      <c r="N785" s="25" t="n">
        <f aca="false">IF(A785-7&lt;$R$2,"",C785/INDEX(Clean_Data!$C$2:$C$4314,MATCH(A785-7,Clean_Data!$A$2:$A$4314,1))-1)</f>
        <v>0.090241491314786</v>
      </c>
      <c r="O785" s="25" t="n">
        <f aca="false">IF(A785-30&lt;$R$2,"",C785/INDEX(Clean_Data!$C$2:$C$4314,MATCH(A785-30,Clean_Data!$A$2:$A$4314,1))-1)</f>
        <v>0.262785980676539</v>
      </c>
    </row>
    <row r="786" customFormat="false" ht="15" hidden="false" customHeight="false" outlineLevel="0" collapsed="false">
      <c r="A786" s="16" t="n">
        <v>42792</v>
      </c>
      <c r="B786" s="23" t="n">
        <f aca="false">YEAR(A786)</f>
        <v>2017</v>
      </c>
      <c r="C786" s="17" t="n">
        <v>1184.91</v>
      </c>
      <c r="D786" s="23" t="n">
        <f aca="false">A786-A785</f>
        <v>1</v>
      </c>
      <c r="E786" s="24" t="n">
        <f aca="false">LN(C786)</f>
        <v>7.07742210131784</v>
      </c>
      <c r="F786" s="25" t="n">
        <f aca="false">LN(C786/C785)</f>
        <v>0.0229724431849032</v>
      </c>
      <c r="G786" s="25" t="n">
        <f aca="false">IF(AND(D786=1,A786&gt;=$R$2),F786,"")</f>
        <v>0.0229724431849032</v>
      </c>
      <c r="H786" s="27" t="n">
        <f aca="false">IF(G786="","",G786^2)</f>
        <v>0.000527733145883606</v>
      </c>
      <c r="I786" s="25" t="n">
        <f aca="false">IF(G786="","",C786/C785-1)</f>
        <v>0.0232383419689119</v>
      </c>
      <c r="J786" s="17" t="n">
        <f aca="false">AVERAGE(C587:C786)</f>
        <v>767.44165</v>
      </c>
      <c r="K786" s="17" t="n">
        <f aca="false">MAX(K785,C786)</f>
        <v>1186.91</v>
      </c>
      <c r="L786" s="25" t="n">
        <f aca="false">C786/K786-1</f>
        <v>-0.00168504772897693</v>
      </c>
      <c r="M786" s="25" t="n">
        <f aca="false">IF(COUNT(G757:G786)&lt;20,"",_xlfn.STDEV.S(G757:G786)*SQRT($R$3))</f>
        <v>0.416784408876916</v>
      </c>
      <c r="N786" s="25" t="n">
        <f aca="false">IF(A786-7&lt;$R$2,"",C786/INDEX(Clean_Data!$C$2:$C$4314,MATCH(A786-7,Clean_Data!$A$2:$A$4314,1))-1)</f>
        <v>0.117966184851115</v>
      </c>
      <c r="O786" s="25" t="n">
        <f aca="false">IF(A786-30&lt;$R$2,"",C786/INDEX(Clean_Data!$C$2:$C$4314,MATCH(A786-30,Clean_Data!$A$2:$A$4314,1))-1)</f>
        <v>0.284274302808276</v>
      </c>
    </row>
    <row r="787" customFormat="false" ht="15" hidden="false" customHeight="false" outlineLevel="0" collapsed="false">
      <c r="A787" s="16" t="n">
        <v>42793</v>
      </c>
      <c r="B787" s="23" t="n">
        <f aca="false">YEAR(A787)</f>
        <v>2017</v>
      </c>
      <c r="C787" s="17" t="n">
        <v>1195.81</v>
      </c>
      <c r="D787" s="23" t="n">
        <f aca="false">A787-A786</f>
        <v>1</v>
      </c>
      <c r="E787" s="24" t="n">
        <f aca="false">LN(C787)</f>
        <v>7.08657905901428</v>
      </c>
      <c r="F787" s="25" t="n">
        <f aca="false">LN(C787/C786)</f>
        <v>0.0091569576964357</v>
      </c>
      <c r="G787" s="25" t="n">
        <f aca="false">IF(AND(D787=1,A787&gt;=$R$2),F787,"")</f>
        <v>0.0091569576964357</v>
      </c>
      <c r="H787" s="27" t="n">
        <f aca="false">IF(G787="","",G787^2)</f>
        <v>8.3849874254313E-005</v>
      </c>
      <c r="I787" s="25" t="n">
        <f aca="false">IF(G787="","",C787/C786-1)</f>
        <v>0.00919901089534214</v>
      </c>
      <c r="J787" s="17" t="n">
        <f aca="false">AVERAGE(C588:C787)</f>
        <v>770.48115</v>
      </c>
      <c r="K787" s="17" t="n">
        <f aca="false">MAX(K786,C787)</f>
        <v>1195.81</v>
      </c>
      <c r="L787" s="25" t="n">
        <f aca="false">C787/K787-1</f>
        <v>0</v>
      </c>
      <c r="M787" s="25" t="n">
        <f aca="false">IF(COUNT(G758:G787)&lt;20,"",_xlfn.STDEV.S(G758:G787)*SQRT($R$3))</f>
        <v>0.416264926316009</v>
      </c>
      <c r="N787" s="25" t="n">
        <f aca="false">IF(A787-7&lt;$R$2,"",C787/INDEX(Clean_Data!$C$2:$C$4314,MATCH(A787-7,Clean_Data!$A$2:$A$4314,1))-1)</f>
        <v>0.097254592501514</v>
      </c>
      <c r="O787" s="25" t="n">
        <f aca="false">IF(A787-30&lt;$R$2,"",C787/INDEX(Clean_Data!$C$2:$C$4314,MATCH(A787-30,Clean_Data!$A$2:$A$4314,1))-1)</f>
        <v>0.292795519903133</v>
      </c>
    </row>
    <row r="788" customFormat="false" ht="15" hidden="false" customHeight="false" outlineLevel="0" collapsed="false">
      <c r="A788" s="16" t="n">
        <v>42794</v>
      </c>
      <c r="B788" s="23" t="n">
        <f aca="false">YEAR(A788)</f>
        <v>2017</v>
      </c>
      <c r="C788" s="17" t="n">
        <v>1195.08</v>
      </c>
      <c r="D788" s="23" t="n">
        <f aca="false">A788-A787</f>
        <v>1</v>
      </c>
      <c r="E788" s="24" t="n">
        <f aca="false">LN(C788)</f>
        <v>7.08596840773155</v>
      </c>
      <c r="F788" s="25" t="n">
        <f aca="false">LN(C788/C787)</f>
        <v>-0.000610651282731047</v>
      </c>
      <c r="G788" s="25" t="n">
        <f aca="false">IF(AND(D788=1,A788&gt;=$R$2),F788,"")</f>
        <v>-0.000610651282731047</v>
      </c>
      <c r="H788" s="27" t="n">
        <f aca="false">IF(G788="","",G788^2)</f>
        <v>3.72894989101073E-007</v>
      </c>
      <c r="I788" s="25" t="n">
        <f aca="false">IF(G788="","",C788/C787-1)</f>
        <v>-0.000610464873182171</v>
      </c>
      <c r="J788" s="17" t="n">
        <f aca="false">AVERAGE(C589:C788)</f>
        <v>773.51785</v>
      </c>
      <c r="K788" s="17" t="n">
        <f aca="false">MAX(K787,C788)</f>
        <v>1195.81</v>
      </c>
      <c r="L788" s="25" t="n">
        <f aca="false">C788/K788-1</f>
        <v>-0.000610464873182171</v>
      </c>
      <c r="M788" s="25" t="n">
        <f aca="false">IF(COUNT(G759:G788)&lt;20,"",_xlfn.STDEV.S(G759:G788)*SQRT($R$3))</f>
        <v>0.412733973155498</v>
      </c>
      <c r="N788" s="25" t="n">
        <f aca="false">IF(A788-7&lt;$R$2,"",C788/INDEX(Clean_Data!$C$2:$C$4314,MATCH(A788-7,Clean_Data!$A$2:$A$4314,1))-1)</f>
        <v>0.059195774136082</v>
      </c>
      <c r="O788" s="25" t="n">
        <f aca="false">IF(A788-30&lt;$R$2,"",C788/INDEX(Clean_Data!$C$2:$C$4314,MATCH(A788-30,Clean_Data!$A$2:$A$4314,1))-1)</f>
        <v>0.303903812163135</v>
      </c>
    </row>
    <row r="789" customFormat="false" ht="15" hidden="false" customHeight="false" outlineLevel="0" collapsed="false">
      <c r="A789" s="16" t="n">
        <v>42795</v>
      </c>
      <c r="B789" s="23" t="n">
        <f aca="false">YEAR(A789)</f>
        <v>2017</v>
      </c>
      <c r="C789" s="17" t="n">
        <v>1230</v>
      </c>
      <c r="D789" s="23" t="n">
        <f aca="false">A789-A788</f>
        <v>1</v>
      </c>
      <c r="E789" s="24" t="n">
        <f aca="false">LN(C789)</f>
        <v>7.11476944836646</v>
      </c>
      <c r="F789" s="25" t="n">
        <f aca="false">LN(C789/C788)</f>
        <v>0.0288010406349147</v>
      </c>
      <c r="G789" s="25" t="n">
        <f aca="false">IF(AND(D789=1,A789&gt;=$R$2),F789,"")</f>
        <v>0.0288010406349147</v>
      </c>
      <c r="H789" s="27" t="n">
        <f aca="false">IF(G789="","",G789^2)</f>
        <v>0.000829499941654007</v>
      </c>
      <c r="I789" s="25" t="n">
        <f aca="false">IF(G789="","",C789/C788-1)</f>
        <v>0.0292198011848579</v>
      </c>
      <c r="J789" s="17" t="n">
        <f aca="false">AVERAGE(C590:C789)</f>
        <v>776.7356</v>
      </c>
      <c r="K789" s="17" t="n">
        <f aca="false">MAX(K788,C789)</f>
        <v>1230</v>
      </c>
      <c r="L789" s="25" t="n">
        <f aca="false">C789/K789-1</f>
        <v>0</v>
      </c>
      <c r="M789" s="25" t="n">
        <f aca="false">IF(COUNT(G760:G789)&lt;20,"",_xlfn.STDEV.S(G760:G789)*SQRT($R$3))</f>
        <v>0.418492436164644</v>
      </c>
      <c r="N789" s="25" t="n">
        <f aca="false">IF(A789-7&lt;$R$2,"",C789/INDEX(Clean_Data!$C$2:$C$4314,MATCH(A789-7,Clean_Data!$A$2:$A$4314,1))-1)</f>
        <v>0.0897396142498959</v>
      </c>
      <c r="O789" s="25" t="n">
        <f aca="false">IF(A789-30&lt;$R$2,"",C789/INDEX(Clean_Data!$C$2:$C$4314,MATCH(A789-30,Clean_Data!$A$2:$A$4314,1))-1)</f>
        <v>0.332279063721933</v>
      </c>
    </row>
    <row r="790" customFormat="false" ht="15" hidden="false" customHeight="false" outlineLevel="0" collapsed="false">
      <c r="A790" s="16" t="n">
        <v>42796</v>
      </c>
      <c r="B790" s="23" t="n">
        <f aca="false">YEAR(A790)</f>
        <v>2017</v>
      </c>
      <c r="C790" s="17" t="n">
        <v>1269.17</v>
      </c>
      <c r="D790" s="23" t="n">
        <f aca="false">A790-A789</f>
        <v>1</v>
      </c>
      <c r="E790" s="24" t="n">
        <f aca="false">LN(C790)</f>
        <v>7.14611842249303</v>
      </c>
      <c r="F790" s="25" t="n">
        <f aca="false">LN(C790/C789)</f>
        <v>0.0313489741265675</v>
      </c>
      <c r="G790" s="25" t="n">
        <f aca="false">IF(AND(D790=1,A790&gt;=$R$2),F790,"")</f>
        <v>0.0313489741265675</v>
      </c>
      <c r="H790" s="27" t="n">
        <f aca="false">IF(G790="","",G790^2)</f>
        <v>0.0009827581787882</v>
      </c>
      <c r="I790" s="25" t="n">
        <f aca="false">IF(G790="","",C790/C789-1)</f>
        <v>0.0318455284552845</v>
      </c>
      <c r="J790" s="17" t="n">
        <f aca="false">AVERAGE(C591:C790)</f>
        <v>780.2065</v>
      </c>
      <c r="K790" s="17" t="n">
        <f aca="false">MAX(K789,C790)</f>
        <v>1269.17</v>
      </c>
      <c r="L790" s="25" t="n">
        <f aca="false">C790/K790-1</f>
        <v>0</v>
      </c>
      <c r="M790" s="25" t="n">
        <f aca="false">IF(COUNT(G761:G790)&lt;20,"",_xlfn.STDEV.S(G761:G790)*SQRT($R$3))</f>
        <v>0.401211120920362</v>
      </c>
      <c r="N790" s="25" t="n">
        <f aca="false">IF(A790-7&lt;$R$2,"",C790/INDEX(Clean_Data!$C$2:$C$4314,MATCH(A790-7,Clean_Data!$A$2:$A$4314,1))-1)</f>
        <v>0.0693150223270704</v>
      </c>
      <c r="O790" s="25" t="n">
        <f aca="false">IF(A790-30&lt;$R$2,"",C790/INDEX(Clean_Data!$C$2:$C$4314,MATCH(A790-30,Clean_Data!$A$2:$A$4314,1))-1)</f>
        <v>0.308409191657818</v>
      </c>
    </row>
    <row r="791" customFormat="false" ht="15" hidden="false" customHeight="false" outlineLevel="0" collapsed="false">
      <c r="A791" s="16" t="n">
        <v>42797</v>
      </c>
      <c r="B791" s="23" t="n">
        <f aca="false">YEAR(A791)</f>
        <v>2017</v>
      </c>
      <c r="C791" s="17" t="n">
        <v>1292.86</v>
      </c>
      <c r="D791" s="23" t="n">
        <f aca="false">A791-A790</f>
        <v>1</v>
      </c>
      <c r="E791" s="24" t="n">
        <f aca="false">LN(C791)</f>
        <v>7.16461209758097</v>
      </c>
      <c r="F791" s="25" t="n">
        <f aca="false">LN(C791/C790)</f>
        <v>0.018493675087937</v>
      </c>
      <c r="G791" s="25" t="n">
        <f aca="false">IF(AND(D791=1,A791&gt;=$R$2),F791,"")</f>
        <v>0.018493675087937</v>
      </c>
      <c r="H791" s="27" t="n">
        <f aca="false">IF(G791="","",G791^2)</f>
        <v>0.000342016018258182</v>
      </c>
      <c r="I791" s="25" t="n">
        <f aca="false">IF(G791="","",C791/C790-1)</f>
        <v>0.0186657421779586</v>
      </c>
      <c r="J791" s="17" t="n">
        <f aca="false">AVERAGE(C592:C791)</f>
        <v>783.83185</v>
      </c>
      <c r="K791" s="17" t="n">
        <f aca="false">MAX(K790,C791)</f>
        <v>1292.86</v>
      </c>
      <c r="L791" s="25" t="n">
        <f aca="false">C791/K791-1</f>
        <v>0</v>
      </c>
      <c r="M791" s="25" t="n">
        <f aca="false">IF(COUNT(G762:G791)&lt;20,"",_xlfn.STDEV.S(G762:G791)*SQRT($R$3))</f>
        <v>0.399453188725007</v>
      </c>
      <c r="N791" s="25" t="n">
        <f aca="false">IF(A791-7&lt;$R$2,"",C791/INDEX(Clean_Data!$C$2:$C$4314,MATCH(A791-7,Clean_Data!$A$2:$A$4314,1))-1)</f>
        <v>0.0892654034425524</v>
      </c>
      <c r="O791" s="25" t="n">
        <f aca="false">IF(A791-30&lt;$R$2,"",C791/INDEX(Clean_Data!$C$2:$C$4314,MATCH(A791-30,Clean_Data!$A$2:$A$4314,1))-1)</f>
        <v>0.302301687232435</v>
      </c>
    </row>
    <row r="792" customFormat="false" ht="15" hidden="false" customHeight="false" outlineLevel="0" collapsed="false">
      <c r="A792" s="16" t="n">
        <v>42798</v>
      </c>
      <c r="B792" s="23" t="n">
        <f aca="false">YEAR(A792)</f>
        <v>2017</v>
      </c>
      <c r="C792" s="17" t="n">
        <v>1273.97</v>
      </c>
      <c r="D792" s="23" t="n">
        <f aca="false">A792-A791</f>
        <v>1</v>
      </c>
      <c r="E792" s="24" t="n">
        <f aca="false">LN(C792)</f>
        <v>7.14989328797416</v>
      </c>
      <c r="F792" s="25" t="n">
        <f aca="false">LN(C792/C791)</f>
        <v>-0.0147188096068057</v>
      </c>
      <c r="G792" s="25" t="n">
        <f aca="false">IF(AND(D792=1,A792&gt;=$R$2),F792,"")</f>
        <v>-0.0147188096068057</v>
      </c>
      <c r="H792" s="27" t="n">
        <f aca="false">IF(G792="","",G792^2)</f>
        <v>0.000216643356241395</v>
      </c>
      <c r="I792" s="25" t="n">
        <f aca="false">IF(G792="","",C792/C791-1)</f>
        <v>-0.0146110174342156</v>
      </c>
      <c r="J792" s="17" t="n">
        <f aca="false">AVERAGE(C593:C792)</f>
        <v>787.3066</v>
      </c>
      <c r="K792" s="17" t="n">
        <f aca="false">MAX(K791,C792)</f>
        <v>1292.86</v>
      </c>
      <c r="L792" s="25" t="n">
        <f aca="false">C792/K792-1</f>
        <v>-0.0146110174342156</v>
      </c>
      <c r="M792" s="25" t="n">
        <f aca="false">IF(COUNT(G763:G792)&lt;20,"",_xlfn.STDEV.S(G763:G792)*SQRT($R$3))</f>
        <v>0.406886020828989</v>
      </c>
      <c r="N792" s="25" t="n">
        <f aca="false">IF(A792-7&lt;$R$2,"",C792/INDEX(Clean_Data!$C$2:$C$4314,MATCH(A792-7,Clean_Data!$A$2:$A$4314,1))-1)</f>
        <v>0.100146804835924</v>
      </c>
      <c r="O792" s="25" t="n">
        <f aca="false">IF(A792-30&lt;$R$2,"",C792/INDEX(Clean_Data!$C$2:$C$4314,MATCH(A792-30,Clean_Data!$A$2:$A$4314,1))-1)</f>
        <v>0.263382851702731</v>
      </c>
    </row>
    <row r="793" customFormat="false" ht="15" hidden="false" customHeight="false" outlineLevel="0" collapsed="false">
      <c r="A793" s="16" t="n">
        <v>42799</v>
      </c>
      <c r="B793" s="23" t="n">
        <f aca="false">YEAR(A793)</f>
        <v>2017</v>
      </c>
      <c r="C793" s="17" t="n">
        <v>1278.98</v>
      </c>
      <c r="D793" s="23" t="n">
        <f aca="false">A793-A792</f>
        <v>1</v>
      </c>
      <c r="E793" s="24" t="n">
        <f aca="false">LN(C793)</f>
        <v>7.15381816424001</v>
      </c>
      <c r="F793" s="25" t="n">
        <f aca="false">LN(C793/C792)</f>
        <v>0.00392487626584254</v>
      </c>
      <c r="G793" s="25" t="n">
        <f aca="false">IF(AND(D793=1,A793&gt;=$R$2),F793,"")</f>
        <v>0.00392487626584254</v>
      </c>
      <c r="H793" s="27" t="n">
        <f aca="false">IF(G793="","",G793^2)</f>
        <v>1.54046537021741E-005</v>
      </c>
      <c r="I793" s="25" t="n">
        <f aca="false">IF(G793="","",C793/C792-1)</f>
        <v>0.00393258867948232</v>
      </c>
      <c r="J793" s="17" t="n">
        <f aca="false">AVERAGE(C594:C793)</f>
        <v>790.82925</v>
      </c>
      <c r="K793" s="17" t="n">
        <f aca="false">MAX(K792,C793)</f>
        <v>1292.86</v>
      </c>
      <c r="L793" s="25" t="n">
        <f aca="false">C793/K793-1</f>
        <v>-0.0107358878764908</v>
      </c>
      <c r="M793" s="25" t="n">
        <f aca="false">IF(COUNT(G764:G793)&lt;20,"",_xlfn.STDEV.S(G764:G793)*SQRT($R$3))</f>
        <v>0.407056628152555</v>
      </c>
      <c r="N793" s="25" t="n">
        <f aca="false">IF(A793-7&lt;$R$2,"",C793/INDEX(Clean_Data!$C$2:$C$4314,MATCH(A793-7,Clean_Data!$A$2:$A$4314,1))-1)</f>
        <v>0.0793899958646647</v>
      </c>
      <c r="O793" s="25" t="n">
        <f aca="false">IF(A793-30&lt;$R$2,"",C793/INDEX(Clean_Data!$C$2:$C$4314,MATCH(A793-30,Clean_Data!$A$2:$A$4314,1))-1)</f>
        <v>0.256365422396857</v>
      </c>
    </row>
    <row r="794" customFormat="false" ht="15" hidden="false" customHeight="false" outlineLevel="0" collapsed="false">
      <c r="A794" s="16" t="n">
        <v>42800</v>
      </c>
      <c r="B794" s="23" t="n">
        <f aca="false">YEAR(A794)</f>
        <v>2017</v>
      </c>
      <c r="C794" s="17" t="n">
        <v>1284.99</v>
      </c>
      <c r="D794" s="23" t="n">
        <f aca="false">A794-A793</f>
        <v>1</v>
      </c>
      <c r="E794" s="24" t="n">
        <f aca="false">LN(C794)</f>
        <v>7.15850621519787</v>
      </c>
      <c r="F794" s="25" t="n">
        <f aca="false">LN(C794/C793)</f>
        <v>0.00468805095786753</v>
      </c>
      <c r="G794" s="25" t="n">
        <f aca="false">IF(AND(D794=1,A794&gt;=$R$2),F794,"")</f>
        <v>0.00468805095786753</v>
      </c>
      <c r="H794" s="27" t="n">
        <f aca="false">IF(G794="","",G794^2)</f>
        <v>2.19778217835627E-005</v>
      </c>
      <c r="I794" s="25" t="n">
        <f aca="false">IF(G794="","",C794/C793-1)</f>
        <v>0.00469905706109564</v>
      </c>
      <c r="J794" s="17" t="n">
        <f aca="false">AVERAGE(C595:C794)</f>
        <v>794.38375</v>
      </c>
      <c r="K794" s="17" t="n">
        <f aca="false">MAX(K793,C794)</f>
        <v>1292.86</v>
      </c>
      <c r="L794" s="25" t="n">
        <f aca="false">C794/K794-1</f>
        <v>-0.00608727936512843</v>
      </c>
      <c r="M794" s="25" t="n">
        <f aca="false">IF(COUNT(G765:G794)&lt;20,"",_xlfn.STDEV.S(G765:G794)*SQRT($R$3))</f>
        <v>0.405718885824835</v>
      </c>
      <c r="N794" s="25" t="n">
        <f aca="false">IF(A794-7&lt;$R$2,"",C794/INDEX(Clean_Data!$C$2:$C$4314,MATCH(A794-7,Clean_Data!$A$2:$A$4314,1))-1)</f>
        <v>0.0745770649183399</v>
      </c>
      <c r="O794" s="25" t="n">
        <f aca="false">IF(A794-30&lt;$R$2,"",C794/INDEX(Clean_Data!$C$2:$C$4314,MATCH(A794-30,Clean_Data!$A$2:$A$4314,1))-1)</f>
        <v>0.24088881163451</v>
      </c>
    </row>
    <row r="795" customFormat="false" ht="15" hidden="false" customHeight="false" outlineLevel="0" collapsed="false">
      <c r="A795" s="16" t="n">
        <v>42801</v>
      </c>
      <c r="B795" s="23" t="n">
        <f aca="false">YEAR(A795)</f>
        <v>2017</v>
      </c>
      <c r="C795" s="17" t="n">
        <v>1237.36</v>
      </c>
      <c r="D795" s="23" t="n">
        <f aca="false">A795-A794</f>
        <v>1</v>
      </c>
      <c r="E795" s="24" t="n">
        <f aca="false">LN(C795)</f>
        <v>7.12073535672989</v>
      </c>
      <c r="F795" s="25" t="n">
        <f aca="false">LN(C795/C794)</f>
        <v>-0.0377708584679878</v>
      </c>
      <c r="G795" s="25" t="n">
        <f aca="false">IF(AND(D795=1,A795&gt;=$R$2),F795,"")</f>
        <v>-0.0377708584679878</v>
      </c>
      <c r="H795" s="27" t="n">
        <f aca="false">IF(G795="","",G795^2)</f>
        <v>0.00142663774940877</v>
      </c>
      <c r="I795" s="25" t="n">
        <f aca="false">IF(G795="","",C795/C794-1)</f>
        <v>-0.0370664363146795</v>
      </c>
      <c r="J795" s="17" t="n">
        <f aca="false">AVERAGE(C596:C795)</f>
        <v>797.7022</v>
      </c>
      <c r="K795" s="17" t="n">
        <f aca="false">MAX(K794,C795)</f>
        <v>1292.86</v>
      </c>
      <c r="L795" s="25" t="n">
        <f aca="false">C795/K795-1</f>
        <v>-0.0429280819268908</v>
      </c>
      <c r="M795" s="25" t="n">
        <f aca="false">IF(COUNT(G766:G795)&lt;20,"",_xlfn.STDEV.S(G766:G795)*SQRT($R$3))</f>
        <v>0.425959467170956</v>
      </c>
      <c r="N795" s="25" t="n">
        <f aca="false">IF(A795-7&lt;$R$2,"",C795/INDEX(Clean_Data!$C$2:$C$4314,MATCH(A795-7,Clean_Data!$A$2:$A$4314,1))-1)</f>
        <v>0.035378384710647</v>
      </c>
      <c r="O795" s="25" t="n">
        <f aca="false">IF(A795-30&lt;$R$2,"",C795/INDEX(Clean_Data!$C$2:$C$4314,MATCH(A795-30,Clean_Data!$A$2:$A$4314,1))-1)</f>
        <v>0.217490554156171</v>
      </c>
    </row>
    <row r="796" customFormat="false" ht="15" hidden="false" customHeight="false" outlineLevel="0" collapsed="false">
      <c r="A796" s="16" t="n">
        <v>42802</v>
      </c>
      <c r="B796" s="23" t="n">
        <f aca="false">YEAR(A796)</f>
        <v>2017</v>
      </c>
      <c r="C796" s="17" t="n">
        <v>1150.22</v>
      </c>
      <c r="D796" s="23" t="n">
        <f aca="false">A796-A795</f>
        <v>1</v>
      </c>
      <c r="E796" s="24" t="n">
        <f aca="false">LN(C796)</f>
        <v>7.04770850740878</v>
      </c>
      <c r="F796" s="25" t="n">
        <f aca="false">LN(C796/C795)</f>
        <v>-0.0730268493211057</v>
      </c>
      <c r="G796" s="25" t="n">
        <f aca="false">IF(AND(D796=1,A796&gt;=$R$2),F796,"")</f>
        <v>-0.0730268493211057</v>
      </c>
      <c r="H796" s="27" t="n">
        <f aca="false">IF(G796="","",G796^2)</f>
        <v>0.00533292072176748</v>
      </c>
      <c r="I796" s="25" t="n">
        <f aca="false">IF(G796="","",C796/C795-1)</f>
        <v>-0.0704241287903277</v>
      </c>
      <c r="J796" s="17" t="n">
        <f aca="false">AVERAGE(C597:C796)</f>
        <v>800.54395</v>
      </c>
      <c r="K796" s="17" t="n">
        <f aca="false">MAX(K795,C796)</f>
        <v>1292.86</v>
      </c>
      <c r="L796" s="25" t="n">
        <f aca="false">C796/K796-1</f>
        <v>-0.110329037946877</v>
      </c>
      <c r="M796" s="25" t="n">
        <f aca="false">IF(COUNT(G767:G796)&lt;20,"",_xlfn.STDEV.S(G767:G796)*SQRT($R$3))</f>
        <v>0.508459557395305</v>
      </c>
      <c r="N796" s="25" t="n">
        <f aca="false">IF(A796-7&lt;$R$2,"",C796/INDEX(Clean_Data!$C$2:$C$4314,MATCH(A796-7,Clean_Data!$A$2:$A$4314,1))-1)</f>
        <v>-0.0648617886178862</v>
      </c>
      <c r="O796" s="25" t="n">
        <f aca="false">IF(A796-30&lt;$R$2,"",C796/INDEX(Clean_Data!$C$2:$C$4314,MATCH(A796-30,Clean_Data!$A$2:$A$4314,1))-1)</f>
        <v>0.124821529855855</v>
      </c>
    </row>
    <row r="797" customFormat="false" ht="15" hidden="false" customHeight="false" outlineLevel="0" collapsed="false">
      <c r="A797" s="16" t="n">
        <v>42803</v>
      </c>
      <c r="B797" s="23" t="n">
        <f aca="false">YEAR(A797)</f>
        <v>2017</v>
      </c>
      <c r="C797" s="17" t="n">
        <v>1197.3</v>
      </c>
      <c r="D797" s="23" t="n">
        <f aca="false">A797-A796</f>
        <v>1</v>
      </c>
      <c r="E797" s="24" t="n">
        <f aca="false">LN(C797)</f>
        <v>7.0878243007228</v>
      </c>
      <c r="F797" s="25" t="n">
        <f aca="false">LN(C797/C796)</f>
        <v>0.0401157933140193</v>
      </c>
      <c r="G797" s="25" t="n">
        <f aca="false">IF(AND(D797=1,A797&gt;=$R$2),F797,"")</f>
        <v>0.0401157933140193</v>
      </c>
      <c r="H797" s="27" t="n">
        <f aca="false">IF(G797="","",G797^2)</f>
        <v>0.00160927687321312</v>
      </c>
      <c r="I797" s="25" t="n">
        <f aca="false">IF(G797="","",C797/C796-1)</f>
        <v>0.0409313000991114</v>
      </c>
      <c r="J797" s="17" t="n">
        <f aca="false">AVERAGE(C598:C797)</f>
        <v>803.624</v>
      </c>
      <c r="K797" s="17" t="n">
        <f aca="false">MAX(K796,C797)</f>
        <v>1292.86</v>
      </c>
      <c r="L797" s="25" t="n">
        <f aca="false">C797/K797-1</f>
        <v>-0.0739136488096158</v>
      </c>
      <c r="M797" s="25" t="n">
        <f aca="false">IF(COUNT(G768:G797)&lt;20,"",_xlfn.STDEV.S(G768:G797)*SQRT($R$3))</f>
        <v>0.516013586325275</v>
      </c>
      <c r="N797" s="25" t="n">
        <f aca="false">IF(A797-7&lt;$R$2,"",C797/INDEX(Clean_Data!$C$2:$C$4314,MATCH(A797-7,Clean_Data!$A$2:$A$4314,1))-1)</f>
        <v>-0.0566275597437697</v>
      </c>
      <c r="O797" s="25" t="n">
        <f aca="false">IF(A797-30&lt;$R$2,"",C797/INDEX(Clean_Data!$C$2:$C$4314,MATCH(A797-30,Clean_Data!$A$2:$A$4314,1))-1)</f>
        <v>0.13600136627576</v>
      </c>
    </row>
    <row r="798" customFormat="false" ht="15" hidden="false" customHeight="false" outlineLevel="0" collapsed="false">
      <c r="A798" s="16" t="n">
        <v>42804</v>
      </c>
      <c r="B798" s="23" t="n">
        <f aca="false">YEAR(A798)</f>
        <v>2017</v>
      </c>
      <c r="C798" s="17" t="n">
        <v>1109.01</v>
      </c>
      <c r="D798" s="23" t="n">
        <f aca="false">A798-A797</f>
        <v>1</v>
      </c>
      <c r="E798" s="24" t="n">
        <f aca="false">LN(C798)</f>
        <v>7.01122300444226</v>
      </c>
      <c r="F798" s="25" t="n">
        <f aca="false">LN(C798/C797)</f>
        <v>-0.0766012962805331</v>
      </c>
      <c r="G798" s="25" t="n">
        <f aca="false">IF(AND(D798=1,A798&gt;=$R$2),F798,"")</f>
        <v>-0.0766012962805331</v>
      </c>
      <c r="H798" s="27" t="n">
        <f aca="false">IF(G798="","",G798^2)</f>
        <v>0.00586775859185801</v>
      </c>
      <c r="I798" s="25" t="n">
        <f aca="false">IF(G798="","",C798/C797-1)</f>
        <v>-0.0737409170633926</v>
      </c>
      <c r="J798" s="17" t="n">
        <f aca="false">AVERAGE(C599:C798)</f>
        <v>806.24305</v>
      </c>
      <c r="K798" s="17" t="n">
        <f aca="false">MAX(K797,C798)</f>
        <v>1292.86</v>
      </c>
      <c r="L798" s="25" t="n">
        <f aca="false">C798/K798-1</f>
        <v>-0.142204105626286</v>
      </c>
      <c r="M798" s="25" t="n">
        <f aca="false">IF(COUNT(G769:G798)&lt;20,"",_xlfn.STDEV.S(G769:G798)*SQRT($R$3))</f>
        <v>0.588115873239901</v>
      </c>
      <c r="N798" s="25" t="n">
        <f aca="false">IF(A798-7&lt;$R$2,"",C798/INDEX(Clean_Data!$C$2:$C$4314,MATCH(A798-7,Clean_Data!$A$2:$A$4314,1))-1)</f>
        <v>-0.142204105626286</v>
      </c>
      <c r="O798" s="25" t="n">
        <f aca="false">IF(A798-30&lt;$R$2,"",C798/INDEX(Clean_Data!$C$2:$C$4314,MATCH(A798-30,Clean_Data!$A$2:$A$4314,1))-1)</f>
        <v>0.0495031702469952</v>
      </c>
    </row>
    <row r="799" customFormat="false" ht="15" hidden="false" customHeight="false" outlineLevel="0" collapsed="false">
      <c r="A799" s="16" t="n">
        <v>42805</v>
      </c>
      <c r="B799" s="23" t="n">
        <f aca="false">YEAR(A799)</f>
        <v>2017</v>
      </c>
      <c r="C799" s="17" t="n">
        <v>1188.11</v>
      </c>
      <c r="D799" s="23" t="n">
        <f aca="false">A799-A798</f>
        <v>1</v>
      </c>
      <c r="E799" s="24" t="n">
        <f aca="false">LN(C799)</f>
        <v>7.08011908822875</v>
      </c>
      <c r="F799" s="25" t="n">
        <f aca="false">LN(C799/C798)</f>
        <v>0.0688960837864886</v>
      </c>
      <c r="G799" s="25" t="n">
        <f aca="false">IF(AND(D799=1,A799&gt;=$R$2),F799,"")</f>
        <v>0.0688960837864886</v>
      </c>
      <c r="H799" s="27" t="n">
        <f aca="false">IF(G799="","",G799^2)</f>
        <v>0.00474667036111485</v>
      </c>
      <c r="I799" s="25" t="n">
        <f aca="false">IF(G799="","",C799/C798-1)</f>
        <v>0.0713248753392666</v>
      </c>
      <c r="J799" s="17" t="n">
        <f aca="false">AVERAGE(C600:C799)</f>
        <v>809.27165</v>
      </c>
      <c r="K799" s="17" t="n">
        <f aca="false">MAX(K798,C799)</f>
        <v>1292.86</v>
      </c>
      <c r="L799" s="25" t="n">
        <f aca="false">C799/K799-1</f>
        <v>-0.0810219203935461</v>
      </c>
      <c r="M799" s="25" t="n">
        <f aca="false">IF(COUNT(G770:G799)&lt;20,"",_xlfn.STDEV.S(G770:G799)*SQRT($R$3))</f>
        <v>0.58869904744507</v>
      </c>
      <c r="N799" s="25" t="n">
        <f aca="false">IF(A799-7&lt;$R$2,"",C799/INDEX(Clean_Data!$C$2:$C$4314,MATCH(A799-7,Clean_Data!$A$2:$A$4314,1))-1)</f>
        <v>-0.0673956215609474</v>
      </c>
      <c r="O799" s="25" t="n">
        <f aca="false">IF(A799-30&lt;$R$2,"",C799/INDEX(Clean_Data!$C$2:$C$4314,MATCH(A799-30,Clean_Data!$A$2:$A$4314,1))-1)</f>
        <v>0.194993160605085</v>
      </c>
    </row>
    <row r="800" customFormat="false" ht="15" hidden="false" customHeight="false" outlineLevel="0" collapsed="false">
      <c r="A800" s="16" t="n">
        <v>42806</v>
      </c>
      <c r="B800" s="23" t="n">
        <f aca="false">YEAR(A800)</f>
        <v>2017</v>
      </c>
      <c r="C800" s="17" t="n">
        <v>1235.58</v>
      </c>
      <c r="D800" s="23" t="n">
        <f aca="false">A800-A799</f>
        <v>1</v>
      </c>
      <c r="E800" s="24" t="n">
        <f aca="false">LN(C800)</f>
        <v>7.11929577444531</v>
      </c>
      <c r="F800" s="25" t="n">
        <f aca="false">LN(C800/C799)</f>
        <v>0.0391766862165585</v>
      </c>
      <c r="G800" s="25" t="n">
        <f aca="false">IF(AND(D800=1,A800&gt;=$R$2),F800,"")</f>
        <v>0.0391766862165585</v>
      </c>
      <c r="H800" s="27" t="n">
        <f aca="false">IF(G800="","",G800^2)</f>
        <v>0.00153481274291068</v>
      </c>
      <c r="I800" s="25" t="n">
        <f aca="false">IF(G800="","",C800/C799-1)</f>
        <v>0.0399542129937465</v>
      </c>
      <c r="J800" s="17" t="n">
        <f aca="false">AVERAGE(C601:C800)</f>
        <v>812.5572</v>
      </c>
      <c r="K800" s="17" t="n">
        <f aca="false">MAX(K799,C800)</f>
        <v>1292.86</v>
      </c>
      <c r="L800" s="25" t="n">
        <f aca="false">C800/K800-1</f>
        <v>-0.0443048744643658</v>
      </c>
      <c r="M800" s="25" t="n">
        <f aca="false">IF(COUNT(G771:G800)&lt;20,"",_xlfn.STDEV.S(G771:G800)*SQRT($R$3))</f>
        <v>0.600013302755395</v>
      </c>
      <c r="N800" s="25" t="n">
        <f aca="false">IF(A800-7&lt;$R$2,"",C800/INDEX(Clean_Data!$C$2:$C$4314,MATCH(A800-7,Clean_Data!$A$2:$A$4314,1))-1)</f>
        <v>-0.0339332905909397</v>
      </c>
      <c r="O800" s="25" t="n">
        <f aca="false">IF(A800-30&lt;$R$2,"",C800/INDEX(Clean_Data!$C$2:$C$4314,MATCH(A800-30,Clean_Data!$A$2:$A$4314,1))-1)</f>
        <v>0.233126079102586</v>
      </c>
    </row>
    <row r="801" customFormat="false" ht="15" hidden="false" customHeight="false" outlineLevel="0" collapsed="false">
      <c r="A801" s="16" t="n">
        <v>42807</v>
      </c>
      <c r="B801" s="23" t="n">
        <f aca="false">YEAR(A801)</f>
        <v>2017</v>
      </c>
      <c r="C801" s="17" t="n">
        <v>1245.49</v>
      </c>
      <c r="D801" s="23" t="n">
        <f aca="false">A801-A800</f>
        <v>1</v>
      </c>
      <c r="E801" s="24" t="n">
        <f aca="false">LN(C801)</f>
        <v>7.12728430576595</v>
      </c>
      <c r="F801" s="25" t="n">
        <f aca="false">LN(C801/C800)</f>
        <v>0.00798853132063711</v>
      </c>
      <c r="G801" s="25" t="n">
        <f aca="false">IF(AND(D801=1,A801&gt;=$R$2),F801,"")</f>
        <v>0.00798853132063711</v>
      </c>
      <c r="H801" s="27" t="n">
        <f aca="false">IF(G801="","",G801^2)</f>
        <v>6.38166326608001E-005</v>
      </c>
      <c r="I801" s="25" t="n">
        <f aca="false">IF(G801="","",C801/C800-1)</f>
        <v>0.00802052477379056</v>
      </c>
      <c r="J801" s="17" t="n">
        <f aca="false">AVERAGE(C602:C801)</f>
        <v>815.90675</v>
      </c>
      <c r="K801" s="17" t="n">
        <f aca="false">MAX(K800,C801)</f>
        <v>1292.86</v>
      </c>
      <c r="L801" s="25" t="n">
        <f aca="false">C801/K801-1</f>
        <v>-0.0366396980338164</v>
      </c>
      <c r="M801" s="25" t="n">
        <f aca="false">IF(COUNT(G772:G801)&lt;20,"",_xlfn.STDEV.S(G772:G801)*SQRT($R$3))</f>
        <v>0.599050234949163</v>
      </c>
      <c r="N801" s="25" t="n">
        <f aca="false">IF(A801-7&lt;$R$2,"",C801/INDEX(Clean_Data!$C$2:$C$4314,MATCH(A801-7,Clean_Data!$A$2:$A$4314,1))-1)</f>
        <v>-0.030739538829096</v>
      </c>
      <c r="O801" s="25" t="n">
        <f aca="false">IF(A801-30&lt;$R$2,"",C801/INDEX(Clean_Data!$C$2:$C$4314,MATCH(A801-30,Clean_Data!$A$2:$A$4314,1))-1)</f>
        <v>0.222686889510627</v>
      </c>
    </row>
    <row r="802" customFormat="false" ht="15" hidden="false" customHeight="false" outlineLevel="0" collapsed="false">
      <c r="A802" s="16" t="n">
        <v>42808</v>
      </c>
      <c r="B802" s="23" t="n">
        <f aca="false">YEAR(A802)</f>
        <v>2017</v>
      </c>
      <c r="C802" s="17" t="n">
        <v>1247.42</v>
      </c>
      <c r="D802" s="23" t="n">
        <f aca="false">A802-A801</f>
        <v>1</v>
      </c>
      <c r="E802" s="24" t="n">
        <f aca="false">LN(C802)</f>
        <v>7.12883269731286</v>
      </c>
      <c r="F802" s="25" t="n">
        <f aca="false">LN(C802/C801)</f>
        <v>0.00154839154690741</v>
      </c>
      <c r="G802" s="25" t="n">
        <f aca="false">IF(AND(D802=1,A802&gt;=$R$2),F802,"")</f>
        <v>0.00154839154690741</v>
      </c>
      <c r="H802" s="27" t="n">
        <f aca="false">IF(G802="","",G802^2)</f>
        <v>2.39751638253431E-006</v>
      </c>
      <c r="I802" s="25" t="n">
        <f aca="false">IF(G802="","",C802/C801-1)</f>
        <v>0.00154959092405393</v>
      </c>
      <c r="J802" s="17" t="n">
        <f aca="false">AVERAGE(C603:C802)</f>
        <v>819.2474</v>
      </c>
      <c r="K802" s="17" t="n">
        <f aca="false">MAX(K801,C802)</f>
        <v>1292.86</v>
      </c>
      <c r="L802" s="25" t="n">
        <f aca="false">C802/K802-1</f>
        <v>-0.0351468836532957</v>
      </c>
      <c r="M802" s="25" t="n">
        <f aca="false">IF(COUNT(G773:G802)&lt;20,"",_xlfn.STDEV.S(G773:G802)*SQRT($R$3))</f>
        <v>0.596853068735252</v>
      </c>
      <c r="N802" s="25" t="n">
        <f aca="false">IF(A802-7&lt;$R$2,"",C802/INDEX(Clean_Data!$C$2:$C$4314,MATCH(A802-7,Clean_Data!$A$2:$A$4314,1))-1)</f>
        <v>0.00813021271093306</v>
      </c>
      <c r="O802" s="25" t="n">
        <f aca="false">IF(A802-30&lt;$R$2,"",C802/INDEX(Clean_Data!$C$2:$C$4314,MATCH(A802-30,Clean_Data!$A$2:$A$4314,1))-1)</f>
        <v>0.235069306930693</v>
      </c>
    </row>
    <row r="803" customFormat="false" ht="15" hidden="false" customHeight="false" outlineLevel="0" collapsed="false">
      <c r="A803" s="16" t="n">
        <v>42809</v>
      </c>
      <c r="B803" s="23" t="n">
        <f aca="false">YEAR(A803)</f>
        <v>2017</v>
      </c>
      <c r="C803" s="17" t="n">
        <v>1263</v>
      </c>
      <c r="D803" s="23" t="n">
        <f aca="false">A803-A802</f>
        <v>1</v>
      </c>
      <c r="E803" s="24" t="n">
        <f aca="false">LN(C803)</f>
        <v>7.14124512235049</v>
      </c>
      <c r="F803" s="25" t="n">
        <f aca="false">LN(C803/C802)</f>
        <v>0.0124124250376349</v>
      </c>
      <c r="G803" s="25" t="n">
        <f aca="false">IF(AND(D803=1,A803&gt;=$R$2),F803,"")</f>
        <v>0.0124124250376349</v>
      </c>
      <c r="H803" s="27" t="n">
        <f aca="false">IF(G803="","",G803^2)</f>
        <v>0.000154068295314906</v>
      </c>
      <c r="I803" s="25" t="n">
        <f aca="false">IF(G803="","",C803/C802-1)</f>
        <v>0.0124897789036571</v>
      </c>
      <c r="J803" s="17" t="n">
        <f aca="false">AVERAGE(C604:C803)</f>
        <v>822.7082</v>
      </c>
      <c r="K803" s="17" t="n">
        <f aca="false">MAX(K802,C803)</f>
        <v>1292.86</v>
      </c>
      <c r="L803" s="25" t="n">
        <f aca="false">C803/K803-1</f>
        <v>-0.0230960815556208</v>
      </c>
      <c r="M803" s="25" t="n">
        <f aca="false">IF(COUNT(G774:G803)&lt;20,"",_xlfn.STDEV.S(G774:G803)*SQRT($R$3))</f>
        <v>0.594902560493069</v>
      </c>
      <c r="N803" s="25" t="n">
        <f aca="false">IF(A803-7&lt;$R$2,"",C803/INDEX(Clean_Data!$C$2:$C$4314,MATCH(A803-7,Clean_Data!$A$2:$A$4314,1))-1)</f>
        <v>0.0980508076715758</v>
      </c>
      <c r="O803" s="25" t="n">
        <f aca="false">IF(A803-30&lt;$R$2,"",C803/INDEX(Clean_Data!$C$2:$C$4314,MATCH(A803-30,Clean_Data!$A$2:$A$4314,1))-1)</f>
        <v>0.259448355637103</v>
      </c>
    </row>
    <row r="804" customFormat="false" ht="15" hidden="false" customHeight="false" outlineLevel="0" collapsed="false">
      <c r="A804" s="16" t="n">
        <v>42810</v>
      </c>
      <c r="B804" s="23" t="n">
        <f aca="false">YEAR(A804)</f>
        <v>2017</v>
      </c>
      <c r="C804" s="17" t="n">
        <v>1175.11</v>
      </c>
      <c r="D804" s="23" t="n">
        <f aca="false">A804-A803</f>
        <v>1</v>
      </c>
      <c r="E804" s="24" t="n">
        <f aca="false">LN(C804)</f>
        <v>7.06911703921774</v>
      </c>
      <c r="F804" s="25" t="n">
        <f aca="false">LN(C804/C803)</f>
        <v>-0.0721280831327552</v>
      </c>
      <c r="G804" s="25" t="n">
        <f aca="false">IF(AND(D804=1,A804&gt;=$R$2),F804,"")</f>
        <v>-0.0721280831327552</v>
      </c>
      <c r="H804" s="27" t="n">
        <f aca="false">IF(G804="","",G804^2)</f>
        <v>0.00520246037640564</v>
      </c>
      <c r="I804" s="25" t="n">
        <f aca="false">IF(G804="","",C804/C803-1)</f>
        <v>-0.069588281868567</v>
      </c>
      <c r="J804" s="17" t="n">
        <f aca="false">AVERAGE(C605:C804)</f>
        <v>825.7067</v>
      </c>
      <c r="K804" s="17" t="n">
        <f aca="false">MAX(K803,C804)</f>
        <v>1292.86</v>
      </c>
      <c r="L804" s="25" t="n">
        <f aca="false">C804/K804-1</f>
        <v>-0.0910771467908358</v>
      </c>
      <c r="M804" s="25" t="n">
        <f aca="false">IF(COUNT(G775:G804)&lt;20,"",_xlfn.STDEV.S(G775:G804)*SQRT($R$3))</f>
        <v>0.656547614667822</v>
      </c>
      <c r="N804" s="25" t="n">
        <f aca="false">IF(A804-7&lt;$R$2,"",C804/INDEX(Clean_Data!$C$2:$C$4314,MATCH(A804-7,Clean_Data!$A$2:$A$4314,1))-1)</f>
        <v>-0.0185333667418358</v>
      </c>
      <c r="O804" s="25" t="n">
        <f aca="false">IF(A804-30&lt;$R$2,"",C804/INDEX(Clean_Data!$C$2:$C$4314,MATCH(A804-30,Clean_Data!$A$2:$A$4314,1))-1)</f>
        <v>0.158977039608648</v>
      </c>
    </row>
    <row r="805" customFormat="false" ht="15" hidden="false" customHeight="false" outlineLevel="0" collapsed="false">
      <c r="A805" s="16" t="n">
        <v>42811</v>
      </c>
      <c r="B805" s="23" t="n">
        <f aca="false">YEAR(A805)</f>
        <v>2017</v>
      </c>
      <c r="C805" s="17" t="n">
        <v>1069.57</v>
      </c>
      <c r="D805" s="23" t="n">
        <f aca="false">A805-A804</f>
        <v>1</v>
      </c>
      <c r="E805" s="24" t="n">
        <f aca="false">LN(C805)</f>
        <v>6.97501197752602</v>
      </c>
      <c r="F805" s="25" t="n">
        <f aca="false">LN(C805/C804)</f>
        <v>-0.0941050616917135</v>
      </c>
      <c r="G805" s="25" t="n">
        <f aca="false">IF(AND(D805=1,A805&gt;=$R$2),F805,"")</f>
        <v>-0.0941050616917135</v>
      </c>
      <c r="H805" s="27" t="n">
        <f aca="false">IF(G805="","",G805^2)</f>
        <v>0.0088557626360012</v>
      </c>
      <c r="I805" s="25" t="n">
        <f aca="false">IF(G805="","",C805/C804-1)</f>
        <v>-0.0898128685825157</v>
      </c>
      <c r="J805" s="17" t="n">
        <f aca="false">AVERAGE(C606:C805)</f>
        <v>828.1885</v>
      </c>
      <c r="K805" s="17" t="n">
        <f aca="false">MAX(K804,C805)</f>
        <v>1292.86</v>
      </c>
      <c r="L805" s="25" t="n">
        <f aca="false">C805/K805-1</f>
        <v>-0.172710115557756</v>
      </c>
      <c r="M805" s="25" t="n">
        <f aca="false">IF(COUNT(G776:G805)&lt;20,"",_xlfn.STDEV.S(G776:G805)*SQRT($R$3))</f>
        <v>0.741937987757145</v>
      </c>
      <c r="N805" s="25" t="n">
        <f aca="false">IF(A805-7&lt;$R$2,"",C805/INDEX(Clean_Data!$C$2:$C$4314,MATCH(A805-7,Clean_Data!$A$2:$A$4314,1))-1)</f>
        <v>-0.0355632501059504</v>
      </c>
      <c r="O805" s="25" t="n">
        <f aca="false">IF(A805-30&lt;$R$2,"",C805/INDEX(Clean_Data!$C$2:$C$4314,MATCH(A805-30,Clean_Data!$A$2:$A$4314,1))-1)</f>
        <v>0.054251722472475</v>
      </c>
    </row>
    <row r="806" customFormat="false" ht="15" hidden="false" customHeight="false" outlineLevel="0" collapsed="false">
      <c r="A806" s="16" t="n">
        <v>42812</v>
      </c>
      <c r="B806" s="23" t="n">
        <f aca="false">YEAR(A806)</f>
        <v>2017</v>
      </c>
      <c r="C806" s="17" t="n">
        <v>970</v>
      </c>
      <c r="D806" s="23" t="n">
        <f aca="false">A806-A805</f>
        <v>1</v>
      </c>
      <c r="E806" s="24" t="n">
        <f aca="false">LN(C806)</f>
        <v>6.87729607149743</v>
      </c>
      <c r="F806" s="25" t="n">
        <f aca="false">LN(C806/C805)</f>
        <v>-0.0977159060285941</v>
      </c>
      <c r="G806" s="25" t="n">
        <f aca="false">IF(AND(D806=1,A806&gt;=$R$2),F806,"")</f>
        <v>-0.0977159060285941</v>
      </c>
      <c r="H806" s="27" t="n">
        <f aca="false">IF(G806="","",G806^2)</f>
        <v>0.00954839829098903</v>
      </c>
      <c r="I806" s="25" t="n">
        <f aca="false">IF(G806="","",C806/C805-1)</f>
        <v>-0.0930934861673383</v>
      </c>
      <c r="J806" s="17" t="n">
        <f aca="false">AVERAGE(C607:C806)</f>
        <v>830.16375</v>
      </c>
      <c r="K806" s="17" t="n">
        <f aca="false">MAX(K805,C806)</f>
        <v>1292.86</v>
      </c>
      <c r="L806" s="25" t="n">
        <f aca="false">C806/K806-1</f>
        <v>-0.249725414971459</v>
      </c>
      <c r="M806" s="25" t="n">
        <f aca="false">IF(COUNT(G777:G806)&lt;20,"",_xlfn.STDEV.S(G777:G806)*SQRT($R$3))</f>
        <v>0.81408145657534</v>
      </c>
      <c r="N806" s="25" t="n">
        <f aca="false">IF(A806-7&lt;$R$2,"",C806/INDEX(Clean_Data!$C$2:$C$4314,MATCH(A806-7,Clean_Data!$A$2:$A$4314,1))-1)</f>
        <v>-0.183577278198147</v>
      </c>
      <c r="O806" s="25" t="n">
        <f aca="false">IF(A806-30&lt;$R$2,"",C806/INDEX(Clean_Data!$C$2:$C$4314,MATCH(A806-30,Clean_Data!$A$2:$A$4314,1))-1)</f>
        <v>-0.0663560937108977</v>
      </c>
    </row>
    <row r="807" customFormat="false" ht="15" hidden="false" customHeight="false" outlineLevel="0" collapsed="false">
      <c r="A807" s="16" t="n">
        <v>42813</v>
      </c>
      <c r="B807" s="23" t="n">
        <f aca="false">YEAR(A807)</f>
        <v>2017</v>
      </c>
      <c r="C807" s="17" t="n">
        <v>1019.49</v>
      </c>
      <c r="D807" s="23" t="n">
        <f aca="false">A807-A806</f>
        <v>1</v>
      </c>
      <c r="E807" s="24" t="n">
        <f aca="false">LN(C807)</f>
        <v>6.92705778123663</v>
      </c>
      <c r="F807" s="25" t="n">
        <f aca="false">LN(C807/C806)</f>
        <v>0.049761709739206</v>
      </c>
      <c r="G807" s="25" t="n">
        <f aca="false">IF(AND(D807=1,A807&gt;=$R$2),F807,"")</f>
        <v>0.049761709739206</v>
      </c>
      <c r="H807" s="27" t="n">
        <f aca="false">IF(G807="","",G807^2)</f>
        <v>0.00247622775616899</v>
      </c>
      <c r="I807" s="25" t="n">
        <f aca="false">IF(G807="","",C807/C806-1)</f>
        <v>0.051020618556701</v>
      </c>
      <c r="J807" s="17" t="n">
        <f aca="false">AVERAGE(C608:C807)</f>
        <v>832.39675</v>
      </c>
      <c r="K807" s="17" t="n">
        <f aca="false">MAX(K806,C807)</f>
        <v>1292.86</v>
      </c>
      <c r="L807" s="25" t="n">
        <f aca="false">C807/K807-1</f>
        <v>-0.21144594155593</v>
      </c>
      <c r="M807" s="25" t="n">
        <f aca="false">IF(COUNT(G778:G807)&lt;20,"",_xlfn.STDEV.S(G778:G807)*SQRT($R$3))</f>
        <v>0.831537205790274</v>
      </c>
      <c r="N807" s="25" t="n">
        <f aca="false">IF(A807-7&lt;$R$2,"",C807/INDEX(Clean_Data!$C$2:$C$4314,MATCH(A807-7,Clean_Data!$A$2:$A$4314,1))-1)</f>
        <v>-0.17488952556694</v>
      </c>
      <c r="O807" s="25" t="n">
        <f aca="false">IF(A807-30&lt;$R$2,"",C807/INDEX(Clean_Data!$C$2:$C$4314,MATCH(A807-30,Clean_Data!$A$2:$A$4314,1))-1)</f>
        <v>-0.0357609004066962</v>
      </c>
    </row>
    <row r="808" customFormat="false" ht="15" hidden="false" customHeight="false" outlineLevel="0" collapsed="false">
      <c r="A808" s="16" t="n">
        <v>42814</v>
      </c>
      <c r="B808" s="23" t="n">
        <f aca="false">YEAR(A808)</f>
        <v>2017</v>
      </c>
      <c r="C808" s="17" t="n">
        <v>1044.96</v>
      </c>
      <c r="D808" s="23" t="n">
        <f aca="false">A808-A807</f>
        <v>1</v>
      </c>
      <c r="E808" s="24" t="n">
        <f aca="false">LN(C808)</f>
        <v>6.95173388615435</v>
      </c>
      <c r="F808" s="25" t="n">
        <f aca="false">LN(C808/C807)</f>
        <v>0.0246761049177126</v>
      </c>
      <c r="G808" s="25" t="n">
        <f aca="false">IF(AND(D808=1,A808&gt;=$R$2),F808,"")</f>
        <v>0.0246761049177126</v>
      </c>
      <c r="H808" s="27" t="n">
        <f aca="false">IF(G808="","",G808^2)</f>
        <v>0.00060891015390996</v>
      </c>
      <c r="I808" s="25" t="n">
        <f aca="false">IF(G808="","",C808/C807-1)</f>
        <v>0.0249830797751818</v>
      </c>
      <c r="J808" s="17" t="n">
        <f aca="false">AVERAGE(C609:C808)</f>
        <v>834.75645</v>
      </c>
      <c r="K808" s="17" t="n">
        <f aca="false">MAX(K807,C808)</f>
        <v>1292.86</v>
      </c>
      <c r="L808" s="25" t="n">
        <f aca="false">C808/K808-1</f>
        <v>-0.191745432606779</v>
      </c>
      <c r="M808" s="25" t="n">
        <f aca="false">IF(COUNT(G779:G808)&lt;20,"",_xlfn.STDEV.S(G779:G808)*SQRT($R$3))</f>
        <v>0.836241013645825</v>
      </c>
      <c r="N808" s="25" t="n">
        <f aca="false">IF(A808-7&lt;$R$2,"",C808/INDEX(Clean_Data!$C$2:$C$4314,MATCH(A808-7,Clean_Data!$A$2:$A$4314,1))-1)</f>
        <v>-0.161004905699765</v>
      </c>
      <c r="O808" s="25" t="n">
        <f aca="false">IF(A808-30&lt;$R$2,"",C808/INDEX(Clean_Data!$C$2:$C$4314,MATCH(A808-30,Clean_Data!$A$2:$A$4314,1))-1)</f>
        <v>-0.0161841547803983</v>
      </c>
    </row>
    <row r="809" customFormat="false" ht="15" hidden="false" customHeight="false" outlineLevel="0" collapsed="false">
      <c r="A809" s="16" t="n">
        <v>42815</v>
      </c>
      <c r="B809" s="23" t="n">
        <f aca="false">YEAR(A809)</f>
        <v>2017</v>
      </c>
      <c r="C809" s="17" t="n">
        <v>1114.42</v>
      </c>
      <c r="D809" s="23" t="n">
        <f aca="false">A809-A808</f>
        <v>1</v>
      </c>
      <c r="E809" s="24" t="n">
        <f aca="false">LN(C809)</f>
        <v>7.0160893691818</v>
      </c>
      <c r="F809" s="25" t="n">
        <f aca="false">LN(C809/C808)</f>
        <v>0.064355483027449</v>
      </c>
      <c r="G809" s="25" t="n">
        <f aca="false">IF(AND(D809=1,A809&gt;=$R$2),F809,"")</f>
        <v>0.064355483027449</v>
      </c>
      <c r="H809" s="27" t="n">
        <f aca="false">IF(G809="","",G809^2)</f>
        <v>0.00414162819569627</v>
      </c>
      <c r="I809" s="25" t="n">
        <f aca="false">IF(G809="","",C809/C808-1)</f>
        <v>0.0664714438830194</v>
      </c>
      <c r="J809" s="17" t="n">
        <f aca="false">AVERAGE(C610:C809)</f>
        <v>837.4475</v>
      </c>
      <c r="K809" s="17" t="n">
        <f aca="false">MAX(K808,C809)</f>
        <v>1292.86</v>
      </c>
      <c r="L809" s="25" t="n">
        <f aca="false">C809/K809-1</f>
        <v>-0.138019584487106</v>
      </c>
      <c r="M809" s="25" t="n">
        <f aca="false">IF(COUNT(G780:G809)&lt;20,"",_xlfn.STDEV.S(G780:G809)*SQRT($R$3))</f>
        <v>0.866270256447014</v>
      </c>
      <c r="N809" s="25" t="n">
        <f aca="false">IF(A809-7&lt;$R$2,"",C809/INDEX(Clean_Data!$C$2:$C$4314,MATCH(A809-7,Clean_Data!$A$2:$A$4314,1))-1)</f>
        <v>-0.106620063811707</v>
      </c>
      <c r="O809" s="25" t="n">
        <f aca="false">IF(A809-30&lt;$R$2,"",C809/INDEX(Clean_Data!$C$2:$C$4314,MATCH(A809-30,Clean_Data!$A$2:$A$4314,1))-1)</f>
        <v>0.0514586556968713</v>
      </c>
    </row>
    <row r="810" customFormat="false" ht="15" hidden="false" customHeight="false" outlineLevel="0" collapsed="false">
      <c r="A810" s="16" t="n">
        <v>42816</v>
      </c>
      <c r="B810" s="23" t="n">
        <f aca="false">YEAR(A810)</f>
        <v>2017</v>
      </c>
      <c r="C810" s="17" t="n">
        <v>1034.57</v>
      </c>
      <c r="D810" s="23" t="n">
        <f aca="false">A810-A809</f>
        <v>1</v>
      </c>
      <c r="E810" s="24" t="n">
        <f aca="false">LN(C810)</f>
        <v>6.9417411604353</v>
      </c>
      <c r="F810" s="25" t="n">
        <f aca="false">LN(C810/C809)</f>
        <v>-0.0743482087465001</v>
      </c>
      <c r="G810" s="25" t="n">
        <f aca="false">IF(AND(D810=1,A810&gt;=$R$2),F810,"")</f>
        <v>-0.0743482087465001</v>
      </c>
      <c r="H810" s="27" t="n">
        <f aca="false">IF(G810="","",G810^2)</f>
        <v>0.00552765614381315</v>
      </c>
      <c r="I810" s="25" t="n">
        <f aca="false">IF(G810="","",C810/C809-1)</f>
        <v>-0.0716516214712587</v>
      </c>
      <c r="J810" s="17" t="n">
        <f aca="false">AVERAGE(C611:C810)</f>
        <v>839.6158</v>
      </c>
      <c r="K810" s="17" t="n">
        <f aca="false">MAX(K809,C810)</f>
        <v>1292.86</v>
      </c>
      <c r="L810" s="25" t="n">
        <f aca="false">C810/K810-1</f>
        <v>-0.199781878935074</v>
      </c>
      <c r="M810" s="25" t="n">
        <f aca="false">IF(COUNT(G781:G810)&lt;20,"",_xlfn.STDEV.S(G781:G810)*SQRT($R$3))</f>
        <v>0.9000834296575</v>
      </c>
      <c r="N810" s="25" t="n">
        <f aca="false">IF(A810-7&lt;$R$2,"",C810/INDEX(Clean_Data!$C$2:$C$4314,MATCH(A810-7,Clean_Data!$A$2:$A$4314,1))-1)</f>
        <v>-0.180863024544735</v>
      </c>
      <c r="O810" s="25" t="n">
        <f aca="false">IF(A810-30&lt;$R$2,"",C810/INDEX(Clean_Data!$C$2:$C$4314,MATCH(A810-30,Clean_Data!$A$2:$A$4314,1))-1)</f>
        <v>-0.0506964452845424</v>
      </c>
    </row>
    <row r="811" customFormat="false" ht="15" hidden="false" customHeight="false" outlineLevel="0" collapsed="false">
      <c r="A811" s="16" t="n">
        <v>42817</v>
      </c>
      <c r="B811" s="23" t="n">
        <f aca="false">YEAR(A811)</f>
        <v>2017</v>
      </c>
      <c r="C811" s="17" t="n">
        <v>1025.14</v>
      </c>
      <c r="D811" s="23" t="n">
        <f aca="false">A811-A810</f>
        <v>1</v>
      </c>
      <c r="E811" s="24" t="n">
        <f aca="false">LN(C811)</f>
        <v>6.93258446761143</v>
      </c>
      <c r="F811" s="25" t="n">
        <f aca="false">LN(C811/C810)</f>
        <v>-0.00915669282386551</v>
      </c>
      <c r="G811" s="25" t="n">
        <f aca="false">IF(AND(D811=1,A811&gt;=$R$2),F811,"")</f>
        <v>-0.00915669282386551</v>
      </c>
      <c r="H811" s="27" t="n">
        <f aca="false">IF(G811="","",G811^2)</f>
        <v>8.38450234706302E-005</v>
      </c>
      <c r="I811" s="25" t="n">
        <f aca="false">IF(G811="","",C811/C810-1)</f>
        <v>-0.0091148979769371</v>
      </c>
      <c r="J811" s="17" t="n">
        <f aca="false">AVERAGE(C612:C811)</f>
        <v>841.6819</v>
      </c>
      <c r="K811" s="17" t="n">
        <f aca="false">MAX(K810,C811)</f>
        <v>1292.86</v>
      </c>
      <c r="L811" s="25" t="n">
        <f aca="false">C811/K811-1</f>
        <v>-0.207075785467877</v>
      </c>
      <c r="M811" s="25" t="n">
        <f aca="false">IF(COUNT(G782:G811)&lt;20,"",_xlfn.STDEV.S(G782:G811)*SQRT($R$3))</f>
        <v>0.890695208737968</v>
      </c>
      <c r="N811" s="25" t="n">
        <f aca="false">IF(A811-7&lt;$R$2,"",C811/INDEX(Clean_Data!$C$2:$C$4314,MATCH(A811-7,Clean_Data!$A$2:$A$4314,1))-1)</f>
        <v>-0.127622094952813</v>
      </c>
      <c r="O811" s="25" t="n">
        <f aca="false">IF(A811-30&lt;$R$2,"",C811/INDEX(Clean_Data!$C$2:$C$4314,MATCH(A811-30,Clean_Data!$A$2:$A$4314,1))-1)</f>
        <v>-0.0914215316984107</v>
      </c>
    </row>
    <row r="812" customFormat="false" ht="15" hidden="false" customHeight="false" outlineLevel="0" collapsed="false">
      <c r="A812" s="16" t="n">
        <v>42818</v>
      </c>
      <c r="B812" s="23" t="n">
        <f aca="false">YEAR(A812)</f>
        <v>2017</v>
      </c>
      <c r="C812" s="17" t="n">
        <v>934.87</v>
      </c>
      <c r="D812" s="23" t="n">
        <f aca="false">A812-A811</f>
        <v>1</v>
      </c>
      <c r="E812" s="24" t="n">
        <f aca="false">LN(C812)</f>
        <v>6.84040748218893</v>
      </c>
      <c r="F812" s="25" t="n">
        <f aca="false">LN(C812/C811)</f>
        <v>-0.0921769854224984</v>
      </c>
      <c r="G812" s="25" t="n">
        <f aca="false">IF(AND(D812=1,A812&gt;=$R$2),F812,"")</f>
        <v>-0.0921769854224984</v>
      </c>
      <c r="H812" s="27" t="n">
        <f aca="false">IF(G812="","",G812^2)</f>
        <v>0.00849659664157949</v>
      </c>
      <c r="I812" s="25" t="n">
        <f aca="false">IF(G812="","",C812/C811-1)</f>
        <v>-0.0880562654856898</v>
      </c>
      <c r="J812" s="17" t="n">
        <f aca="false">AVERAGE(C613:C812)</f>
        <v>843.3278</v>
      </c>
      <c r="K812" s="17" t="n">
        <f aca="false">MAX(K811,C812)</f>
        <v>1292.86</v>
      </c>
      <c r="L812" s="25" t="n">
        <f aca="false">C812/K812-1</f>
        <v>-0.27689773061275</v>
      </c>
      <c r="M812" s="25" t="n">
        <f aca="false">IF(COUNT(G783:G812)&lt;20,"",_xlfn.STDEV.S(G783:G812)*SQRT($R$3))</f>
        <v>0.942993857556462</v>
      </c>
      <c r="N812" s="25" t="n">
        <f aca="false">IF(A812-7&lt;$R$2,"",C812/INDEX(Clean_Data!$C$2:$C$4314,MATCH(A812-7,Clean_Data!$A$2:$A$4314,1))-1)</f>
        <v>-0.125938461250783</v>
      </c>
      <c r="O812" s="25" t="n">
        <f aca="false">IF(A812-30&lt;$R$2,"",C812/INDEX(Clean_Data!$C$2:$C$4314,MATCH(A812-30,Clean_Data!$A$2:$A$4314,1))-1)</f>
        <v>-0.171735875468455</v>
      </c>
    </row>
    <row r="813" customFormat="false" ht="15" hidden="false" customHeight="false" outlineLevel="0" collapsed="false">
      <c r="A813" s="16" t="n">
        <v>42819</v>
      </c>
      <c r="B813" s="23" t="n">
        <f aca="false">YEAR(A813)</f>
        <v>2017</v>
      </c>
      <c r="C813" s="17" t="n">
        <v>963.72</v>
      </c>
      <c r="D813" s="23" t="n">
        <f aca="false">A813-A812</f>
        <v>1</v>
      </c>
      <c r="E813" s="24" t="n">
        <f aca="false">LN(C813)</f>
        <v>6.87080079598837</v>
      </c>
      <c r="F813" s="25" t="n">
        <f aca="false">LN(C813/C812)</f>
        <v>0.0303933137994392</v>
      </c>
      <c r="G813" s="25" t="n">
        <f aca="false">IF(AND(D813=1,A813&gt;=$R$2),F813,"")</f>
        <v>0.0303933137994392</v>
      </c>
      <c r="H813" s="27" t="n">
        <f aca="false">IF(G813="","",G813^2)</f>
        <v>0.000923753523711182</v>
      </c>
      <c r="I813" s="25" t="n">
        <f aca="false">IF(G813="","",C813/C812-1)</f>
        <v>0.0308599056553318</v>
      </c>
      <c r="J813" s="17" t="n">
        <f aca="false">AVERAGE(C614:C813)</f>
        <v>845.08145</v>
      </c>
      <c r="K813" s="17" t="n">
        <f aca="false">MAX(K812,C813)</f>
        <v>1292.86</v>
      </c>
      <c r="L813" s="25" t="n">
        <f aca="false">C813/K813-1</f>
        <v>-0.254582862800303</v>
      </c>
      <c r="M813" s="25" t="n">
        <f aca="false">IF(COUNT(G784:G813)&lt;20,"",_xlfn.STDEV.S(G784:G813)*SQRT($R$3))</f>
        <v>0.93045696090012</v>
      </c>
      <c r="N813" s="25" t="n">
        <f aca="false">IF(A813-7&lt;$R$2,"",C813/INDEX(Clean_Data!$C$2:$C$4314,MATCH(A813-7,Clean_Data!$A$2:$A$4314,1))-1)</f>
        <v>-0.00647422680412368</v>
      </c>
      <c r="O813" s="25" t="n">
        <f aca="false">IF(A813-30&lt;$R$2,"",C813/INDEX(Clean_Data!$C$2:$C$4314,MATCH(A813-30,Clean_Data!$A$2:$A$4314,1))-1)</f>
        <v>-0.188036060325217</v>
      </c>
    </row>
    <row r="814" customFormat="false" ht="15" hidden="false" customHeight="false" outlineLevel="0" collapsed="false">
      <c r="A814" s="16" t="n">
        <v>42820</v>
      </c>
      <c r="B814" s="23" t="n">
        <f aca="false">YEAR(A814)</f>
        <v>2017</v>
      </c>
      <c r="C814" s="17" t="n">
        <v>973.08</v>
      </c>
      <c r="D814" s="23" t="n">
        <f aca="false">A814-A813</f>
        <v>1</v>
      </c>
      <c r="E814" s="24" t="n">
        <f aca="false">LN(C814)</f>
        <v>6.88046629874447</v>
      </c>
      <c r="F814" s="25" t="n">
        <f aca="false">LN(C814/C813)</f>
        <v>0.00966550275609517</v>
      </c>
      <c r="G814" s="25" t="n">
        <f aca="false">IF(AND(D814=1,A814&gt;=$R$2),F814,"")</f>
        <v>0.00966550275609517</v>
      </c>
      <c r="H814" s="27" t="n">
        <f aca="false">IF(G814="","",G814^2)</f>
        <v>9.34219435280833E-005</v>
      </c>
      <c r="I814" s="25" t="n">
        <f aca="false">IF(G814="","",C814/C813-1)</f>
        <v>0.00971236458722458</v>
      </c>
      <c r="J814" s="17" t="n">
        <f aca="false">AVERAGE(C615:C814)</f>
        <v>846.8708</v>
      </c>
      <c r="K814" s="17" t="n">
        <f aca="false">MAX(K813,C814)</f>
        <v>1292.86</v>
      </c>
      <c r="L814" s="25" t="n">
        <f aca="false">C814/K814-1</f>
        <v>-0.247343099794255</v>
      </c>
      <c r="M814" s="25" t="n">
        <f aca="false">IF(COUNT(G785:G814)&lt;20,"",_xlfn.STDEV.S(G785:G814)*SQRT($R$3))</f>
        <v>0.931973562022268</v>
      </c>
      <c r="N814" s="25" t="n">
        <f aca="false">IF(A814-7&lt;$R$2,"",C814/INDEX(Clean_Data!$C$2:$C$4314,MATCH(A814-7,Clean_Data!$A$2:$A$4314,1))-1)</f>
        <v>-0.0455227613806903</v>
      </c>
      <c r="O814" s="25" t="n">
        <f aca="false">IF(A814-30&lt;$R$2,"",C814/INDEX(Clean_Data!$C$2:$C$4314,MATCH(A814-30,Clean_Data!$A$2:$A$4314,1))-1)</f>
        <v>-0.180156877943568</v>
      </c>
    </row>
    <row r="815" customFormat="false" ht="15" hidden="false" customHeight="false" outlineLevel="0" collapsed="false">
      <c r="A815" s="16" t="n">
        <v>42821</v>
      </c>
      <c r="B815" s="23" t="n">
        <f aca="false">YEAR(A815)</f>
        <v>2017</v>
      </c>
      <c r="C815" s="17" t="n">
        <v>1042.08</v>
      </c>
      <c r="D815" s="23" t="n">
        <f aca="false">A815-A814</f>
        <v>1</v>
      </c>
      <c r="E815" s="24" t="n">
        <f aca="false">LN(C815)</f>
        <v>6.94897399479809</v>
      </c>
      <c r="F815" s="25" t="n">
        <f aca="false">LN(C815/C814)</f>
        <v>0.068507696053625</v>
      </c>
      <c r="G815" s="25" t="n">
        <f aca="false">IF(AND(D815=1,A815&gt;=$R$2),F815,"")</f>
        <v>0.068507696053625</v>
      </c>
      <c r="H815" s="27" t="n">
        <f aca="false">IF(G815="","",G815^2)</f>
        <v>0.00469330441857587</v>
      </c>
      <c r="I815" s="25" t="n">
        <f aca="false">IF(G815="","",C815/C814-1)</f>
        <v>0.0709088666913305</v>
      </c>
      <c r="J815" s="17" t="n">
        <f aca="false">AVERAGE(C616:C815)</f>
        <v>848.94135</v>
      </c>
      <c r="K815" s="17" t="n">
        <f aca="false">MAX(K814,C815)</f>
        <v>1292.86</v>
      </c>
      <c r="L815" s="25" t="n">
        <f aca="false">C815/K815-1</f>
        <v>-0.193973051993255</v>
      </c>
      <c r="M815" s="25" t="n">
        <f aca="false">IF(COUNT(G786:G815)&lt;20,"",_xlfn.STDEV.S(G786:G815)*SQRT($R$3))</f>
        <v>0.965339073901439</v>
      </c>
      <c r="N815" s="25" t="n">
        <f aca="false">IF(A815-7&lt;$R$2,"",C815/INDEX(Clean_Data!$C$2:$C$4314,MATCH(A815-7,Clean_Data!$A$2:$A$4314,1))-1)</f>
        <v>-0.00275608635737268</v>
      </c>
      <c r="O815" s="25" t="n">
        <f aca="false">IF(A815-30&lt;$R$2,"",C815/INDEX(Clean_Data!$C$2:$C$4314,MATCH(A815-30,Clean_Data!$A$2:$A$4314,1))-1)</f>
        <v>-0.100103626943005</v>
      </c>
    </row>
    <row r="816" customFormat="false" ht="15" hidden="false" customHeight="false" outlineLevel="0" collapsed="false">
      <c r="A816" s="16" t="n">
        <v>42822</v>
      </c>
      <c r="B816" s="23" t="n">
        <f aca="false">YEAR(A816)</f>
        <v>2017</v>
      </c>
      <c r="C816" s="17" t="n">
        <v>1045.4</v>
      </c>
      <c r="D816" s="23" t="n">
        <f aca="false">A816-A815</f>
        <v>1</v>
      </c>
      <c r="E816" s="24" t="n">
        <f aca="false">LN(C816)</f>
        <v>6.95215486627882</v>
      </c>
      <c r="F816" s="25" t="n">
        <f aca="false">LN(C816/C815)</f>
        <v>0.00318087148073021</v>
      </c>
      <c r="G816" s="25" t="n">
        <f aca="false">IF(AND(D816=1,A816&gt;=$R$2),F816,"")</f>
        <v>0.00318087148073021</v>
      </c>
      <c r="H816" s="27" t="n">
        <f aca="false">IF(G816="","",G816^2)</f>
        <v>1.01179433769228E-005</v>
      </c>
      <c r="I816" s="25" t="n">
        <f aca="false">IF(G816="","",C816/C815-1)</f>
        <v>0.00318593582066651</v>
      </c>
      <c r="J816" s="17" t="n">
        <f aca="false">AVERAGE(C617:C816)</f>
        <v>851.058</v>
      </c>
      <c r="K816" s="17" t="n">
        <f aca="false">MAX(K815,C816)</f>
        <v>1292.86</v>
      </c>
      <c r="L816" s="25" t="n">
        <f aca="false">C816/K816-1</f>
        <v>-0.191405101867178</v>
      </c>
      <c r="M816" s="25" t="n">
        <f aca="false">IF(COUNT(G787:G816)&lt;20,"",_xlfn.STDEV.S(G787:G816)*SQRT($R$3))</f>
        <v>0.960962420748858</v>
      </c>
      <c r="N816" s="25" t="n">
        <f aca="false">IF(A816-7&lt;$R$2,"",C816/INDEX(Clean_Data!$C$2:$C$4314,MATCH(A816-7,Clean_Data!$A$2:$A$4314,1))-1)</f>
        <v>-0.0619335618528023</v>
      </c>
      <c r="O816" s="25" t="n">
        <f aca="false">IF(A816-30&lt;$R$2,"",C816/INDEX(Clean_Data!$C$2:$C$4314,MATCH(A816-30,Clean_Data!$A$2:$A$4314,1))-1)</f>
        <v>-0.117738900000844</v>
      </c>
    </row>
    <row r="817" customFormat="false" ht="15" hidden="false" customHeight="false" outlineLevel="0" collapsed="false">
      <c r="A817" s="16" t="n">
        <v>42823</v>
      </c>
      <c r="B817" s="23" t="n">
        <f aca="false">YEAR(A817)</f>
        <v>2017</v>
      </c>
      <c r="C817" s="17" t="n">
        <v>1043.27</v>
      </c>
      <c r="D817" s="23" t="n">
        <f aca="false">A817-A816</f>
        <v>1</v>
      </c>
      <c r="E817" s="24" t="n">
        <f aca="false">LN(C817)</f>
        <v>6.9501152901482</v>
      </c>
      <c r="F817" s="25" t="n">
        <f aca="false">LN(C817/C816)</f>
        <v>-0.00203957613062581</v>
      </c>
      <c r="G817" s="25" t="n">
        <f aca="false">IF(AND(D817=1,A817&gt;=$R$2),F817,"")</f>
        <v>-0.00203957613062581</v>
      </c>
      <c r="H817" s="27" t="n">
        <f aca="false">IF(G817="","",G817^2)</f>
        <v>4.15987079261856E-006</v>
      </c>
      <c r="I817" s="25" t="n">
        <f aca="false">IF(G817="","",C817/C816-1)</f>
        <v>-0.00203749760857097</v>
      </c>
      <c r="J817" s="17" t="n">
        <f aca="false">AVERAGE(C618:C817)</f>
        <v>853.15565</v>
      </c>
      <c r="K817" s="17" t="n">
        <f aca="false">MAX(K816,C817)</f>
        <v>1292.86</v>
      </c>
      <c r="L817" s="25" t="n">
        <f aca="false">C817/K817-1</f>
        <v>-0.193052612038426</v>
      </c>
      <c r="M817" s="25" t="n">
        <f aca="false">IF(COUNT(G788:G817)&lt;20,"",_xlfn.STDEV.S(G788:G817)*SQRT($R$3))</f>
        <v>0.959800148442993</v>
      </c>
      <c r="N817" s="25" t="n">
        <f aca="false">IF(A817-7&lt;$R$2,"",C817/INDEX(Clean_Data!$C$2:$C$4314,MATCH(A817-7,Clean_Data!$A$2:$A$4314,1))-1)</f>
        <v>0.00840929081647457</v>
      </c>
      <c r="O817" s="25" t="n">
        <f aca="false">IF(A817-30&lt;$R$2,"",C817/INDEX(Clean_Data!$C$2:$C$4314,MATCH(A817-30,Clean_Data!$A$2:$A$4314,1))-1)</f>
        <v>-0.127562070897551</v>
      </c>
    </row>
    <row r="818" customFormat="false" ht="15" hidden="false" customHeight="false" outlineLevel="0" collapsed="false">
      <c r="A818" s="16" t="n">
        <v>42824</v>
      </c>
      <c r="B818" s="23" t="n">
        <f aca="false">YEAR(A818)</f>
        <v>2017</v>
      </c>
      <c r="C818" s="17" t="n">
        <v>1042.34</v>
      </c>
      <c r="D818" s="23" t="n">
        <f aca="false">A818-A817</f>
        <v>1</v>
      </c>
      <c r="E818" s="24" t="n">
        <f aca="false">LN(C818)</f>
        <v>6.9492234646759</v>
      </c>
      <c r="F818" s="25" t="n">
        <f aca="false">LN(C818/C817)</f>
        <v>-0.000891825472298219</v>
      </c>
      <c r="G818" s="25" t="n">
        <f aca="false">IF(AND(D818=1,A818&gt;=$R$2),F818,"")</f>
        <v>-0.000891825472298219</v>
      </c>
      <c r="H818" s="27" t="n">
        <f aca="false">IF(G818="","",G818^2)</f>
        <v>7.95352673039941E-007</v>
      </c>
      <c r="I818" s="25" t="n">
        <f aca="false">IF(G818="","",C818/C817-1)</f>
        <v>-0.000891427914154641</v>
      </c>
      <c r="J818" s="17" t="n">
        <f aca="false">AVERAGE(C619:C818)</f>
        <v>855.32765</v>
      </c>
      <c r="K818" s="17" t="n">
        <f aca="false">MAX(K817,C818)</f>
        <v>1292.86</v>
      </c>
      <c r="L818" s="25" t="n">
        <f aca="false">C818/K818-1</f>
        <v>-0.193771947465309</v>
      </c>
      <c r="M818" s="25" t="n">
        <f aca="false">IF(COUNT(G789:G818)&lt;20,"",_xlfn.STDEV.S(G789:G818)*SQRT($R$3))</f>
        <v>0.959786128952784</v>
      </c>
      <c r="N818" s="25" t="n">
        <f aca="false">IF(A818-7&lt;$R$2,"",C818/INDEX(Clean_Data!$C$2:$C$4314,MATCH(A818-7,Clean_Data!$A$2:$A$4314,1))-1)</f>
        <v>0.0167781961488185</v>
      </c>
      <c r="O818" s="25" t="n">
        <f aca="false">IF(A818-30&lt;$R$2,"",C818/INDEX(Clean_Data!$C$2:$C$4314,MATCH(A818-30,Clean_Data!$A$2:$A$4314,1))-1)</f>
        <v>-0.127807343441443</v>
      </c>
    </row>
    <row r="819" customFormat="false" ht="15" hidden="false" customHeight="false" outlineLevel="0" collapsed="false">
      <c r="A819" s="16" t="n">
        <v>42825</v>
      </c>
      <c r="B819" s="23" t="n">
        <f aca="false">YEAR(A819)</f>
        <v>2017</v>
      </c>
      <c r="C819" s="17" t="n">
        <v>1088.99</v>
      </c>
      <c r="D819" s="23" t="n">
        <f aca="false">A819-A818</f>
        <v>1</v>
      </c>
      <c r="E819" s="24" t="n">
        <f aca="false">LN(C819)</f>
        <v>6.99300594015434</v>
      </c>
      <c r="F819" s="25" t="n">
        <f aca="false">LN(C819/C818)</f>
        <v>0.0437824754784459</v>
      </c>
      <c r="G819" s="25" t="n">
        <f aca="false">IF(AND(D819=1,A819&gt;=$R$2),F819,"")</f>
        <v>0.0437824754784459</v>
      </c>
      <c r="H819" s="27" t="n">
        <f aca="false">IF(G819="","",G819^2)</f>
        <v>0.00191690515902072</v>
      </c>
      <c r="I819" s="25" t="n">
        <f aca="false">IF(G819="","",C819/C818-1)</f>
        <v>0.0447550703225437</v>
      </c>
      <c r="J819" s="17" t="n">
        <f aca="false">AVERAGE(C620:C819)</f>
        <v>857.7389</v>
      </c>
      <c r="K819" s="17" t="n">
        <f aca="false">MAX(K818,C819)</f>
        <v>1292.86</v>
      </c>
      <c r="L819" s="25" t="n">
        <f aca="false">C819/K819-1</f>
        <v>-0.157689154278112</v>
      </c>
      <c r="M819" s="25" t="n">
        <f aca="false">IF(COUNT(G790:G819)&lt;20,"",_xlfn.STDEV.S(G790:G819)*SQRT($R$3))</f>
        <v>0.967729573447064</v>
      </c>
      <c r="N819" s="25" t="n">
        <f aca="false">IF(A819-7&lt;$R$2,"",C819/INDEX(Clean_Data!$C$2:$C$4314,MATCH(A819-7,Clean_Data!$A$2:$A$4314,1))-1)</f>
        <v>0.164857145913335</v>
      </c>
      <c r="O819" s="25" t="n">
        <f aca="false">IF(A819-30&lt;$R$2,"",C819/INDEX(Clean_Data!$C$2:$C$4314,MATCH(A819-30,Clean_Data!$A$2:$A$4314,1))-1)</f>
        <v>-0.114642276422764</v>
      </c>
    </row>
    <row r="820" customFormat="false" ht="15" hidden="false" customHeight="false" outlineLevel="0" collapsed="false">
      <c r="A820" s="16" t="n">
        <v>42826</v>
      </c>
      <c r="B820" s="23" t="n">
        <f aca="false">YEAR(A820)</f>
        <v>2017</v>
      </c>
      <c r="C820" s="17" t="n">
        <v>1092</v>
      </c>
      <c r="D820" s="23" t="n">
        <f aca="false">A820-A819</f>
        <v>1</v>
      </c>
      <c r="E820" s="24" t="n">
        <f aca="false">LN(C820)</f>
        <v>6.99576615630485</v>
      </c>
      <c r="F820" s="25" t="n">
        <f aca="false">LN(C820/C819)</f>
        <v>0.00276021615050682</v>
      </c>
      <c r="G820" s="25" t="n">
        <f aca="false">IF(AND(D820=1,A820&gt;=$R$2),F820,"")</f>
        <v>0.00276021615050682</v>
      </c>
      <c r="H820" s="27" t="n">
        <f aca="false">IF(G820="","",G820^2)</f>
        <v>7.6187931975187E-006</v>
      </c>
      <c r="I820" s="25" t="n">
        <f aca="false">IF(G820="","",C820/C819-1)</f>
        <v>0.00276402905444484</v>
      </c>
      <c r="J820" s="17" t="n">
        <f aca="false">AVERAGE(C621:C820)</f>
        <v>860.15575</v>
      </c>
      <c r="K820" s="17" t="n">
        <f aca="false">MAX(K819,C820)</f>
        <v>1292.86</v>
      </c>
      <c r="L820" s="25" t="n">
        <f aca="false">C820/K820-1</f>
        <v>-0.155360982627663</v>
      </c>
      <c r="M820" s="25" t="n">
        <f aca="false">IF(COUNT(G791:G820)&lt;20,"",_xlfn.STDEV.S(G791:G820)*SQRT($R$3))</f>
        <v>0.959668394903639</v>
      </c>
      <c r="N820" s="25" t="n">
        <f aca="false">IF(A820-7&lt;$R$2,"",C820/INDEX(Clean_Data!$C$2:$C$4314,MATCH(A820-7,Clean_Data!$A$2:$A$4314,1))-1)</f>
        <v>0.133109201842859</v>
      </c>
      <c r="O820" s="25" t="n">
        <f aca="false">IF(A820-30&lt;$R$2,"",C820/INDEX(Clean_Data!$C$2:$C$4314,MATCH(A820-30,Clean_Data!$A$2:$A$4314,1))-1)</f>
        <v>-0.139595168495946</v>
      </c>
    </row>
    <row r="821" customFormat="false" ht="15" hidden="false" customHeight="false" outlineLevel="0" collapsed="false">
      <c r="A821" s="16" t="n">
        <v>42827</v>
      </c>
      <c r="B821" s="23" t="n">
        <f aca="false">YEAR(A821)</f>
        <v>2017</v>
      </c>
      <c r="C821" s="17" t="n">
        <v>1113.99</v>
      </c>
      <c r="D821" s="23" t="n">
        <f aca="false">A821-A820</f>
        <v>1</v>
      </c>
      <c r="E821" s="24" t="n">
        <f aca="false">LN(C821)</f>
        <v>7.01570344378626</v>
      </c>
      <c r="F821" s="25" t="n">
        <f aca="false">LN(C821/C820)</f>
        <v>0.0199372874814063</v>
      </c>
      <c r="G821" s="25" t="n">
        <f aca="false">IF(AND(D821=1,A821&gt;=$R$2),F821,"")</f>
        <v>0.0199372874814063</v>
      </c>
      <c r="H821" s="27" t="n">
        <f aca="false">IF(G821="","",G821^2)</f>
        <v>0.000397495432116241</v>
      </c>
      <c r="I821" s="25" t="n">
        <f aca="false">IF(G821="","",C821/C820-1)</f>
        <v>0.0201373626373627</v>
      </c>
      <c r="J821" s="17" t="n">
        <f aca="false">AVERAGE(C622:C821)</f>
        <v>862.68355</v>
      </c>
      <c r="K821" s="17" t="n">
        <f aca="false">MAX(K820,C821)</f>
        <v>1292.86</v>
      </c>
      <c r="L821" s="25" t="n">
        <f aca="false">C821/K821-1</f>
        <v>-0.13835218043717</v>
      </c>
      <c r="M821" s="25" t="n">
        <f aca="false">IF(COUNT(G792:G821)&lt;20,"",_xlfn.STDEV.S(G792:G821)*SQRT($R$3))</f>
        <v>0.960126529148367</v>
      </c>
      <c r="N821" s="25" t="n">
        <f aca="false">IF(A821-7&lt;$R$2,"",C821/INDEX(Clean_Data!$C$2:$C$4314,MATCH(A821-7,Clean_Data!$A$2:$A$4314,1))-1)</f>
        <v>0.144808237760513</v>
      </c>
      <c r="O821" s="25" t="n">
        <f aca="false">IF(A821-30&lt;$R$2,"",C821/INDEX(Clean_Data!$C$2:$C$4314,MATCH(A821-30,Clean_Data!$A$2:$A$4314,1))-1)</f>
        <v>-0.13835218043717</v>
      </c>
    </row>
    <row r="822" customFormat="false" ht="15" hidden="false" customHeight="false" outlineLevel="0" collapsed="false">
      <c r="A822" s="16" t="n">
        <v>42828</v>
      </c>
      <c r="B822" s="23" t="n">
        <f aca="false">YEAR(A822)</f>
        <v>2017</v>
      </c>
      <c r="C822" s="17" t="n">
        <v>1152.6</v>
      </c>
      <c r="D822" s="23" t="n">
        <f aca="false">A822-A821</f>
        <v>1</v>
      </c>
      <c r="E822" s="24" t="n">
        <f aca="false">LN(C822)</f>
        <v>7.04977553900257</v>
      </c>
      <c r="F822" s="25" t="n">
        <f aca="false">LN(C822/C821)</f>
        <v>0.0340720952163092</v>
      </c>
      <c r="G822" s="25" t="n">
        <f aca="false">IF(AND(D822=1,A822&gt;=$R$2),F822,"")</f>
        <v>0.0340720952163092</v>
      </c>
      <c r="H822" s="27" t="n">
        <f aca="false">IF(G822="","",G822^2)</f>
        <v>0.00116090767242924</v>
      </c>
      <c r="I822" s="25" t="n">
        <f aca="false">IF(G822="","",C822/C821-1)</f>
        <v>0.0346591980179354</v>
      </c>
      <c r="J822" s="17" t="n">
        <f aca="false">AVERAGE(C623:C822)</f>
        <v>865.41935</v>
      </c>
      <c r="K822" s="17" t="n">
        <f aca="false">MAX(K821,C822)</f>
        <v>1292.86</v>
      </c>
      <c r="L822" s="25" t="n">
        <f aca="false">C822/K822-1</f>
        <v>-0.10848815803722</v>
      </c>
      <c r="M822" s="25" t="n">
        <f aca="false">IF(COUNT(G793:G822)&lt;20,"",_xlfn.STDEV.S(G793:G822)*SQRT($R$3))</f>
        <v>0.968929907470112</v>
      </c>
      <c r="N822" s="25" t="n">
        <f aca="false">IF(A822-7&lt;$R$2,"",C822/INDEX(Clean_Data!$C$2:$C$4314,MATCH(A822-7,Clean_Data!$A$2:$A$4314,1))-1)</f>
        <v>0.106057116536158</v>
      </c>
      <c r="O822" s="25" t="n">
        <f aca="false">IF(A822-30&lt;$R$2,"",C822/INDEX(Clean_Data!$C$2:$C$4314,MATCH(A822-30,Clean_Data!$A$2:$A$4314,1))-1)</f>
        <v>-0.0952691193670182</v>
      </c>
    </row>
    <row r="823" customFormat="false" ht="15" hidden="false" customHeight="false" outlineLevel="0" collapsed="false">
      <c r="A823" s="16" t="n">
        <v>42829</v>
      </c>
      <c r="B823" s="23" t="n">
        <f aca="false">YEAR(A823)</f>
        <v>2017</v>
      </c>
      <c r="C823" s="17" t="n">
        <v>1143.99</v>
      </c>
      <c r="D823" s="23" t="n">
        <f aca="false">A823-A822</f>
        <v>1</v>
      </c>
      <c r="E823" s="24" t="n">
        <f aca="false">LN(C823)</f>
        <v>7.0422774306428</v>
      </c>
      <c r="F823" s="25" t="n">
        <f aca="false">LN(C823/C822)</f>
        <v>-0.007498108359769</v>
      </c>
      <c r="G823" s="25" t="n">
        <f aca="false">IF(AND(D823=1,A823&gt;=$R$2),F823,"")</f>
        <v>-0.007498108359769</v>
      </c>
      <c r="H823" s="27" t="n">
        <f aca="false">IF(G823="","",G823^2)</f>
        <v>5.62216289748377E-005</v>
      </c>
      <c r="I823" s="25" t="n">
        <f aca="false">IF(G823="","",C823/C822-1)</f>
        <v>-0.00747006767308689</v>
      </c>
      <c r="J823" s="17" t="n">
        <f aca="false">AVERAGE(C624:C823)</f>
        <v>868.09965</v>
      </c>
      <c r="K823" s="17" t="n">
        <f aca="false">MAX(K822,C823)</f>
        <v>1292.86</v>
      </c>
      <c r="L823" s="25" t="n">
        <f aca="false">C823/K823-1</f>
        <v>-0.11514781182804</v>
      </c>
      <c r="M823" s="25" t="n">
        <f aca="false">IF(COUNT(G794:G823)&lt;20,"",_xlfn.STDEV.S(G794:G823)*SQRT($R$3))</f>
        <v>0.968671535679709</v>
      </c>
      <c r="N823" s="25" t="n">
        <f aca="false">IF(A823-7&lt;$R$2,"",C823/INDEX(Clean_Data!$C$2:$C$4314,MATCH(A823-7,Clean_Data!$A$2:$A$4314,1))-1)</f>
        <v>0.0943083986990625</v>
      </c>
      <c r="O823" s="25" t="n">
        <f aca="false">IF(A823-30&lt;$R$2,"",C823/INDEX(Clean_Data!$C$2:$C$4314,MATCH(A823-30,Clean_Data!$A$2:$A$4314,1))-1)</f>
        <v>-0.105545043706704</v>
      </c>
    </row>
    <row r="824" customFormat="false" ht="15" hidden="false" customHeight="false" outlineLevel="0" collapsed="false">
      <c r="A824" s="16" t="n">
        <v>42830</v>
      </c>
      <c r="B824" s="23" t="n">
        <f aca="false">YEAR(A824)</f>
        <v>2017</v>
      </c>
      <c r="C824" s="17" t="n">
        <v>1132.99</v>
      </c>
      <c r="D824" s="23" t="n">
        <f aca="false">A824-A823</f>
        <v>1</v>
      </c>
      <c r="E824" s="24" t="n">
        <f aca="false">LN(C824)</f>
        <v>7.03261543486373</v>
      </c>
      <c r="F824" s="25" t="n">
        <f aca="false">LN(C824/C823)</f>
        <v>-0.00966199577907208</v>
      </c>
      <c r="G824" s="25" t="n">
        <f aca="false">IF(AND(D824=1,A824&gt;=$R$2),F824,"")</f>
        <v>-0.00966199577907208</v>
      </c>
      <c r="H824" s="27" t="n">
        <f aca="false">IF(G824="","",G824^2)</f>
        <v>9.33541624348067E-005</v>
      </c>
      <c r="I824" s="25" t="n">
        <f aca="false">IF(G824="","",C824/C823-1)</f>
        <v>-0.00961546866668417</v>
      </c>
      <c r="J824" s="17" t="n">
        <f aca="false">AVERAGE(C625:C824)</f>
        <v>870.725</v>
      </c>
      <c r="K824" s="17" t="n">
        <f aca="false">MAX(K823,C824)</f>
        <v>1292.86</v>
      </c>
      <c r="L824" s="25" t="n">
        <f aca="false">C824/K824-1</f>
        <v>-0.123656080318054</v>
      </c>
      <c r="M824" s="25" t="n">
        <f aca="false">IF(COUNT(G795:G824)&lt;20,"",_xlfn.STDEV.S(G795:G824)*SQRT($R$3))</f>
        <v>0.968397368614344</v>
      </c>
      <c r="N824" s="25" t="n">
        <f aca="false">IF(A824-7&lt;$R$2,"",C824/INDEX(Clean_Data!$C$2:$C$4314,MATCH(A824-7,Clean_Data!$A$2:$A$4314,1))-1)</f>
        <v>0.0859988305999406</v>
      </c>
      <c r="O824" s="25" t="n">
        <f aca="false">IF(A824-30&lt;$R$2,"",C824/INDEX(Clean_Data!$C$2:$C$4314,MATCH(A824-30,Clean_Data!$A$2:$A$4314,1))-1)</f>
        <v>-0.118288858279053</v>
      </c>
    </row>
    <row r="825" customFormat="false" ht="15" hidden="false" customHeight="false" outlineLevel="0" collapsed="false">
      <c r="A825" s="16" t="n">
        <v>42831</v>
      </c>
      <c r="B825" s="23" t="n">
        <f aca="false">YEAR(A825)</f>
        <v>2017</v>
      </c>
      <c r="C825" s="17" t="n">
        <v>1192.3</v>
      </c>
      <c r="D825" s="23" t="n">
        <f aca="false">A825-A824</f>
        <v>1</v>
      </c>
      <c r="E825" s="24" t="n">
        <f aca="false">LN(C825)</f>
        <v>7.08363949381209</v>
      </c>
      <c r="F825" s="25" t="n">
        <f aca="false">LN(C825/C824)</f>
        <v>0.0510240589483614</v>
      </c>
      <c r="G825" s="25" t="n">
        <f aca="false">IF(AND(D825=1,A825&gt;=$R$2),F825,"")</f>
        <v>0.0510240589483614</v>
      </c>
      <c r="H825" s="27" t="n">
        <f aca="false">IF(G825="","",G825^2)</f>
        <v>0.00260345459156586</v>
      </c>
      <c r="I825" s="25" t="n">
        <f aca="false">IF(G825="","",C825/C824-1)</f>
        <v>0.052348211369915</v>
      </c>
      <c r="J825" s="17" t="n">
        <f aca="false">AVERAGE(C626:C825)</f>
        <v>873.6295</v>
      </c>
      <c r="K825" s="17" t="n">
        <f aca="false">MAX(K824,C825)</f>
        <v>1292.86</v>
      </c>
      <c r="L825" s="25" t="n">
        <f aca="false">C825/K825-1</f>
        <v>-0.0777810435778042</v>
      </c>
      <c r="M825" s="25" t="n">
        <f aca="false">IF(COUNT(G796:G825)&lt;20,"",_xlfn.STDEV.S(G796:G825)*SQRT($R$3))</f>
        <v>0.979120458240519</v>
      </c>
      <c r="N825" s="25" t="n">
        <f aca="false">IF(A825-7&lt;$R$2,"",C825/INDEX(Clean_Data!$C$2:$C$4314,MATCH(A825-7,Clean_Data!$A$2:$A$4314,1))-1)</f>
        <v>0.143868603334804</v>
      </c>
      <c r="O825" s="25" t="n">
        <f aca="false">IF(A825-30&lt;$R$2,"",C825/INDEX(Clean_Data!$C$2:$C$4314,MATCH(A825-30,Clean_Data!$A$2:$A$4314,1))-1)</f>
        <v>-0.0364162410292881</v>
      </c>
    </row>
    <row r="826" customFormat="false" ht="15" hidden="false" customHeight="false" outlineLevel="0" collapsed="false">
      <c r="A826" s="16" t="n">
        <v>42832</v>
      </c>
      <c r="B826" s="23" t="n">
        <f aca="false">YEAR(A826)</f>
        <v>2017</v>
      </c>
      <c r="C826" s="17" t="n">
        <v>1194</v>
      </c>
      <c r="D826" s="23" t="n">
        <f aca="false">A826-A825</f>
        <v>1</v>
      </c>
      <c r="E826" s="24" t="n">
        <f aca="false">LN(C826)</f>
        <v>7.08506429395255</v>
      </c>
      <c r="F826" s="25" t="n">
        <f aca="false">LN(C826/C825)</f>
        <v>0.00142480014046122</v>
      </c>
      <c r="G826" s="25" t="n">
        <f aca="false">IF(AND(D826=1,A826&gt;=$R$2),F826,"")</f>
        <v>0.00142480014046122</v>
      </c>
      <c r="H826" s="27" t="n">
        <f aca="false">IF(G826="","",G826^2)</f>
        <v>2.03005544025831E-006</v>
      </c>
      <c r="I826" s="25" t="n">
        <f aca="false">IF(G826="","",C826/C825-1)</f>
        <v>0.00142581565042366</v>
      </c>
      <c r="J826" s="17" t="n">
        <f aca="false">AVERAGE(C627:C826)</f>
        <v>876.5565</v>
      </c>
      <c r="K826" s="17" t="n">
        <f aca="false">MAX(K825,C826)</f>
        <v>1292.86</v>
      </c>
      <c r="L826" s="25" t="n">
        <f aca="false">C826/K826-1</f>
        <v>-0.0764661293566201</v>
      </c>
      <c r="M826" s="25" t="n">
        <f aca="false">IF(COUNT(G797:G826)&lt;20,"",_xlfn.STDEV.S(G797:G826)*SQRT($R$3))</f>
        <v>0.944231465288706</v>
      </c>
      <c r="N826" s="25" t="n">
        <f aca="false">IF(A826-7&lt;$R$2,"",C826/INDEX(Clean_Data!$C$2:$C$4314,MATCH(A826-7,Clean_Data!$A$2:$A$4314,1))-1)</f>
        <v>0.0964288009990908</v>
      </c>
      <c r="O826" s="25" t="n">
        <f aca="false">IF(A826-30&lt;$R$2,"",C826/INDEX(Clean_Data!$C$2:$C$4314,MATCH(A826-30,Clean_Data!$A$2:$A$4314,1))-1)</f>
        <v>0.0380622837370241</v>
      </c>
    </row>
    <row r="827" customFormat="false" ht="15" hidden="false" customHeight="false" outlineLevel="0" collapsed="false">
      <c r="A827" s="16" t="n">
        <v>42833</v>
      </c>
      <c r="B827" s="23" t="n">
        <f aca="false">YEAR(A827)</f>
        <v>2017</v>
      </c>
      <c r="C827" s="17" t="n">
        <v>1184.5</v>
      </c>
      <c r="D827" s="23" t="n">
        <f aca="false">A827-A826</f>
        <v>1</v>
      </c>
      <c r="E827" s="24" t="n">
        <f aca="false">LN(C827)</f>
        <v>7.07707602359884</v>
      </c>
      <c r="F827" s="25" t="n">
        <f aca="false">LN(C827/C826)</f>
        <v>-0.00798827035370729</v>
      </c>
      <c r="G827" s="25" t="n">
        <f aca="false">IF(AND(D827=1,A827&gt;=$R$2),F827,"")</f>
        <v>-0.00798827035370729</v>
      </c>
      <c r="H827" s="27" t="n">
        <f aca="false">IF(G827="","",G827^2)</f>
        <v>6.38124632439188E-005</v>
      </c>
      <c r="I827" s="25" t="n">
        <f aca="false">IF(G827="","",C827/C826-1)</f>
        <v>-0.00795644891122282</v>
      </c>
      <c r="J827" s="17" t="n">
        <f aca="false">AVERAGE(C628:C827)</f>
        <v>879.451</v>
      </c>
      <c r="K827" s="17" t="n">
        <f aca="false">MAX(K826,C827)</f>
        <v>1292.86</v>
      </c>
      <c r="L827" s="25" t="n">
        <f aca="false">C827/K827-1</f>
        <v>-0.083814179416178</v>
      </c>
      <c r="M827" s="25" t="n">
        <f aca="false">IF(COUNT(G798:G827)&lt;20,"",_xlfn.STDEV.S(G798:G827)*SQRT($R$3))</f>
        <v>0.934161927649744</v>
      </c>
      <c r="N827" s="25" t="n">
        <f aca="false">IF(A827-7&lt;$R$2,"",C827/INDEX(Clean_Data!$C$2:$C$4314,MATCH(A827-7,Clean_Data!$A$2:$A$4314,1))-1)</f>
        <v>0.0847069597069596</v>
      </c>
      <c r="O827" s="25" t="n">
        <f aca="false">IF(A827-30&lt;$R$2,"",C827/INDEX(Clean_Data!$C$2:$C$4314,MATCH(A827-30,Clean_Data!$A$2:$A$4314,1))-1)</f>
        <v>-0.0106907207884406</v>
      </c>
    </row>
    <row r="828" customFormat="false" ht="15" hidden="false" customHeight="false" outlineLevel="0" collapsed="false">
      <c r="A828" s="16" t="n">
        <v>42834</v>
      </c>
      <c r="B828" s="23" t="n">
        <f aca="false">YEAR(A828)</f>
        <v>2017</v>
      </c>
      <c r="C828" s="17" t="n">
        <v>1210.97</v>
      </c>
      <c r="D828" s="23" t="n">
        <f aca="false">A828-A827</f>
        <v>1</v>
      </c>
      <c r="E828" s="24" t="n">
        <f aca="false">LN(C828)</f>
        <v>7.09917697033129</v>
      </c>
      <c r="F828" s="25" t="n">
        <f aca="false">LN(C828/C827)</f>
        <v>0.0221009467324522</v>
      </c>
      <c r="G828" s="25" t="n">
        <f aca="false">IF(AND(D828=1,A828&gt;=$R$2),F828,"")</f>
        <v>0.0221009467324522</v>
      </c>
      <c r="H828" s="27" t="n">
        <f aca="false">IF(G828="","",G828^2)</f>
        <v>0.000488451846470688</v>
      </c>
      <c r="I828" s="25" t="n">
        <f aca="false">IF(G828="","",C828/C827-1)</f>
        <v>0.0223469818488815</v>
      </c>
      <c r="J828" s="17" t="n">
        <f aca="false">AVERAGE(C629:C828)</f>
        <v>882.52085</v>
      </c>
      <c r="K828" s="17" t="n">
        <f aca="false">MAX(K827,C828)</f>
        <v>1292.86</v>
      </c>
      <c r="L828" s="25" t="n">
        <f aca="false">C828/K828-1</f>
        <v>-0.0633401915133889</v>
      </c>
      <c r="M828" s="25" t="n">
        <f aca="false">IF(COUNT(G799:G828)&lt;20,"",_xlfn.STDEV.S(G799:G828)*SQRT($R$3))</f>
        <v>0.895408502125413</v>
      </c>
      <c r="N828" s="25" t="n">
        <f aca="false">IF(A828-7&lt;$R$2,"",C828/INDEX(Clean_Data!$C$2:$C$4314,MATCH(A828-7,Clean_Data!$A$2:$A$4314,1))-1)</f>
        <v>0.087056436772323</v>
      </c>
      <c r="O828" s="25" t="n">
        <f aca="false">IF(A828-30&lt;$R$2,"",C828/INDEX(Clean_Data!$C$2:$C$4314,MATCH(A828-30,Clean_Data!$A$2:$A$4314,1))-1)</f>
        <v>0.0919378544828271</v>
      </c>
    </row>
    <row r="829" customFormat="false" ht="15" hidden="false" customHeight="false" outlineLevel="0" collapsed="false">
      <c r="A829" s="16" t="n">
        <v>42835</v>
      </c>
      <c r="B829" s="23" t="n">
        <f aca="false">YEAR(A829)</f>
        <v>2017</v>
      </c>
      <c r="C829" s="17" t="n">
        <v>1210</v>
      </c>
      <c r="D829" s="23" t="n">
        <f aca="false">A829-A828</f>
        <v>1</v>
      </c>
      <c r="E829" s="24" t="n">
        <f aca="false">LN(C829)</f>
        <v>7.09837563859079</v>
      </c>
      <c r="F829" s="25" t="n">
        <f aca="false">LN(C829/C828)</f>
        <v>-0.000801331740505449</v>
      </c>
      <c r="G829" s="25" t="n">
        <f aca="false">IF(AND(D829=1,A829&gt;=$R$2),F829,"")</f>
        <v>-0.000801331740505449</v>
      </c>
      <c r="H829" s="27" t="n">
        <f aca="false">IF(G829="","",G829^2)</f>
        <v>6.42132558341493E-007</v>
      </c>
      <c r="I829" s="25" t="n">
        <f aca="false">IF(G829="","",C829/C828-1)</f>
        <v>-0.000801010759969301</v>
      </c>
      <c r="J829" s="17" t="n">
        <f aca="false">AVERAGE(C630:C829)</f>
        <v>885.5898</v>
      </c>
      <c r="K829" s="17" t="n">
        <f aca="false">MAX(K828,C829)</f>
        <v>1292.86</v>
      </c>
      <c r="L829" s="25" t="n">
        <f aca="false">C829/K829-1</f>
        <v>-0.0640904660984174</v>
      </c>
      <c r="M829" s="25" t="n">
        <f aca="false">IF(COUNT(G800:G829)&lt;20,"",_xlfn.STDEV.S(G800:G829)*SQRT($R$3))</f>
        <v>0.863207727216871</v>
      </c>
      <c r="N829" s="25" t="n">
        <f aca="false">IF(A829-7&lt;$R$2,"",C829/INDEX(Clean_Data!$C$2:$C$4314,MATCH(A829-7,Clean_Data!$A$2:$A$4314,1))-1)</f>
        <v>0.049800451153913</v>
      </c>
      <c r="O829" s="25" t="n">
        <f aca="false">IF(A829-30&lt;$R$2,"",C829/INDEX(Clean_Data!$C$2:$C$4314,MATCH(A829-30,Clean_Data!$A$2:$A$4314,1))-1)</f>
        <v>0.0184242199796316</v>
      </c>
    </row>
    <row r="830" customFormat="false" ht="15" hidden="false" customHeight="false" outlineLevel="0" collapsed="false">
      <c r="A830" s="16" t="n">
        <v>42836</v>
      </c>
      <c r="B830" s="23" t="n">
        <f aca="false">YEAR(A830)</f>
        <v>2017</v>
      </c>
      <c r="C830" s="17" t="n">
        <v>1223.99</v>
      </c>
      <c r="D830" s="23" t="n">
        <f aca="false">A830-A829</f>
        <v>1</v>
      </c>
      <c r="E830" s="24" t="n">
        <f aca="false">LN(C830)</f>
        <v>7.10987129310426</v>
      </c>
      <c r="F830" s="25" t="n">
        <f aca="false">LN(C830/C829)</f>
        <v>0.0114956545134699</v>
      </c>
      <c r="G830" s="25" t="n">
        <f aca="false">IF(AND(D830=1,A830&gt;=$R$2),F830,"")</f>
        <v>0.0114956545134699</v>
      </c>
      <c r="H830" s="27" t="n">
        <f aca="false">IF(G830="","",G830^2)</f>
        <v>0.000132150072693061</v>
      </c>
      <c r="I830" s="25" t="n">
        <f aca="false">IF(G830="","",C830/C829-1)</f>
        <v>0.0115619834710743</v>
      </c>
      <c r="J830" s="17" t="n">
        <f aca="false">AVERAGE(C631:C830)</f>
        <v>888.69495</v>
      </c>
      <c r="K830" s="17" t="n">
        <f aca="false">MAX(K829,C830)</f>
        <v>1292.86</v>
      </c>
      <c r="L830" s="25" t="n">
        <f aca="false">C830/K830-1</f>
        <v>-0.0532694955370263</v>
      </c>
      <c r="M830" s="25" t="n">
        <f aca="false">IF(COUNT(G801:G830)&lt;20,"",_xlfn.STDEV.S(G801:G830)*SQRT($R$3))</f>
        <v>0.852980625382084</v>
      </c>
      <c r="N830" s="25" t="n">
        <f aca="false">IF(A830-7&lt;$R$2,"",C830/INDEX(Clean_Data!$C$2:$C$4314,MATCH(A830-7,Clean_Data!$A$2:$A$4314,1))-1)</f>
        <v>0.0699306812122484</v>
      </c>
      <c r="O830" s="25" t="n">
        <f aca="false">IF(A830-30&lt;$R$2,"",C830/INDEX(Clean_Data!$C$2:$C$4314,MATCH(A830-30,Clean_Data!$A$2:$A$4314,1))-1)</f>
        <v>-0.00938021010375689</v>
      </c>
    </row>
    <row r="831" customFormat="false" ht="15" hidden="false" customHeight="false" outlineLevel="0" collapsed="false">
      <c r="A831" s="16" t="n">
        <v>42837</v>
      </c>
      <c r="B831" s="23" t="n">
        <f aca="false">YEAR(A831)</f>
        <v>2017</v>
      </c>
      <c r="C831" s="17" t="n">
        <v>1214.17</v>
      </c>
      <c r="D831" s="23" t="n">
        <f aca="false">A831-A830</f>
        <v>1</v>
      </c>
      <c r="E831" s="24" t="n">
        <f aca="false">LN(C831)</f>
        <v>7.10181599476467</v>
      </c>
      <c r="F831" s="25" t="n">
        <f aca="false">LN(C831/C830)</f>
        <v>-0.00805529833958221</v>
      </c>
      <c r="G831" s="25" t="n">
        <f aca="false">IF(AND(D831=1,A831&gt;=$R$2),F831,"")</f>
        <v>-0.00805529833958221</v>
      </c>
      <c r="H831" s="27" t="n">
        <f aca="false">IF(G831="","",G831^2)</f>
        <v>6.48878313396759E-005</v>
      </c>
      <c r="I831" s="25" t="n">
        <f aca="false">IF(G831="","",C831/C830-1)</f>
        <v>-0.00802294136390003</v>
      </c>
      <c r="J831" s="17" t="n">
        <f aca="false">AVERAGE(C632:C831)</f>
        <v>891.7474</v>
      </c>
      <c r="K831" s="17" t="n">
        <f aca="false">MAX(K830,C831)</f>
        <v>1292.86</v>
      </c>
      <c r="L831" s="25" t="n">
        <f aca="false">C831/K831-1</f>
        <v>-0.0608650588617482</v>
      </c>
      <c r="M831" s="25" t="n">
        <f aca="false">IF(COUNT(G802:G831)&lt;20,"",_xlfn.STDEV.S(G802:G831)*SQRT($R$3))</f>
        <v>0.852850845754489</v>
      </c>
      <c r="N831" s="25" t="n">
        <f aca="false">IF(A831-7&lt;$R$2,"",C831/INDEX(Clean_Data!$C$2:$C$4314,MATCH(A831-7,Clean_Data!$A$2:$A$4314,1))-1)</f>
        <v>0.0716511178386394</v>
      </c>
      <c r="O831" s="25" t="n">
        <f aca="false">IF(A831-30&lt;$R$2,"",C831/INDEX(Clean_Data!$C$2:$C$4314,MATCH(A831-30,Clean_Data!$A$2:$A$4314,1))-1)</f>
        <v>-0.025146729399674</v>
      </c>
    </row>
    <row r="832" customFormat="false" ht="15" hidden="false" customHeight="false" outlineLevel="0" collapsed="false">
      <c r="A832" s="16" t="n">
        <v>42838</v>
      </c>
      <c r="B832" s="23" t="n">
        <f aca="false">YEAR(A832)</f>
        <v>2017</v>
      </c>
      <c r="C832" s="17" t="n">
        <v>1177.05</v>
      </c>
      <c r="D832" s="23" t="n">
        <f aca="false">A832-A831</f>
        <v>1</v>
      </c>
      <c r="E832" s="24" t="n">
        <f aca="false">LN(C832)</f>
        <v>7.07076658724159</v>
      </c>
      <c r="F832" s="25" t="n">
        <f aca="false">LN(C832/C831)</f>
        <v>-0.0310494075230828</v>
      </c>
      <c r="G832" s="25" t="n">
        <f aca="false">IF(AND(D832=1,A832&gt;=$R$2),F832,"")</f>
        <v>-0.0310494075230828</v>
      </c>
      <c r="H832" s="27" t="n">
        <f aca="false">IF(G832="","",G832^2)</f>
        <v>0.000964065707534469</v>
      </c>
      <c r="I832" s="25" t="n">
        <f aca="false">IF(G832="","",C832/C831-1)</f>
        <v>-0.0305723251274534</v>
      </c>
      <c r="J832" s="17" t="n">
        <f aca="false">AVERAGE(C633:C832)</f>
        <v>894.6243</v>
      </c>
      <c r="K832" s="17" t="n">
        <f aca="false">MAX(K831,C832)</f>
        <v>1292.86</v>
      </c>
      <c r="L832" s="25" t="n">
        <f aca="false">C832/K832-1</f>
        <v>-0.0895765976207787</v>
      </c>
      <c r="M832" s="25" t="n">
        <f aca="false">IF(COUNT(G803:G832)&lt;20,"",_xlfn.STDEV.S(G803:G832)*SQRT($R$3))</f>
        <v>0.859253103468674</v>
      </c>
      <c r="N832" s="25" t="n">
        <f aca="false">IF(A832-7&lt;$R$2,"",C832/INDEX(Clean_Data!$C$2:$C$4314,MATCH(A832-7,Clean_Data!$A$2:$A$4314,1))-1)</f>
        <v>-0.0127904050993878</v>
      </c>
      <c r="O832" s="25" t="n">
        <f aca="false">IF(A832-30&lt;$R$2,"",C832/INDEX(Clean_Data!$C$2:$C$4314,MATCH(A832-30,Clean_Data!$A$2:$A$4314,1))-1)</f>
        <v>-0.05641243526639</v>
      </c>
    </row>
    <row r="833" customFormat="false" ht="15" hidden="false" customHeight="false" outlineLevel="0" collapsed="false">
      <c r="A833" s="16" t="n">
        <v>42839</v>
      </c>
      <c r="B833" s="23" t="n">
        <f aca="false">YEAR(A833)</f>
        <v>2017</v>
      </c>
      <c r="C833" s="17" t="n">
        <v>1173.74</v>
      </c>
      <c r="D833" s="23" t="n">
        <f aca="false">A833-A832</f>
        <v>1</v>
      </c>
      <c r="E833" s="24" t="n">
        <f aca="false">LN(C833)</f>
        <v>7.06795051078437</v>
      </c>
      <c r="F833" s="25" t="n">
        <f aca="false">LN(C833/C832)</f>
        <v>-0.00281607645722247</v>
      </c>
      <c r="G833" s="25" t="n">
        <f aca="false">IF(AND(D833=1,A833&gt;=$R$2),F833,"")</f>
        <v>-0.00281607645722247</v>
      </c>
      <c r="H833" s="27" t="n">
        <f aca="false">IF(G833="","",G833^2)</f>
        <v>7.93028661292267E-006</v>
      </c>
      <c r="I833" s="25" t="n">
        <f aca="false">IF(G833="","",C833/C832-1)</f>
        <v>-0.002812115033346</v>
      </c>
      <c r="J833" s="17" t="n">
        <f aca="false">AVERAGE(C634:C833)</f>
        <v>897.4576</v>
      </c>
      <c r="K833" s="17" t="n">
        <f aca="false">MAX(K832,C833)</f>
        <v>1292.86</v>
      </c>
      <c r="L833" s="25" t="n">
        <f aca="false">C833/K833-1</f>
        <v>-0.0921368129573194</v>
      </c>
      <c r="M833" s="25" t="n">
        <f aca="false">IF(COUNT(G804:G833)&lt;20,"",_xlfn.STDEV.S(G804:G833)*SQRT($R$3))</f>
        <v>0.857693017942234</v>
      </c>
      <c r="N833" s="25" t="n">
        <f aca="false">IF(A833-7&lt;$R$2,"",C833/INDEX(Clean_Data!$C$2:$C$4314,MATCH(A833-7,Clean_Data!$A$2:$A$4314,1))-1)</f>
        <v>-0.0169681742043551</v>
      </c>
      <c r="O833" s="25" t="n">
        <f aca="false">IF(A833-30&lt;$R$2,"",C833/INDEX(Clean_Data!$C$2:$C$4314,MATCH(A833-30,Clean_Data!$A$2:$A$4314,1))-1)</f>
        <v>-0.0706730007917656</v>
      </c>
    </row>
    <row r="834" customFormat="false" ht="15" hidden="false" customHeight="false" outlineLevel="0" collapsed="false">
      <c r="A834" s="16" t="n">
        <v>42840</v>
      </c>
      <c r="B834" s="23" t="n">
        <f aca="false">YEAR(A834)</f>
        <v>2017</v>
      </c>
      <c r="C834" s="17" t="n">
        <v>1178.85</v>
      </c>
      <c r="D834" s="23" t="n">
        <f aca="false">A834-A833</f>
        <v>1</v>
      </c>
      <c r="E834" s="24" t="n">
        <f aca="false">LN(C834)</f>
        <v>7.07229466598029</v>
      </c>
      <c r="F834" s="25" t="n">
        <f aca="false">LN(C834/C833)</f>
        <v>0.00434415519592427</v>
      </c>
      <c r="G834" s="25" t="n">
        <f aca="false">IF(AND(D834=1,A834&gt;=$R$2),F834,"")</f>
        <v>0.00434415519592427</v>
      </c>
      <c r="H834" s="27" t="n">
        <f aca="false">IF(G834="","",G834^2)</f>
        <v>1.88716843662758E-005</v>
      </c>
      <c r="I834" s="25" t="n">
        <f aca="false">IF(G834="","",C834/C833-1)</f>
        <v>0.00435360471654711</v>
      </c>
      <c r="J834" s="17" t="n">
        <f aca="false">AVERAGE(C635:C834)</f>
        <v>900.3233</v>
      </c>
      <c r="K834" s="17" t="n">
        <f aca="false">MAX(K833,C834)</f>
        <v>1292.86</v>
      </c>
      <c r="L834" s="25" t="n">
        <f aca="false">C834/K834-1</f>
        <v>-0.0881843355042309</v>
      </c>
      <c r="M834" s="25" t="n">
        <f aca="false">IF(COUNT(G805:G834)&lt;20,"",_xlfn.STDEV.S(G805:G834)*SQRT($R$3))</f>
        <v>0.820149479764611</v>
      </c>
      <c r="N834" s="25" t="n">
        <f aca="false">IF(A834-7&lt;$R$2,"",C834/INDEX(Clean_Data!$C$2:$C$4314,MATCH(A834-7,Clean_Data!$A$2:$A$4314,1))-1)</f>
        <v>-0.00476994512452522</v>
      </c>
      <c r="O834" s="25" t="n">
        <f aca="false">IF(A834-30&lt;$R$2,"",C834/INDEX(Clean_Data!$C$2:$C$4314,MATCH(A834-30,Clean_Data!$A$2:$A$4314,1))-1)</f>
        <v>0.00318268077031081</v>
      </c>
    </row>
    <row r="835" customFormat="false" ht="15" hidden="false" customHeight="false" outlineLevel="0" collapsed="false">
      <c r="A835" s="16" t="n">
        <v>42841</v>
      </c>
      <c r="B835" s="23" t="n">
        <f aca="false">YEAR(A835)</f>
        <v>2017</v>
      </c>
      <c r="C835" s="17" t="n">
        <v>1177.99</v>
      </c>
      <c r="D835" s="23" t="n">
        <f aca="false">A835-A834</f>
        <v>1</v>
      </c>
      <c r="E835" s="24" t="n">
        <f aca="false">LN(C835)</f>
        <v>7.07156487521116</v>
      </c>
      <c r="F835" s="25" t="n">
        <f aca="false">LN(C835/C834)</f>
        <v>-0.000729790769139304</v>
      </c>
      <c r="G835" s="25" t="n">
        <f aca="false">IF(AND(D835=1,A835&gt;=$R$2),F835,"")</f>
        <v>-0.000729790769139304</v>
      </c>
      <c r="H835" s="27" t="n">
        <f aca="false">IF(G835="","",G835^2)</f>
        <v>5.32594566720937E-007</v>
      </c>
      <c r="I835" s="25" t="n">
        <f aca="false">IF(G835="","",C835/C834-1)</f>
        <v>-0.00072952453662456</v>
      </c>
      <c r="J835" s="17" t="n">
        <f aca="false">AVERAGE(C636:C835)</f>
        <v>903.18805</v>
      </c>
      <c r="K835" s="17" t="n">
        <f aca="false">MAX(K834,C835)</f>
        <v>1292.86</v>
      </c>
      <c r="L835" s="25" t="n">
        <f aca="false">C835/K835-1</f>
        <v>-0.0888495274043593</v>
      </c>
      <c r="M835" s="25" t="n">
        <f aca="false">IF(COUNT(G806:G835)&lt;20,"",_xlfn.STDEV.S(G806:G835)*SQRT($R$3))</f>
        <v>0.746514902795987</v>
      </c>
      <c r="N835" s="25" t="n">
        <f aca="false">IF(A835-7&lt;$R$2,"",C835/INDEX(Clean_Data!$C$2:$C$4314,MATCH(A835-7,Clean_Data!$A$2:$A$4314,1))-1)</f>
        <v>-0.0272343658389556</v>
      </c>
      <c r="O835" s="25" t="n">
        <f aca="false">IF(A835-30&lt;$R$2,"",C835/INDEX(Clean_Data!$C$2:$C$4314,MATCH(A835-30,Clean_Data!$A$2:$A$4314,1))-1)</f>
        <v>0.1013678394121</v>
      </c>
    </row>
    <row r="836" customFormat="false" ht="15" hidden="false" customHeight="false" outlineLevel="0" collapsed="false">
      <c r="A836" s="16" t="n">
        <v>42842</v>
      </c>
      <c r="B836" s="23" t="n">
        <f aca="false">YEAR(A836)</f>
        <v>2017</v>
      </c>
      <c r="C836" s="17" t="n">
        <v>1189.91</v>
      </c>
      <c r="D836" s="23" t="n">
        <f aca="false">A836-A835</f>
        <v>1</v>
      </c>
      <c r="E836" s="24" t="n">
        <f aca="false">LN(C836)</f>
        <v>7.08163295299336</v>
      </c>
      <c r="F836" s="25" t="n">
        <f aca="false">LN(C836/C835)</f>
        <v>0.0100680777822084</v>
      </c>
      <c r="G836" s="25" t="n">
        <f aca="false">IF(AND(D836=1,A836&gt;=$R$2),F836,"")</f>
        <v>0.0100680777822084</v>
      </c>
      <c r="H836" s="27" t="n">
        <f aca="false">IF(G836="","",G836^2)</f>
        <v>0.000101366190228599</v>
      </c>
      <c r="I836" s="25" t="n">
        <f aca="false">IF(G836="","",C836/C835-1)</f>
        <v>0.0101189314000969</v>
      </c>
      <c r="J836" s="17" t="n">
        <f aca="false">AVERAGE(C637:C836)</f>
        <v>906.10765</v>
      </c>
      <c r="K836" s="17" t="n">
        <f aca="false">MAX(K835,C836)</f>
        <v>1292.86</v>
      </c>
      <c r="L836" s="25" t="n">
        <f aca="false">C836/K836-1</f>
        <v>-0.0796296582769982</v>
      </c>
      <c r="M836" s="25" t="n">
        <f aca="false">IF(COUNT(G807:G836)&lt;20,"",_xlfn.STDEV.S(G807:G836)*SQRT($R$3))</f>
        <v>0.65174845511986</v>
      </c>
      <c r="N836" s="25" t="n">
        <f aca="false">IF(A836-7&lt;$R$2,"",C836/INDEX(Clean_Data!$C$2:$C$4314,MATCH(A836-7,Clean_Data!$A$2:$A$4314,1))-1)</f>
        <v>-0.0166033057851239</v>
      </c>
      <c r="O836" s="25" t="n">
        <f aca="false">IF(A836-30&lt;$R$2,"",C836/INDEX(Clean_Data!$C$2:$C$4314,MATCH(A836-30,Clean_Data!$A$2:$A$4314,1))-1)</f>
        <v>0.226711340206186</v>
      </c>
    </row>
    <row r="837" customFormat="false" ht="15" hidden="false" customHeight="false" outlineLevel="0" collapsed="false">
      <c r="A837" s="16" t="n">
        <v>42843</v>
      </c>
      <c r="B837" s="23" t="n">
        <f aca="false">YEAR(A837)</f>
        <v>2017</v>
      </c>
      <c r="C837" s="17" t="n">
        <v>1201.94</v>
      </c>
      <c r="D837" s="23" t="n">
        <f aca="false">A837-A836</f>
        <v>1</v>
      </c>
      <c r="E837" s="24" t="n">
        <f aca="false">LN(C837)</f>
        <v>7.09169219704394</v>
      </c>
      <c r="F837" s="25" t="n">
        <f aca="false">LN(C837/C836)</f>
        <v>0.0100592440505808</v>
      </c>
      <c r="G837" s="25" t="n">
        <f aca="false">IF(AND(D837=1,A837&gt;=$R$2),F837,"")</f>
        <v>0.0100592440505808</v>
      </c>
      <c r="H837" s="27" t="n">
        <f aca="false">IF(G837="","",G837^2)</f>
        <v>0.000101188390869145</v>
      </c>
      <c r="I837" s="25" t="n">
        <f aca="false">IF(G837="","",C837/C836-1)</f>
        <v>0.010110008319957</v>
      </c>
      <c r="J837" s="17" t="n">
        <f aca="false">AVERAGE(C638:C837)</f>
        <v>909.0724</v>
      </c>
      <c r="K837" s="17" t="n">
        <f aca="false">MAX(K836,C837)</f>
        <v>1292.86</v>
      </c>
      <c r="L837" s="25" t="n">
        <f aca="false">C837/K837-1</f>
        <v>-0.070324706464737</v>
      </c>
      <c r="M837" s="25" t="n">
        <f aca="false">IF(COUNT(G808:G837)&lt;20,"",_xlfn.STDEV.S(G808:G837)*SQRT($R$3))</f>
        <v>0.633268652485828</v>
      </c>
      <c r="N837" s="25" t="n">
        <f aca="false">IF(A837-7&lt;$R$2,"",C837/INDEX(Clean_Data!$C$2:$C$4314,MATCH(A837-7,Clean_Data!$A$2:$A$4314,1))-1)</f>
        <v>-0.018014853062525</v>
      </c>
      <c r="O837" s="25" t="n">
        <f aca="false">IF(A837-30&lt;$R$2,"",C837/INDEX(Clean_Data!$C$2:$C$4314,MATCH(A837-30,Clean_Data!$A$2:$A$4314,1))-1)</f>
        <v>0.178962030034625</v>
      </c>
    </row>
    <row r="838" customFormat="false" ht="15" hidden="false" customHeight="false" outlineLevel="0" collapsed="false">
      <c r="A838" s="16" t="n">
        <v>42844</v>
      </c>
      <c r="B838" s="23" t="n">
        <f aca="false">YEAR(A838)</f>
        <v>2017</v>
      </c>
      <c r="C838" s="17" t="n">
        <v>1214.21</v>
      </c>
      <c r="D838" s="23" t="n">
        <f aca="false">A838-A837</f>
        <v>1</v>
      </c>
      <c r="E838" s="24" t="n">
        <f aca="false">LN(C838)</f>
        <v>7.10184893853789</v>
      </c>
      <c r="F838" s="25" t="n">
        <f aca="false">LN(C838/C837)</f>
        <v>0.0101567414939492</v>
      </c>
      <c r="G838" s="25" t="n">
        <f aca="false">IF(AND(D838=1,A838&gt;=$R$2),F838,"")</f>
        <v>0.0101567414939492</v>
      </c>
      <c r="H838" s="27" t="n">
        <f aca="false">IF(G838="","",G838^2)</f>
        <v>0.00010315939777491</v>
      </c>
      <c r="I838" s="25" t="n">
        <f aca="false">IF(G838="","",C838/C837-1)</f>
        <v>0.0102084962643725</v>
      </c>
      <c r="J838" s="17" t="n">
        <f aca="false">AVERAGE(C639:C838)</f>
        <v>912.0652</v>
      </c>
      <c r="K838" s="17" t="n">
        <f aca="false">MAX(K837,C838)</f>
        <v>1292.86</v>
      </c>
      <c r="L838" s="25" t="n">
        <f aca="false">C838/K838-1</f>
        <v>-0.0608341197036028</v>
      </c>
      <c r="M838" s="25" t="n">
        <f aca="false">IF(COUNT(G809:G838)&lt;20,"",_xlfn.STDEV.S(G809:G838)*SQRT($R$3))</f>
        <v>0.629746762944645</v>
      </c>
      <c r="N838" s="25" t="n">
        <f aca="false">IF(A838-7&lt;$R$2,"",C838/INDEX(Clean_Data!$C$2:$C$4314,MATCH(A838-7,Clean_Data!$A$2:$A$4314,1))-1)</f>
        <v>3.2944315869976E-005</v>
      </c>
      <c r="O838" s="25" t="n">
        <f aca="false">IF(A838-30&lt;$R$2,"",C838/INDEX(Clean_Data!$C$2:$C$4314,MATCH(A838-30,Clean_Data!$A$2:$A$4314,1))-1)</f>
        <v>0.161967922217118</v>
      </c>
    </row>
    <row r="839" customFormat="false" ht="15" hidden="false" customHeight="false" outlineLevel="0" collapsed="false">
      <c r="A839" s="16" t="n">
        <v>42845</v>
      </c>
      <c r="B839" s="23" t="n">
        <f aca="false">YEAR(A839)</f>
        <v>2017</v>
      </c>
      <c r="C839" s="17" t="n">
        <v>1236.15</v>
      </c>
      <c r="D839" s="23" t="n">
        <f aca="false">A839-A838</f>
        <v>1</v>
      </c>
      <c r="E839" s="24" t="n">
        <f aca="false">LN(C839)</f>
        <v>7.1197569898775</v>
      </c>
      <c r="F839" s="25" t="n">
        <f aca="false">LN(C839/C838)</f>
        <v>0.0179080513396097</v>
      </c>
      <c r="G839" s="25" t="n">
        <f aca="false">IF(AND(D839=1,A839&gt;=$R$2),F839,"")</f>
        <v>0.0179080513396097</v>
      </c>
      <c r="H839" s="27" t="n">
        <f aca="false">IF(G839="","",G839^2)</f>
        <v>0.000320698302782097</v>
      </c>
      <c r="I839" s="25" t="n">
        <f aca="false">IF(G839="","",C839/C838-1)</f>
        <v>0.0180693619719818</v>
      </c>
      <c r="J839" s="17" t="n">
        <f aca="false">AVERAGE(C640:C839)</f>
        <v>915.18395</v>
      </c>
      <c r="K839" s="17" t="n">
        <f aca="false">MAX(K838,C839)</f>
        <v>1292.86</v>
      </c>
      <c r="L839" s="25" t="n">
        <f aca="false">C839/K839-1</f>
        <v>-0.0438639914607922</v>
      </c>
      <c r="M839" s="25" t="n">
        <f aca="false">IF(COUNT(G810:G839)&lt;20,"",_xlfn.STDEV.S(G810:G839)*SQRT($R$3))</f>
        <v>0.594504267538127</v>
      </c>
      <c r="N839" s="25" t="n">
        <f aca="false">IF(A839-7&lt;$R$2,"",C839/INDEX(Clean_Data!$C$2:$C$4314,MATCH(A839-7,Clean_Data!$A$2:$A$4314,1))-1)</f>
        <v>0.0502102714413153</v>
      </c>
      <c r="O839" s="25" t="n">
        <f aca="false">IF(A839-30&lt;$R$2,"",C839/INDEX(Clean_Data!$C$2:$C$4314,MATCH(A839-30,Clean_Data!$A$2:$A$4314,1))-1)</f>
        <v>0.109231707973654</v>
      </c>
    </row>
    <row r="840" customFormat="false" ht="15" hidden="false" customHeight="false" outlineLevel="0" collapsed="false">
      <c r="A840" s="16" t="n">
        <v>42846</v>
      </c>
      <c r="B840" s="23" t="n">
        <f aca="false">YEAR(A840)</f>
        <v>2017</v>
      </c>
      <c r="C840" s="17" t="n">
        <v>1249.99</v>
      </c>
      <c r="D840" s="23" t="n">
        <f aca="false">A840-A839</f>
        <v>1</v>
      </c>
      <c r="E840" s="24" t="n">
        <f aca="false">LN(C840)</f>
        <v>7.13089083026435</v>
      </c>
      <c r="F840" s="25" t="n">
        <f aca="false">LN(C840/C839)</f>
        <v>0.0111338403868443</v>
      </c>
      <c r="G840" s="25" t="n">
        <f aca="false">IF(AND(D840=1,A840&gt;=$R$2),F840,"")</f>
        <v>0.0111338403868443</v>
      </c>
      <c r="H840" s="27" t="n">
        <f aca="false">IF(G840="","",G840^2)</f>
        <v>0.000123962401759725</v>
      </c>
      <c r="I840" s="25" t="n">
        <f aca="false">IF(G840="","",C840/C839-1)</f>
        <v>0.01119605225903</v>
      </c>
      <c r="J840" s="17" t="n">
        <f aca="false">AVERAGE(C641:C840)</f>
        <v>918.36895</v>
      </c>
      <c r="K840" s="17" t="n">
        <f aca="false">MAX(K839,C840)</f>
        <v>1292.86</v>
      </c>
      <c r="L840" s="25" t="n">
        <f aca="false">C840/K840-1</f>
        <v>-0.0331590427424469</v>
      </c>
      <c r="M840" s="25" t="n">
        <f aca="false">IF(COUNT(G811:G840)&lt;20,"",_xlfn.STDEV.S(G811:G840)*SQRT($R$3))</f>
        <v>0.524330014173624</v>
      </c>
      <c r="N840" s="25" t="n">
        <f aca="false">IF(A840-7&lt;$R$2,"",C840/INDEX(Clean_Data!$C$2:$C$4314,MATCH(A840-7,Clean_Data!$A$2:$A$4314,1))-1)</f>
        <v>0.0649632797723516</v>
      </c>
      <c r="O840" s="25" t="n">
        <f aca="false">IF(A840-30&lt;$R$2,"",C840/INDEX(Clean_Data!$C$2:$C$4314,MATCH(A840-30,Clean_Data!$A$2:$A$4314,1))-1)</f>
        <v>0.208221773297119</v>
      </c>
    </row>
    <row r="841" customFormat="false" ht="15" hidden="false" customHeight="false" outlineLevel="0" collapsed="false">
      <c r="A841" s="16" t="n">
        <v>42847</v>
      </c>
      <c r="B841" s="23" t="n">
        <f aca="false">YEAR(A841)</f>
        <v>2017</v>
      </c>
      <c r="C841" s="17" t="n">
        <v>1247</v>
      </c>
      <c r="D841" s="23" t="n">
        <f aca="false">A841-A840</f>
        <v>1</v>
      </c>
      <c r="E841" s="24" t="n">
        <f aca="false">LN(C841)</f>
        <v>7.12849594568004</v>
      </c>
      <c r="F841" s="25" t="n">
        <f aca="false">LN(C841/C840)</f>
        <v>-0.00239488458431015</v>
      </c>
      <c r="G841" s="25" t="n">
        <f aca="false">IF(AND(D841=1,A841&gt;=$R$2),F841,"")</f>
        <v>-0.00239488458431015</v>
      </c>
      <c r="H841" s="27" t="n">
        <f aca="false">IF(G841="","",G841^2)</f>
        <v>5.73547217216642E-006</v>
      </c>
      <c r="I841" s="25" t="n">
        <f aca="false">IF(G841="","",C841/C840-1)</f>
        <v>-0.00239201913615306</v>
      </c>
      <c r="J841" s="17" t="n">
        <f aca="false">AVERAGE(C642:C841)</f>
        <v>921.55225</v>
      </c>
      <c r="K841" s="17" t="n">
        <f aca="false">MAX(K840,C841)</f>
        <v>1292.86</v>
      </c>
      <c r="L841" s="25" t="n">
        <f aca="false">C841/K841-1</f>
        <v>-0.0354717448138235</v>
      </c>
      <c r="M841" s="25" t="n">
        <f aca="false">IF(COUNT(G812:G841)&lt;20,"",_xlfn.STDEV.S(G812:G841)*SQRT($R$3))</f>
        <v>0.522347106671482</v>
      </c>
      <c r="N841" s="25" t="n">
        <f aca="false">IF(A841-7&lt;$R$2,"",C841/INDEX(Clean_Data!$C$2:$C$4314,MATCH(A841-7,Clean_Data!$A$2:$A$4314,1))-1)</f>
        <v>0.0578105781057812</v>
      </c>
      <c r="O841" s="25" t="n">
        <f aca="false">IF(A841-30&lt;$R$2,"",C841/INDEX(Clean_Data!$C$2:$C$4314,MATCH(A841-30,Clean_Data!$A$2:$A$4314,1))-1)</f>
        <v>0.216419220789355</v>
      </c>
    </row>
    <row r="842" customFormat="false" ht="15" hidden="false" customHeight="false" outlineLevel="0" collapsed="false">
      <c r="A842" s="16" t="n">
        <v>42848</v>
      </c>
      <c r="B842" s="23" t="n">
        <f aca="false">YEAR(A842)</f>
        <v>2017</v>
      </c>
      <c r="C842" s="17" t="n">
        <v>1251.98</v>
      </c>
      <c r="D842" s="23" t="n">
        <f aca="false">A842-A841</f>
        <v>1</v>
      </c>
      <c r="E842" s="24" t="n">
        <f aca="false">LN(C842)</f>
        <v>7.13248157709156</v>
      </c>
      <c r="F842" s="25" t="n">
        <f aca="false">LN(C842/C841)</f>
        <v>0.00398563141151998</v>
      </c>
      <c r="G842" s="25" t="n">
        <f aca="false">IF(AND(D842=1,A842&gt;=$R$2),F842,"")</f>
        <v>0.00398563141151998</v>
      </c>
      <c r="H842" s="27" t="n">
        <f aca="false">IF(G842="","",G842^2)</f>
        <v>1.58852577484948E-005</v>
      </c>
      <c r="I842" s="25" t="n">
        <f aca="false">IF(G842="","",C842/C841-1)</f>
        <v>0.00399358460304722</v>
      </c>
      <c r="J842" s="17" t="n">
        <f aca="false">AVERAGE(C643:C842)</f>
        <v>924.74635</v>
      </c>
      <c r="K842" s="17" t="n">
        <f aca="false">MAX(K841,C842)</f>
        <v>1292.86</v>
      </c>
      <c r="L842" s="25" t="n">
        <f aca="false">C842/K842-1</f>
        <v>-0.0316198196247079</v>
      </c>
      <c r="M842" s="25" t="n">
        <f aca="false">IF(COUNT(G813:G842)&lt;20,"",_xlfn.STDEV.S(G813:G842)*SQRT($R$3))</f>
        <v>0.382647591964922</v>
      </c>
      <c r="N842" s="25" t="n">
        <f aca="false">IF(A842-7&lt;$R$2,"",C842/INDEX(Clean_Data!$C$2:$C$4314,MATCH(A842-7,Clean_Data!$A$2:$A$4314,1))-1)</f>
        <v>0.0628103803937214</v>
      </c>
      <c r="O842" s="25" t="n">
        <f aca="false">IF(A842-30&lt;$R$2,"",C842/INDEX(Clean_Data!$C$2:$C$4314,MATCH(A842-30,Clean_Data!$A$2:$A$4314,1))-1)</f>
        <v>0.339202242022955</v>
      </c>
    </row>
    <row r="843" customFormat="false" ht="15" hidden="false" customHeight="false" outlineLevel="0" collapsed="false">
      <c r="A843" s="16" t="n">
        <v>42849</v>
      </c>
      <c r="B843" s="23" t="n">
        <f aca="false">YEAR(A843)</f>
        <v>2017</v>
      </c>
      <c r="C843" s="17" t="n">
        <v>1257.29</v>
      </c>
      <c r="D843" s="23" t="n">
        <f aca="false">A843-A842</f>
        <v>1</v>
      </c>
      <c r="E843" s="24" t="n">
        <f aca="false">LN(C843)</f>
        <v>7.13671389001625</v>
      </c>
      <c r="F843" s="25" t="n">
        <f aca="false">LN(C843/C842)</f>
        <v>0.00423231292468871</v>
      </c>
      <c r="G843" s="25" t="n">
        <f aca="false">IF(AND(D843=1,A843&gt;=$R$2),F843,"")</f>
        <v>0.00423231292468871</v>
      </c>
      <c r="H843" s="27" t="n">
        <f aca="false">IF(G843="","",G843^2)</f>
        <v>1.79124726924871E-005</v>
      </c>
      <c r="I843" s="25" t="n">
        <f aca="false">IF(G843="","",C843/C842-1)</f>
        <v>0.00424128180961358</v>
      </c>
      <c r="J843" s="17" t="n">
        <f aca="false">AVERAGE(C644:C843)</f>
        <v>927.9734</v>
      </c>
      <c r="K843" s="17" t="n">
        <f aca="false">MAX(K842,C843)</f>
        <v>1292.86</v>
      </c>
      <c r="L843" s="25" t="n">
        <f aca="false">C843/K843-1</f>
        <v>-0.0275126463808919</v>
      </c>
      <c r="M843" s="25" t="n">
        <f aca="false">IF(COUNT(G814:G843)&lt;20,"",_xlfn.STDEV.S(G814:G843)*SQRT($R$3))</f>
        <v>0.375689122359289</v>
      </c>
      <c r="N843" s="25" t="n">
        <f aca="false">IF(A843-7&lt;$R$2,"",C843/INDEX(Clean_Data!$C$2:$C$4314,MATCH(A843-7,Clean_Data!$A$2:$A$4314,1))-1)</f>
        <v>0.056626131388088</v>
      </c>
      <c r="O843" s="25" t="n">
        <f aca="false">IF(A843-30&lt;$R$2,"",C843/INDEX(Clean_Data!$C$2:$C$4314,MATCH(A843-30,Clean_Data!$A$2:$A$4314,1))-1)</f>
        <v>0.304621674345245</v>
      </c>
    </row>
    <row r="844" customFormat="false" ht="15" hidden="false" customHeight="false" outlineLevel="0" collapsed="false">
      <c r="A844" s="16" t="n">
        <v>42850</v>
      </c>
      <c r="B844" s="23" t="n">
        <f aca="false">YEAR(A844)</f>
        <v>2017</v>
      </c>
      <c r="C844" s="17" t="n">
        <v>1281.16</v>
      </c>
      <c r="D844" s="23" t="n">
        <f aca="false">A844-A843</f>
        <v>1</v>
      </c>
      <c r="E844" s="24" t="n">
        <f aca="false">LN(C844)</f>
        <v>7.15552119651706</v>
      </c>
      <c r="F844" s="25" t="n">
        <f aca="false">LN(C844/C843)</f>
        <v>0.0188073065008158</v>
      </c>
      <c r="G844" s="25" t="n">
        <f aca="false">IF(AND(D844=1,A844&gt;=$R$2),F844,"")</f>
        <v>0.0188073065008158</v>
      </c>
      <c r="H844" s="27" t="n">
        <f aca="false">IF(G844="","",G844^2)</f>
        <v>0.000353714777815627</v>
      </c>
      <c r="I844" s="25" t="n">
        <f aca="false">IF(G844="","",C844/C843-1)</f>
        <v>0.0189852778595234</v>
      </c>
      <c r="J844" s="17" t="n">
        <f aca="false">AVERAGE(C645:C844)</f>
        <v>931.2893</v>
      </c>
      <c r="K844" s="17" t="n">
        <f aca="false">MAX(K843,C844)</f>
        <v>1292.86</v>
      </c>
      <c r="L844" s="25" t="n">
        <f aca="false">C844/K844-1</f>
        <v>-0.00904970375756065</v>
      </c>
      <c r="M844" s="25" t="n">
        <f aca="false">IF(COUNT(G815:G844)&lt;20,"",_xlfn.STDEV.S(G815:G844)*SQRT($R$3))</f>
        <v>0.377284524110616</v>
      </c>
      <c r="N844" s="25" t="n">
        <f aca="false">IF(A844-7&lt;$R$2,"",C844/INDEX(Clean_Data!$C$2:$C$4314,MATCH(A844-7,Clean_Data!$A$2:$A$4314,1))-1)</f>
        <v>0.0659101119856234</v>
      </c>
      <c r="O844" s="25" t="n">
        <f aca="false">IF(A844-30&lt;$R$2,"",C844/INDEX(Clean_Data!$C$2:$C$4314,MATCH(A844-30,Clean_Data!$A$2:$A$4314,1))-1)</f>
        <v>0.316602951453118</v>
      </c>
    </row>
    <row r="845" customFormat="false" ht="15" hidden="false" customHeight="false" outlineLevel="0" collapsed="false">
      <c r="A845" s="16" t="n">
        <v>42851</v>
      </c>
      <c r="B845" s="23" t="n">
        <f aca="false">YEAR(A845)</f>
        <v>2017</v>
      </c>
      <c r="C845" s="17" t="n">
        <v>1298.44</v>
      </c>
      <c r="D845" s="23" t="n">
        <f aca="false">A845-A844</f>
        <v>1</v>
      </c>
      <c r="E845" s="24" t="n">
        <f aca="false">LN(C845)</f>
        <v>7.16891882287311</v>
      </c>
      <c r="F845" s="25" t="n">
        <f aca="false">LN(C845/C844)</f>
        <v>0.0133976263560485</v>
      </c>
      <c r="G845" s="25" t="n">
        <f aca="false">IF(AND(D845=1,A845&gt;=$R$2),F845,"")</f>
        <v>0.0133976263560485</v>
      </c>
      <c r="H845" s="27" t="n">
        <f aca="false">IF(G845="","",G845^2)</f>
        <v>0.000179496391976284</v>
      </c>
      <c r="I845" s="25" t="n">
        <f aca="false">IF(G845="","",C845/C844-1)</f>
        <v>0.0134877767023636</v>
      </c>
      <c r="J845" s="17" t="n">
        <f aca="false">AVERAGE(C646:C845)</f>
        <v>934.684</v>
      </c>
      <c r="K845" s="17" t="n">
        <f aca="false">MAX(K844,C845)</f>
        <v>1298.44</v>
      </c>
      <c r="L845" s="25" t="n">
        <f aca="false">C845/K845-1</f>
        <v>0</v>
      </c>
      <c r="M845" s="25" t="n">
        <f aca="false">IF(COUNT(G816:G845)&lt;20,"",_xlfn.STDEV.S(G816:G845)*SQRT($R$3))</f>
        <v>0.311410862493636</v>
      </c>
      <c r="N845" s="25" t="n">
        <f aca="false">IF(A845-7&lt;$R$2,"",C845/INDEX(Clean_Data!$C$2:$C$4314,MATCH(A845-7,Clean_Data!$A$2:$A$4314,1))-1)</f>
        <v>0.0693702077894269</v>
      </c>
      <c r="O845" s="25" t="n">
        <f aca="false">IF(A845-30&lt;$R$2,"",C845/INDEX(Clean_Data!$C$2:$C$4314,MATCH(A845-30,Clean_Data!$A$2:$A$4314,1))-1)</f>
        <v>0.246007984031936</v>
      </c>
    </row>
    <row r="846" customFormat="false" ht="15" hidden="false" customHeight="false" outlineLevel="0" collapsed="false">
      <c r="A846" s="16" t="n">
        <v>42852</v>
      </c>
      <c r="B846" s="23" t="n">
        <f aca="false">YEAR(A846)</f>
        <v>2017</v>
      </c>
      <c r="C846" s="17" t="n">
        <v>1349.26</v>
      </c>
      <c r="D846" s="23" t="n">
        <f aca="false">A846-A845</f>
        <v>1</v>
      </c>
      <c r="E846" s="24" t="n">
        <f aca="false">LN(C846)</f>
        <v>7.20731157299621</v>
      </c>
      <c r="F846" s="25" t="n">
        <f aca="false">LN(C846/C845)</f>
        <v>0.038392750123099</v>
      </c>
      <c r="G846" s="25" t="n">
        <f aca="false">IF(AND(D846=1,A846&gt;=$R$2),F846,"")</f>
        <v>0.038392750123099</v>
      </c>
      <c r="H846" s="27" t="n">
        <f aca="false">IF(G846="","",G846^2)</f>
        <v>0.00147400326201472</v>
      </c>
      <c r="I846" s="25" t="n">
        <f aca="false">IF(G846="","",C846/C845-1)</f>
        <v>0.0391392748220942</v>
      </c>
      <c r="J846" s="17" t="n">
        <f aca="false">AVERAGE(C647:C846)</f>
        <v>938.3432</v>
      </c>
      <c r="K846" s="17" t="n">
        <f aca="false">MAX(K845,C846)</f>
        <v>1349.26</v>
      </c>
      <c r="L846" s="25" t="n">
        <f aca="false">C846/K846-1</f>
        <v>0</v>
      </c>
      <c r="M846" s="25" t="n">
        <f aca="false">IF(COUNT(G817:G846)&lt;20,"",_xlfn.STDEV.S(G817:G846)*SQRT($R$3))</f>
        <v>0.329215596502412</v>
      </c>
      <c r="N846" s="25" t="n">
        <f aca="false">IF(A846-7&lt;$R$2,"",C846/INDEX(Clean_Data!$C$2:$C$4314,MATCH(A846-7,Clean_Data!$A$2:$A$4314,1))-1)</f>
        <v>0.0915018403915382</v>
      </c>
      <c r="O846" s="25" t="n">
        <f aca="false">IF(A846-30&lt;$R$2,"",C846/INDEX(Clean_Data!$C$2:$C$4314,MATCH(A846-30,Clean_Data!$A$2:$A$4314,1))-1)</f>
        <v>0.290663860723168</v>
      </c>
    </row>
    <row r="847" customFormat="false" ht="15" hidden="false" customHeight="false" outlineLevel="0" collapsed="false">
      <c r="A847" s="16" t="n">
        <v>42853</v>
      </c>
      <c r="B847" s="23" t="n">
        <f aca="false">YEAR(A847)</f>
        <v>2017</v>
      </c>
      <c r="C847" s="17" t="n">
        <v>1353.34</v>
      </c>
      <c r="D847" s="23" t="n">
        <f aca="false">A847-A846</f>
        <v>1</v>
      </c>
      <c r="E847" s="24" t="n">
        <f aca="false">LN(C847)</f>
        <v>7.21033089002391</v>
      </c>
      <c r="F847" s="25" t="n">
        <f aca="false">LN(C847/C846)</f>
        <v>0.00301931702770162</v>
      </c>
      <c r="G847" s="25" t="n">
        <f aca="false">IF(AND(D847=1,A847&gt;=$R$2),F847,"")</f>
        <v>0.00301931702770162</v>
      </c>
      <c r="H847" s="27" t="n">
        <f aca="false">IF(G847="","",G847^2)</f>
        <v>9.11627531376892E-006</v>
      </c>
      <c r="I847" s="25" t="n">
        <f aca="false">IF(G847="","",C847/C846-1)</f>
        <v>0.00302387975631091</v>
      </c>
      <c r="J847" s="17" t="n">
        <f aca="false">AVERAGE(C648:C847)</f>
        <v>942.0163</v>
      </c>
      <c r="K847" s="17" t="n">
        <f aca="false">MAX(K846,C847)</f>
        <v>1353.34</v>
      </c>
      <c r="L847" s="25" t="n">
        <f aca="false">C847/K847-1</f>
        <v>0</v>
      </c>
      <c r="M847" s="25" t="n">
        <f aca="false">IF(COUNT(G818:G847)&lt;20,"",_xlfn.STDEV.S(G818:G847)*SQRT($R$3))</f>
        <v>0.327645327128259</v>
      </c>
      <c r="N847" s="25" t="n">
        <f aca="false">IF(A847-7&lt;$R$2,"",C847/INDEX(Clean_Data!$C$2:$C$4314,MATCH(A847-7,Clean_Data!$A$2:$A$4314,1))-1)</f>
        <v>0.0826806614452915</v>
      </c>
      <c r="O847" s="25" t="n">
        <f aca="false">IF(A847-30&lt;$R$2,"",C847/INDEX(Clean_Data!$C$2:$C$4314,MATCH(A847-30,Clean_Data!$A$2:$A$4314,1))-1)</f>
        <v>0.297209734776232</v>
      </c>
    </row>
    <row r="848" customFormat="false" ht="15" hidden="false" customHeight="false" outlineLevel="0" collapsed="false">
      <c r="A848" s="16" t="n">
        <v>42854</v>
      </c>
      <c r="B848" s="23" t="n">
        <f aca="false">YEAR(A848)</f>
        <v>2017</v>
      </c>
      <c r="C848" s="17" t="n">
        <v>1365.43</v>
      </c>
      <c r="D848" s="23" t="n">
        <f aca="false">A848-A847</f>
        <v>1</v>
      </c>
      <c r="E848" s="24" t="n">
        <f aca="false">LN(C848)</f>
        <v>7.21922467632623</v>
      </c>
      <c r="F848" s="25" t="n">
        <f aca="false">LN(C848/C847)</f>
        <v>0.00889378630231723</v>
      </c>
      <c r="G848" s="25" t="n">
        <f aca="false">IF(AND(D848=1,A848&gt;=$R$2),F848,"")</f>
        <v>0.00889378630231723</v>
      </c>
      <c r="H848" s="27" t="n">
        <f aca="false">IF(G848="","",G848^2)</f>
        <v>7.90994347912857E-005</v>
      </c>
      <c r="I848" s="25" t="n">
        <f aca="false">IF(G848="","",C848/C847-1)</f>
        <v>0.00893345352978558</v>
      </c>
      <c r="J848" s="17" t="n">
        <f aca="false">AVERAGE(C649:C848)</f>
        <v>945.63285</v>
      </c>
      <c r="K848" s="17" t="n">
        <f aca="false">MAX(K847,C848)</f>
        <v>1365.43</v>
      </c>
      <c r="L848" s="25" t="n">
        <f aca="false">C848/K848-1</f>
        <v>0</v>
      </c>
      <c r="M848" s="25" t="n">
        <f aca="false">IF(COUNT(G819:G848)&lt;20,"",_xlfn.STDEV.S(G819:G848)*SQRT($R$3))</f>
        <v>0.325822388757505</v>
      </c>
      <c r="N848" s="25" t="n">
        <f aca="false">IF(A848-7&lt;$R$2,"",C848/INDEX(Clean_Data!$C$2:$C$4314,MATCH(A848-7,Clean_Data!$A$2:$A$4314,1))-1)</f>
        <v>0.094971932638332</v>
      </c>
      <c r="O848" s="25" t="n">
        <f aca="false">IF(A848-30&lt;$R$2,"",C848/INDEX(Clean_Data!$C$2:$C$4314,MATCH(A848-30,Clean_Data!$A$2:$A$4314,1))-1)</f>
        <v>0.309966037953067</v>
      </c>
    </row>
    <row r="849" customFormat="false" ht="15" hidden="false" customHeight="false" outlineLevel="0" collapsed="false">
      <c r="A849" s="16" t="n">
        <v>42855</v>
      </c>
      <c r="B849" s="23" t="n">
        <f aca="false">YEAR(A849)</f>
        <v>2017</v>
      </c>
      <c r="C849" s="17" t="n">
        <v>1384.55</v>
      </c>
      <c r="D849" s="23" t="n">
        <f aca="false">A849-A848</f>
        <v>1</v>
      </c>
      <c r="E849" s="24" t="n">
        <f aca="false">LN(C849)</f>
        <v>7.23313045607954</v>
      </c>
      <c r="F849" s="25" t="n">
        <f aca="false">LN(C849/C848)</f>
        <v>0.0139057797533114</v>
      </c>
      <c r="G849" s="25" t="n">
        <f aca="false">IF(AND(D849=1,A849&gt;=$R$2),F849,"")</f>
        <v>0.0139057797533114</v>
      </c>
      <c r="H849" s="27" t="n">
        <f aca="false">IF(G849="","",G849^2)</f>
        <v>0.000193370710547604</v>
      </c>
      <c r="I849" s="25" t="n">
        <f aca="false">IF(G849="","",C849/C848-1)</f>
        <v>0.0140029148326899</v>
      </c>
      <c r="J849" s="17" t="n">
        <f aca="false">AVERAGE(C650:C849)</f>
        <v>949.37665</v>
      </c>
      <c r="K849" s="17" t="n">
        <f aca="false">MAX(K848,C849)</f>
        <v>1384.55</v>
      </c>
      <c r="L849" s="25" t="n">
        <f aca="false">C849/K849-1</f>
        <v>0</v>
      </c>
      <c r="M849" s="25" t="n">
        <f aca="false">IF(COUNT(G820:G849)&lt;20,"",_xlfn.STDEV.S(G820:G849)*SQRT($R$3))</f>
        <v>0.301432623379377</v>
      </c>
      <c r="N849" s="25" t="n">
        <f aca="false">IF(A849-7&lt;$R$2,"",C849/INDEX(Clean_Data!$C$2:$C$4314,MATCH(A849-7,Clean_Data!$A$2:$A$4314,1))-1)</f>
        <v>0.105888272975607</v>
      </c>
      <c r="O849" s="25" t="n">
        <f aca="false">IF(A849-30&lt;$R$2,"",C849/INDEX(Clean_Data!$C$2:$C$4314,MATCH(A849-30,Clean_Data!$A$2:$A$4314,1))-1)</f>
        <v>0.27140745094078</v>
      </c>
    </row>
    <row r="850" customFormat="false" ht="15" hidden="false" customHeight="false" outlineLevel="0" collapsed="false">
      <c r="A850" s="16" t="n">
        <v>42856</v>
      </c>
      <c r="B850" s="23" t="n">
        <f aca="false">YEAR(A850)</f>
        <v>2017</v>
      </c>
      <c r="C850" s="17" t="n">
        <v>1436.5</v>
      </c>
      <c r="D850" s="23" t="n">
        <f aca="false">A850-A849</f>
        <v>1</v>
      </c>
      <c r="E850" s="24" t="n">
        <f aca="false">LN(C850)</f>
        <v>7.26996487841934</v>
      </c>
      <c r="F850" s="25" t="n">
        <f aca="false">LN(C850/C849)</f>
        <v>0.0368344223398057</v>
      </c>
      <c r="G850" s="25" t="n">
        <f aca="false">IF(AND(D850=1,A850&gt;=$R$2),F850,"")</f>
        <v>0.0368344223398057</v>
      </c>
      <c r="H850" s="27" t="n">
        <f aca="false">IF(G850="","",G850^2)</f>
        <v>0.00135677466910718</v>
      </c>
      <c r="I850" s="25" t="n">
        <f aca="false">IF(G850="","",C850/C849-1)</f>
        <v>0.0375212162796577</v>
      </c>
      <c r="J850" s="17" t="n">
        <f aca="false">AVERAGE(C651:C850)</f>
        <v>953.38085</v>
      </c>
      <c r="K850" s="17" t="n">
        <f aca="false">MAX(K849,C850)</f>
        <v>1436.5</v>
      </c>
      <c r="L850" s="25" t="n">
        <f aca="false">C850/K850-1</f>
        <v>0</v>
      </c>
      <c r="M850" s="25" t="n">
        <f aca="false">IF(COUNT(G821:G850)&lt;20,"",_xlfn.STDEV.S(G821:G850)*SQRT($R$3))</f>
        <v>0.317001377638496</v>
      </c>
      <c r="N850" s="25" t="n">
        <f aca="false">IF(A850-7&lt;$R$2,"",C850/INDEX(Clean_Data!$C$2:$C$4314,MATCH(A850-7,Clean_Data!$A$2:$A$4314,1))-1)</f>
        <v>0.142536725815047</v>
      </c>
      <c r="O850" s="25" t="n">
        <f aca="false">IF(A850-30&lt;$R$2,"",C850/INDEX(Clean_Data!$C$2:$C$4314,MATCH(A850-30,Clean_Data!$A$2:$A$4314,1))-1)</f>
        <v>0.31547619047619</v>
      </c>
    </row>
    <row r="851" customFormat="false" ht="15" hidden="false" customHeight="false" outlineLevel="0" collapsed="false">
      <c r="A851" s="16" t="n">
        <v>42857</v>
      </c>
      <c r="B851" s="23" t="n">
        <f aca="false">YEAR(A851)</f>
        <v>2017</v>
      </c>
      <c r="C851" s="17" t="n">
        <v>1471.99</v>
      </c>
      <c r="D851" s="23" t="n">
        <f aca="false">A851-A850</f>
        <v>1</v>
      </c>
      <c r="E851" s="24" t="n">
        <f aca="false">LN(C851)</f>
        <v>7.29437050578749</v>
      </c>
      <c r="F851" s="25" t="n">
        <f aca="false">LN(C851/C850)</f>
        <v>0.0244056273681406</v>
      </c>
      <c r="G851" s="25" t="n">
        <f aca="false">IF(AND(D851=1,A851&gt;=$R$2),F851,"")</f>
        <v>0.0244056273681406</v>
      </c>
      <c r="H851" s="27" t="n">
        <f aca="false">IF(G851="","",G851^2)</f>
        <v>0.000595634647232534</v>
      </c>
      <c r="I851" s="25" t="n">
        <f aca="false">IF(G851="","",C851/C850-1)</f>
        <v>0.0247058823529411</v>
      </c>
      <c r="J851" s="17" t="n">
        <f aca="false">AVERAGE(C652:C851)</f>
        <v>957.55065</v>
      </c>
      <c r="K851" s="17" t="n">
        <f aca="false">MAX(K850,C851)</f>
        <v>1471.99</v>
      </c>
      <c r="L851" s="25" t="n">
        <f aca="false">C851/K851-1</f>
        <v>0</v>
      </c>
      <c r="M851" s="25" t="n">
        <f aca="false">IF(COUNT(G822:G851)&lt;20,"",_xlfn.STDEV.S(G822:G851)*SQRT($R$3))</f>
        <v>0.319291818959125</v>
      </c>
      <c r="N851" s="25" t="n">
        <f aca="false">IF(A851-7&lt;$R$2,"",C851/INDEX(Clean_Data!$C$2:$C$4314,MATCH(A851-7,Clean_Data!$A$2:$A$4314,1))-1)</f>
        <v>0.148950950700927</v>
      </c>
      <c r="O851" s="25" t="n">
        <f aca="false">IF(A851-30&lt;$R$2,"",C851/INDEX(Clean_Data!$C$2:$C$4314,MATCH(A851-30,Clean_Data!$A$2:$A$4314,1))-1)</f>
        <v>0.321367337229239</v>
      </c>
    </row>
    <row r="852" customFormat="false" ht="15" hidden="false" customHeight="false" outlineLevel="0" collapsed="false">
      <c r="A852" s="16" t="n">
        <v>42858</v>
      </c>
      <c r="B852" s="23" t="n">
        <f aca="false">YEAR(A852)</f>
        <v>2017</v>
      </c>
      <c r="C852" s="17" t="n">
        <v>1533</v>
      </c>
      <c r="D852" s="23" t="n">
        <f aca="false">A852-A851</f>
        <v>1</v>
      </c>
      <c r="E852" s="24" t="n">
        <f aca="false">LN(C852)</f>
        <v>7.33498187887181</v>
      </c>
      <c r="F852" s="25" t="n">
        <f aca="false">LN(C852/C851)</f>
        <v>0.0406113730843292</v>
      </c>
      <c r="G852" s="25" t="n">
        <f aca="false">IF(AND(D852=1,A852&gt;=$R$2),F852,"")</f>
        <v>0.0406113730843292</v>
      </c>
      <c r="H852" s="27" t="n">
        <f aca="false">IF(G852="","",G852^2)</f>
        <v>0.00164928362379458</v>
      </c>
      <c r="I852" s="25" t="n">
        <f aca="false">IF(G852="","",C852/C851-1)</f>
        <v>0.0414472924408453</v>
      </c>
      <c r="J852" s="17" t="n">
        <f aca="false">AVERAGE(C653:C852)</f>
        <v>962.02485</v>
      </c>
      <c r="K852" s="17" t="n">
        <f aca="false">MAX(K851,C852)</f>
        <v>1533</v>
      </c>
      <c r="L852" s="25" t="n">
        <f aca="false">C852/K852-1</f>
        <v>0</v>
      </c>
      <c r="M852" s="25" t="n">
        <f aca="false">IF(COUNT(G823:G852)&lt;20,"",_xlfn.STDEV.S(G823:G852)*SQRT($R$3))</f>
        <v>0.326415510206169</v>
      </c>
      <c r="N852" s="25" t="n">
        <f aca="false">IF(A852-7&lt;$R$2,"",C852/INDEX(Clean_Data!$C$2:$C$4314,MATCH(A852-7,Clean_Data!$A$2:$A$4314,1))-1)</f>
        <v>0.180647546286313</v>
      </c>
      <c r="O852" s="25" t="n">
        <f aca="false">IF(A852-30&lt;$R$2,"",C852/INDEX(Clean_Data!$C$2:$C$4314,MATCH(A852-30,Clean_Data!$A$2:$A$4314,1))-1)</f>
        <v>0.330036439354503</v>
      </c>
    </row>
    <row r="853" customFormat="false" ht="15" hidden="false" customHeight="false" outlineLevel="0" collapsed="false">
      <c r="A853" s="16" t="n">
        <v>42859</v>
      </c>
      <c r="B853" s="23" t="n">
        <f aca="false">YEAR(A853)</f>
        <v>2017</v>
      </c>
      <c r="C853" s="17" t="n">
        <v>1563.39</v>
      </c>
      <c r="D853" s="23" t="n">
        <f aca="false">A853-A852</f>
        <v>1</v>
      </c>
      <c r="E853" s="24" t="n">
        <f aca="false">LN(C853)</f>
        <v>7.35461181945005</v>
      </c>
      <c r="F853" s="25" t="n">
        <f aca="false">LN(C853/C852)</f>
        <v>0.0196299405782373</v>
      </c>
      <c r="G853" s="25" t="n">
        <f aca="false">IF(AND(D853=1,A853&gt;=$R$2),F853,"")</f>
        <v>0.0196299405782373</v>
      </c>
      <c r="H853" s="27" t="n">
        <f aca="false">IF(G853="","",G853^2)</f>
        <v>0.000385334567105126</v>
      </c>
      <c r="I853" s="25" t="n">
        <f aca="false">IF(G853="","",C853/C852-1)</f>
        <v>0.0198238747553816</v>
      </c>
      <c r="J853" s="17" t="n">
        <f aca="false">AVERAGE(C654:C853)</f>
        <v>966.6322</v>
      </c>
      <c r="K853" s="17" t="n">
        <f aca="false">MAX(K852,C853)</f>
        <v>1563.39</v>
      </c>
      <c r="L853" s="25" t="n">
        <f aca="false">C853/K853-1</f>
        <v>0</v>
      </c>
      <c r="M853" s="25" t="n">
        <f aca="false">IF(COUNT(G824:G853)&lt;20,"",_xlfn.STDEV.S(G824:G853)*SQRT($R$3))</f>
        <v>0.322317504684798</v>
      </c>
      <c r="N853" s="25" t="n">
        <f aca="false">IF(A853-7&lt;$R$2,"",C853/INDEX(Clean_Data!$C$2:$C$4314,MATCH(A853-7,Clean_Data!$A$2:$A$4314,1))-1)</f>
        <v>0.158701806916384</v>
      </c>
      <c r="O853" s="25" t="n">
        <f aca="false">IF(A853-30&lt;$R$2,"",C853/INDEX(Clean_Data!$C$2:$C$4314,MATCH(A853-30,Clean_Data!$A$2:$A$4314,1))-1)</f>
        <v>0.366611596255212</v>
      </c>
    </row>
    <row r="854" customFormat="false" ht="15" hidden="false" customHeight="false" outlineLevel="0" collapsed="false">
      <c r="A854" s="16" t="n">
        <v>42860</v>
      </c>
      <c r="B854" s="23" t="n">
        <f aca="false">YEAR(A854)</f>
        <v>2017</v>
      </c>
      <c r="C854" s="17" t="n">
        <v>1551.3</v>
      </c>
      <c r="D854" s="23" t="n">
        <f aca="false">A854-A853</f>
        <v>1</v>
      </c>
      <c r="E854" s="24" t="n">
        <f aca="false">LN(C854)</f>
        <v>7.34684856807029</v>
      </c>
      <c r="F854" s="25" t="n">
        <f aca="false">LN(C854/C853)</f>
        <v>-0.00776325137976598</v>
      </c>
      <c r="G854" s="25" t="n">
        <f aca="false">IF(AND(D854=1,A854&gt;=$R$2),F854,"")</f>
        <v>-0.00776325137976598</v>
      </c>
      <c r="H854" s="27" t="n">
        <f aca="false">IF(G854="","",G854^2)</f>
        <v>6.02680719854384E-005</v>
      </c>
      <c r="I854" s="25" t="n">
        <f aca="false">IF(G854="","",C854/C853-1)</f>
        <v>-0.00773319517203008</v>
      </c>
      <c r="J854" s="17" t="n">
        <f aca="false">AVERAGE(C655:C854)</f>
        <v>971.1909</v>
      </c>
      <c r="K854" s="17" t="n">
        <f aca="false">MAX(K853,C854)</f>
        <v>1563.39</v>
      </c>
      <c r="L854" s="25" t="n">
        <f aca="false">C854/K854-1</f>
        <v>-0.00773319517203008</v>
      </c>
      <c r="M854" s="25" t="n">
        <f aca="false">IF(COUNT(G825:G854)&lt;20,"",_xlfn.STDEV.S(G825:G854)*SQRT($R$3))</f>
        <v>0.320894097749279</v>
      </c>
      <c r="N854" s="25" t="n">
        <f aca="false">IF(A854-7&lt;$R$2,"",C854/INDEX(Clean_Data!$C$2:$C$4314,MATCH(A854-7,Clean_Data!$A$2:$A$4314,1))-1)</f>
        <v>0.146275141501766</v>
      </c>
      <c r="O854" s="25" t="n">
        <f aca="false">IF(A854-30&lt;$R$2,"",C854/INDEX(Clean_Data!$C$2:$C$4314,MATCH(A854-30,Clean_Data!$A$2:$A$4314,1))-1)</f>
        <v>0.369208907404302</v>
      </c>
    </row>
    <row r="855" customFormat="false" ht="15" hidden="false" customHeight="false" outlineLevel="0" collapsed="false">
      <c r="A855" s="16" t="n">
        <v>42861</v>
      </c>
      <c r="B855" s="23" t="n">
        <f aca="false">YEAR(A855)</f>
        <v>2017</v>
      </c>
      <c r="C855" s="17" t="n">
        <v>1585.39</v>
      </c>
      <c r="D855" s="23" t="n">
        <f aca="false">A855-A854</f>
        <v>1</v>
      </c>
      <c r="E855" s="24" t="n">
        <f aca="false">LN(C855)</f>
        <v>7.36858571282671</v>
      </c>
      <c r="F855" s="25" t="n">
        <f aca="false">LN(C855/C854)</f>
        <v>0.0217371447564247</v>
      </c>
      <c r="G855" s="25" t="n">
        <f aca="false">IF(AND(D855=1,A855&gt;=$R$2),F855,"")</f>
        <v>0.0217371447564247</v>
      </c>
      <c r="H855" s="27" t="n">
        <f aca="false">IF(G855="","",G855^2)</f>
        <v>0.000472503462161762</v>
      </c>
      <c r="I855" s="25" t="n">
        <f aca="false">IF(G855="","",C855/C854-1)</f>
        <v>0.021975117643267</v>
      </c>
      <c r="J855" s="17" t="n">
        <f aca="false">AVERAGE(C656:C855)</f>
        <v>975.9423</v>
      </c>
      <c r="K855" s="17" t="n">
        <f aca="false">MAX(K854,C855)</f>
        <v>1585.39</v>
      </c>
      <c r="L855" s="25" t="n">
        <f aca="false">C855/K855-1</f>
        <v>0</v>
      </c>
      <c r="M855" s="25" t="n">
        <f aca="false">IF(COUNT(G826:G855)&lt;20,"",_xlfn.STDEV.S(G826:G855)*SQRT($R$3))</f>
        <v>0.288988875332254</v>
      </c>
      <c r="N855" s="25" t="n">
        <f aca="false">IF(A855-7&lt;$R$2,"",C855/INDEX(Clean_Data!$C$2:$C$4314,MATCH(A855-7,Clean_Data!$A$2:$A$4314,1))-1)</f>
        <v>0.161092110177746</v>
      </c>
      <c r="O855" s="25" t="n">
        <f aca="false">IF(A855-30&lt;$R$2,"",C855/INDEX(Clean_Data!$C$2:$C$4314,MATCH(A855-30,Clean_Data!$A$2:$A$4314,1))-1)</f>
        <v>0.329690514132349</v>
      </c>
    </row>
    <row r="856" customFormat="false" ht="15" hidden="false" customHeight="false" outlineLevel="0" collapsed="false">
      <c r="A856" s="16" t="n">
        <v>42862</v>
      </c>
      <c r="B856" s="23" t="n">
        <f aca="false">YEAR(A856)</f>
        <v>2017</v>
      </c>
      <c r="C856" s="17" t="n">
        <v>1609.57</v>
      </c>
      <c r="D856" s="23" t="n">
        <f aca="false">A856-A855</f>
        <v>1</v>
      </c>
      <c r="E856" s="24" t="n">
        <f aca="false">LN(C856)</f>
        <v>7.38372234156075</v>
      </c>
      <c r="F856" s="25" t="n">
        <f aca="false">LN(C856/C855)</f>
        <v>0.0151366287340429</v>
      </c>
      <c r="G856" s="25" t="n">
        <f aca="false">IF(AND(D856=1,A856&gt;=$R$2),F856,"")</f>
        <v>0.0151366287340429</v>
      </c>
      <c r="H856" s="27" t="n">
        <f aca="false">IF(G856="","",G856^2)</f>
        <v>0.000229117529432253</v>
      </c>
      <c r="I856" s="25" t="n">
        <f aca="false">IF(G856="","",C856/C855-1)</f>
        <v>0.0152517677038457</v>
      </c>
      <c r="J856" s="17" t="n">
        <f aca="false">AVERAGE(C657:C856)</f>
        <v>980.8412</v>
      </c>
      <c r="K856" s="17" t="n">
        <f aca="false">MAX(K855,C856)</f>
        <v>1609.57</v>
      </c>
      <c r="L856" s="25" t="n">
        <f aca="false">C856/K856-1</f>
        <v>0</v>
      </c>
      <c r="M856" s="25" t="n">
        <f aca="false">IF(COUNT(G827:G856)&lt;20,"",_xlfn.STDEV.S(G827:G856)*SQRT($R$3))</f>
        <v>0.288124037361461</v>
      </c>
      <c r="N856" s="25" t="n">
        <f aca="false">IF(A856-7&lt;$R$2,"",C856/INDEX(Clean_Data!$C$2:$C$4314,MATCH(A856-7,Clean_Data!$A$2:$A$4314,1))-1)</f>
        <v>0.162522119100069</v>
      </c>
      <c r="O856" s="25" t="n">
        <f aca="false">IF(A856-30&lt;$R$2,"",C856/INDEX(Clean_Data!$C$2:$C$4314,MATCH(A856-30,Clean_Data!$A$2:$A$4314,1))-1)</f>
        <v>0.348048576214405</v>
      </c>
    </row>
    <row r="857" customFormat="false" ht="15" hidden="false" customHeight="false" outlineLevel="0" collapsed="false">
      <c r="A857" s="16" t="n">
        <v>42863</v>
      </c>
      <c r="B857" s="23" t="n">
        <f aca="false">YEAR(A857)</f>
        <v>2017</v>
      </c>
      <c r="C857" s="17" t="n">
        <v>1713</v>
      </c>
      <c r="D857" s="23" t="n">
        <f aca="false">A857-A856</f>
        <v>1</v>
      </c>
      <c r="E857" s="24" t="n">
        <f aca="false">LN(C857)</f>
        <v>7.44600149832412</v>
      </c>
      <c r="F857" s="25" t="n">
        <f aca="false">LN(C857/C856)</f>
        <v>0.0622791567633669</v>
      </c>
      <c r="G857" s="25" t="n">
        <f aca="false">IF(AND(D857=1,A857&gt;=$R$2),F857,"")</f>
        <v>0.0622791567633669</v>
      </c>
      <c r="H857" s="27" t="n">
        <f aca="false">IF(G857="","",G857^2)</f>
        <v>0.00387869336715603</v>
      </c>
      <c r="I857" s="25" t="n">
        <f aca="false">IF(G857="","",C857/C856-1)</f>
        <v>0.0642593984728841</v>
      </c>
      <c r="J857" s="17" t="n">
        <f aca="false">AVERAGE(C658:C857)</f>
        <v>986.26595</v>
      </c>
      <c r="K857" s="17" t="n">
        <f aca="false">MAX(K856,C857)</f>
        <v>1713</v>
      </c>
      <c r="L857" s="25" t="n">
        <f aca="false">C857/K857-1</f>
        <v>0</v>
      </c>
      <c r="M857" s="25" t="n">
        <f aca="false">IF(COUNT(G828:G857)&lt;20,"",_xlfn.STDEV.S(G828:G857)*SQRT($R$3))</f>
        <v>0.333691430287298</v>
      </c>
      <c r="N857" s="25" t="n">
        <f aca="false">IF(A857-7&lt;$R$2,"",C857/INDEX(Clean_Data!$C$2:$C$4314,MATCH(A857-7,Clean_Data!$A$2:$A$4314,1))-1)</f>
        <v>0.192481726418378</v>
      </c>
      <c r="O857" s="25" t="n">
        <f aca="false">IF(A857-30&lt;$R$2,"",C857/INDEX(Clean_Data!$C$2:$C$4314,MATCH(A857-30,Clean_Data!$A$2:$A$4314,1))-1)</f>
        <v>0.446179822710004</v>
      </c>
    </row>
    <row r="858" customFormat="false" ht="15" hidden="false" customHeight="false" outlineLevel="0" collapsed="false">
      <c r="A858" s="16" t="n">
        <v>42864</v>
      </c>
      <c r="B858" s="23" t="n">
        <f aca="false">YEAR(A858)</f>
        <v>2017</v>
      </c>
      <c r="C858" s="17" t="n">
        <v>1720.43</v>
      </c>
      <c r="D858" s="23" t="n">
        <f aca="false">A858-A857</f>
        <v>1</v>
      </c>
      <c r="E858" s="24" t="n">
        <f aca="false">LN(C858)</f>
        <v>7.45032953856271</v>
      </c>
      <c r="F858" s="25" t="n">
        <f aca="false">LN(C858/C857)</f>
        <v>0.00432804023858631</v>
      </c>
      <c r="G858" s="25" t="n">
        <f aca="false">IF(AND(D858=1,A858&gt;=$R$2),F858,"")</f>
        <v>0.00432804023858631</v>
      </c>
      <c r="H858" s="27" t="n">
        <f aca="false">IF(G858="","",G858^2)</f>
        <v>1.87319323068222E-005</v>
      </c>
      <c r="I858" s="25" t="n">
        <f aca="false">IF(G858="","",C858/C857-1)</f>
        <v>0.0043374197314654</v>
      </c>
      <c r="J858" s="17" t="n">
        <f aca="false">AVERAGE(C659:C858)</f>
        <v>991.71395</v>
      </c>
      <c r="K858" s="17" t="n">
        <f aca="false">MAX(K857,C858)</f>
        <v>1720.43</v>
      </c>
      <c r="L858" s="25" t="n">
        <f aca="false">C858/K858-1</f>
        <v>0</v>
      </c>
      <c r="M858" s="25" t="n">
        <f aca="false">IF(COUNT(G829:G858)&lt;20,"",_xlfn.STDEV.S(G829:G858)*SQRT($R$3))</f>
        <v>0.332877160565681</v>
      </c>
      <c r="N858" s="25" t="n">
        <f aca="false">IF(A858-7&lt;$R$2,"",C858/INDEX(Clean_Data!$C$2:$C$4314,MATCH(A858-7,Clean_Data!$A$2:$A$4314,1))-1)</f>
        <v>0.168778320504895</v>
      </c>
      <c r="O858" s="25" t="n">
        <f aca="false">IF(A858-30&lt;$R$2,"",C858/INDEX(Clean_Data!$C$2:$C$4314,MATCH(A858-30,Clean_Data!$A$2:$A$4314,1))-1)</f>
        <v>0.420704063684484</v>
      </c>
    </row>
    <row r="859" customFormat="false" ht="15" hidden="false" customHeight="false" outlineLevel="0" collapsed="false">
      <c r="A859" s="16" t="n">
        <v>42865</v>
      </c>
      <c r="B859" s="23" t="n">
        <f aca="false">YEAR(A859)</f>
        <v>2017</v>
      </c>
      <c r="C859" s="17" t="n">
        <v>1794.99</v>
      </c>
      <c r="D859" s="23" t="n">
        <f aca="false">A859-A858</f>
        <v>1</v>
      </c>
      <c r="E859" s="24" t="n">
        <f aca="false">LN(C859)</f>
        <v>7.49275472987622</v>
      </c>
      <c r="F859" s="25" t="n">
        <f aca="false">LN(C859/C858)</f>
        <v>0.0424251913135143</v>
      </c>
      <c r="G859" s="25" t="n">
        <f aca="false">IF(AND(D859=1,A859&gt;=$R$2),F859,"")</f>
        <v>0.0424251913135143</v>
      </c>
      <c r="H859" s="27" t="n">
        <f aca="false">IF(G859="","",G859^2)</f>
        <v>0.00179989685798829</v>
      </c>
      <c r="I859" s="25" t="n">
        <f aca="false">IF(G859="","",C859/C858-1)</f>
        <v>0.0433380027086252</v>
      </c>
      <c r="J859" s="17" t="n">
        <f aca="false">AVERAGE(C660:C859)</f>
        <v>997.42515</v>
      </c>
      <c r="K859" s="17" t="n">
        <f aca="false">MAX(K858,C859)</f>
        <v>1794.99</v>
      </c>
      <c r="L859" s="25" t="n">
        <f aca="false">C859/K859-1</f>
        <v>0</v>
      </c>
      <c r="M859" s="25" t="n">
        <f aca="false">IF(COUNT(G830:G859)&lt;20,"",_xlfn.STDEV.S(G830:G859)*SQRT($R$3))</f>
        <v>0.346312837960656</v>
      </c>
      <c r="N859" s="25" t="n">
        <f aca="false">IF(A859-7&lt;$R$2,"",C859/INDEX(Clean_Data!$C$2:$C$4314,MATCH(A859-7,Clean_Data!$A$2:$A$4314,1))-1)</f>
        <v>0.170900195694716</v>
      </c>
      <c r="O859" s="25" t="n">
        <f aca="false">IF(A859-30&lt;$R$2,"",C859/INDEX(Clean_Data!$C$2:$C$4314,MATCH(A859-30,Clean_Data!$A$2:$A$4314,1))-1)</f>
        <v>0.483462809917355</v>
      </c>
    </row>
    <row r="860" customFormat="false" ht="15" hidden="false" customHeight="false" outlineLevel="0" collapsed="false">
      <c r="A860" s="16" t="n">
        <v>42866</v>
      </c>
      <c r="B860" s="23" t="n">
        <f aca="false">YEAR(A860)</f>
        <v>2017</v>
      </c>
      <c r="C860" s="17" t="n">
        <v>1837.93</v>
      </c>
      <c r="D860" s="23" t="n">
        <f aca="false">A860-A859</f>
        <v>1</v>
      </c>
      <c r="E860" s="24" t="n">
        <f aca="false">LN(C860)</f>
        <v>7.51639521731552</v>
      </c>
      <c r="F860" s="25" t="n">
        <f aca="false">LN(C860/C859)</f>
        <v>0.0236404874393009</v>
      </c>
      <c r="G860" s="25" t="n">
        <f aca="false">IF(AND(D860=1,A860&gt;=$R$2),F860,"")</f>
        <v>0.0236404874393009</v>
      </c>
      <c r="H860" s="27" t="n">
        <f aca="false">IF(G860="","",G860^2)</f>
        <v>0.000558872646367743</v>
      </c>
      <c r="I860" s="25" t="n">
        <f aca="false">IF(G860="","",C860/C859-1)</f>
        <v>0.0239221388419992</v>
      </c>
      <c r="J860" s="17" t="n">
        <f aca="false">AVERAGE(C661:C860)</f>
        <v>1003.3596</v>
      </c>
      <c r="K860" s="17" t="n">
        <f aca="false">MAX(K859,C860)</f>
        <v>1837.93</v>
      </c>
      <c r="L860" s="25" t="n">
        <f aca="false">C860/K860-1</f>
        <v>0</v>
      </c>
      <c r="M860" s="25" t="n">
        <f aca="false">IF(COUNT(G831:G860)&lt;20,"",_xlfn.STDEV.S(G831:G860)*SQRT($R$3))</f>
        <v>0.348170364120601</v>
      </c>
      <c r="N860" s="25" t="n">
        <f aca="false">IF(A860-7&lt;$R$2,"",C860/INDEX(Clean_Data!$C$2:$C$4314,MATCH(A860-7,Clean_Data!$A$2:$A$4314,1))-1)</f>
        <v>0.175605575064443</v>
      </c>
      <c r="O860" s="25" t="n">
        <f aca="false">IF(A860-30&lt;$R$2,"",C860/INDEX(Clean_Data!$C$2:$C$4314,MATCH(A860-30,Clean_Data!$A$2:$A$4314,1))-1)</f>
        <v>0.501589065270141</v>
      </c>
    </row>
    <row r="861" customFormat="false" ht="15" hidden="false" customHeight="false" outlineLevel="0" collapsed="false">
      <c r="A861" s="16" t="n">
        <v>42867</v>
      </c>
      <c r="B861" s="23" t="n">
        <f aca="false">YEAR(A861)</f>
        <v>2017</v>
      </c>
      <c r="C861" s="17" t="n">
        <v>1695.61</v>
      </c>
      <c r="D861" s="23" t="n">
        <f aca="false">A861-A860</f>
        <v>1</v>
      </c>
      <c r="E861" s="24" t="n">
        <f aca="false">LN(C861)</f>
        <v>7.43579783707845</v>
      </c>
      <c r="F861" s="25" t="n">
        <f aca="false">LN(C861/C860)</f>
        <v>-0.0805973802370674</v>
      </c>
      <c r="G861" s="25" t="n">
        <f aca="false">IF(AND(D861=1,A861&gt;=$R$2),F861,"")</f>
        <v>-0.0805973802370674</v>
      </c>
      <c r="H861" s="27" t="n">
        <f aca="false">IF(G861="","",G861^2)</f>
        <v>0.00649593770107842</v>
      </c>
      <c r="I861" s="25" t="n">
        <f aca="false">IF(G861="","",C861/C860-1)</f>
        <v>-0.0774349403949008</v>
      </c>
      <c r="J861" s="17" t="n">
        <f aca="false">AVERAGE(C662:C861)</f>
        <v>1008.58775</v>
      </c>
      <c r="K861" s="17" t="n">
        <f aca="false">MAX(K860,C861)</f>
        <v>1837.93</v>
      </c>
      <c r="L861" s="25" t="n">
        <f aca="false">C861/K861-1</f>
        <v>-0.0774349403949008</v>
      </c>
      <c r="M861" s="25" t="n">
        <f aca="false">IF(COUNT(G832:G861)&lt;20,"",_xlfn.STDEV.S(G832:G861)*SQRT($R$3))</f>
        <v>0.474027338246577</v>
      </c>
      <c r="N861" s="25" t="n">
        <f aca="false">IF(A861-7&lt;$R$2,"",C861/INDEX(Clean_Data!$C$2:$C$4314,MATCH(A861-7,Clean_Data!$A$2:$A$4314,1))-1)</f>
        <v>0.0930252046670534</v>
      </c>
      <c r="O861" s="25" t="n">
        <f aca="false">IF(A861-30&lt;$R$2,"",C861/INDEX(Clean_Data!$C$2:$C$4314,MATCH(A861-30,Clean_Data!$A$2:$A$4314,1))-1)</f>
        <v>0.39651778581253</v>
      </c>
    </row>
    <row r="862" customFormat="false" ht="15" hidden="false" customHeight="false" outlineLevel="0" collapsed="false">
      <c r="A862" s="16" t="n">
        <v>42868</v>
      </c>
      <c r="B862" s="23" t="n">
        <f aca="false">YEAR(A862)</f>
        <v>2017</v>
      </c>
      <c r="C862" s="17" t="n">
        <v>1792.73</v>
      </c>
      <c r="D862" s="23" t="n">
        <f aca="false">A862-A861</f>
        <v>1</v>
      </c>
      <c r="E862" s="24" t="n">
        <f aca="false">LN(C862)</f>
        <v>7.49149487665527</v>
      </c>
      <c r="F862" s="25" t="n">
        <f aca="false">LN(C862/C861)</f>
        <v>0.0556970395768194</v>
      </c>
      <c r="G862" s="25" t="n">
        <f aca="false">IF(AND(D862=1,A862&gt;=$R$2),F862,"")</f>
        <v>0.0556970395768194</v>
      </c>
      <c r="H862" s="27" t="n">
        <f aca="false">IF(G862="","",G862^2)</f>
        <v>0.00310216021762178</v>
      </c>
      <c r="I862" s="25" t="n">
        <f aca="false">IF(G862="","",C862/C861-1)</f>
        <v>0.0572773220257017</v>
      </c>
      <c r="J862" s="17" t="n">
        <f aca="false">AVERAGE(C663:C862)</f>
        <v>1014.2799</v>
      </c>
      <c r="K862" s="17" t="n">
        <f aca="false">MAX(K861,C862)</f>
        <v>1837.93</v>
      </c>
      <c r="L862" s="25" t="n">
        <f aca="false">C862/K862-1</f>
        <v>-0.0245928843862389</v>
      </c>
      <c r="M862" s="25" t="n">
        <f aca="false">IF(COUNT(G833:G862)&lt;20,"",_xlfn.STDEV.S(G833:G862)*SQRT($R$3))</f>
        <v>0.473440366086591</v>
      </c>
      <c r="N862" s="25" t="n">
        <f aca="false">IF(A862-7&lt;$R$2,"",C862/INDEX(Clean_Data!$C$2:$C$4314,MATCH(A862-7,Clean_Data!$A$2:$A$4314,1))-1)</f>
        <v>0.130781700401794</v>
      </c>
      <c r="O862" s="25" t="n">
        <f aca="false">IF(A862-30&lt;$R$2,"",C862/INDEX(Clean_Data!$C$2:$C$4314,MATCH(A862-30,Clean_Data!$A$2:$A$4314,1))-1)</f>
        <v>0.523070387833992</v>
      </c>
    </row>
    <row r="863" customFormat="false" ht="15" hidden="false" customHeight="false" outlineLevel="0" collapsed="false">
      <c r="A863" s="16" t="n">
        <v>42869</v>
      </c>
      <c r="B863" s="23" t="n">
        <f aca="false">YEAR(A863)</f>
        <v>2017</v>
      </c>
      <c r="C863" s="17" t="n">
        <v>1799.99</v>
      </c>
      <c r="D863" s="23" t="n">
        <f aca="false">A863-A862</f>
        <v>1</v>
      </c>
      <c r="E863" s="24" t="n">
        <f aca="false">LN(C863)</f>
        <v>7.49553638831327</v>
      </c>
      <c r="F863" s="25" t="n">
        <f aca="false">LN(C863/C862)</f>
        <v>0.00404151165799532</v>
      </c>
      <c r="G863" s="25" t="n">
        <f aca="false">IF(AND(D863=1,A863&gt;=$R$2),F863,"")</f>
        <v>0.00404151165799532</v>
      </c>
      <c r="H863" s="27" t="n">
        <f aca="false">IF(G863="","",G863^2)</f>
        <v>1.63338164817121E-005</v>
      </c>
      <c r="I863" s="25" t="n">
        <f aca="false">IF(G863="","",C863/C862-1)</f>
        <v>0.00404968957957985</v>
      </c>
      <c r="J863" s="17" t="n">
        <f aca="false">AVERAGE(C664:C863)</f>
        <v>1019.90985</v>
      </c>
      <c r="K863" s="17" t="n">
        <f aca="false">MAX(K862,C863)</f>
        <v>1837.93</v>
      </c>
      <c r="L863" s="25" t="n">
        <f aca="false">C863/K863-1</f>
        <v>-0.0206427883542899</v>
      </c>
      <c r="M863" s="25" t="n">
        <f aca="false">IF(COUNT(G834:G863)&lt;20,"",_xlfn.STDEV.S(G834:G863)*SQRT($R$3))</f>
        <v>0.470968066884381</v>
      </c>
      <c r="N863" s="25" t="n">
        <f aca="false">IF(A863-7&lt;$R$2,"",C863/INDEX(Clean_Data!$C$2:$C$4314,MATCH(A863-7,Clean_Data!$A$2:$A$4314,1))-1)</f>
        <v>0.118304888883366</v>
      </c>
      <c r="O863" s="25" t="n">
        <f aca="false">IF(A863-30&lt;$R$2,"",C863/INDEX(Clean_Data!$C$2:$C$4314,MATCH(A863-30,Clean_Data!$A$2:$A$4314,1))-1)</f>
        <v>0.533550871572921</v>
      </c>
    </row>
    <row r="864" customFormat="false" ht="15" hidden="false" customHeight="false" outlineLevel="0" collapsed="false">
      <c r="A864" s="16" t="n">
        <v>42870</v>
      </c>
      <c r="B864" s="23" t="n">
        <f aca="false">YEAR(A864)</f>
        <v>2017</v>
      </c>
      <c r="C864" s="17" t="n">
        <v>1747.81</v>
      </c>
      <c r="D864" s="23" t="n">
        <f aca="false">A864-A863</f>
        <v>1</v>
      </c>
      <c r="E864" s="24" t="n">
        <f aca="false">LN(C864)</f>
        <v>7.46611885465551</v>
      </c>
      <c r="F864" s="25" t="n">
        <f aca="false">LN(C864/C863)</f>
        <v>-0.0294175336577621</v>
      </c>
      <c r="G864" s="25" t="n">
        <f aca="false">IF(AND(D864=1,A864&gt;=$R$2),F864,"")</f>
        <v>-0.0294175336577621</v>
      </c>
      <c r="H864" s="27" t="n">
        <f aca="false">IF(G864="","",G864^2)</f>
        <v>0.000865391286505565</v>
      </c>
      <c r="I864" s="25" t="n">
        <f aca="false">IF(G864="","",C864/C863-1)</f>
        <v>-0.0289890499391664</v>
      </c>
      <c r="J864" s="17" t="n">
        <f aca="false">AVERAGE(C665:C864)</f>
        <v>1025.19285</v>
      </c>
      <c r="K864" s="17" t="n">
        <f aca="false">MAX(K863,C864)</f>
        <v>1837.93</v>
      </c>
      <c r="L864" s="25" t="n">
        <f aca="false">C864/K864-1</f>
        <v>-0.0490334234709702</v>
      </c>
      <c r="M864" s="25" t="n">
        <f aca="false">IF(COUNT(G835:G864)&lt;20,"",_xlfn.STDEV.S(G835:G864)*SQRT($R$3))</f>
        <v>0.494064935710642</v>
      </c>
      <c r="N864" s="25" t="n">
        <f aca="false">IF(A864-7&lt;$R$2,"",C864/INDEX(Clean_Data!$C$2:$C$4314,MATCH(A864-7,Clean_Data!$A$2:$A$4314,1))-1)</f>
        <v>0.0203210741389375</v>
      </c>
      <c r="O864" s="25" t="n">
        <f aca="false">IF(A864-30&lt;$R$2,"",C864/INDEX(Clean_Data!$C$2:$C$4314,MATCH(A864-30,Clean_Data!$A$2:$A$4314,1))-1)</f>
        <v>0.482639860881368</v>
      </c>
    </row>
    <row r="865" customFormat="false" ht="15" hidden="false" customHeight="false" outlineLevel="0" collapsed="false">
      <c r="A865" s="16" t="n">
        <v>42871</v>
      </c>
      <c r="B865" s="23" t="n">
        <f aca="false">YEAR(A865)</f>
        <v>2017</v>
      </c>
      <c r="C865" s="17" t="n">
        <v>1777.48</v>
      </c>
      <c r="D865" s="23" t="n">
        <f aca="false">A865-A864</f>
        <v>1</v>
      </c>
      <c r="E865" s="24" t="n">
        <f aca="false">LN(C865)</f>
        <v>7.48295190985601</v>
      </c>
      <c r="F865" s="25" t="n">
        <f aca="false">LN(C865/C864)</f>
        <v>0.016833055200501</v>
      </c>
      <c r="G865" s="25" t="n">
        <f aca="false">IF(AND(D865=1,A865&gt;=$R$2),F865,"")</f>
        <v>0.016833055200501</v>
      </c>
      <c r="H865" s="27" t="n">
        <f aca="false">IF(G865="","",G865^2)</f>
        <v>0.000283351747383114</v>
      </c>
      <c r="I865" s="25" t="n">
        <f aca="false">IF(G865="","",C865/C864-1)</f>
        <v>0.0169755293767631</v>
      </c>
      <c r="J865" s="17" t="n">
        <f aca="false">AVERAGE(C666:C865)</f>
        <v>1030.6305</v>
      </c>
      <c r="K865" s="17" t="n">
        <f aca="false">MAX(K864,C865)</f>
        <v>1837.93</v>
      </c>
      <c r="L865" s="25" t="n">
        <f aca="false">C865/K865-1</f>
        <v>-0.0328902624147819</v>
      </c>
      <c r="M865" s="25" t="n">
        <f aca="false">IF(COUNT(G836:G865)&lt;20,"",_xlfn.STDEV.S(G836:G865)*SQRT($R$3))</f>
        <v>0.491657123164814</v>
      </c>
      <c r="N865" s="25" t="n">
        <f aca="false">IF(A865-7&lt;$R$2,"",C865/INDEX(Clean_Data!$C$2:$C$4314,MATCH(A865-7,Clean_Data!$A$2:$A$4314,1))-1)</f>
        <v>0.0331603145725197</v>
      </c>
      <c r="O865" s="25" t="n">
        <f aca="false">IF(A865-30&lt;$R$2,"",C865/INDEX(Clean_Data!$C$2:$C$4314,MATCH(A865-30,Clean_Data!$A$2:$A$4314,1))-1)</f>
        <v>0.508909243711746</v>
      </c>
    </row>
    <row r="866" customFormat="false" ht="15" hidden="false" customHeight="false" outlineLevel="0" collapsed="false">
      <c r="A866" s="16" t="n">
        <v>42872</v>
      </c>
      <c r="B866" s="23" t="n">
        <f aca="false">YEAR(A866)</f>
        <v>2017</v>
      </c>
      <c r="C866" s="17" t="n">
        <v>1813.23</v>
      </c>
      <c r="D866" s="23" t="n">
        <f aca="false">A866-A865</f>
        <v>1</v>
      </c>
      <c r="E866" s="24" t="n">
        <f aca="false">LN(C866)</f>
        <v>7.50286506426404</v>
      </c>
      <c r="F866" s="25" t="n">
        <f aca="false">LN(C866/C865)</f>
        <v>0.0199131544080302</v>
      </c>
      <c r="G866" s="25" t="n">
        <f aca="false">IF(AND(D866=1,A866&gt;=$R$2),F866,"")</f>
        <v>0.0199131544080302</v>
      </c>
      <c r="H866" s="27" t="n">
        <f aca="false">IF(G866="","",G866^2)</f>
        <v>0.000396533718478053</v>
      </c>
      <c r="I866" s="25" t="n">
        <f aca="false">IF(G866="","",C866/C865-1)</f>
        <v>0.0201127438846007</v>
      </c>
      <c r="J866" s="17" t="n">
        <f aca="false">AVERAGE(C667:C866)</f>
        <v>1036.12525</v>
      </c>
      <c r="K866" s="17" t="n">
        <f aca="false">MAX(K865,C866)</f>
        <v>1837.93</v>
      </c>
      <c r="L866" s="25" t="n">
        <f aca="false">C866/K866-1</f>
        <v>-0.013439031954427</v>
      </c>
      <c r="M866" s="25" t="n">
        <f aca="false">IF(COUNT(G837:G866)&lt;20,"",_xlfn.STDEV.S(G837:G866)*SQRT($R$3))</f>
        <v>0.491937710958566</v>
      </c>
      <c r="N866" s="25" t="n">
        <f aca="false">IF(A866-7&lt;$R$2,"",C866/INDEX(Clean_Data!$C$2:$C$4314,MATCH(A866-7,Clean_Data!$A$2:$A$4314,1))-1)</f>
        <v>0.0101616164992562</v>
      </c>
      <c r="O866" s="25" t="n">
        <f aca="false">IF(A866-30&lt;$R$2,"",C866/INDEX(Clean_Data!$C$2:$C$4314,MATCH(A866-30,Clean_Data!$A$2:$A$4314,1))-1)</f>
        <v>0.523837937322991</v>
      </c>
    </row>
    <row r="867" customFormat="false" ht="15" hidden="false" customHeight="false" outlineLevel="0" collapsed="false">
      <c r="A867" s="16" t="n">
        <v>42873</v>
      </c>
      <c r="B867" s="23" t="n">
        <f aca="false">YEAR(A867)</f>
        <v>2017</v>
      </c>
      <c r="C867" s="17" t="n">
        <v>1899.16</v>
      </c>
      <c r="D867" s="23" t="n">
        <f aca="false">A867-A866</f>
        <v>1</v>
      </c>
      <c r="E867" s="24" t="n">
        <f aca="false">LN(C867)</f>
        <v>7.54916696213403</v>
      </c>
      <c r="F867" s="25" t="n">
        <f aca="false">LN(C867/C866)</f>
        <v>0.0463018978699909</v>
      </c>
      <c r="G867" s="25" t="n">
        <f aca="false">IF(AND(D867=1,A867&gt;=$R$2),F867,"")</f>
        <v>0.0463018978699909</v>
      </c>
      <c r="H867" s="27" t="n">
        <f aca="false">IF(G867="","",G867^2)</f>
        <v>0.00214386574636307</v>
      </c>
      <c r="I867" s="25" t="n">
        <f aca="false">IF(G867="","",C867/C866-1)</f>
        <v>0.0473905682125269</v>
      </c>
      <c r="J867" s="17" t="n">
        <f aca="false">AVERAGE(C668:C867)</f>
        <v>1042.134</v>
      </c>
      <c r="K867" s="17" t="n">
        <f aca="false">MAX(K866,C867)</f>
        <v>1899.16</v>
      </c>
      <c r="L867" s="25" t="n">
        <f aca="false">C867/K867-1</f>
        <v>0</v>
      </c>
      <c r="M867" s="25" t="n">
        <f aca="false">IF(COUNT(G838:G867)&lt;20,"",_xlfn.STDEV.S(G838:G867)*SQRT($R$3))</f>
        <v>0.504332541479312</v>
      </c>
      <c r="N867" s="25" t="n">
        <f aca="false">IF(A867-7&lt;$R$2,"",C867/INDEX(Clean_Data!$C$2:$C$4314,MATCH(A867-7,Clean_Data!$A$2:$A$4314,1))-1)</f>
        <v>0.0333146528975532</v>
      </c>
      <c r="O867" s="25" t="n">
        <f aca="false">IF(A867-30&lt;$R$2,"",C867/INDEX(Clean_Data!$C$2:$C$4314,MATCH(A867-30,Clean_Data!$A$2:$A$4314,1))-1)</f>
        <v>0.580078872489475</v>
      </c>
    </row>
    <row r="868" customFormat="false" ht="15" hidden="false" customHeight="false" outlineLevel="0" collapsed="false">
      <c r="A868" s="16" t="n">
        <v>42874</v>
      </c>
      <c r="B868" s="23" t="n">
        <f aca="false">YEAR(A868)</f>
        <v>2017</v>
      </c>
      <c r="C868" s="17" t="n">
        <v>1976.23</v>
      </c>
      <c r="D868" s="23" t="n">
        <f aca="false">A868-A867</f>
        <v>1</v>
      </c>
      <c r="E868" s="24" t="n">
        <f aca="false">LN(C868)</f>
        <v>7.58894626829537</v>
      </c>
      <c r="F868" s="25" t="n">
        <f aca="false">LN(C868/C867)</f>
        <v>0.039779306161341</v>
      </c>
      <c r="G868" s="25" t="n">
        <f aca="false">IF(AND(D868=1,A868&gt;=$R$2),F868,"")</f>
        <v>0.039779306161341</v>
      </c>
      <c r="H868" s="27" t="n">
        <f aca="false">IF(G868="","",G868^2)</f>
        <v>0.0015823931986777</v>
      </c>
      <c r="I868" s="25" t="n">
        <f aca="false">IF(G868="","",C868/C867-1)</f>
        <v>0.0405810990121949</v>
      </c>
      <c r="J868" s="17" t="n">
        <f aca="false">AVERAGE(C669:C868)</f>
        <v>1048.53065</v>
      </c>
      <c r="K868" s="17" t="n">
        <f aca="false">MAX(K867,C868)</f>
        <v>1976.23</v>
      </c>
      <c r="L868" s="25" t="n">
        <f aca="false">C868/K868-1</f>
        <v>0</v>
      </c>
      <c r="M868" s="25" t="n">
        <f aca="false">IF(COUNT(G839:G868)&lt;20,"",_xlfn.STDEV.S(G839:G868)*SQRT($R$3))</f>
        <v>0.511106884695306</v>
      </c>
      <c r="N868" s="25" t="n">
        <f aca="false">IF(A868-7&lt;$R$2,"",C868/INDEX(Clean_Data!$C$2:$C$4314,MATCH(A868-7,Clean_Data!$A$2:$A$4314,1))-1)</f>
        <v>0.165497962385218</v>
      </c>
      <c r="O868" s="25" t="n">
        <f aca="false">IF(A868-30&lt;$R$2,"",C868/INDEX(Clean_Data!$C$2:$C$4314,MATCH(A868-30,Clean_Data!$A$2:$A$4314,1))-1)</f>
        <v>0.62758501412441</v>
      </c>
    </row>
    <row r="869" customFormat="false" ht="15" hidden="false" customHeight="false" outlineLevel="0" collapsed="false">
      <c r="A869" s="16" t="n">
        <v>42875</v>
      </c>
      <c r="B869" s="23" t="n">
        <f aca="false">YEAR(A869)</f>
        <v>2017</v>
      </c>
      <c r="C869" s="17" t="n">
        <v>2058.91</v>
      </c>
      <c r="D869" s="23" t="n">
        <f aca="false">A869-A868</f>
        <v>1</v>
      </c>
      <c r="E869" s="24" t="n">
        <f aca="false">LN(C869)</f>
        <v>7.62993199553336</v>
      </c>
      <c r="F869" s="25" t="n">
        <f aca="false">LN(C869/C868)</f>
        <v>0.0409857272379899</v>
      </c>
      <c r="G869" s="25" t="n">
        <f aca="false">IF(AND(D869=1,A869&gt;=$R$2),F869,"")</f>
        <v>0.0409857272379899</v>
      </c>
      <c r="H869" s="27" t="n">
        <f aca="false">IF(G869="","",G869^2)</f>
        <v>0.00167982983722691</v>
      </c>
      <c r="I869" s="25" t="n">
        <f aca="false">IF(G869="","",C869/C868-1)</f>
        <v>0.0418372355444456</v>
      </c>
      <c r="J869" s="17" t="n">
        <f aca="false">AVERAGE(C670:C869)</f>
        <v>1055.1717</v>
      </c>
      <c r="K869" s="17" t="n">
        <f aca="false">MAX(K868,C869)</f>
        <v>2058.91</v>
      </c>
      <c r="L869" s="25" t="n">
        <f aca="false">C869/K869-1</f>
        <v>0</v>
      </c>
      <c r="M869" s="25" t="n">
        <f aca="false">IF(COUNT(G840:G869)&lt;20,"",_xlfn.STDEV.S(G840:G869)*SQRT($R$3))</f>
        <v>0.518344435784441</v>
      </c>
      <c r="N869" s="25" t="n">
        <f aca="false">IF(A869-7&lt;$R$2,"",C869/INDEX(Clean_Data!$C$2:$C$4314,MATCH(A869-7,Clean_Data!$A$2:$A$4314,1))-1)</f>
        <v>0.148477461748283</v>
      </c>
      <c r="O869" s="25" t="n">
        <f aca="false">IF(A869-30&lt;$R$2,"",C869/INDEX(Clean_Data!$C$2:$C$4314,MATCH(A869-30,Clean_Data!$A$2:$A$4314,1))-1)</f>
        <v>0.665582655826558</v>
      </c>
    </row>
    <row r="870" customFormat="false" ht="15" hidden="false" customHeight="false" outlineLevel="0" collapsed="false">
      <c r="A870" s="16" t="n">
        <v>42876</v>
      </c>
      <c r="B870" s="23" t="n">
        <f aca="false">YEAR(A870)</f>
        <v>2017</v>
      </c>
      <c r="C870" s="17" t="n">
        <v>2057</v>
      </c>
      <c r="D870" s="23" t="n">
        <f aca="false">A870-A869</f>
        <v>1</v>
      </c>
      <c r="E870" s="24" t="n">
        <f aca="false">LN(C870)</f>
        <v>7.62900388965296</v>
      </c>
      <c r="F870" s="25" t="n">
        <f aca="false">LN(C870/C869)</f>
        <v>-0.000928105880402059</v>
      </c>
      <c r="G870" s="25" t="n">
        <f aca="false">IF(AND(D870=1,A870&gt;=$R$2),F870,"")</f>
        <v>-0.000928105880402059</v>
      </c>
      <c r="H870" s="27" t="n">
        <f aca="false">IF(G870="","",G870^2)</f>
        <v>8.6138052523688E-007</v>
      </c>
      <c r="I870" s="25" t="n">
        <f aca="false">IF(G870="","",C870/C869-1)</f>
        <v>-0.000927675323350585</v>
      </c>
      <c r="J870" s="17" t="n">
        <f aca="false">AVERAGE(C671:C870)</f>
        <v>1061.7337</v>
      </c>
      <c r="K870" s="17" t="n">
        <f aca="false">MAX(K869,C870)</f>
        <v>2058.91</v>
      </c>
      <c r="L870" s="25" t="n">
        <f aca="false">C870/K870-1</f>
        <v>-0.000927675323350585</v>
      </c>
      <c r="M870" s="25" t="n">
        <f aca="false">IF(COUNT(G841:G870)&lt;20,"",_xlfn.STDEV.S(G841:G870)*SQRT($R$3))</f>
        <v>0.521760474178301</v>
      </c>
      <c r="N870" s="25" t="n">
        <f aca="false">IF(A870-7&lt;$R$2,"",C870/INDEX(Clean_Data!$C$2:$C$4314,MATCH(A870-7,Clean_Data!$A$2:$A$4314,1))-1)</f>
        <v>0.142784126578481</v>
      </c>
      <c r="O870" s="25" t="n">
        <f aca="false">IF(A870-30&lt;$R$2,"",C870/INDEX(Clean_Data!$C$2:$C$4314,MATCH(A870-30,Clean_Data!$A$2:$A$4314,1))-1)</f>
        <v>0.645613164905319</v>
      </c>
    </row>
    <row r="871" customFormat="false" ht="15" hidden="false" customHeight="false" outlineLevel="0" collapsed="false">
      <c r="A871" s="16" t="n">
        <v>42877</v>
      </c>
      <c r="B871" s="23" t="n">
        <f aca="false">YEAR(A871)</f>
        <v>2017</v>
      </c>
      <c r="C871" s="17" t="n">
        <v>2123.29</v>
      </c>
      <c r="D871" s="23" t="n">
        <f aca="false">A871-A870</f>
        <v>1</v>
      </c>
      <c r="E871" s="24" t="n">
        <f aca="false">LN(C871)</f>
        <v>7.66072205152659</v>
      </c>
      <c r="F871" s="25" t="n">
        <f aca="false">LN(C871/C870)</f>
        <v>0.0317181618736275</v>
      </c>
      <c r="G871" s="25" t="n">
        <f aca="false">IF(AND(D871=1,A871&gt;=$R$2),F871,"")</f>
        <v>0.0317181618736275</v>
      </c>
      <c r="H871" s="27" t="n">
        <f aca="false">IF(G871="","",G871^2)</f>
        <v>0.00100604179264164</v>
      </c>
      <c r="I871" s="25" t="n">
        <f aca="false">IF(G871="","",C871/C870-1)</f>
        <v>0.032226543509966</v>
      </c>
      <c r="J871" s="17" t="n">
        <f aca="false">AVERAGE(C672:C871)</f>
        <v>1068.90015</v>
      </c>
      <c r="K871" s="17" t="n">
        <f aca="false">MAX(K870,C871)</f>
        <v>2123.29</v>
      </c>
      <c r="L871" s="25" t="n">
        <f aca="false">C871/K871-1</f>
        <v>0</v>
      </c>
      <c r="M871" s="25" t="n">
        <f aca="false">IF(COUNT(G842:G871)&lt;20,"",_xlfn.STDEV.S(G842:G871)*SQRT($R$3))</f>
        <v>0.51969034188356</v>
      </c>
      <c r="N871" s="25" t="n">
        <f aca="false">IF(A871-7&lt;$R$2,"",C871/INDEX(Clean_Data!$C$2:$C$4314,MATCH(A871-7,Clean_Data!$A$2:$A$4314,1))-1)</f>
        <v>0.214828842952037</v>
      </c>
      <c r="O871" s="25" t="n">
        <f aca="false">IF(A871-30&lt;$R$2,"",C871/INDEX(Clean_Data!$C$2:$C$4314,MATCH(A871-30,Clean_Data!$A$2:$A$4314,1))-1)</f>
        <v>0.702718524458701</v>
      </c>
    </row>
    <row r="872" customFormat="false" ht="15" hidden="false" customHeight="false" outlineLevel="0" collapsed="false">
      <c r="A872" s="16" t="n">
        <v>42878</v>
      </c>
      <c r="B872" s="23" t="n">
        <f aca="false">YEAR(A872)</f>
        <v>2017</v>
      </c>
      <c r="C872" s="17" t="n">
        <v>2272.75</v>
      </c>
      <c r="D872" s="23" t="n">
        <f aca="false">A872-A871</f>
        <v>1</v>
      </c>
      <c r="E872" s="24" t="n">
        <f aca="false">LN(C872)</f>
        <v>7.72874583100197</v>
      </c>
      <c r="F872" s="25" t="n">
        <f aca="false">LN(C872/C871)</f>
        <v>0.068023779475383</v>
      </c>
      <c r="G872" s="25" t="n">
        <f aca="false">IF(AND(D872=1,A872&gt;=$R$2),F872,"")</f>
        <v>0.068023779475383</v>
      </c>
      <c r="H872" s="27" t="n">
        <f aca="false">IF(G872="","",G872^2)</f>
        <v>0.00462723457411554</v>
      </c>
      <c r="I872" s="25" t="n">
        <f aca="false">IF(G872="","",C872/C871-1)</f>
        <v>0.0703907615069068</v>
      </c>
      <c r="J872" s="17" t="n">
        <f aca="false">AVERAGE(C673:C872)</f>
        <v>1076.7323</v>
      </c>
      <c r="K872" s="17" t="n">
        <f aca="false">MAX(K871,C872)</f>
        <v>2272.75</v>
      </c>
      <c r="L872" s="25" t="n">
        <f aca="false">C872/K872-1</f>
        <v>0</v>
      </c>
      <c r="M872" s="25" t="n">
        <f aca="false">IF(COUNT(G843:G872)&lt;20,"",_xlfn.STDEV.S(G843:G872)*SQRT($R$3))</f>
        <v>0.545709421036115</v>
      </c>
      <c r="N872" s="25" t="n">
        <f aca="false">IF(A872-7&lt;$R$2,"",C872/INDEX(Clean_Data!$C$2:$C$4314,MATCH(A872-7,Clean_Data!$A$2:$A$4314,1))-1)</f>
        <v>0.278636046537795</v>
      </c>
      <c r="O872" s="25" t="n">
        <f aca="false">IF(A872-30&lt;$R$2,"",C872/INDEX(Clean_Data!$C$2:$C$4314,MATCH(A872-30,Clean_Data!$A$2:$A$4314,1))-1)</f>
        <v>0.815324525950894</v>
      </c>
    </row>
    <row r="873" customFormat="false" ht="15" hidden="false" customHeight="false" outlineLevel="0" collapsed="false">
      <c r="A873" s="16" t="n">
        <v>42879</v>
      </c>
      <c r="B873" s="23" t="n">
        <f aca="false">YEAR(A873)</f>
        <v>2017</v>
      </c>
      <c r="C873" s="17" t="n">
        <v>2432.97</v>
      </c>
      <c r="D873" s="23" t="n">
        <f aca="false">A873-A872</f>
        <v>1</v>
      </c>
      <c r="E873" s="24" t="n">
        <f aca="false">LN(C873)</f>
        <v>7.79686801225128</v>
      </c>
      <c r="F873" s="25" t="n">
        <f aca="false">LN(C873/C872)</f>
        <v>0.0681221812493073</v>
      </c>
      <c r="G873" s="25" t="n">
        <f aca="false">IF(AND(D873=1,A873&gt;=$R$2),F873,"")</f>
        <v>0.0681221812493073</v>
      </c>
      <c r="H873" s="27" t="n">
        <f aca="false">IF(G873="","",G873^2)</f>
        <v>0.00464063157816347</v>
      </c>
      <c r="I873" s="25" t="n">
        <f aca="false">IF(G873="","",C873/C872-1)</f>
        <v>0.0704960950390494</v>
      </c>
      <c r="J873" s="17" t="n">
        <f aca="false">AVERAGE(C674:C873)</f>
        <v>1085.3622</v>
      </c>
      <c r="K873" s="17" t="n">
        <f aca="false">MAX(K872,C873)</f>
        <v>2432.97</v>
      </c>
      <c r="L873" s="25" t="n">
        <f aca="false">C873/K873-1</f>
        <v>0</v>
      </c>
      <c r="M873" s="25" t="n">
        <f aca="false">IF(COUNT(G844:G873)&lt;20,"",_xlfn.STDEV.S(G844:G873)*SQRT($R$3))</f>
        <v>0.567718035832129</v>
      </c>
      <c r="N873" s="25" t="n">
        <f aca="false">IF(A873-7&lt;$R$2,"",C873/INDEX(Clean_Data!$C$2:$C$4314,MATCH(A873-7,Clean_Data!$A$2:$A$4314,1))-1)</f>
        <v>0.341787859234625</v>
      </c>
      <c r="O873" s="25" t="n">
        <f aca="false">IF(A873-30&lt;$R$2,"",C873/INDEX(Clean_Data!$C$2:$C$4314,MATCH(A873-30,Clean_Data!$A$2:$A$4314,1))-1)</f>
        <v>0.935090551901312</v>
      </c>
    </row>
    <row r="874" customFormat="false" ht="15" hidden="false" customHeight="false" outlineLevel="0" collapsed="false">
      <c r="A874" s="16" t="n">
        <v>42880</v>
      </c>
      <c r="B874" s="23" t="n">
        <f aca="false">YEAR(A874)</f>
        <v>2017</v>
      </c>
      <c r="C874" s="17" t="n">
        <v>2355</v>
      </c>
      <c r="D874" s="23" t="n">
        <f aca="false">A874-A873</f>
        <v>1</v>
      </c>
      <c r="E874" s="24" t="n">
        <f aca="false">LN(C874)</f>
        <v>7.76429600645052</v>
      </c>
      <c r="F874" s="25" t="n">
        <f aca="false">LN(C874/C873)</f>
        <v>-0.0325720058007568</v>
      </c>
      <c r="G874" s="25" t="n">
        <f aca="false">IF(AND(D874=1,A874&gt;=$R$2),F874,"")</f>
        <v>-0.0325720058007568</v>
      </c>
      <c r="H874" s="27" t="n">
        <f aca="false">IF(G874="","",G874^2)</f>
        <v>0.00106093556188453</v>
      </c>
      <c r="I874" s="25" t="n">
        <f aca="false">IF(G874="","",C874/C873-1)</f>
        <v>-0.0320472508908863</v>
      </c>
      <c r="J874" s="17" t="n">
        <f aca="false">AVERAGE(C675:C874)</f>
        <v>1093.5521</v>
      </c>
      <c r="K874" s="17" t="n">
        <f aca="false">MAX(K873,C874)</f>
        <v>2432.97</v>
      </c>
      <c r="L874" s="25" t="n">
        <f aca="false">C874/K874-1</f>
        <v>-0.0320472508908863</v>
      </c>
      <c r="M874" s="25" t="n">
        <f aca="false">IF(COUNT(G845:G874)&lt;20,"",_xlfn.STDEV.S(G845:G874)*SQRT($R$3))</f>
        <v>0.598796820384177</v>
      </c>
      <c r="N874" s="25" t="n">
        <f aca="false">IF(A874-7&lt;$R$2,"",C874/INDEX(Clean_Data!$C$2:$C$4314,MATCH(A874-7,Clean_Data!$A$2:$A$4314,1))-1)</f>
        <v>0.240021904420902</v>
      </c>
      <c r="O874" s="25" t="n">
        <f aca="false">IF(A874-30&lt;$R$2,"",C874/INDEX(Clean_Data!$C$2:$C$4314,MATCH(A874-30,Clean_Data!$A$2:$A$4314,1))-1)</f>
        <v>0.838177901276968</v>
      </c>
    </row>
    <row r="875" customFormat="false" ht="15" hidden="false" customHeight="false" outlineLevel="0" collapsed="false">
      <c r="A875" s="16" t="n">
        <v>42881</v>
      </c>
      <c r="B875" s="23" t="n">
        <f aca="false">YEAR(A875)</f>
        <v>2017</v>
      </c>
      <c r="C875" s="17" t="n">
        <v>2272.7</v>
      </c>
      <c r="D875" s="23" t="n">
        <f aca="false">A875-A874</f>
        <v>1</v>
      </c>
      <c r="E875" s="24" t="n">
        <f aca="false">LN(C875)</f>
        <v>7.72872383097997</v>
      </c>
      <c r="F875" s="25" t="n">
        <f aca="false">LN(C875/C874)</f>
        <v>-0.0355721754705515</v>
      </c>
      <c r="G875" s="25" t="n">
        <f aca="false">IF(AND(D875=1,A875&gt;=$R$2),F875,"")</f>
        <v>-0.0355721754705515</v>
      </c>
      <c r="H875" s="27" t="n">
        <f aca="false">IF(G875="","",G875^2)</f>
        <v>0.00126537966770771</v>
      </c>
      <c r="I875" s="25" t="n">
        <f aca="false">IF(G875="","",C875/C874-1)</f>
        <v>-0.0349469214437368</v>
      </c>
      <c r="J875" s="17" t="n">
        <f aca="false">AVERAGE(C676:C875)</f>
        <v>1101.3835</v>
      </c>
      <c r="K875" s="17" t="n">
        <f aca="false">MAX(K874,C875)</f>
        <v>2432.97</v>
      </c>
      <c r="L875" s="25" t="n">
        <f aca="false">C875/K875-1</f>
        <v>-0.0658742195752516</v>
      </c>
      <c r="M875" s="25" t="n">
        <f aca="false">IF(COUNT(G846:G875)&lt;20,"",_xlfn.STDEV.S(G846:G875)*SQRT($R$3))</f>
        <v>0.629470431839695</v>
      </c>
      <c r="N875" s="25" t="n">
        <f aca="false">IF(A875-7&lt;$R$2,"",C875/INDEX(Clean_Data!$C$2:$C$4314,MATCH(A875-7,Clean_Data!$A$2:$A$4314,1))-1)</f>
        <v>0.150017963496152</v>
      </c>
      <c r="O875" s="25" t="n">
        <f aca="false">IF(A875-30&lt;$R$2,"",C875/INDEX(Clean_Data!$C$2:$C$4314,MATCH(A875-30,Clean_Data!$A$2:$A$4314,1))-1)</f>
        <v>0.750331166630726</v>
      </c>
    </row>
    <row r="876" customFormat="false" ht="15" hidden="false" customHeight="false" outlineLevel="0" collapsed="false">
      <c r="A876" s="16" t="n">
        <v>42882</v>
      </c>
      <c r="B876" s="23" t="n">
        <f aca="false">YEAR(A876)</f>
        <v>2017</v>
      </c>
      <c r="C876" s="17" t="n">
        <v>2099.99</v>
      </c>
      <c r="D876" s="23" t="n">
        <f aca="false">A876-A875</f>
        <v>1</v>
      </c>
      <c r="E876" s="24" t="n">
        <f aca="false">LN(C876)</f>
        <v>7.64968786179542</v>
      </c>
      <c r="F876" s="25" t="n">
        <f aca="false">LN(C876/C875)</f>
        <v>-0.0790359691845521</v>
      </c>
      <c r="G876" s="25" t="n">
        <f aca="false">IF(AND(D876=1,A876&gt;=$R$2),F876,"")</f>
        <v>-0.0790359691845521</v>
      </c>
      <c r="H876" s="27" t="n">
        <f aca="false">IF(G876="","",G876^2)</f>
        <v>0.00624668442494147</v>
      </c>
      <c r="I876" s="25" t="n">
        <f aca="false">IF(G876="","",C876/C875-1)</f>
        <v>-0.075993311919743</v>
      </c>
      <c r="J876" s="17" t="n">
        <f aca="false">AVERAGE(C677:C876)</f>
        <v>1108.3277</v>
      </c>
      <c r="K876" s="17" t="n">
        <f aca="false">MAX(K875,C876)</f>
        <v>2432.97</v>
      </c>
      <c r="L876" s="25" t="n">
        <f aca="false">C876/K876-1</f>
        <v>-0.136861531379343</v>
      </c>
      <c r="M876" s="25" t="n">
        <f aca="false">IF(COUNT(G847:G876)&lt;20,"",_xlfn.STDEV.S(G847:G876)*SQRT($R$3))</f>
        <v>0.711109353722729</v>
      </c>
      <c r="N876" s="25" t="n">
        <f aca="false">IF(A876-7&lt;$R$2,"",C876/INDEX(Clean_Data!$C$2:$C$4314,MATCH(A876-7,Clean_Data!$A$2:$A$4314,1))-1)</f>
        <v>0.0199523048603387</v>
      </c>
      <c r="O876" s="25" t="n">
        <f aca="false">IF(A876-30&lt;$R$2,"",C876/INDEX(Clean_Data!$C$2:$C$4314,MATCH(A876-30,Clean_Data!$A$2:$A$4314,1))-1)</f>
        <v>0.55640128663119</v>
      </c>
    </row>
    <row r="877" customFormat="false" ht="15" hidden="false" customHeight="false" outlineLevel="0" collapsed="false">
      <c r="A877" s="16" t="n">
        <v>42883</v>
      </c>
      <c r="B877" s="23" t="n">
        <f aca="false">YEAR(A877)</f>
        <v>2017</v>
      </c>
      <c r="C877" s="17" t="n">
        <v>2232.78</v>
      </c>
      <c r="D877" s="23" t="n">
        <f aca="false">A877-A876</f>
        <v>1</v>
      </c>
      <c r="E877" s="24" t="n">
        <f aca="false">LN(C877)</f>
        <v>7.71100272481904</v>
      </c>
      <c r="F877" s="25" t="n">
        <f aca="false">LN(C877/C876)</f>
        <v>0.0613148630236284</v>
      </c>
      <c r="G877" s="25" t="n">
        <f aca="false">IF(AND(D877=1,A877&gt;=$R$2),F877,"")</f>
        <v>0.0613148630236284</v>
      </c>
      <c r="H877" s="27" t="n">
        <f aca="false">IF(G877="","",G877^2)</f>
        <v>0.00375951242760631</v>
      </c>
      <c r="I877" s="25" t="n">
        <f aca="false">IF(G877="","",C877/C876-1)</f>
        <v>0.0632336344458786</v>
      </c>
      <c r="J877" s="17" t="n">
        <f aca="false">AVERAGE(C678:C877)</f>
        <v>1115.88675</v>
      </c>
      <c r="K877" s="17" t="n">
        <f aca="false">MAX(K876,C877)</f>
        <v>2432.97</v>
      </c>
      <c r="L877" s="25" t="n">
        <f aca="false">C877/K877-1</f>
        <v>-0.0822821489784089</v>
      </c>
      <c r="M877" s="25" t="n">
        <f aca="false">IF(COUNT(G848:G877)&lt;20,"",_xlfn.STDEV.S(G848:G877)*SQRT($R$3))</f>
        <v>0.727884152012986</v>
      </c>
      <c r="N877" s="25" t="n">
        <f aca="false">IF(A877-7&lt;$R$2,"",C877/INDEX(Clean_Data!$C$2:$C$4314,MATCH(A877-7,Clean_Data!$A$2:$A$4314,1))-1)</f>
        <v>0.0854545454545455</v>
      </c>
      <c r="O877" s="25" t="n">
        <f aca="false">IF(A877-30&lt;$R$2,"",C877/INDEX(Clean_Data!$C$2:$C$4314,MATCH(A877-30,Clean_Data!$A$2:$A$4314,1))-1)</f>
        <v>0.64982931118566</v>
      </c>
    </row>
    <row r="878" customFormat="false" ht="15" hidden="false" customHeight="false" outlineLevel="0" collapsed="false">
      <c r="A878" s="16" t="n">
        <v>42884</v>
      </c>
      <c r="B878" s="23" t="n">
        <f aca="false">YEAR(A878)</f>
        <v>2017</v>
      </c>
      <c r="C878" s="17" t="n">
        <v>2279.48</v>
      </c>
      <c r="D878" s="23" t="n">
        <f aca="false">A878-A877</f>
        <v>1</v>
      </c>
      <c r="E878" s="24" t="n">
        <f aca="false">LN(C878)</f>
        <v>7.73170262576109</v>
      </c>
      <c r="F878" s="25" t="n">
        <f aca="false">LN(C878/C877)</f>
        <v>0.0206999009420475</v>
      </c>
      <c r="G878" s="25" t="n">
        <f aca="false">IF(AND(D878=1,A878&gt;=$R$2),F878,"")</f>
        <v>0.0206999009420475</v>
      </c>
      <c r="H878" s="27" t="n">
        <f aca="false">IF(G878="","",G878^2)</f>
        <v>0.000428485899010581</v>
      </c>
      <c r="I878" s="25" t="n">
        <f aca="false">IF(G878="","",C878/C877-1)</f>
        <v>0.0209156298426176</v>
      </c>
      <c r="J878" s="17" t="n">
        <f aca="false">AVERAGE(C679:C878)</f>
        <v>1123.7196</v>
      </c>
      <c r="K878" s="17" t="n">
        <f aca="false">MAX(K877,C878)</f>
        <v>2432.97</v>
      </c>
      <c r="L878" s="25" t="n">
        <f aca="false">C878/K878-1</f>
        <v>-0.0630875021064788</v>
      </c>
      <c r="M878" s="25" t="n">
        <f aca="false">IF(COUNT(G849:G878)&lt;20,"",_xlfn.STDEV.S(G849:G878)*SQRT($R$3))</f>
        <v>0.727457570105819</v>
      </c>
      <c r="N878" s="25" t="n">
        <f aca="false">IF(A878-7&lt;$R$2,"",C878/INDEX(Clean_Data!$C$2:$C$4314,MATCH(A878-7,Clean_Data!$A$2:$A$4314,1))-1)</f>
        <v>0.0735603709337867</v>
      </c>
      <c r="O878" s="25" t="n">
        <f aca="false">IF(A878-30&lt;$R$2,"",C878/INDEX(Clean_Data!$C$2:$C$4314,MATCH(A878-30,Clean_Data!$A$2:$A$4314,1))-1)</f>
        <v>0.669422819185165</v>
      </c>
    </row>
    <row r="879" customFormat="false" ht="15" hidden="false" customHeight="false" outlineLevel="0" collapsed="false">
      <c r="A879" s="16" t="n">
        <v>42885</v>
      </c>
      <c r="B879" s="23" t="n">
        <f aca="false">YEAR(A879)</f>
        <v>2017</v>
      </c>
      <c r="C879" s="17" t="n">
        <v>2191.58</v>
      </c>
      <c r="D879" s="23" t="n">
        <f aca="false">A879-A878</f>
        <v>1</v>
      </c>
      <c r="E879" s="24" t="n">
        <f aca="false">LN(C879)</f>
        <v>7.69237802386975</v>
      </c>
      <c r="F879" s="25" t="n">
        <f aca="false">LN(C879/C878)</f>
        <v>-0.0393246018913442</v>
      </c>
      <c r="G879" s="25" t="n">
        <f aca="false">IF(AND(D879=1,A879&gt;=$R$2),F879,"")</f>
        <v>-0.0393246018913442</v>
      </c>
      <c r="H879" s="27" t="n">
        <f aca="false">IF(G879="","",G879^2)</f>
        <v>0.00154642431391271</v>
      </c>
      <c r="I879" s="25" t="n">
        <f aca="false">IF(G879="","",C879/C878-1)</f>
        <v>-0.0385614262902065</v>
      </c>
      <c r="J879" s="17" t="n">
        <f aca="false">AVERAGE(C680:C879)</f>
        <v>1131.093</v>
      </c>
      <c r="K879" s="17" t="n">
        <f aca="false">MAX(K878,C879)</f>
        <v>2432.97</v>
      </c>
      <c r="L879" s="25" t="n">
        <f aca="false">C879/K879-1</f>
        <v>-0.0992161843343732</v>
      </c>
      <c r="M879" s="25" t="n">
        <f aca="false">IF(COUNT(G850:G879)&lt;20,"",_xlfn.STDEV.S(G850:G879)*SQRT($R$3))</f>
        <v>0.75360810876673</v>
      </c>
      <c r="N879" s="25" t="n">
        <f aca="false">IF(A879-7&lt;$R$2,"",C879/INDEX(Clean_Data!$C$2:$C$4314,MATCH(A879-7,Clean_Data!$A$2:$A$4314,1))-1)</f>
        <v>-0.0357144428555715</v>
      </c>
      <c r="O879" s="25" t="n">
        <f aca="false">IF(A879-30&lt;$R$2,"",C879/INDEX(Clean_Data!$C$2:$C$4314,MATCH(A879-30,Clean_Data!$A$2:$A$4314,1))-1)</f>
        <v>0.582882525008125</v>
      </c>
    </row>
    <row r="880" customFormat="false" ht="15" hidden="false" customHeight="false" outlineLevel="0" collapsed="false">
      <c r="A880" s="16" t="n">
        <v>42886</v>
      </c>
      <c r="B880" s="23" t="n">
        <f aca="false">YEAR(A880)</f>
        <v>2017</v>
      </c>
      <c r="C880" s="17" t="n">
        <v>2303.29</v>
      </c>
      <c r="D880" s="23" t="n">
        <f aca="false">A880-A879</f>
        <v>1</v>
      </c>
      <c r="E880" s="24" t="n">
        <f aca="false">LN(C880)</f>
        <v>7.7420938146026</v>
      </c>
      <c r="F880" s="25" t="n">
        <f aca="false">LN(C880/C879)</f>
        <v>0.0497157907328496</v>
      </c>
      <c r="G880" s="25" t="n">
        <f aca="false">IF(AND(D880=1,A880&gt;=$R$2),F880,"")</f>
        <v>0.0497157907328496</v>
      </c>
      <c r="H880" s="27" t="n">
        <f aca="false">IF(G880="","",G880^2)</f>
        <v>0.0024716598481925</v>
      </c>
      <c r="I880" s="25" t="n">
        <f aca="false">IF(G880="","",C880/C879-1)</f>
        <v>0.0509723578422874</v>
      </c>
      <c r="J880" s="17" t="n">
        <f aca="false">AVERAGE(C681:C880)</f>
        <v>1139.0868</v>
      </c>
      <c r="K880" s="17" t="n">
        <f aca="false">MAX(K879,C880)</f>
        <v>2432.97</v>
      </c>
      <c r="L880" s="25" t="n">
        <f aca="false">C880/K880-1</f>
        <v>-0.0533011093437239</v>
      </c>
      <c r="M880" s="25" t="n">
        <f aca="false">IF(COUNT(G851:G880)&lt;20,"",_xlfn.STDEV.S(G851:G880)*SQRT($R$3))</f>
        <v>0.759555108965279</v>
      </c>
      <c r="N880" s="25" t="n">
        <f aca="false">IF(A880-7&lt;$R$2,"",C880/INDEX(Clean_Data!$C$2:$C$4314,MATCH(A880-7,Clean_Data!$A$2:$A$4314,1))-1)</f>
        <v>-0.0533011093437239</v>
      </c>
      <c r="O880" s="25" t="n">
        <f aca="false">IF(A880-30&lt;$R$2,"",C880/INDEX(Clean_Data!$C$2:$C$4314,MATCH(A880-30,Clean_Data!$A$2:$A$4314,1))-1)</f>
        <v>0.603404107205012</v>
      </c>
    </row>
    <row r="881" customFormat="false" ht="15" hidden="false" customHeight="false" outlineLevel="0" collapsed="false">
      <c r="A881" s="16" t="n">
        <v>42887</v>
      </c>
      <c r="B881" s="23" t="n">
        <f aca="false">YEAR(A881)</f>
        <v>2017</v>
      </c>
      <c r="C881" s="17" t="n">
        <v>2419.99</v>
      </c>
      <c r="D881" s="23" t="n">
        <f aca="false">A881-A880</f>
        <v>1</v>
      </c>
      <c r="E881" s="24" t="n">
        <f aca="false">LN(C881)</f>
        <v>7.79151868691079</v>
      </c>
      <c r="F881" s="25" t="n">
        <f aca="false">LN(C881/C880)</f>
        <v>0.0494248723081936</v>
      </c>
      <c r="G881" s="25" t="n">
        <f aca="false">IF(AND(D881=1,A881&gt;=$R$2),F881,"")</f>
        <v>0.0494248723081936</v>
      </c>
      <c r="H881" s="27" t="n">
        <f aca="false">IF(G881="","",G881^2)</f>
        <v>0.00244281800268125</v>
      </c>
      <c r="I881" s="25" t="n">
        <f aca="false">IF(G881="","",C881/C880-1)</f>
        <v>0.0506666550890247</v>
      </c>
      <c r="J881" s="17" t="n">
        <f aca="false">AVERAGE(C682:C881)</f>
        <v>1147.6667</v>
      </c>
      <c r="K881" s="17" t="n">
        <f aca="false">MAX(K880,C881)</f>
        <v>2432.97</v>
      </c>
      <c r="L881" s="25" t="n">
        <f aca="false">C881/K881-1</f>
        <v>-0.00533504317767997</v>
      </c>
      <c r="M881" s="25" t="n">
        <f aca="false">IF(COUNT(G852:G881)&lt;20,"",_xlfn.STDEV.S(G852:G881)*SQRT($R$3))</f>
        <v>0.768113859306139</v>
      </c>
      <c r="N881" s="25" t="n">
        <f aca="false">IF(A881-7&lt;$R$2,"",C881/INDEX(Clean_Data!$C$2:$C$4314,MATCH(A881-7,Clean_Data!$A$2:$A$4314,1))-1)</f>
        <v>0.0275966029723991</v>
      </c>
      <c r="O881" s="25" t="n">
        <f aca="false">IF(A881-30&lt;$R$2,"",C881/INDEX(Clean_Data!$C$2:$C$4314,MATCH(A881-30,Clean_Data!$A$2:$A$4314,1))-1)</f>
        <v>0.644026114307842</v>
      </c>
    </row>
    <row r="882" customFormat="false" ht="15" hidden="false" customHeight="false" outlineLevel="0" collapsed="false">
      <c r="A882" s="16" t="n">
        <v>42888</v>
      </c>
      <c r="B882" s="23" t="n">
        <f aca="false">YEAR(A882)</f>
        <v>2017</v>
      </c>
      <c r="C882" s="17" t="n">
        <v>2478.99</v>
      </c>
      <c r="D882" s="23" t="n">
        <f aca="false">A882-A881</f>
        <v>1</v>
      </c>
      <c r="E882" s="24" t="n">
        <f aca="false">LN(C882)</f>
        <v>7.81560649814242</v>
      </c>
      <c r="F882" s="25" t="n">
        <f aca="false">LN(C882/C881)</f>
        <v>0.0240878112316341</v>
      </c>
      <c r="G882" s="25" t="n">
        <f aca="false">IF(AND(D882=1,A882&gt;=$R$2),F882,"")</f>
        <v>0.0240878112316341</v>
      </c>
      <c r="H882" s="27" t="n">
        <f aca="false">IF(G882="","",G882^2)</f>
        <v>0.000580222649930837</v>
      </c>
      <c r="I882" s="25" t="n">
        <f aca="false">IF(G882="","",C882/C881-1)</f>
        <v>0.0243802660341572</v>
      </c>
      <c r="J882" s="17" t="n">
        <f aca="false">AVERAGE(C683:C882)</f>
        <v>1156.52005</v>
      </c>
      <c r="K882" s="17" t="n">
        <f aca="false">MAX(K881,C882)</f>
        <v>2478.99</v>
      </c>
      <c r="L882" s="25" t="n">
        <f aca="false">C882/K882-1</f>
        <v>0</v>
      </c>
      <c r="M882" s="25" t="n">
        <f aca="false">IF(COUNT(G853:G882)&lt;20,"",_xlfn.STDEV.S(G853:G882)*SQRT($R$3))</f>
        <v>0.763754994485839</v>
      </c>
      <c r="N882" s="25" t="n">
        <f aca="false">IF(A882-7&lt;$R$2,"",C882/INDEX(Clean_Data!$C$2:$C$4314,MATCH(A882-7,Clean_Data!$A$2:$A$4314,1))-1)</f>
        <v>0.0907686892242707</v>
      </c>
      <c r="O882" s="25" t="n">
        <f aca="false">IF(A882-30&lt;$R$2,"",C882/INDEX(Clean_Data!$C$2:$C$4314,MATCH(A882-30,Clean_Data!$A$2:$A$4314,1))-1)</f>
        <v>0.617084148727984</v>
      </c>
    </row>
    <row r="883" customFormat="false" ht="15" hidden="false" customHeight="false" outlineLevel="0" collapsed="false">
      <c r="A883" s="16" t="n">
        <v>42889</v>
      </c>
      <c r="B883" s="23" t="n">
        <f aca="false">YEAR(A883)</f>
        <v>2017</v>
      </c>
      <c r="C883" s="17" t="n">
        <v>2548.05</v>
      </c>
      <c r="D883" s="23" t="n">
        <f aca="false">A883-A882</f>
        <v>1</v>
      </c>
      <c r="E883" s="24" t="n">
        <f aca="false">LN(C883)</f>
        <v>7.84308363973343</v>
      </c>
      <c r="F883" s="25" t="n">
        <f aca="false">LN(C883/C882)</f>
        <v>0.0274771415910065</v>
      </c>
      <c r="G883" s="25" t="n">
        <f aca="false">IF(AND(D883=1,A883&gt;=$R$2),F883,"")</f>
        <v>0.0274771415910065</v>
      </c>
      <c r="H883" s="27" t="n">
        <f aca="false">IF(G883="","",G883^2)</f>
        <v>0.000754993310012222</v>
      </c>
      <c r="I883" s="25" t="n">
        <f aca="false">IF(G883="","",C883/C882-1)</f>
        <v>0.0278581196374332</v>
      </c>
      <c r="J883" s="17" t="n">
        <f aca="false">AVERAGE(C684:C883)</f>
        <v>1165.69885</v>
      </c>
      <c r="K883" s="17" t="n">
        <f aca="false">MAX(K882,C883)</f>
        <v>2548.05</v>
      </c>
      <c r="L883" s="25" t="n">
        <f aca="false">C883/K883-1</f>
        <v>0</v>
      </c>
      <c r="M883" s="25" t="n">
        <f aca="false">IF(COUNT(G854:G883)&lt;20,"",_xlfn.STDEV.S(G854:G883)*SQRT($R$3))</f>
        <v>0.764711591200689</v>
      </c>
      <c r="N883" s="25" t="n">
        <f aca="false">IF(A883-7&lt;$R$2,"",C883/INDEX(Clean_Data!$C$2:$C$4314,MATCH(A883-7,Clean_Data!$A$2:$A$4314,1))-1)</f>
        <v>0.213362920775813</v>
      </c>
      <c r="O883" s="25" t="n">
        <f aca="false">IF(A883-30&lt;$R$2,"",C883/INDEX(Clean_Data!$C$2:$C$4314,MATCH(A883-30,Clean_Data!$A$2:$A$4314,1))-1)</f>
        <v>0.629823652447566</v>
      </c>
    </row>
    <row r="884" customFormat="false" ht="15" hidden="false" customHeight="false" outlineLevel="0" collapsed="false">
      <c r="A884" s="16" t="n">
        <v>42890</v>
      </c>
      <c r="B884" s="23" t="n">
        <f aca="false">YEAR(A884)</f>
        <v>2017</v>
      </c>
      <c r="C884" s="17" t="n">
        <v>2521.36</v>
      </c>
      <c r="D884" s="23" t="n">
        <f aca="false">A884-A883</f>
        <v>1</v>
      </c>
      <c r="E884" s="24" t="n">
        <f aca="false">LN(C884)</f>
        <v>7.8325537174689</v>
      </c>
      <c r="F884" s="25" t="n">
        <f aca="false">LN(C884/C883)</f>
        <v>-0.0105299222645258</v>
      </c>
      <c r="G884" s="25" t="n">
        <f aca="false">IF(AND(D884=1,A884&gt;=$R$2),F884,"")</f>
        <v>-0.0105299222645258</v>
      </c>
      <c r="H884" s="27" t="n">
        <f aca="false">IF(G884="","",G884^2)</f>
        <v>0.000110879262896956</v>
      </c>
      <c r="I884" s="25" t="n">
        <f aca="false">IF(G884="","",C884/C883-1)</f>
        <v>-0.0104746767135653</v>
      </c>
      <c r="J884" s="17" t="n">
        <f aca="false">AVERAGE(C685:C884)</f>
        <v>1174.6064</v>
      </c>
      <c r="K884" s="17" t="n">
        <f aca="false">MAX(K883,C884)</f>
        <v>2548.05</v>
      </c>
      <c r="L884" s="25" t="n">
        <f aca="false">C884/K884-1</f>
        <v>-0.0104746767135653</v>
      </c>
      <c r="M884" s="25" t="n">
        <f aca="false">IF(COUNT(G855:G884)&lt;20,"",_xlfn.STDEV.S(G855:G884)*SQRT($R$3))</f>
        <v>0.765866552877556</v>
      </c>
      <c r="N884" s="25" t="n">
        <f aca="false">IF(A884-7&lt;$R$2,"",C884/INDEX(Clean_Data!$C$2:$C$4314,MATCH(A884-7,Clean_Data!$A$2:$A$4314,1))-1)</f>
        <v>0.129246947751234</v>
      </c>
      <c r="O884" s="25" t="n">
        <f aca="false">IF(A884-30&lt;$R$2,"",C884/INDEX(Clean_Data!$C$2:$C$4314,MATCH(A884-30,Clean_Data!$A$2:$A$4314,1))-1)</f>
        <v>0.625320698768775</v>
      </c>
    </row>
    <row r="885" customFormat="false" ht="15" hidden="false" customHeight="false" outlineLevel="0" collapsed="false">
      <c r="A885" s="16" t="n">
        <v>42891</v>
      </c>
      <c r="B885" s="23" t="n">
        <f aca="false">YEAR(A885)</f>
        <v>2017</v>
      </c>
      <c r="C885" s="17" t="n">
        <v>2698</v>
      </c>
      <c r="D885" s="23" t="n">
        <f aca="false">A885-A884</f>
        <v>1</v>
      </c>
      <c r="E885" s="24" t="n">
        <f aca="false">LN(C885)</f>
        <v>7.9002660367677</v>
      </c>
      <c r="F885" s="25" t="n">
        <f aca="false">LN(C885/C884)</f>
        <v>0.0677123192987972</v>
      </c>
      <c r="G885" s="25" t="n">
        <f aca="false">IF(AND(D885=1,A885&gt;=$R$2),F885,"")</f>
        <v>0.0677123192987972</v>
      </c>
      <c r="H885" s="27" t="n">
        <f aca="false">IF(G885="","",G885^2)</f>
        <v>0.00458495818482226</v>
      </c>
      <c r="I885" s="25" t="n">
        <f aca="false">IF(G885="","",C885/C884-1)</f>
        <v>0.070057429323857</v>
      </c>
      <c r="J885" s="17" t="n">
        <f aca="false">AVERAGE(C686:C885)</f>
        <v>1184.44285</v>
      </c>
      <c r="K885" s="17" t="n">
        <f aca="false">MAX(K884,C885)</f>
        <v>2698</v>
      </c>
      <c r="L885" s="25" t="n">
        <f aca="false">C885/K885-1</f>
        <v>0</v>
      </c>
      <c r="M885" s="25" t="n">
        <f aca="false">IF(COUNT(G856:G885)&lt;20,"",_xlfn.STDEV.S(G856:G885)*SQRT($R$3))</f>
        <v>0.786567231032754</v>
      </c>
      <c r="N885" s="25" t="n">
        <f aca="false">IF(A885-7&lt;$R$2,"",C885/INDEX(Clean_Data!$C$2:$C$4314,MATCH(A885-7,Clean_Data!$A$2:$A$4314,1))-1)</f>
        <v>0.183603277940583</v>
      </c>
      <c r="O885" s="25" t="n">
        <f aca="false">IF(A885-30&lt;$R$2,"",C885/INDEX(Clean_Data!$C$2:$C$4314,MATCH(A885-30,Clean_Data!$A$2:$A$4314,1))-1)</f>
        <v>0.701789465052763</v>
      </c>
    </row>
    <row r="886" customFormat="false" ht="15" hidden="false" customHeight="false" outlineLevel="0" collapsed="false">
      <c r="A886" s="16" t="n">
        <v>42892</v>
      </c>
      <c r="B886" s="23" t="n">
        <f aca="false">YEAR(A886)</f>
        <v>2017</v>
      </c>
      <c r="C886" s="17" t="n">
        <v>2871.29</v>
      </c>
      <c r="D886" s="23" t="n">
        <f aca="false">A886-A885</f>
        <v>1</v>
      </c>
      <c r="E886" s="24" t="n">
        <f aca="false">LN(C886)</f>
        <v>7.9625166851209</v>
      </c>
      <c r="F886" s="25" t="n">
        <f aca="false">LN(C886/C885)</f>
        <v>0.0622506483531961</v>
      </c>
      <c r="G886" s="25" t="n">
        <f aca="false">IF(AND(D886=1,A886&gt;=$R$2),F886,"")</f>
        <v>0.0622506483531961</v>
      </c>
      <c r="H886" s="27" t="n">
        <f aca="false">IF(G886="","",G886^2)</f>
        <v>0.00387514322039327</v>
      </c>
      <c r="I886" s="25" t="n">
        <f aca="false">IF(G886="","",C886/C885-1)</f>
        <v>0.0642290585618977</v>
      </c>
      <c r="J886" s="17" t="n">
        <f aca="false">AVERAGE(C687:C886)</f>
        <v>1195.0566</v>
      </c>
      <c r="K886" s="17" t="n">
        <f aca="false">MAX(K885,C886)</f>
        <v>2871.29</v>
      </c>
      <c r="L886" s="25" t="n">
        <f aca="false">C886/K886-1</f>
        <v>0</v>
      </c>
      <c r="M886" s="25" t="n">
        <f aca="false">IF(COUNT(G857:G886)&lt;20,"",_xlfn.STDEV.S(G857:G886)*SQRT($R$3))</f>
        <v>0.801640660580216</v>
      </c>
      <c r="N886" s="25" t="n">
        <f aca="false">IF(A886-7&lt;$R$2,"",C886/INDEX(Clean_Data!$C$2:$C$4314,MATCH(A886-7,Clean_Data!$A$2:$A$4314,1))-1)</f>
        <v>0.310146104636837</v>
      </c>
      <c r="O886" s="25" t="n">
        <f aca="false">IF(A886-30&lt;$R$2,"",C886/INDEX(Clean_Data!$C$2:$C$4314,MATCH(A886-30,Clean_Data!$A$2:$A$4314,1))-1)</f>
        <v>0.783886379592065</v>
      </c>
    </row>
    <row r="887" customFormat="false" ht="15" hidden="false" customHeight="false" outlineLevel="0" collapsed="false">
      <c r="A887" s="16" t="n">
        <v>42893</v>
      </c>
      <c r="B887" s="23" t="n">
        <f aca="false">YEAR(A887)</f>
        <v>2017</v>
      </c>
      <c r="C887" s="17" t="n">
        <v>2685.64</v>
      </c>
      <c r="D887" s="23" t="n">
        <f aca="false">A887-A886</f>
        <v>1</v>
      </c>
      <c r="E887" s="24" t="n">
        <f aca="false">LN(C887)</f>
        <v>7.89567433980573</v>
      </c>
      <c r="F887" s="25" t="n">
        <f aca="false">LN(C887/C886)</f>
        <v>-0.0668423453151713</v>
      </c>
      <c r="G887" s="25" t="n">
        <f aca="false">IF(AND(D887=1,A887&gt;=$R$2),F887,"")</f>
        <v>-0.0668423453151713</v>
      </c>
      <c r="H887" s="27" t="n">
        <f aca="false">IF(G887="","",G887^2)</f>
        <v>0.0044678991272326</v>
      </c>
      <c r="I887" s="25" t="n">
        <f aca="false">IF(G887="","",C887/C886-1)</f>
        <v>-0.0646573491357544</v>
      </c>
      <c r="J887" s="17" t="n">
        <f aca="false">AVERAGE(C688:C887)</f>
        <v>1204.73095</v>
      </c>
      <c r="K887" s="17" t="n">
        <f aca="false">MAX(K886,C887)</f>
        <v>2871.29</v>
      </c>
      <c r="L887" s="25" t="n">
        <f aca="false">C887/K887-1</f>
        <v>-0.0646573491357544</v>
      </c>
      <c r="M887" s="25" t="n">
        <f aca="false">IF(COUNT(G858:G887)&lt;20,"",_xlfn.STDEV.S(G858:G887)*SQRT($R$3))</f>
        <v>0.840093681540115</v>
      </c>
      <c r="N887" s="25" t="n">
        <f aca="false">IF(A887-7&lt;$R$2,"",C887/INDEX(Clean_Data!$C$2:$C$4314,MATCH(A887-7,Clean_Data!$A$2:$A$4314,1))-1)</f>
        <v>0.166001675863656</v>
      </c>
      <c r="O887" s="25" t="n">
        <f aca="false">IF(A887-30&lt;$R$2,"",C887/INDEX(Clean_Data!$C$2:$C$4314,MATCH(A887-30,Clean_Data!$A$2:$A$4314,1))-1)</f>
        <v>0.567799182720373</v>
      </c>
    </row>
    <row r="888" customFormat="false" ht="15" hidden="false" customHeight="false" outlineLevel="0" collapsed="false">
      <c r="A888" s="16" t="n">
        <v>42894</v>
      </c>
      <c r="B888" s="23" t="n">
        <f aca="false">YEAR(A888)</f>
        <v>2017</v>
      </c>
      <c r="C888" s="17" t="n">
        <v>2799.73</v>
      </c>
      <c r="D888" s="23" t="n">
        <f aca="false">A888-A887</f>
        <v>1</v>
      </c>
      <c r="E888" s="24" t="n">
        <f aca="false">LN(C888)</f>
        <v>7.93727826294233</v>
      </c>
      <c r="F888" s="25" t="n">
        <f aca="false">LN(C888/C887)</f>
        <v>0.0416039231366071</v>
      </c>
      <c r="G888" s="25" t="n">
        <f aca="false">IF(AND(D888=1,A888&gt;=$R$2),F888,"")</f>
        <v>0.0416039231366071</v>
      </c>
      <c r="H888" s="27" t="n">
        <f aca="false">IF(G888="","",G888^2)</f>
        <v>0.00173088642035671</v>
      </c>
      <c r="I888" s="25" t="n">
        <f aca="false">IF(G888="","",C888/C887-1)</f>
        <v>0.0424814941689877</v>
      </c>
      <c r="J888" s="17" t="n">
        <f aca="false">AVERAGE(C689:C888)</f>
        <v>1215.06965</v>
      </c>
      <c r="K888" s="17" t="n">
        <f aca="false">MAX(K887,C888)</f>
        <v>2871.29</v>
      </c>
      <c r="L888" s="25" t="n">
        <f aca="false">C888/K888-1</f>
        <v>-0.0249225957670594</v>
      </c>
      <c r="M888" s="25" t="n">
        <f aca="false">IF(COUNT(G859:G888)&lt;20,"",_xlfn.STDEV.S(G859:G888)*SQRT($R$3))</f>
        <v>0.844191536492393</v>
      </c>
      <c r="N888" s="25" t="n">
        <f aca="false">IF(A888-7&lt;$R$2,"",C888/INDEX(Clean_Data!$C$2:$C$4314,MATCH(A888-7,Clean_Data!$A$2:$A$4314,1))-1)</f>
        <v>0.156918003793404</v>
      </c>
      <c r="O888" s="25" t="n">
        <f aca="false">IF(A888-30&lt;$R$2,"",C888/INDEX(Clean_Data!$C$2:$C$4314,MATCH(A888-30,Clean_Data!$A$2:$A$4314,1))-1)</f>
        <v>0.627343164208948</v>
      </c>
    </row>
    <row r="889" customFormat="false" ht="15" hidden="false" customHeight="false" outlineLevel="0" collapsed="false">
      <c r="A889" s="16" t="n">
        <v>42895</v>
      </c>
      <c r="B889" s="23" t="n">
        <f aca="false">YEAR(A889)</f>
        <v>2017</v>
      </c>
      <c r="C889" s="17" t="n">
        <v>2811.39</v>
      </c>
      <c r="D889" s="23" t="n">
        <f aca="false">A889-A888</f>
        <v>1</v>
      </c>
      <c r="E889" s="24" t="n">
        <f aca="false">LN(C889)</f>
        <v>7.94143430194462</v>
      </c>
      <c r="F889" s="25" t="n">
        <f aca="false">LN(C889/C888)</f>
        <v>0.00415603900228934</v>
      </c>
      <c r="G889" s="25" t="n">
        <f aca="false">IF(AND(D889=1,A889&gt;=$R$2),F889,"")</f>
        <v>0.00415603900228934</v>
      </c>
      <c r="H889" s="27" t="n">
        <f aca="false">IF(G889="","",G889^2)</f>
        <v>1.72726601885501E-005</v>
      </c>
      <c r="I889" s="25" t="n">
        <f aca="false">IF(G889="","",C889/C888-1)</f>
        <v>0.00416468730913322</v>
      </c>
      <c r="J889" s="17" t="n">
        <f aca="false">AVERAGE(C690:C889)</f>
        <v>1225.4446</v>
      </c>
      <c r="K889" s="17" t="n">
        <f aca="false">MAX(K888,C889)</f>
        <v>2871.29</v>
      </c>
      <c r="L889" s="25" t="n">
        <f aca="false">C889/K889-1</f>
        <v>-0.0208617032762278</v>
      </c>
      <c r="M889" s="25" t="n">
        <f aca="false">IF(COUNT(G860:G889)&lt;20,"",_xlfn.STDEV.S(G860:G889)*SQRT($R$3))</f>
        <v>0.839788548189667</v>
      </c>
      <c r="N889" s="25" t="n">
        <f aca="false">IF(A889-7&lt;$R$2,"",C889/INDEX(Clean_Data!$C$2:$C$4314,MATCH(A889-7,Clean_Data!$A$2:$A$4314,1))-1)</f>
        <v>0.134086866022049</v>
      </c>
      <c r="O889" s="25" t="n">
        <f aca="false">IF(A889-30&lt;$R$2,"",C889/INDEX(Clean_Data!$C$2:$C$4314,MATCH(A889-30,Clean_Data!$A$2:$A$4314,1))-1)</f>
        <v>0.56624270887303</v>
      </c>
    </row>
    <row r="890" customFormat="false" ht="15" hidden="false" customHeight="false" outlineLevel="0" collapsed="false">
      <c r="A890" s="16" t="n">
        <v>42896</v>
      </c>
      <c r="B890" s="23" t="n">
        <f aca="false">YEAR(A890)</f>
        <v>2017</v>
      </c>
      <c r="C890" s="17" t="n">
        <v>2931.15</v>
      </c>
      <c r="D890" s="23" t="n">
        <f aca="false">A890-A889</f>
        <v>1</v>
      </c>
      <c r="E890" s="24" t="n">
        <f aca="false">LN(C890)</f>
        <v>7.98315011647406</v>
      </c>
      <c r="F890" s="25" t="n">
        <f aca="false">LN(C890/C889)</f>
        <v>0.0417158145294395</v>
      </c>
      <c r="G890" s="25" t="n">
        <f aca="false">IF(AND(D890=1,A890&gt;=$R$2),F890,"")</f>
        <v>0.0417158145294395</v>
      </c>
      <c r="H890" s="27" t="n">
        <f aca="false">IF(G890="","",G890^2)</f>
        <v>0.0017402091818546</v>
      </c>
      <c r="I890" s="25" t="n">
        <f aca="false">IF(G890="","",C890/C889-1)</f>
        <v>0.0425981454013851</v>
      </c>
      <c r="J890" s="17" t="n">
        <f aca="false">AVERAGE(C691:C890)</f>
        <v>1236.36705</v>
      </c>
      <c r="K890" s="17" t="n">
        <f aca="false">MAX(K889,C890)</f>
        <v>2931.15</v>
      </c>
      <c r="L890" s="25" t="n">
        <f aca="false">C890/K890-1</f>
        <v>0</v>
      </c>
      <c r="M890" s="25" t="n">
        <f aca="false">IF(COUNT(G861:G890)&lt;20,"",_xlfn.STDEV.S(G861:G890)*SQRT($R$3))</f>
        <v>0.844494708619093</v>
      </c>
      <c r="N890" s="25" t="n">
        <f aca="false">IF(A890-7&lt;$R$2,"",C890/INDEX(Clean_Data!$C$2:$C$4314,MATCH(A890-7,Clean_Data!$A$2:$A$4314,1))-1)</f>
        <v>0.150350267851887</v>
      </c>
      <c r="O890" s="25" t="n">
        <f aca="false">IF(A890-30&lt;$R$2,"",C890/INDEX(Clean_Data!$C$2:$C$4314,MATCH(A890-30,Clean_Data!$A$2:$A$4314,1))-1)</f>
        <v>0.594810466122214</v>
      </c>
    </row>
    <row r="891" customFormat="false" ht="15" hidden="false" customHeight="false" outlineLevel="0" collapsed="false">
      <c r="A891" s="16" t="n">
        <v>42897</v>
      </c>
      <c r="B891" s="23" t="n">
        <f aca="false">YEAR(A891)</f>
        <v>2017</v>
      </c>
      <c r="C891" s="17" t="n">
        <v>2998.98</v>
      </c>
      <c r="D891" s="23" t="n">
        <f aca="false">A891-A890</f>
        <v>1</v>
      </c>
      <c r="E891" s="24" t="n">
        <f aca="false">LN(C891)</f>
        <v>8.00602750983714</v>
      </c>
      <c r="F891" s="25" t="n">
        <f aca="false">LN(C891/C890)</f>
        <v>0.0228773933630798</v>
      </c>
      <c r="G891" s="25" t="n">
        <f aca="false">IF(AND(D891=1,A891&gt;=$R$2),F891,"")</f>
        <v>0.0228773933630798</v>
      </c>
      <c r="H891" s="27" t="n">
        <f aca="false">IF(G891="","",G891^2)</f>
        <v>0.000523375127089087</v>
      </c>
      <c r="I891" s="25" t="n">
        <f aca="false">IF(G891="","",C891/C890-1)</f>
        <v>0.0231410879688858</v>
      </c>
      <c r="J891" s="17" t="n">
        <f aca="false">AVERAGE(C692:C891)</f>
        <v>1247.65435</v>
      </c>
      <c r="K891" s="17" t="n">
        <f aca="false">MAX(K890,C891)</f>
        <v>2998.98</v>
      </c>
      <c r="L891" s="25" t="n">
        <f aca="false">C891/K891-1</f>
        <v>0</v>
      </c>
      <c r="M891" s="25" t="n">
        <f aca="false">IF(COUNT(G862:G891)&lt;20,"",_xlfn.STDEV.S(G862:G891)*SQRT($R$3))</f>
        <v>0.770053249044108</v>
      </c>
      <c r="N891" s="25" t="n">
        <f aca="false">IF(A891-7&lt;$R$2,"",C891/INDEX(Clean_Data!$C$2:$C$4314,MATCH(A891-7,Clean_Data!$A$2:$A$4314,1))-1)</f>
        <v>0.189429514230415</v>
      </c>
      <c r="O891" s="25" t="n">
        <f aca="false">IF(A891-30&lt;$R$2,"",C891/INDEX(Clean_Data!$C$2:$C$4314,MATCH(A891-30,Clean_Data!$A$2:$A$4314,1))-1)</f>
        <v>0.768673220846775</v>
      </c>
    </row>
    <row r="892" customFormat="false" ht="15" hidden="false" customHeight="false" outlineLevel="0" collapsed="false">
      <c r="A892" s="16" t="n">
        <v>42898</v>
      </c>
      <c r="B892" s="23" t="n">
        <f aca="false">YEAR(A892)</f>
        <v>2017</v>
      </c>
      <c r="C892" s="17" t="n">
        <v>2655.71</v>
      </c>
      <c r="D892" s="23" t="n">
        <f aca="false">A892-A891</f>
        <v>1</v>
      </c>
      <c r="E892" s="24" t="n">
        <f aca="false">LN(C892)</f>
        <v>7.88446731788803</v>
      </c>
      <c r="F892" s="25" t="n">
        <f aca="false">LN(C892/C891)</f>
        <v>-0.121560191949112</v>
      </c>
      <c r="G892" s="25" t="n">
        <f aca="false">IF(AND(D892=1,A892&gt;=$R$2),F892,"")</f>
        <v>-0.121560191949112</v>
      </c>
      <c r="H892" s="27" t="n">
        <f aca="false">IF(G892="","",G892^2)</f>
        <v>0.014776880266705</v>
      </c>
      <c r="I892" s="25" t="n">
        <f aca="false">IF(G892="","",C892/C891-1)</f>
        <v>-0.114462250498503</v>
      </c>
      <c r="J892" s="17" t="n">
        <f aca="false">AVERAGE(C693:C892)</f>
        <v>1257.24295</v>
      </c>
      <c r="K892" s="17" t="n">
        <f aca="false">MAX(K891,C892)</f>
        <v>2998.98</v>
      </c>
      <c r="L892" s="25" t="n">
        <f aca="false">C892/K892-1</f>
        <v>-0.114462250498503</v>
      </c>
      <c r="M892" s="25" t="n">
        <f aca="false">IF(COUNT(G863:G892)&lt;20,"",_xlfn.STDEV.S(G863:G892)*SQRT($R$3))</f>
        <v>0.900862063012019</v>
      </c>
      <c r="N892" s="25" t="n">
        <f aca="false">IF(A892-7&lt;$R$2,"",C892/INDEX(Clean_Data!$C$2:$C$4314,MATCH(A892-7,Clean_Data!$A$2:$A$4314,1))-1)</f>
        <v>-0.0156745737583395</v>
      </c>
      <c r="O892" s="25" t="n">
        <f aca="false">IF(A892-30&lt;$R$2,"",C892/INDEX(Clean_Data!$C$2:$C$4314,MATCH(A892-30,Clean_Data!$A$2:$A$4314,1))-1)</f>
        <v>0.481377563827236</v>
      </c>
    </row>
    <row r="893" customFormat="false" ht="15" hidden="false" customHeight="false" outlineLevel="0" collapsed="false">
      <c r="A893" s="16" t="n">
        <v>42899</v>
      </c>
      <c r="B893" s="23" t="n">
        <f aca="false">YEAR(A893)</f>
        <v>2017</v>
      </c>
      <c r="C893" s="17" t="n">
        <v>2709.01</v>
      </c>
      <c r="D893" s="23" t="n">
        <f aca="false">A893-A892</f>
        <v>1</v>
      </c>
      <c r="E893" s="24" t="n">
        <f aca="false">LN(C893)</f>
        <v>7.90433853347732</v>
      </c>
      <c r="F893" s="25" t="n">
        <f aca="false">LN(C893/C892)</f>
        <v>0.0198712155892924</v>
      </c>
      <c r="G893" s="25" t="n">
        <f aca="false">IF(AND(D893=1,A893&gt;=$R$2),F893,"")</f>
        <v>0.0198712155892924</v>
      </c>
      <c r="H893" s="27" t="n">
        <f aca="false">IF(G893="","",G893^2)</f>
        <v>0.000394865208996138</v>
      </c>
      <c r="I893" s="25" t="n">
        <f aca="false">IF(G893="","",C893/C892-1)</f>
        <v>0.0200699624582503</v>
      </c>
      <c r="J893" s="17" t="n">
        <f aca="false">AVERAGE(C694:C893)</f>
        <v>1267.0893</v>
      </c>
      <c r="K893" s="17" t="n">
        <f aca="false">MAX(K892,C893)</f>
        <v>2998.98</v>
      </c>
      <c r="L893" s="25" t="n">
        <f aca="false">C893/K893-1</f>
        <v>-0.0966895411106442</v>
      </c>
      <c r="M893" s="25" t="n">
        <f aca="false">IF(COUNT(G864:G893)&lt;20,"",_xlfn.STDEV.S(G864:G893)*SQRT($R$3))</f>
        <v>0.900550935548485</v>
      </c>
      <c r="N893" s="25" t="n">
        <f aca="false">IF(A893-7&lt;$R$2,"",C893/INDEX(Clean_Data!$C$2:$C$4314,MATCH(A893-7,Clean_Data!$A$2:$A$4314,1))-1)</f>
        <v>-0.0565181503784012</v>
      </c>
      <c r="O893" s="25" t="n">
        <f aca="false">IF(A893-30&lt;$R$2,"",C893/INDEX(Clean_Data!$C$2:$C$4314,MATCH(A893-30,Clean_Data!$A$2:$A$4314,1))-1)</f>
        <v>0.505013916743982</v>
      </c>
    </row>
    <row r="894" customFormat="false" ht="15" hidden="false" customHeight="false" outlineLevel="0" collapsed="false">
      <c r="A894" s="16" t="n">
        <v>42900</v>
      </c>
      <c r="B894" s="23" t="n">
        <f aca="false">YEAR(A894)</f>
        <v>2017</v>
      </c>
      <c r="C894" s="17" t="n">
        <v>2432.21</v>
      </c>
      <c r="D894" s="23" t="n">
        <f aca="false">A894-A893</f>
        <v>1</v>
      </c>
      <c r="E894" s="24" t="n">
        <f aca="false">LN(C894)</f>
        <v>7.79655558804244</v>
      </c>
      <c r="F894" s="25" t="n">
        <f aca="false">LN(C894/C893)</f>
        <v>-0.107782945434887</v>
      </c>
      <c r="G894" s="25" t="n">
        <f aca="false">IF(AND(D894=1,A894&gt;=$R$2),F894,"")</f>
        <v>-0.107782945434887</v>
      </c>
      <c r="H894" s="27" t="n">
        <f aca="false">IF(G894="","",G894^2)</f>
        <v>0.0116171633266198</v>
      </c>
      <c r="I894" s="25" t="n">
        <f aca="false">IF(G894="","",C894/C893-1)</f>
        <v>-0.102177548255636</v>
      </c>
      <c r="J894" s="17" t="n">
        <f aca="false">AVERAGE(C695:C894)</f>
        <v>1275.57185</v>
      </c>
      <c r="K894" s="17" t="n">
        <f aca="false">MAX(K893,C894)</f>
        <v>2998.98</v>
      </c>
      <c r="L894" s="25" t="n">
        <f aca="false">C894/K894-1</f>
        <v>-0.188987589113632</v>
      </c>
      <c r="M894" s="25" t="n">
        <f aca="false">IF(COUNT(G865:G894)&lt;20,"",_xlfn.STDEV.S(G865:G894)*SQRT($R$3))</f>
        <v>0.985200638914237</v>
      </c>
      <c r="N894" s="25" t="n">
        <f aca="false">IF(A894-7&lt;$R$2,"",C894/INDEX(Clean_Data!$C$2:$C$4314,MATCH(A894-7,Clean_Data!$A$2:$A$4314,1))-1)</f>
        <v>-0.0943648441339866</v>
      </c>
      <c r="O894" s="25" t="n">
        <f aca="false">IF(A894-30&lt;$R$2,"",C894/INDEX(Clean_Data!$C$2:$C$4314,MATCH(A894-30,Clean_Data!$A$2:$A$4314,1))-1)</f>
        <v>0.391575743358832</v>
      </c>
    </row>
    <row r="895" customFormat="false" ht="15" hidden="false" customHeight="false" outlineLevel="0" collapsed="false">
      <c r="A895" s="16" t="n">
        <v>42901</v>
      </c>
      <c r="B895" s="23" t="n">
        <f aca="false">YEAR(A895)</f>
        <v>2017</v>
      </c>
      <c r="C895" s="17" t="n">
        <v>2409.98</v>
      </c>
      <c r="D895" s="23" t="n">
        <f aca="false">A895-A894</f>
        <v>1</v>
      </c>
      <c r="E895" s="24" t="n">
        <f aca="false">LN(C895)</f>
        <v>7.78737372769508</v>
      </c>
      <c r="F895" s="25" t="n">
        <f aca="false">LN(C895/C894)</f>
        <v>-0.00918186034735604</v>
      </c>
      <c r="G895" s="25" t="n">
        <f aca="false">IF(AND(D895=1,A895&gt;=$R$2),F895,"")</f>
        <v>-0.00918186034735604</v>
      </c>
      <c r="H895" s="27" t="n">
        <f aca="false">IF(G895="","",G895^2)</f>
        <v>8.43065594383492E-005</v>
      </c>
      <c r="I895" s="25" t="n">
        <f aca="false">IF(G895="","",C895/C894-1)</f>
        <v>-0.0091398357872059</v>
      </c>
      <c r="J895" s="17" t="n">
        <f aca="false">AVERAGE(C696:C895)</f>
        <v>1283.97555</v>
      </c>
      <c r="K895" s="17" t="n">
        <f aca="false">MAX(K894,C895)</f>
        <v>2998.98</v>
      </c>
      <c r="L895" s="25" t="n">
        <f aca="false">C895/K895-1</f>
        <v>-0.196400109370519</v>
      </c>
      <c r="M895" s="25" t="n">
        <f aca="false">IF(COUNT(G866:G895)&lt;20,"",_xlfn.STDEV.S(G866:G895)*SQRT($R$3))</f>
        <v>0.987443220647282</v>
      </c>
      <c r="N895" s="25" t="n">
        <f aca="false">IF(A895-7&lt;$R$2,"",C895/INDEX(Clean_Data!$C$2:$C$4314,MATCH(A895-7,Clean_Data!$A$2:$A$4314,1))-1)</f>
        <v>-0.139209852378622</v>
      </c>
      <c r="O895" s="25" t="n">
        <f aca="false">IF(A895-30&lt;$R$2,"",C895/INDEX(Clean_Data!$C$2:$C$4314,MATCH(A895-30,Clean_Data!$A$2:$A$4314,1))-1)</f>
        <v>0.355840853342935</v>
      </c>
    </row>
    <row r="896" customFormat="false" ht="15" hidden="false" customHeight="false" outlineLevel="0" collapsed="false">
      <c r="A896" s="16" t="n">
        <v>42902</v>
      </c>
      <c r="B896" s="23" t="n">
        <f aca="false">YEAR(A896)</f>
        <v>2017</v>
      </c>
      <c r="C896" s="17" t="n">
        <v>2480.43</v>
      </c>
      <c r="D896" s="23" t="n">
        <f aca="false">A896-A895</f>
        <v>1</v>
      </c>
      <c r="E896" s="24" t="n">
        <f aca="false">LN(C896)</f>
        <v>7.816187211226</v>
      </c>
      <c r="F896" s="25" t="n">
        <f aca="false">LN(C896/C895)</f>
        <v>0.0288134835309176</v>
      </c>
      <c r="G896" s="25" t="n">
        <f aca="false">IF(AND(D896=1,A896&gt;=$R$2),F896,"")</f>
        <v>0.0288134835309176</v>
      </c>
      <c r="H896" s="27" t="n">
        <f aca="false">IF(G896="","",G896^2)</f>
        <v>0.00083021683318646</v>
      </c>
      <c r="I896" s="25" t="n">
        <f aca="false">IF(G896="","",C896/C895-1)</f>
        <v>0.0292326077394833</v>
      </c>
      <c r="J896" s="17" t="n">
        <f aca="false">AVERAGE(C697:C896)</f>
        <v>1292.72885</v>
      </c>
      <c r="K896" s="17" t="n">
        <f aca="false">MAX(K895,C896)</f>
        <v>2998.98</v>
      </c>
      <c r="L896" s="25" t="n">
        <f aca="false">C896/K896-1</f>
        <v>-0.172908788988256</v>
      </c>
      <c r="M896" s="25" t="n">
        <f aca="false">IF(COUNT(G867:G896)&lt;20,"",_xlfn.STDEV.S(G867:G896)*SQRT($R$3))</f>
        <v>0.989037843033696</v>
      </c>
      <c r="N896" s="25" t="n">
        <f aca="false">IF(A896-7&lt;$R$2,"",C896/INDEX(Clean_Data!$C$2:$C$4314,MATCH(A896-7,Clean_Data!$A$2:$A$4314,1))-1)</f>
        <v>-0.117721127271563</v>
      </c>
      <c r="O896" s="25" t="n">
        <f aca="false">IF(A896-30&lt;$R$2,"",C896/INDEX(Clean_Data!$C$2:$C$4314,MATCH(A896-30,Clean_Data!$A$2:$A$4314,1))-1)</f>
        <v>0.36796214490164</v>
      </c>
    </row>
    <row r="897" customFormat="false" ht="15" hidden="false" customHeight="false" outlineLevel="0" collapsed="false">
      <c r="A897" s="16" t="n">
        <v>42903</v>
      </c>
      <c r="B897" s="23" t="n">
        <f aca="false">YEAR(A897)</f>
        <v>2017</v>
      </c>
      <c r="C897" s="17" t="n">
        <v>2634.94</v>
      </c>
      <c r="D897" s="23" t="n">
        <f aca="false">A897-A896</f>
        <v>1</v>
      </c>
      <c r="E897" s="24" t="n">
        <f aca="false">LN(C897)</f>
        <v>7.87661569031773</v>
      </c>
      <c r="F897" s="25" t="n">
        <f aca="false">LN(C897/C896)</f>
        <v>0.0604284790917347</v>
      </c>
      <c r="G897" s="25" t="n">
        <f aca="false">IF(AND(D897=1,A897&gt;=$R$2),F897,"")</f>
        <v>0.0604284790917347</v>
      </c>
      <c r="H897" s="27" t="n">
        <f aca="false">IF(G897="","",G897^2)</f>
        <v>0.00365160108534022</v>
      </c>
      <c r="I897" s="25" t="n">
        <f aca="false">IF(G897="","",C897/C896-1)</f>
        <v>0.0622916187919032</v>
      </c>
      <c r="J897" s="17" t="n">
        <f aca="false">AVERAGE(C698:C897)</f>
        <v>1302.2417</v>
      </c>
      <c r="K897" s="17" t="n">
        <f aca="false">MAX(K896,C897)</f>
        <v>2998.98</v>
      </c>
      <c r="L897" s="25" t="n">
        <f aca="false">C897/K897-1</f>
        <v>-0.121387938565779</v>
      </c>
      <c r="M897" s="25" t="n">
        <f aca="false">IF(COUNT(G868:G897)&lt;20,"",_xlfn.STDEV.S(G868:G897)*SQRT($R$3))</f>
        <v>0.996681938688134</v>
      </c>
      <c r="N897" s="25" t="n">
        <f aca="false">IF(A897-7&lt;$R$2,"",C897/INDEX(Clean_Data!$C$2:$C$4314,MATCH(A897-7,Clean_Data!$A$2:$A$4314,1))-1)</f>
        <v>-0.101055899561606</v>
      </c>
      <c r="O897" s="25" t="n">
        <f aca="false">IF(A897-30&lt;$R$2,"",C897/INDEX(Clean_Data!$C$2:$C$4314,MATCH(A897-30,Clean_Data!$A$2:$A$4314,1))-1)</f>
        <v>0.387423913730281</v>
      </c>
    </row>
    <row r="898" customFormat="false" ht="15" hidden="false" customHeight="false" outlineLevel="0" collapsed="false">
      <c r="A898" s="16" t="n">
        <v>42904</v>
      </c>
      <c r="B898" s="23" t="n">
        <f aca="false">YEAR(A898)</f>
        <v>2017</v>
      </c>
      <c r="C898" s="17" t="n">
        <v>2515.25</v>
      </c>
      <c r="D898" s="23" t="n">
        <f aca="false">A898-A897</f>
        <v>1</v>
      </c>
      <c r="E898" s="24" t="n">
        <f aca="false">LN(C898)</f>
        <v>7.83012748117216</v>
      </c>
      <c r="F898" s="25" t="n">
        <f aca="false">LN(C898/C897)</f>
        <v>-0.0464882091455713</v>
      </c>
      <c r="G898" s="25" t="n">
        <f aca="false">IF(AND(D898=1,A898&gt;=$R$2),F898,"")</f>
        <v>-0.0464882091455713</v>
      </c>
      <c r="H898" s="27" t="n">
        <f aca="false">IF(G898="","",G898^2)</f>
        <v>0.00216115358956238</v>
      </c>
      <c r="I898" s="25" t="n">
        <f aca="false">IF(G898="","",C898/C897-1)</f>
        <v>-0.0454241842318991</v>
      </c>
      <c r="J898" s="17" t="n">
        <f aca="false">AVERAGE(C699:C898)</f>
        <v>1311.1045</v>
      </c>
      <c r="K898" s="17" t="n">
        <f aca="false">MAX(K897,C898)</f>
        <v>2998.98</v>
      </c>
      <c r="L898" s="25" t="n">
        <f aca="false">C898/K898-1</f>
        <v>-0.161298174712736</v>
      </c>
      <c r="M898" s="25" t="n">
        <f aca="false">IF(COUNT(G869:G898)&lt;20,"",_xlfn.STDEV.S(G869:G898)*SQRT($R$3))</f>
        <v>1.01056396825409</v>
      </c>
      <c r="N898" s="25" t="n">
        <f aca="false">IF(A898-7&lt;$R$2,"",C898/INDEX(Clean_Data!$C$2:$C$4314,MATCH(A898-7,Clean_Data!$A$2:$A$4314,1))-1)</f>
        <v>-0.161298174712736</v>
      </c>
      <c r="O898" s="25" t="n">
        <f aca="false">IF(A898-30&lt;$R$2,"",C898/INDEX(Clean_Data!$C$2:$C$4314,MATCH(A898-30,Clean_Data!$A$2:$A$4314,1))-1)</f>
        <v>0.272751653400667</v>
      </c>
    </row>
    <row r="899" customFormat="false" ht="15" hidden="false" customHeight="false" outlineLevel="0" collapsed="false">
      <c r="A899" s="16" t="n">
        <v>42905</v>
      </c>
      <c r="B899" s="23" t="n">
        <f aca="false">YEAR(A899)</f>
        <v>2017</v>
      </c>
      <c r="C899" s="17" t="n">
        <v>2596.98</v>
      </c>
      <c r="D899" s="23" t="n">
        <f aca="false">A899-A898</f>
        <v>1</v>
      </c>
      <c r="E899" s="24" t="n">
        <f aca="false">LN(C899)</f>
        <v>7.86210451043941</v>
      </c>
      <c r="F899" s="25" t="n">
        <f aca="false">LN(C899/C898)</f>
        <v>0.0319770292672491</v>
      </c>
      <c r="G899" s="25" t="n">
        <f aca="false">IF(AND(D899=1,A899&gt;=$R$2),F899,"")</f>
        <v>0.0319770292672491</v>
      </c>
      <c r="H899" s="27" t="n">
        <f aca="false">IF(G899="","",G899^2)</f>
        <v>0.0010225304007585</v>
      </c>
      <c r="I899" s="25" t="n">
        <f aca="false">IF(G899="","",C899/C898-1)</f>
        <v>0.0324937878938476</v>
      </c>
      <c r="J899" s="17" t="n">
        <f aca="false">AVERAGE(C700:C899)</f>
        <v>1320.3194</v>
      </c>
      <c r="K899" s="17" t="n">
        <f aca="false">MAX(K898,C899)</f>
        <v>2998.98</v>
      </c>
      <c r="L899" s="25" t="n">
        <f aca="false">C899/K899-1</f>
        <v>-0.134045575495669</v>
      </c>
      <c r="M899" s="25" t="n">
        <f aca="false">IF(COUNT(G870:G899)&lt;20,"",_xlfn.STDEV.S(G870:G899)*SQRT($R$3))</f>
        <v>1.00735081920706</v>
      </c>
      <c r="N899" s="25" t="n">
        <f aca="false">IF(A899-7&lt;$R$2,"",C899/INDEX(Clean_Data!$C$2:$C$4314,MATCH(A899-7,Clean_Data!$A$2:$A$4314,1))-1)</f>
        <v>-0.0221146134178807</v>
      </c>
      <c r="O899" s="25" t="n">
        <f aca="false">IF(A899-30&lt;$R$2,"",C899/INDEX(Clean_Data!$C$2:$C$4314,MATCH(A899-30,Clean_Data!$A$2:$A$4314,1))-1)</f>
        <v>0.261337309547285</v>
      </c>
    </row>
    <row r="900" customFormat="false" ht="15" hidden="false" customHeight="false" outlineLevel="0" collapsed="false">
      <c r="A900" s="16" t="n">
        <v>42906</v>
      </c>
      <c r="B900" s="23" t="n">
        <f aca="false">YEAR(A900)</f>
        <v>2017</v>
      </c>
      <c r="C900" s="17" t="n">
        <v>2725.08</v>
      </c>
      <c r="D900" s="23" t="n">
        <f aca="false">A900-A899</f>
        <v>1</v>
      </c>
      <c r="E900" s="24" t="n">
        <f aca="false">LN(C900)</f>
        <v>7.91025306446458</v>
      </c>
      <c r="F900" s="25" t="n">
        <f aca="false">LN(C900/C899)</f>
        <v>0.0481485540251687</v>
      </c>
      <c r="G900" s="25" t="n">
        <f aca="false">IF(AND(D900=1,A900&gt;=$R$2),F900,"")</f>
        <v>0.0481485540251687</v>
      </c>
      <c r="H900" s="27" t="n">
        <f aca="false">IF(G900="","",G900^2)</f>
        <v>0.00231828325471459</v>
      </c>
      <c r="I900" s="25" t="n">
        <f aca="false">IF(G900="","",C900/C899-1)</f>
        <v>0.0493265254256867</v>
      </c>
      <c r="J900" s="17" t="n">
        <f aca="false">AVERAGE(C701:C900)</f>
        <v>1330.09855</v>
      </c>
      <c r="K900" s="17" t="n">
        <f aca="false">MAX(K899,C900)</f>
        <v>2998.98</v>
      </c>
      <c r="L900" s="25" t="n">
        <f aca="false">C900/K900-1</f>
        <v>-0.0913310525578697</v>
      </c>
      <c r="M900" s="25" t="n">
        <f aca="false">IF(COUNT(G871:G900)&lt;20,"",_xlfn.STDEV.S(G871:G900)*SQRT($R$3))</f>
        <v>1.01653925643575</v>
      </c>
      <c r="N900" s="25" t="n">
        <f aca="false">IF(A900-7&lt;$R$2,"",C900/INDEX(Clean_Data!$C$2:$C$4314,MATCH(A900-7,Clean_Data!$A$2:$A$4314,1))-1)</f>
        <v>0.00593205636007244</v>
      </c>
      <c r="O900" s="25" t="n">
        <f aca="false">IF(A900-30&lt;$R$2,"",C900/INDEX(Clean_Data!$C$2:$C$4314,MATCH(A900-30,Clean_Data!$A$2:$A$4314,1))-1)</f>
        <v>0.324783665532329</v>
      </c>
    </row>
    <row r="901" customFormat="false" ht="15" hidden="false" customHeight="false" outlineLevel="0" collapsed="false">
      <c r="A901" s="16" t="n">
        <v>42907</v>
      </c>
      <c r="B901" s="23" t="n">
        <f aca="false">YEAR(A901)</f>
        <v>2017</v>
      </c>
      <c r="C901" s="17" t="n">
        <v>2643.35</v>
      </c>
      <c r="D901" s="23" t="n">
        <f aca="false">A901-A900</f>
        <v>1</v>
      </c>
      <c r="E901" s="24" t="n">
        <f aca="false">LN(C901)</f>
        <v>7.87980233111115</v>
      </c>
      <c r="F901" s="25" t="n">
        <f aca="false">LN(C901/C900)</f>
        <v>-0.0304507333534318</v>
      </c>
      <c r="G901" s="25" t="n">
        <f aca="false">IF(AND(D901=1,A901&gt;=$R$2),F901,"")</f>
        <v>-0.0304507333534318</v>
      </c>
      <c r="H901" s="27" t="n">
        <f aca="false">IF(G901="","",G901^2)</f>
        <v>0.000927247161761806</v>
      </c>
      <c r="I901" s="25" t="n">
        <f aca="false">IF(G901="","",C901/C900-1)</f>
        <v>-0.0299917800578332</v>
      </c>
      <c r="J901" s="17" t="n">
        <f aca="false">AVERAGE(C702:C901)</f>
        <v>1339.4804</v>
      </c>
      <c r="K901" s="17" t="n">
        <f aca="false">MAX(K900,C901)</f>
        <v>2998.98</v>
      </c>
      <c r="L901" s="25" t="n">
        <f aca="false">C901/K901-1</f>
        <v>-0.118583651774937</v>
      </c>
      <c r="M901" s="25" t="n">
        <f aca="false">IF(COUNT(G872:G901)&lt;20,"",_xlfn.STDEV.S(G872:G901)*SQRT($R$3))</f>
        <v>1.02245298356048</v>
      </c>
      <c r="N901" s="25" t="n">
        <f aca="false">IF(A901-7&lt;$R$2,"",C901/INDEX(Clean_Data!$C$2:$C$4314,MATCH(A901-7,Clean_Data!$A$2:$A$4314,1))-1)</f>
        <v>0.0868099382865788</v>
      </c>
      <c r="O901" s="25" t="n">
        <f aca="false">IF(A901-30&lt;$R$2,"",C901/INDEX(Clean_Data!$C$2:$C$4314,MATCH(A901-30,Clean_Data!$A$2:$A$4314,1))-1)</f>
        <v>0.244931215236732</v>
      </c>
    </row>
    <row r="902" customFormat="false" ht="15" hidden="false" customHeight="false" outlineLevel="0" collapsed="false">
      <c r="A902" s="16" t="n">
        <v>42908</v>
      </c>
      <c r="B902" s="23" t="n">
        <f aca="false">YEAR(A902)</f>
        <v>2017</v>
      </c>
      <c r="C902" s="17" t="n">
        <v>2679.99</v>
      </c>
      <c r="D902" s="23" t="n">
        <f aca="false">A902-A901</f>
        <v>1</v>
      </c>
      <c r="E902" s="24" t="n">
        <f aca="false">LN(C902)</f>
        <v>7.89356834215466</v>
      </c>
      <c r="F902" s="25" t="n">
        <f aca="false">LN(C902/C901)</f>
        <v>0.0137660110435112</v>
      </c>
      <c r="G902" s="25" t="n">
        <f aca="false">IF(AND(D902=1,A902&gt;=$R$2),F902,"")</f>
        <v>0.0137660110435112</v>
      </c>
      <c r="H902" s="27" t="n">
        <f aca="false">IF(G902="","",G902^2)</f>
        <v>0.000189503060050073</v>
      </c>
      <c r="I902" s="25" t="n">
        <f aca="false">IF(G902="","",C902/C901-1)</f>
        <v>0.0138611988575104</v>
      </c>
      <c r="J902" s="17" t="n">
        <f aca="false">AVERAGE(C703:C902)</f>
        <v>1349.0404</v>
      </c>
      <c r="K902" s="17" t="n">
        <f aca="false">MAX(K901,C902)</f>
        <v>2998.98</v>
      </c>
      <c r="L902" s="25" t="n">
        <f aca="false">C902/K902-1</f>
        <v>-0.106366164495929</v>
      </c>
      <c r="M902" s="25" t="n">
        <f aca="false">IF(COUNT(G873:G902)&lt;20,"",_xlfn.STDEV.S(G873:G902)*SQRT($R$3))</f>
        <v>0.999147034919908</v>
      </c>
      <c r="N902" s="25" t="n">
        <f aca="false">IF(A902-7&lt;$R$2,"",C902/INDEX(Clean_Data!$C$2:$C$4314,MATCH(A902-7,Clean_Data!$A$2:$A$4314,1))-1)</f>
        <v>0.112038274176549</v>
      </c>
      <c r="O902" s="25" t="n">
        <f aca="false">IF(A902-30&lt;$R$2,"",C902/INDEX(Clean_Data!$C$2:$C$4314,MATCH(A902-30,Clean_Data!$A$2:$A$4314,1))-1)</f>
        <v>0.179183808161918</v>
      </c>
    </row>
    <row r="903" customFormat="false" ht="15" hidden="false" customHeight="false" outlineLevel="0" collapsed="false">
      <c r="A903" s="16" t="n">
        <v>42909</v>
      </c>
      <c r="B903" s="23" t="n">
        <f aca="false">YEAR(A903)</f>
        <v>2017</v>
      </c>
      <c r="C903" s="17" t="n">
        <v>2690.76</v>
      </c>
      <c r="D903" s="23" t="n">
        <f aca="false">A903-A902</f>
        <v>1</v>
      </c>
      <c r="E903" s="24" t="n">
        <f aca="false">LN(C903)</f>
        <v>7.89757896057344</v>
      </c>
      <c r="F903" s="25" t="n">
        <f aca="false">LN(C903/C902)</f>
        <v>0.00401061841878257</v>
      </c>
      <c r="G903" s="25" t="n">
        <f aca="false">IF(AND(D903=1,A903&gt;=$R$2),F903,"")</f>
        <v>0.00401061841878257</v>
      </c>
      <c r="H903" s="27" t="n">
        <f aca="false">IF(G903="","",G903^2)</f>
        <v>1.6085060101078E-005</v>
      </c>
      <c r="I903" s="25" t="n">
        <f aca="false">IF(G903="","",C903/C902-1)</f>
        <v>0.00401867171146186</v>
      </c>
      <c r="J903" s="17" t="n">
        <f aca="false">AVERAGE(C704:C903)</f>
        <v>1358.7342</v>
      </c>
      <c r="K903" s="17" t="n">
        <f aca="false">MAX(K902,C903)</f>
        <v>2998.98</v>
      </c>
      <c r="L903" s="25" t="n">
        <f aca="false">C903/K903-1</f>
        <v>-0.102774943480783</v>
      </c>
      <c r="M903" s="25" t="n">
        <f aca="false">IF(COUNT(G874:G903)&lt;20,"",_xlfn.STDEV.S(G874:G903)*SQRT($R$3))</f>
        <v>0.97325816329557</v>
      </c>
      <c r="N903" s="25" t="n">
        <f aca="false">IF(A903-7&lt;$R$2,"",C903/INDEX(Clean_Data!$C$2:$C$4314,MATCH(A903-7,Clean_Data!$A$2:$A$4314,1))-1)</f>
        <v>0.0847957813766163</v>
      </c>
      <c r="O903" s="25" t="n">
        <f aca="false">IF(A903-30&lt;$R$2,"",C903/INDEX(Clean_Data!$C$2:$C$4314,MATCH(A903-30,Clean_Data!$A$2:$A$4314,1))-1)</f>
        <v>0.105956916854709</v>
      </c>
    </row>
    <row r="904" customFormat="false" ht="15" hidden="false" customHeight="false" outlineLevel="0" collapsed="false">
      <c r="A904" s="16" t="n">
        <v>42910</v>
      </c>
      <c r="B904" s="23" t="n">
        <f aca="false">YEAR(A904)</f>
        <v>2017</v>
      </c>
      <c r="C904" s="17" t="n">
        <v>2574.84</v>
      </c>
      <c r="D904" s="23" t="n">
        <f aca="false">A904-A903</f>
        <v>1</v>
      </c>
      <c r="E904" s="24" t="n">
        <f aca="false">LN(C904)</f>
        <v>7.85354267524499</v>
      </c>
      <c r="F904" s="25" t="n">
        <f aca="false">LN(C904/C903)</f>
        <v>-0.0440362853284496</v>
      </c>
      <c r="G904" s="25" t="n">
        <f aca="false">IF(AND(D904=1,A904&gt;=$R$2),F904,"")</f>
        <v>-0.0440362853284496</v>
      </c>
      <c r="H904" s="27" t="n">
        <f aca="false">IF(G904="","",G904^2)</f>
        <v>0.00193919442552862</v>
      </c>
      <c r="I904" s="25" t="n">
        <f aca="false">IF(G904="","",C904/C903-1)</f>
        <v>-0.0430807652856442</v>
      </c>
      <c r="J904" s="17" t="n">
        <f aca="false">AVERAGE(C705:C904)</f>
        <v>1367.8094</v>
      </c>
      <c r="K904" s="17" t="n">
        <f aca="false">MAX(K903,C904)</f>
        <v>2998.98</v>
      </c>
      <c r="L904" s="25" t="n">
        <f aca="false">C904/K904-1</f>
        <v>-0.141428085549087</v>
      </c>
      <c r="M904" s="25" t="n">
        <f aca="false">IF(COUNT(G875:G904)&lt;20,"",_xlfn.STDEV.S(G875:G904)*SQRT($R$3))</f>
        <v>0.979387075862737</v>
      </c>
      <c r="N904" s="25" t="n">
        <f aca="false">IF(A904-7&lt;$R$2,"",C904/INDEX(Clean_Data!$C$2:$C$4314,MATCH(A904-7,Clean_Data!$A$2:$A$4314,1))-1)</f>
        <v>-0.022808868513135</v>
      </c>
      <c r="O904" s="25" t="n">
        <f aca="false">IF(A904-30&lt;$R$2,"",C904/INDEX(Clean_Data!$C$2:$C$4314,MATCH(A904-30,Clean_Data!$A$2:$A$4314,1))-1)</f>
        <v>0.0933503184713376</v>
      </c>
    </row>
    <row r="905" customFormat="false" ht="15" hidden="false" customHeight="false" outlineLevel="0" collapsed="false">
      <c r="A905" s="16" t="n">
        <v>42911</v>
      </c>
      <c r="B905" s="23" t="n">
        <f aca="false">YEAR(A905)</f>
        <v>2017</v>
      </c>
      <c r="C905" s="17" t="n">
        <v>2505.61</v>
      </c>
      <c r="D905" s="23" t="n">
        <f aca="false">A905-A904</f>
        <v>1</v>
      </c>
      <c r="E905" s="24" t="n">
        <f aca="false">LN(C905)</f>
        <v>7.82628749684855</v>
      </c>
      <c r="F905" s="25" t="n">
        <f aca="false">LN(C905/C904)</f>
        <v>-0.0272551783964447</v>
      </c>
      <c r="G905" s="25" t="n">
        <f aca="false">IF(AND(D905=1,A905&gt;=$R$2),F905,"")</f>
        <v>-0.0272551783964447</v>
      </c>
      <c r="H905" s="27" t="n">
        <f aca="false">IF(G905="","",G905^2)</f>
        <v>0.000742844749422028</v>
      </c>
      <c r="I905" s="25" t="n">
        <f aca="false">IF(G905="","",C905/C904-1)</f>
        <v>-0.0268871075484302</v>
      </c>
      <c r="J905" s="17" t="n">
        <f aca="false">AVERAGE(C706:C905)</f>
        <v>1376.51575</v>
      </c>
      <c r="K905" s="17" t="n">
        <f aca="false">MAX(K904,C905)</f>
        <v>2998.98</v>
      </c>
      <c r="L905" s="25" t="n">
        <f aca="false">C905/K905-1</f>
        <v>-0.16451260095099</v>
      </c>
      <c r="M905" s="25" t="n">
        <f aca="false">IF(COUNT(G876:G905)&lt;20,"",_xlfn.STDEV.S(G876:G905)*SQRT($R$3))</f>
        <v>0.97568974151478</v>
      </c>
      <c r="N905" s="25" t="n">
        <f aca="false">IF(A905-7&lt;$R$2,"",C905/INDEX(Clean_Data!$C$2:$C$4314,MATCH(A905-7,Clean_Data!$A$2:$A$4314,1))-1)</f>
        <v>-0.0038326210118278</v>
      </c>
      <c r="O905" s="25" t="n">
        <f aca="false">IF(A905-30&lt;$R$2,"",C905/INDEX(Clean_Data!$C$2:$C$4314,MATCH(A905-30,Clean_Data!$A$2:$A$4314,1))-1)</f>
        <v>0.102481629779557</v>
      </c>
    </row>
    <row r="906" customFormat="false" ht="15" hidden="false" customHeight="false" outlineLevel="0" collapsed="false">
      <c r="A906" s="16" t="n">
        <v>42912</v>
      </c>
      <c r="B906" s="23" t="n">
        <f aca="false">YEAR(A906)</f>
        <v>2017</v>
      </c>
      <c r="C906" s="17" t="n">
        <v>2407.91</v>
      </c>
      <c r="D906" s="23" t="n">
        <f aca="false">A906-A905</f>
        <v>1</v>
      </c>
      <c r="E906" s="24" t="n">
        <f aca="false">LN(C906)</f>
        <v>7.78651443031495</v>
      </c>
      <c r="F906" s="25" t="n">
        <f aca="false">LN(C906/C905)</f>
        <v>-0.0397730665335943</v>
      </c>
      <c r="G906" s="25" t="n">
        <f aca="false">IF(AND(D906=1,A906&gt;=$R$2),F906,"")</f>
        <v>-0.0397730665335943</v>
      </c>
      <c r="H906" s="27" t="n">
        <f aca="false">IF(G906="","",G906^2)</f>
        <v>0.00158189682148572</v>
      </c>
      <c r="I906" s="25" t="n">
        <f aca="false">IF(G906="","",C906/C905-1)</f>
        <v>-0.0389925008281418</v>
      </c>
      <c r="J906" s="17" t="n">
        <f aca="false">AVERAGE(C707:C906)</f>
        <v>1384.71585</v>
      </c>
      <c r="K906" s="17" t="n">
        <f aca="false">MAX(K905,C906)</f>
        <v>2998.98</v>
      </c>
      <c r="L906" s="25" t="n">
        <f aca="false">C906/K906-1</f>
        <v>-0.19709034405031</v>
      </c>
      <c r="M906" s="25" t="n">
        <f aca="false">IF(COUNT(G877:G906)&lt;20,"",_xlfn.STDEV.S(G877:G906)*SQRT($R$3))</f>
        <v>0.943078749512314</v>
      </c>
      <c r="N906" s="25" t="n">
        <f aca="false">IF(A906-7&lt;$R$2,"",C906/INDEX(Clean_Data!$C$2:$C$4314,MATCH(A906-7,Clean_Data!$A$2:$A$4314,1))-1)</f>
        <v>-0.0728037951774755</v>
      </c>
      <c r="O906" s="25" t="n">
        <f aca="false">IF(A906-30&lt;$R$2,"",C906/INDEX(Clean_Data!$C$2:$C$4314,MATCH(A906-30,Clean_Data!$A$2:$A$4314,1))-1)</f>
        <v>0.146629269663189</v>
      </c>
    </row>
    <row r="907" customFormat="false" ht="15" hidden="false" customHeight="false" outlineLevel="0" collapsed="false">
      <c r="A907" s="16" t="n">
        <v>42913</v>
      </c>
      <c r="B907" s="23" t="n">
        <f aca="false">YEAR(A907)</f>
        <v>2017</v>
      </c>
      <c r="C907" s="17" t="n">
        <v>2575.75</v>
      </c>
      <c r="D907" s="23" t="n">
        <f aca="false">A907-A906</f>
        <v>1</v>
      </c>
      <c r="E907" s="24" t="n">
        <f aca="false">LN(C907)</f>
        <v>7.85389603282518</v>
      </c>
      <c r="F907" s="25" t="n">
        <f aca="false">LN(C907/C906)</f>
        <v>0.0673816025102264</v>
      </c>
      <c r="G907" s="25" t="n">
        <f aca="false">IF(AND(D907=1,A907&gt;=$R$2),F907,"")</f>
        <v>0.0673816025102264</v>
      </c>
      <c r="H907" s="27" t="n">
        <f aca="false">IF(G907="","",G907^2)</f>
        <v>0.00454028035684615</v>
      </c>
      <c r="I907" s="25" t="n">
        <f aca="false">IF(G907="","",C907/C906-1)</f>
        <v>0.0697036018788078</v>
      </c>
      <c r="J907" s="17" t="n">
        <f aca="false">AVERAGE(C708:C907)</f>
        <v>1393.7285</v>
      </c>
      <c r="K907" s="17" t="n">
        <f aca="false">MAX(K906,C907)</f>
        <v>2998.98</v>
      </c>
      <c r="L907" s="25" t="n">
        <f aca="false">C907/K907-1</f>
        <v>-0.141124649047343</v>
      </c>
      <c r="M907" s="25" t="n">
        <f aca="false">IF(COUNT(G878:G907)&lt;20,"",_xlfn.STDEV.S(G878:G907)*SQRT($R$3))</f>
        <v>0.947898981907389</v>
      </c>
      <c r="N907" s="25" t="n">
        <f aca="false">IF(A907-7&lt;$R$2,"",C907/INDEX(Clean_Data!$C$2:$C$4314,MATCH(A907-7,Clean_Data!$A$2:$A$4314,1))-1)</f>
        <v>-0.0547983912398902</v>
      </c>
      <c r="O907" s="25" t="n">
        <f aca="false">IF(A907-30&lt;$R$2,"",C907/INDEX(Clean_Data!$C$2:$C$4314,MATCH(A907-30,Clean_Data!$A$2:$A$4314,1))-1)</f>
        <v>0.153606714499413</v>
      </c>
    </row>
    <row r="908" customFormat="false" ht="15" hidden="false" customHeight="false" outlineLevel="0" collapsed="false">
      <c r="A908" s="16" t="n">
        <v>42914</v>
      </c>
      <c r="B908" s="23" t="n">
        <f aca="false">YEAR(A908)</f>
        <v>2017</v>
      </c>
      <c r="C908" s="17" t="n">
        <v>2553.12</v>
      </c>
      <c r="D908" s="23" t="n">
        <f aca="false">A908-A907</f>
        <v>1</v>
      </c>
      <c r="E908" s="24" t="n">
        <f aca="false">LN(C908)</f>
        <v>7.84507141966212</v>
      </c>
      <c r="F908" s="25" t="n">
        <f aca="false">LN(C908/C907)</f>
        <v>-0.00882461316306028</v>
      </c>
      <c r="G908" s="25" t="n">
        <f aca="false">IF(AND(D908=1,A908&gt;=$R$2),F908,"")</f>
        <v>-0.00882461316306028</v>
      </c>
      <c r="H908" s="27" t="n">
        <f aca="false">IF(G908="","",G908^2)</f>
        <v>7.78737974776568E-005</v>
      </c>
      <c r="I908" s="25" t="n">
        <f aca="false">IF(G908="","",C908/C907-1)</f>
        <v>-0.0087857905464428</v>
      </c>
      <c r="J908" s="17" t="n">
        <f aca="false">AVERAGE(C709:C908)</f>
        <v>1402.61475</v>
      </c>
      <c r="K908" s="17" t="n">
        <f aca="false">MAX(K907,C908)</f>
        <v>2998.98</v>
      </c>
      <c r="L908" s="25" t="n">
        <f aca="false">C908/K908-1</f>
        <v>-0.148670547986315</v>
      </c>
      <c r="M908" s="25" t="n">
        <f aca="false">IF(COUNT(G879:G908)&lt;20,"",_xlfn.STDEV.S(G879:G908)*SQRT($R$3))</f>
        <v>0.947245401530872</v>
      </c>
      <c r="N908" s="25" t="n">
        <f aca="false">IF(A908-7&lt;$R$2,"",C908/INDEX(Clean_Data!$C$2:$C$4314,MATCH(A908-7,Clean_Data!$A$2:$A$4314,1))-1)</f>
        <v>-0.0341347154179356</v>
      </c>
      <c r="O908" s="25" t="n">
        <f aca="false">IF(A908-30&lt;$R$2,"",C908/INDEX(Clean_Data!$C$2:$C$4314,MATCH(A908-30,Clean_Data!$A$2:$A$4314,1))-1)</f>
        <v>0.12004492252619</v>
      </c>
    </row>
    <row r="909" customFormat="false" ht="15" hidden="false" customHeight="false" outlineLevel="0" collapsed="false">
      <c r="A909" s="16" t="n">
        <v>42915</v>
      </c>
      <c r="B909" s="23" t="n">
        <f aca="false">YEAR(A909)</f>
        <v>2017</v>
      </c>
      <c r="C909" s="17" t="n">
        <v>2530</v>
      </c>
      <c r="D909" s="23" t="n">
        <f aca="false">A909-A908</f>
        <v>1</v>
      </c>
      <c r="E909" s="24" t="n">
        <f aca="false">LN(C909)</f>
        <v>7.83597458172157</v>
      </c>
      <c r="F909" s="25" t="n">
        <f aca="false">LN(C909/C908)</f>
        <v>-0.00909683794055113</v>
      </c>
      <c r="G909" s="25" t="n">
        <f aca="false">IF(AND(D909=1,A909&gt;=$R$2),F909,"")</f>
        <v>-0.00909683794055113</v>
      </c>
      <c r="H909" s="27" t="n">
        <f aca="false">IF(G909="","",G909^2)</f>
        <v>8.27524605166505E-005</v>
      </c>
      <c r="I909" s="25" t="n">
        <f aca="false">IF(G909="","",C909/C908-1)</f>
        <v>-0.00905558688976615</v>
      </c>
      <c r="J909" s="17" t="n">
        <f aca="false">AVERAGE(C710:C909)</f>
        <v>1411.4095</v>
      </c>
      <c r="K909" s="17" t="n">
        <f aca="false">MAX(K908,C909)</f>
        <v>2998.98</v>
      </c>
      <c r="L909" s="25" t="n">
        <f aca="false">C909/K909-1</f>
        <v>-0.156379835810842</v>
      </c>
      <c r="M909" s="25" t="n">
        <f aca="false">IF(COUNT(G880:G909)&lt;20,"",_xlfn.STDEV.S(G880:G909)*SQRT($R$3))</f>
        <v>0.935731264972094</v>
      </c>
      <c r="N909" s="25" t="n">
        <f aca="false">IF(A909-7&lt;$R$2,"",C909/INDEX(Clean_Data!$C$2:$C$4314,MATCH(A909-7,Clean_Data!$A$2:$A$4314,1))-1)</f>
        <v>-0.0559666267411445</v>
      </c>
      <c r="O909" s="25" t="n">
        <f aca="false">IF(A909-30&lt;$R$2,"",C909/INDEX(Clean_Data!$C$2:$C$4314,MATCH(A909-30,Clean_Data!$A$2:$A$4314,1))-1)</f>
        <v>0.154418273574316</v>
      </c>
    </row>
    <row r="910" customFormat="false" ht="15" hidden="false" customHeight="false" outlineLevel="0" collapsed="false">
      <c r="A910" s="16" t="n">
        <v>42916</v>
      </c>
      <c r="B910" s="23" t="n">
        <f aca="false">YEAR(A910)</f>
        <v>2017</v>
      </c>
      <c r="C910" s="17" t="n">
        <v>2455.19</v>
      </c>
      <c r="D910" s="23" t="n">
        <f aca="false">A910-A909</f>
        <v>1</v>
      </c>
      <c r="E910" s="24" t="n">
        <f aca="false">LN(C910)</f>
        <v>7.80595943030929</v>
      </c>
      <c r="F910" s="25" t="n">
        <f aca="false">LN(C910/C909)</f>
        <v>-0.0300151514122781</v>
      </c>
      <c r="G910" s="25" t="n">
        <f aca="false">IF(AND(D910=1,A910&gt;=$R$2),F910,"")</f>
        <v>-0.0300151514122781</v>
      </c>
      <c r="H910" s="27" t="n">
        <f aca="false">IF(G910="","",G910^2)</f>
        <v>0.00090090931430198</v>
      </c>
      <c r="I910" s="25" t="n">
        <f aca="false">IF(G910="","",C910/C909-1)</f>
        <v>-0.0295691699604743</v>
      </c>
      <c r="J910" s="17" t="n">
        <f aca="false">AVERAGE(C711:C910)</f>
        <v>1419.79075</v>
      </c>
      <c r="K910" s="17" t="n">
        <f aca="false">MAX(K909,C910)</f>
        <v>2998.98</v>
      </c>
      <c r="L910" s="25" t="n">
        <f aca="false">C910/K910-1</f>
        <v>-0.181324983827835</v>
      </c>
      <c r="M910" s="25" t="n">
        <f aca="false">IF(COUNT(G881:G910)&lt;20,"",_xlfn.STDEV.S(G881:G910)*SQRT($R$3))</f>
        <v>0.92885030485509</v>
      </c>
      <c r="N910" s="25" t="n">
        <f aca="false">IF(A910-7&lt;$R$2,"",C910/INDEX(Clean_Data!$C$2:$C$4314,MATCH(A910-7,Clean_Data!$A$2:$A$4314,1))-1)</f>
        <v>-0.0875477560243203</v>
      </c>
      <c r="O910" s="25" t="n">
        <f aca="false">IF(A910-30&lt;$R$2,"",C910/INDEX(Clean_Data!$C$2:$C$4314,MATCH(A910-30,Clean_Data!$A$2:$A$4314,1))-1)</f>
        <v>0.0659491423138208</v>
      </c>
    </row>
    <row r="911" customFormat="false" ht="15" hidden="false" customHeight="false" outlineLevel="0" collapsed="false">
      <c r="A911" s="16" t="n">
        <v>42917</v>
      </c>
      <c r="B911" s="23" t="n">
        <f aca="false">YEAR(A911)</f>
        <v>2017</v>
      </c>
      <c r="C911" s="17" t="n">
        <v>2423.63</v>
      </c>
      <c r="D911" s="23" t="n">
        <f aca="false">A911-A910</f>
        <v>1</v>
      </c>
      <c r="E911" s="24" t="n">
        <f aca="false">LN(C911)</f>
        <v>7.79302169527447</v>
      </c>
      <c r="F911" s="25" t="n">
        <f aca="false">LN(C911/C910)</f>
        <v>-0.0129377350348199</v>
      </c>
      <c r="G911" s="25" t="n">
        <f aca="false">IF(AND(D911=1,A911&gt;=$R$2),F911,"")</f>
        <v>-0.0129377350348199</v>
      </c>
      <c r="H911" s="27" t="n">
        <f aca="false">IF(G911="","",G911^2)</f>
        <v>0.000167384987831205</v>
      </c>
      <c r="I911" s="25" t="n">
        <f aca="false">IF(G911="","",C911/C910-1)</f>
        <v>-0.0128544023069498</v>
      </c>
      <c r="J911" s="17" t="n">
        <f aca="false">AVERAGE(C712:C911)</f>
        <v>1428.028</v>
      </c>
      <c r="K911" s="17" t="n">
        <f aca="false">MAX(K910,C911)</f>
        <v>2998.98</v>
      </c>
      <c r="L911" s="25" t="n">
        <f aca="false">C911/K911-1</f>
        <v>-0.19184856184436</v>
      </c>
      <c r="M911" s="25" t="n">
        <f aca="false">IF(COUNT(G882:G911)&lt;20,"",_xlfn.STDEV.S(G882:G911)*SQRT($R$3))</f>
        <v>0.914239628399837</v>
      </c>
      <c r="N911" s="25" t="n">
        <f aca="false">IF(A911-7&lt;$R$2,"",C911/INDEX(Clean_Data!$C$2:$C$4314,MATCH(A911-7,Clean_Data!$A$2:$A$4314,1))-1)</f>
        <v>-0.0587259790899629</v>
      </c>
      <c r="O911" s="25" t="n">
        <f aca="false">IF(A911-30&lt;$R$2,"",C911/INDEX(Clean_Data!$C$2:$C$4314,MATCH(A911-30,Clean_Data!$A$2:$A$4314,1))-1)</f>
        <v>0.00150413844685326</v>
      </c>
    </row>
    <row r="912" customFormat="false" ht="15" hidden="false" customHeight="false" outlineLevel="0" collapsed="false">
      <c r="A912" s="16" t="n">
        <v>42918</v>
      </c>
      <c r="B912" s="23" t="n">
        <f aca="false">YEAR(A912)</f>
        <v>2017</v>
      </c>
      <c r="C912" s="17" t="n">
        <v>2516.66</v>
      </c>
      <c r="D912" s="23" t="n">
        <f aca="false">A912-A911</f>
        <v>1</v>
      </c>
      <c r="E912" s="24" t="n">
        <f aca="false">LN(C912)</f>
        <v>7.83068790456483</v>
      </c>
      <c r="F912" s="25" t="n">
        <f aca="false">LN(C912/C911)</f>
        <v>0.0376662092903614</v>
      </c>
      <c r="G912" s="25" t="n">
        <f aca="false">IF(AND(D912=1,A912&gt;=$R$2),F912,"")</f>
        <v>0.0376662092903614</v>
      </c>
      <c r="H912" s="27" t="n">
        <f aca="false">IF(G912="","",G912^2)</f>
        <v>0.00141874332230531</v>
      </c>
      <c r="I912" s="25" t="n">
        <f aca="false">IF(G912="","",C912/C911-1)</f>
        <v>0.0383845719024767</v>
      </c>
      <c r="J912" s="17" t="n">
        <f aca="false">AVERAGE(C713:C912)</f>
        <v>1436.723</v>
      </c>
      <c r="K912" s="17" t="n">
        <f aca="false">MAX(K911,C912)</f>
        <v>2998.98</v>
      </c>
      <c r="L912" s="25" t="n">
        <f aca="false">C912/K912-1</f>
        <v>-0.160828014858385</v>
      </c>
      <c r="M912" s="25" t="n">
        <f aca="false">IF(COUNT(G883:G912)&lt;20,"",_xlfn.STDEV.S(G883:G912)*SQRT($R$3))</f>
        <v>0.919942072432727</v>
      </c>
      <c r="N912" s="25" t="n">
        <f aca="false">IF(A912-7&lt;$R$2,"",C912/INDEX(Clean_Data!$C$2:$C$4314,MATCH(A912-7,Clean_Data!$A$2:$A$4314,1))-1)</f>
        <v>0.00441010372723594</v>
      </c>
      <c r="O912" s="25" t="n">
        <f aca="false">IF(A912-30&lt;$R$2,"",C912/INDEX(Clean_Data!$C$2:$C$4314,MATCH(A912-30,Clean_Data!$A$2:$A$4314,1))-1)</f>
        <v>0.0151957047023183</v>
      </c>
    </row>
    <row r="913" customFormat="false" ht="15" hidden="false" customHeight="false" outlineLevel="0" collapsed="false">
      <c r="A913" s="16" t="n">
        <v>42919</v>
      </c>
      <c r="B913" s="23" t="n">
        <f aca="false">YEAR(A913)</f>
        <v>2017</v>
      </c>
      <c r="C913" s="17" t="n">
        <v>2542.41</v>
      </c>
      <c r="D913" s="23" t="n">
        <f aca="false">A913-A912</f>
        <v>1</v>
      </c>
      <c r="E913" s="24" t="n">
        <f aca="false">LN(C913)</f>
        <v>7.84086772906609</v>
      </c>
      <c r="F913" s="25" t="n">
        <f aca="false">LN(C913/C912)</f>
        <v>0.0101798245012649</v>
      </c>
      <c r="G913" s="25" t="n">
        <f aca="false">IF(AND(D913=1,A913&gt;=$R$2),F913,"")</f>
        <v>0.0101798245012649</v>
      </c>
      <c r="H913" s="27" t="n">
        <f aca="false">IF(G913="","",G913^2)</f>
        <v>0.000103628826876554</v>
      </c>
      <c r="I913" s="25" t="n">
        <f aca="false">IF(G913="","",C913/C912-1)</f>
        <v>0.0102318151836165</v>
      </c>
      <c r="J913" s="17" t="n">
        <f aca="false">AVERAGE(C714:C913)</f>
        <v>1445.55425</v>
      </c>
      <c r="K913" s="17" t="n">
        <f aca="false">MAX(K912,C913)</f>
        <v>2998.98</v>
      </c>
      <c r="L913" s="25" t="n">
        <f aca="false">C913/K913-1</f>
        <v>-0.152241762199148</v>
      </c>
      <c r="M913" s="25" t="n">
        <f aca="false">IF(COUNT(G884:G913)&lt;20,"",_xlfn.STDEV.S(G884:G913)*SQRT($R$3))</f>
        <v>0.91552639085963</v>
      </c>
      <c r="N913" s="25" t="n">
        <f aca="false">IF(A913-7&lt;$R$2,"",C913/INDEX(Clean_Data!$C$2:$C$4314,MATCH(A913-7,Clean_Data!$A$2:$A$4314,1))-1)</f>
        <v>0.0558575694274288</v>
      </c>
      <c r="O913" s="25" t="n">
        <f aca="false">IF(A913-30&lt;$R$2,"",C913/INDEX(Clean_Data!$C$2:$C$4314,MATCH(A913-30,Clean_Data!$A$2:$A$4314,1))-1)</f>
        <v>-0.00221345734973821</v>
      </c>
    </row>
    <row r="914" customFormat="false" ht="15" hidden="false" customHeight="false" outlineLevel="0" collapsed="false">
      <c r="A914" s="16" t="n">
        <v>42920</v>
      </c>
      <c r="B914" s="23" t="n">
        <f aca="false">YEAR(A914)</f>
        <v>2017</v>
      </c>
      <c r="C914" s="17" t="n">
        <v>2602</v>
      </c>
      <c r="D914" s="23" t="n">
        <f aca="false">A914-A913</f>
        <v>1</v>
      </c>
      <c r="E914" s="24" t="n">
        <f aca="false">LN(C914)</f>
        <v>7.86403565907245</v>
      </c>
      <c r="F914" s="25" t="n">
        <f aca="false">LN(C914/C913)</f>
        <v>0.0231679300063563</v>
      </c>
      <c r="G914" s="25" t="n">
        <f aca="false">IF(AND(D914=1,A914&gt;=$R$2),F914,"")</f>
        <v>0.0231679300063563</v>
      </c>
      <c r="H914" s="27" t="n">
        <f aca="false">IF(G914="","",G914^2)</f>
        <v>0.000536752980779423</v>
      </c>
      <c r="I914" s="25" t="n">
        <f aca="false">IF(G914="","",C914/C913-1)</f>
        <v>0.0234383911328229</v>
      </c>
      <c r="J914" s="17" t="n">
        <f aca="false">AVERAGE(C715:C914)</f>
        <v>1454.65935</v>
      </c>
      <c r="K914" s="17" t="n">
        <f aca="false">MAX(K913,C914)</f>
        <v>2998.98</v>
      </c>
      <c r="L914" s="25" t="n">
        <f aca="false">C914/K914-1</f>
        <v>-0.132371673035499</v>
      </c>
      <c r="M914" s="25" t="n">
        <f aca="false">IF(COUNT(G885:G914)&lt;20,"",_xlfn.STDEV.S(G885:G914)*SQRT($R$3))</f>
        <v>0.918223804695434</v>
      </c>
      <c r="N914" s="25" t="n">
        <f aca="false">IF(A914-7&lt;$R$2,"",C914/INDEX(Clean_Data!$C$2:$C$4314,MATCH(A914-7,Clean_Data!$A$2:$A$4314,1))-1)</f>
        <v>0.0101912064447249</v>
      </c>
      <c r="O914" s="25" t="n">
        <f aca="false">IF(A914-30&lt;$R$2,"",C914/INDEX(Clean_Data!$C$2:$C$4314,MATCH(A914-30,Clean_Data!$A$2:$A$4314,1))-1)</f>
        <v>0.0319827394739347</v>
      </c>
    </row>
    <row r="915" customFormat="false" ht="15" hidden="false" customHeight="false" outlineLevel="0" collapsed="false">
      <c r="A915" s="16" t="n">
        <v>42921</v>
      </c>
      <c r="B915" s="23" t="n">
        <f aca="false">YEAR(A915)</f>
        <v>2017</v>
      </c>
      <c r="C915" s="17" t="n">
        <v>2616.96</v>
      </c>
      <c r="D915" s="23" t="n">
        <f aca="false">A915-A914</f>
        <v>1</v>
      </c>
      <c r="E915" s="24" t="n">
        <f aca="false">LN(C915)</f>
        <v>7.86976861773622</v>
      </c>
      <c r="F915" s="25" t="n">
        <f aca="false">LN(C915/C914)</f>
        <v>0.00573295866377226</v>
      </c>
      <c r="G915" s="25" t="n">
        <f aca="false">IF(AND(D915=1,A915&gt;=$R$2),F915,"")</f>
        <v>0.00573295866377226</v>
      </c>
      <c r="H915" s="27" t="n">
        <f aca="false">IF(G915="","",G915^2)</f>
        <v>3.28668150405215E-005</v>
      </c>
      <c r="I915" s="25" t="n">
        <f aca="false">IF(G915="","",C915/C914-1)</f>
        <v>0.005749423520369</v>
      </c>
      <c r="J915" s="17" t="n">
        <f aca="false">AVERAGE(C716:C915)</f>
        <v>1463.8013</v>
      </c>
      <c r="K915" s="17" t="n">
        <f aca="false">MAX(K914,C915)</f>
        <v>2998.98</v>
      </c>
      <c r="L915" s="25" t="n">
        <f aca="false">C915/K915-1</f>
        <v>-0.127383310325511</v>
      </c>
      <c r="M915" s="25" t="n">
        <f aca="false">IF(COUNT(G886:G915)&lt;20,"",_xlfn.STDEV.S(G886:G915)*SQRT($R$3))</f>
        <v>0.88649139425912</v>
      </c>
      <c r="N915" s="25" t="n">
        <f aca="false">IF(A915-7&lt;$R$2,"",C915/INDEX(Clean_Data!$C$2:$C$4314,MATCH(A915-7,Clean_Data!$A$2:$A$4314,1))-1)</f>
        <v>0.0250047001316038</v>
      </c>
      <c r="O915" s="25" t="n">
        <f aca="false">IF(A915-30&lt;$R$2,"",C915/INDEX(Clean_Data!$C$2:$C$4314,MATCH(A915-30,Clean_Data!$A$2:$A$4314,1))-1)</f>
        <v>-0.0300370644922164</v>
      </c>
    </row>
    <row r="916" customFormat="false" ht="15" hidden="false" customHeight="false" outlineLevel="0" collapsed="false">
      <c r="A916" s="16" t="n">
        <v>42922</v>
      </c>
      <c r="B916" s="23" t="n">
        <f aca="false">YEAR(A916)</f>
        <v>2017</v>
      </c>
      <c r="C916" s="17" t="n">
        <v>2604.84</v>
      </c>
      <c r="D916" s="23" t="n">
        <f aca="false">A916-A915</f>
        <v>1</v>
      </c>
      <c r="E916" s="24" t="n">
        <f aca="false">LN(C916)</f>
        <v>7.86512653195567</v>
      </c>
      <c r="F916" s="25" t="n">
        <f aca="false">LN(C916/C915)</f>
        <v>-0.00464208578055151</v>
      </c>
      <c r="G916" s="25" t="n">
        <f aca="false">IF(AND(D916=1,A916&gt;=$R$2),F916,"")</f>
        <v>-0.00464208578055151</v>
      </c>
      <c r="H916" s="27" t="n">
        <f aca="false">IF(G916="","",G916^2)</f>
        <v>2.15489603939985E-005</v>
      </c>
      <c r="I916" s="25" t="n">
        <f aca="false">IF(G916="","",C916/C915-1)</f>
        <v>-0.00463132795304466</v>
      </c>
      <c r="J916" s="17" t="n">
        <f aca="false">AVERAGE(C717:C916)</f>
        <v>1472.8719</v>
      </c>
      <c r="K916" s="17" t="n">
        <f aca="false">MAX(K915,C916)</f>
        <v>2998.98</v>
      </c>
      <c r="L916" s="25" t="n">
        <f aca="false">C916/K916-1</f>
        <v>-0.131424684392694</v>
      </c>
      <c r="M916" s="25" t="n">
        <f aca="false">IF(COUNT(G887:G916)&lt;20,"",_xlfn.STDEV.S(G887:G916)*SQRT($R$3))</f>
        <v>0.856607142118345</v>
      </c>
      <c r="N916" s="25" t="n">
        <f aca="false">IF(A916-7&lt;$R$2,"",C916/INDEX(Clean_Data!$C$2:$C$4314,MATCH(A916-7,Clean_Data!$A$2:$A$4314,1))-1)</f>
        <v>0.0295810276679842</v>
      </c>
      <c r="O916" s="25" t="n">
        <f aca="false">IF(A916-30&lt;$R$2,"",C916/INDEX(Clean_Data!$C$2:$C$4314,MATCH(A916-30,Clean_Data!$A$2:$A$4314,1))-1)</f>
        <v>-0.0927980106502652</v>
      </c>
    </row>
    <row r="917" customFormat="false" ht="15" hidden="false" customHeight="false" outlineLevel="0" collapsed="false">
      <c r="A917" s="16" t="n">
        <v>42923</v>
      </c>
      <c r="B917" s="23" t="n">
        <f aca="false">YEAR(A917)</f>
        <v>2017</v>
      </c>
      <c r="C917" s="17" t="n">
        <v>2501.15</v>
      </c>
      <c r="D917" s="23" t="n">
        <f aca="false">A917-A916</f>
        <v>1</v>
      </c>
      <c r="E917" s="24" t="n">
        <f aca="false">LN(C917)</f>
        <v>7.82450590508873</v>
      </c>
      <c r="F917" s="25" t="n">
        <f aca="false">LN(C917/C916)</f>
        <v>-0.0406206268669449</v>
      </c>
      <c r="G917" s="25" t="n">
        <f aca="false">IF(AND(D917=1,A917&gt;=$R$2),F917,"")</f>
        <v>-0.0406206268669449</v>
      </c>
      <c r="H917" s="27" t="n">
        <f aca="false">IF(G917="","",G917^2)</f>
        <v>0.00165003532706357</v>
      </c>
      <c r="I917" s="25" t="n">
        <f aca="false">IF(G917="","",C917/C916-1)</f>
        <v>-0.0398066675880284</v>
      </c>
      <c r="J917" s="17" t="n">
        <f aca="false">AVERAGE(C718:C917)</f>
        <v>1481.4236</v>
      </c>
      <c r="K917" s="17" t="n">
        <f aca="false">MAX(K916,C917)</f>
        <v>2998.98</v>
      </c>
      <c r="L917" s="25" t="n">
        <f aca="false">C917/K917-1</f>
        <v>-0.16599977325624</v>
      </c>
      <c r="M917" s="25" t="n">
        <f aca="false">IF(COUNT(G888:G917)&lt;20,"",_xlfn.STDEV.S(G888:G917)*SQRT($R$3))</f>
        <v>0.836757971725978</v>
      </c>
      <c r="N917" s="25" t="n">
        <f aca="false">IF(A917-7&lt;$R$2,"",C917/INDEX(Clean_Data!$C$2:$C$4314,MATCH(A917-7,Clean_Data!$A$2:$A$4314,1))-1)</f>
        <v>0.0187195288348356</v>
      </c>
      <c r="O917" s="25" t="n">
        <f aca="false">IF(A917-30&lt;$R$2,"",C917/INDEX(Clean_Data!$C$2:$C$4314,MATCH(A917-30,Clean_Data!$A$2:$A$4314,1))-1)</f>
        <v>-0.068694985180441</v>
      </c>
    </row>
    <row r="918" customFormat="false" ht="15" hidden="false" customHeight="false" outlineLevel="0" collapsed="false">
      <c r="A918" s="16" t="n">
        <v>42924</v>
      </c>
      <c r="B918" s="23" t="n">
        <f aca="false">YEAR(A918)</f>
        <v>2017</v>
      </c>
      <c r="C918" s="17" t="n">
        <v>2561.11</v>
      </c>
      <c r="D918" s="23" t="n">
        <f aca="false">A918-A917</f>
        <v>1</v>
      </c>
      <c r="E918" s="24" t="n">
        <f aca="false">LN(C918)</f>
        <v>7.848196037249</v>
      </c>
      <c r="F918" s="25" t="n">
        <f aca="false">LN(C918/C917)</f>
        <v>0.0236901321602754</v>
      </c>
      <c r="G918" s="25" t="n">
        <f aca="false">IF(AND(D918=1,A918&gt;=$R$2),F918,"")</f>
        <v>0.0236901321602754</v>
      </c>
      <c r="H918" s="27" t="n">
        <f aca="false">IF(G918="","",G918^2)</f>
        <v>0.000561222361771314</v>
      </c>
      <c r="I918" s="25" t="n">
        <f aca="false">IF(G918="","",C918/C917-1)</f>
        <v>0.0239729724326809</v>
      </c>
      <c r="J918" s="17" t="n">
        <f aca="false">AVERAGE(C719:C918)</f>
        <v>1490.2342</v>
      </c>
      <c r="K918" s="17" t="n">
        <f aca="false">MAX(K917,C918)</f>
        <v>2998.98</v>
      </c>
      <c r="L918" s="25" t="n">
        <f aca="false">C918/K918-1</f>
        <v>-0.146006308811663</v>
      </c>
      <c r="M918" s="25" t="n">
        <f aca="false">IF(COUNT(G889:G918)&lt;20,"",_xlfn.STDEV.S(G889:G918)*SQRT($R$3))</f>
        <v>0.827186736230894</v>
      </c>
      <c r="N918" s="25" t="n">
        <f aca="false">IF(A918-7&lt;$R$2,"",C918/INDEX(Clean_Data!$C$2:$C$4314,MATCH(A918-7,Clean_Data!$A$2:$A$4314,1))-1)</f>
        <v>0.0567248301102066</v>
      </c>
      <c r="O918" s="25" t="n">
        <f aca="false">IF(A918-30&lt;$R$2,"",C918/INDEX(Clean_Data!$C$2:$C$4314,MATCH(A918-30,Clean_Data!$A$2:$A$4314,1))-1)</f>
        <v>-0.0852296471445461</v>
      </c>
    </row>
    <row r="919" customFormat="false" ht="15" hidden="false" customHeight="false" outlineLevel="0" collapsed="false">
      <c r="A919" s="16" t="n">
        <v>42925</v>
      </c>
      <c r="B919" s="23" t="n">
        <f aca="false">YEAR(A919)</f>
        <v>2017</v>
      </c>
      <c r="C919" s="17" t="n">
        <v>2508.99</v>
      </c>
      <c r="D919" s="23" t="n">
        <f aca="false">A919-A918</f>
        <v>1</v>
      </c>
      <c r="E919" s="24" t="n">
        <f aca="false">LN(C919)</f>
        <v>7.82763556070683</v>
      </c>
      <c r="F919" s="25" t="n">
        <f aca="false">LN(C919/C918)</f>
        <v>-0.0205604765421764</v>
      </c>
      <c r="G919" s="25" t="n">
        <f aca="false">IF(AND(D919=1,A919&gt;=$R$2),F919,"")</f>
        <v>-0.0205604765421764</v>
      </c>
      <c r="H919" s="27" t="n">
        <f aca="false">IF(G919="","",G919^2)</f>
        <v>0.000422733195641385</v>
      </c>
      <c r="I919" s="25" t="n">
        <f aca="false">IF(G919="","",C919/C918-1)</f>
        <v>-0.0203505511282219</v>
      </c>
      <c r="J919" s="17" t="n">
        <f aca="false">AVERAGE(C720:C919)</f>
        <v>1498.60665</v>
      </c>
      <c r="K919" s="17" t="n">
        <f aca="false">MAX(K918,C919)</f>
        <v>2998.98</v>
      </c>
      <c r="L919" s="25" t="n">
        <f aca="false">C919/K919-1</f>
        <v>-0.16338555108737</v>
      </c>
      <c r="M919" s="25" t="n">
        <f aca="false">IF(COUNT(G890:G919)&lt;20,"",_xlfn.STDEV.S(G890:G919)*SQRT($R$3))</f>
        <v>0.828997779167971</v>
      </c>
      <c r="N919" s="25" t="n">
        <f aca="false">IF(A919-7&lt;$R$2,"",C919/INDEX(Clean_Data!$C$2:$C$4314,MATCH(A919-7,Clean_Data!$A$2:$A$4314,1))-1)</f>
        <v>-0.0030476901925568</v>
      </c>
      <c r="O919" s="25" t="n">
        <f aca="false">IF(A919-30&lt;$R$2,"",C919/INDEX(Clean_Data!$C$2:$C$4314,MATCH(A919-30,Clean_Data!$A$2:$A$4314,1))-1)</f>
        <v>-0.107562451314119</v>
      </c>
    </row>
    <row r="920" customFormat="false" ht="15" hidden="false" customHeight="false" outlineLevel="0" collapsed="false">
      <c r="A920" s="16" t="n">
        <v>42926</v>
      </c>
      <c r="B920" s="23" t="n">
        <f aca="false">YEAR(A920)</f>
        <v>2017</v>
      </c>
      <c r="C920" s="17" t="n">
        <v>2331.05</v>
      </c>
      <c r="D920" s="23" t="n">
        <f aca="false">A920-A919</f>
        <v>1</v>
      </c>
      <c r="E920" s="24" t="n">
        <f aca="false">LN(C920)</f>
        <v>7.75407408882716</v>
      </c>
      <c r="F920" s="25" t="n">
        <f aca="false">LN(C920/C919)</f>
        <v>-0.0735614718796667</v>
      </c>
      <c r="G920" s="25" t="n">
        <f aca="false">IF(AND(D920=1,A920&gt;=$R$2),F920,"")</f>
        <v>-0.0735614718796667</v>
      </c>
      <c r="H920" s="27" t="n">
        <f aca="false">IF(G920="","",G920^2)</f>
        <v>0.00541129014510299</v>
      </c>
      <c r="I920" s="25" t="n">
        <f aca="false">IF(G920="","",C920/C919-1)</f>
        <v>-0.0709209681983586</v>
      </c>
      <c r="J920" s="17" t="n">
        <f aca="false">AVERAGE(C721:C920)</f>
        <v>1505.9818</v>
      </c>
      <c r="K920" s="17" t="n">
        <f aca="false">MAX(K919,C920)</f>
        <v>2998.98</v>
      </c>
      <c r="L920" s="25" t="n">
        <f aca="false">C920/K920-1</f>
        <v>-0.22271905781299</v>
      </c>
      <c r="M920" s="25" t="n">
        <f aca="false">IF(COUNT(G891:G920)&lt;20,"",_xlfn.STDEV.S(G891:G920)*SQRT($R$3))</f>
        <v>0.84667567137203</v>
      </c>
      <c r="N920" s="25" t="n">
        <f aca="false">IF(A920-7&lt;$R$2,"",C920/INDEX(Clean_Data!$C$2:$C$4314,MATCH(A920-7,Clean_Data!$A$2:$A$4314,1))-1)</f>
        <v>-0.0831337195810273</v>
      </c>
      <c r="O920" s="25" t="n">
        <f aca="false">IF(A920-30&lt;$R$2,"",C920/INDEX(Clean_Data!$C$2:$C$4314,MATCH(A920-30,Clean_Data!$A$2:$A$4314,1))-1)</f>
        <v>-0.204731931153302</v>
      </c>
    </row>
    <row r="921" customFormat="false" ht="15" hidden="false" customHeight="false" outlineLevel="0" collapsed="false">
      <c r="A921" s="16" t="n">
        <v>42927</v>
      </c>
      <c r="B921" s="23" t="n">
        <f aca="false">YEAR(A921)</f>
        <v>2017</v>
      </c>
      <c r="C921" s="17" t="n">
        <v>2310.01</v>
      </c>
      <c r="D921" s="23" t="n">
        <f aca="false">A921-A920</f>
        <v>1</v>
      </c>
      <c r="E921" s="24" t="n">
        <f aca="false">LN(C921)</f>
        <v>7.7450071325108</v>
      </c>
      <c r="F921" s="25" t="n">
        <f aca="false">LN(C921/C920)</f>
        <v>-0.00906695631636061</v>
      </c>
      <c r="G921" s="25" t="n">
        <f aca="false">IF(AND(D921=1,A921&gt;=$R$2),F921,"")</f>
        <v>-0.00906695631636061</v>
      </c>
      <c r="H921" s="27" t="n">
        <f aca="false">IF(G921="","",G921^2)</f>
        <v>8.22096968427915E-005</v>
      </c>
      <c r="I921" s="25" t="n">
        <f aca="false">IF(G921="","",C921/C920-1)</f>
        <v>-0.00902597541880268</v>
      </c>
      <c r="J921" s="17" t="n">
        <f aca="false">AVERAGE(C722:C921)</f>
        <v>1512.94555</v>
      </c>
      <c r="K921" s="17" t="n">
        <f aca="false">MAX(K920,C921)</f>
        <v>2998.98</v>
      </c>
      <c r="L921" s="25" t="n">
        <f aca="false">C921/K921-1</f>
        <v>-0.229734776490673</v>
      </c>
      <c r="M921" s="25" t="n">
        <f aca="false">IF(COUNT(G892:G921)&lt;20,"",_xlfn.STDEV.S(G892:G921)*SQRT($R$3))</f>
        <v>0.839487254574484</v>
      </c>
      <c r="N921" s="25" t="n">
        <f aca="false">IF(A921-7&lt;$R$2,"",C921/INDEX(Clean_Data!$C$2:$C$4314,MATCH(A921-7,Clean_Data!$A$2:$A$4314,1))-1)</f>
        <v>-0.112217524980784</v>
      </c>
      <c r="O921" s="25" t="n">
        <f aca="false">IF(A921-30&lt;$R$2,"",C921/INDEX(Clean_Data!$C$2:$C$4314,MATCH(A921-30,Clean_Data!$A$2:$A$4314,1))-1)</f>
        <v>-0.229734776490673</v>
      </c>
    </row>
    <row r="922" customFormat="false" ht="15" hidden="false" customHeight="false" outlineLevel="0" collapsed="false">
      <c r="A922" s="16" t="n">
        <v>42928</v>
      </c>
      <c r="B922" s="23" t="n">
        <f aca="false">YEAR(A922)</f>
        <v>2017</v>
      </c>
      <c r="C922" s="17" t="n">
        <v>2383.42</v>
      </c>
      <c r="D922" s="23" t="n">
        <f aca="false">A922-A921</f>
        <v>1</v>
      </c>
      <c r="E922" s="24" t="n">
        <f aca="false">LN(C922)</f>
        <v>7.77629170999517</v>
      </c>
      <c r="F922" s="25" t="n">
        <f aca="false">LN(C922/C921)</f>
        <v>0.031284577484368</v>
      </c>
      <c r="G922" s="25" t="n">
        <f aca="false">IF(AND(D922=1,A922&gt;=$R$2),F922,"")</f>
        <v>0.031284577484368</v>
      </c>
      <c r="H922" s="27" t="n">
        <f aca="false">IF(G922="","",G922^2)</f>
        <v>0.000978724788375426</v>
      </c>
      <c r="I922" s="25" t="n">
        <f aca="false">IF(G922="","",C922/C921-1)</f>
        <v>0.0317790832074318</v>
      </c>
      <c r="J922" s="17" t="n">
        <f aca="false">AVERAGE(C723:C922)</f>
        <v>1520.40515</v>
      </c>
      <c r="K922" s="17" t="n">
        <f aca="false">MAX(K921,C922)</f>
        <v>2998.98</v>
      </c>
      <c r="L922" s="25" t="n">
        <f aca="false">C922/K922-1</f>
        <v>-0.205256453860979</v>
      </c>
      <c r="M922" s="25" t="n">
        <f aca="false">IF(COUNT(G893:G922)&lt;20,"",_xlfn.STDEV.S(G893:G922)*SQRT($R$3))</f>
        <v>0.744813352372968</v>
      </c>
      <c r="N922" s="25" t="n">
        <f aca="false">IF(A922-7&lt;$R$2,"",C922/INDEX(Clean_Data!$C$2:$C$4314,MATCH(A922-7,Clean_Data!$A$2:$A$4314,1))-1)</f>
        <v>-0.0892409513328442</v>
      </c>
      <c r="O922" s="25" t="n">
        <f aca="false">IF(A922-30&lt;$R$2,"",C922/INDEX(Clean_Data!$C$2:$C$4314,MATCH(A922-30,Clean_Data!$A$2:$A$4314,1))-1)</f>
        <v>-0.102530020220581</v>
      </c>
    </row>
    <row r="923" customFormat="false" ht="15" hidden="false" customHeight="false" outlineLevel="0" collapsed="false">
      <c r="A923" s="16" t="n">
        <v>42929</v>
      </c>
      <c r="B923" s="23" t="n">
        <f aca="false">YEAR(A923)</f>
        <v>2017</v>
      </c>
      <c r="C923" s="17" t="n">
        <v>2340</v>
      </c>
      <c r="D923" s="23" t="n">
        <f aca="false">A923-A922</f>
        <v>1</v>
      </c>
      <c r="E923" s="24" t="n">
        <f aca="false">LN(C923)</f>
        <v>7.75790620835175</v>
      </c>
      <c r="F923" s="25" t="n">
        <f aca="false">LN(C923/C922)</f>
        <v>-0.0183855016434192</v>
      </c>
      <c r="G923" s="25" t="n">
        <f aca="false">IF(AND(D923=1,A923&gt;=$R$2),F923,"")</f>
        <v>-0.0183855016434192</v>
      </c>
      <c r="H923" s="27" t="n">
        <f aca="false">IF(G923="","",G923^2)</f>
        <v>0.000338026670680169</v>
      </c>
      <c r="I923" s="25" t="n">
        <f aca="false">IF(G923="","",C923/C922-1)</f>
        <v>-0.0182175193629323</v>
      </c>
      <c r="J923" s="17" t="n">
        <f aca="false">AVERAGE(C724:C923)</f>
        <v>1527.62455</v>
      </c>
      <c r="K923" s="17" t="n">
        <f aca="false">MAX(K922,C923)</f>
        <v>2998.98</v>
      </c>
      <c r="L923" s="25" t="n">
        <f aca="false">C923/K923-1</f>
        <v>-0.219734709801332</v>
      </c>
      <c r="M923" s="25" t="n">
        <f aca="false">IF(COUNT(G894:G923)&lt;20,"",_xlfn.STDEV.S(G894:G923)*SQRT($R$3))</f>
        <v>0.741582788291895</v>
      </c>
      <c r="N923" s="25" t="n">
        <f aca="false">IF(A923-7&lt;$R$2,"",C923/INDEX(Clean_Data!$C$2:$C$4314,MATCH(A923-7,Clean_Data!$A$2:$A$4314,1))-1)</f>
        <v>-0.101672271617451</v>
      </c>
      <c r="O923" s="25" t="n">
        <f aca="false">IF(A923-30&lt;$R$2,"",C923/INDEX(Clean_Data!$C$2:$C$4314,MATCH(A923-30,Clean_Data!$A$2:$A$4314,1))-1)</f>
        <v>-0.136215813156836</v>
      </c>
    </row>
    <row r="924" customFormat="false" ht="15" hidden="false" customHeight="false" outlineLevel="0" collapsed="false">
      <c r="A924" s="16" t="n">
        <v>42930</v>
      </c>
      <c r="B924" s="23" t="n">
        <f aca="false">YEAR(A924)</f>
        <v>2017</v>
      </c>
      <c r="C924" s="17" t="n">
        <v>2217.24</v>
      </c>
      <c r="D924" s="23" t="n">
        <f aca="false">A924-A923</f>
        <v>1</v>
      </c>
      <c r="E924" s="24" t="n">
        <f aca="false">LN(C924)</f>
        <v>7.70401845815506</v>
      </c>
      <c r="F924" s="25" t="n">
        <f aca="false">LN(C924/C923)</f>
        <v>-0.0538877501966853</v>
      </c>
      <c r="G924" s="25" t="n">
        <f aca="false">IF(AND(D924=1,A924&gt;=$R$2),F924,"")</f>
        <v>-0.0538877501966853</v>
      </c>
      <c r="H924" s="27" t="n">
        <f aca="false">IF(G924="","",G924^2)</f>
        <v>0.00290388962126036</v>
      </c>
      <c r="I924" s="25" t="n">
        <f aca="false">IF(G924="","",C924/C923-1)</f>
        <v>-0.0524615384615386</v>
      </c>
      <c r="J924" s="17" t="n">
        <f aca="false">AVERAGE(C725:C924)</f>
        <v>1534.2003</v>
      </c>
      <c r="K924" s="17" t="n">
        <f aca="false">MAX(K923,C924)</f>
        <v>2998.98</v>
      </c>
      <c r="L924" s="25" t="n">
        <f aca="false">C924/K924-1</f>
        <v>-0.260668627333293</v>
      </c>
      <c r="M924" s="25" t="n">
        <f aca="false">IF(COUNT(G895:G924)&lt;20,"",_xlfn.STDEV.S(G895:G924)*SQRT($R$3))</f>
        <v>0.667593703573766</v>
      </c>
      <c r="N924" s="25" t="n">
        <f aca="false">IF(A924-7&lt;$R$2,"",C924/INDEX(Clean_Data!$C$2:$C$4314,MATCH(A924-7,Clean_Data!$A$2:$A$4314,1))-1)</f>
        <v>-0.113511784579094</v>
      </c>
      <c r="O924" s="25" t="n">
        <f aca="false">IF(A924-30&lt;$R$2,"",C924/INDEX(Clean_Data!$C$2:$C$4314,MATCH(A924-30,Clean_Data!$A$2:$A$4314,1))-1)</f>
        <v>-0.0883846378396603</v>
      </c>
    </row>
    <row r="925" customFormat="false" ht="15" hidden="false" customHeight="false" outlineLevel="0" collapsed="false">
      <c r="A925" s="16" t="n">
        <v>42931</v>
      </c>
      <c r="B925" s="23" t="n">
        <f aca="false">YEAR(A925)</f>
        <v>2017</v>
      </c>
      <c r="C925" s="17" t="n">
        <v>1964.31</v>
      </c>
      <c r="D925" s="23" t="n">
        <f aca="false">A925-A924</f>
        <v>1</v>
      </c>
      <c r="E925" s="24" t="n">
        <f aca="false">LN(C925)</f>
        <v>7.58289631759934</v>
      </c>
      <c r="F925" s="25" t="n">
        <f aca="false">LN(C925/C924)</f>
        <v>-0.121122140555723</v>
      </c>
      <c r="G925" s="25" t="n">
        <f aca="false">IF(AND(D925=1,A925&gt;=$R$2),F925,"")</f>
        <v>-0.121122140555723</v>
      </c>
      <c r="H925" s="27" t="n">
        <f aca="false">IF(G925="","",G925^2)</f>
        <v>0.0146705729328004</v>
      </c>
      <c r="I925" s="25" t="n">
        <f aca="false">IF(G925="","",C925/C924-1)</f>
        <v>-0.114074254478541</v>
      </c>
      <c r="J925" s="17" t="n">
        <f aca="false">AVERAGE(C726:C925)</f>
        <v>1539.39585</v>
      </c>
      <c r="K925" s="17" t="n">
        <f aca="false">MAX(K924,C925)</f>
        <v>2998.98</v>
      </c>
      <c r="L925" s="25" t="n">
        <f aca="false">C925/K925-1</f>
        <v>-0.345007302482844</v>
      </c>
      <c r="M925" s="25" t="n">
        <f aca="false">IF(COUNT(G896:G925)&lt;20,"",_xlfn.STDEV.S(G896:G925)*SQRT($R$3))</f>
        <v>0.78442226620104</v>
      </c>
      <c r="N925" s="25" t="n">
        <f aca="false">IF(A925-7&lt;$R$2,"",C925/INDEX(Clean_Data!$C$2:$C$4314,MATCH(A925-7,Clean_Data!$A$2:$A$4314,1))-1)</f>
        <v>-0.233023962266361</v>
      </c>
      <c r="O925" s="25" t="n">
        <f aca="false">IF(A925-30&lt;$R$2,"",C925/INDEX(Clean_Data!$C$2:$C$4314,MATCH(A925-30,Clean_Data!$A$2:$A$4314,1))-1)</f>
        <v>-0.184926845865941</v>
      </c>
    </row>
    <row r="926" customFormat="false" ht="15" hidden="false" customHeight="false" outlineLevel="0" collapsed="false">
      <c r="A926" s="16" t="n">
        <v>42932</v>
      </c>
      <c r="B926" s="23" t="n">
        <f aca="false">YEAR(A926)</f>
        <v>2017</v>
      </c>
      <c r="C926" s="17" t="n">
        <v>1911.78</v>
      </c>
      <c r="D926" s="23" t="n">
        <f aca="false">A926-A925</f>
        <v>1</v>
      </c>
      <c r="E926" s="24" t="n">
        <f aca="false">LN(C926)</f>
        <v>7.55579002422961</v>
      </c>
      <c r="F926" s="25" t="n">
        <f aca="false">LN(C926/C925)</f>
        <v>-0.0271062933697256</v>
      </c>
      <c r="G926" s="25" t="n">
        <f aca="false">IF(AND(D926=1,A926&gt;=$R$2),F926,"")</f>
        <v>-0.0271062933697256</v>
      </c>
      <c r="H926" s="27" t="n">
        <f aca="false">IF(G926="","",G926^2)</f>
        <v>0.000734751140245629</v>
      </c>
      <c r="I926" s="25" t="n">
        <f aca="false">IF(G926="","",C926/C925-1)</f>
        <v>-0.0267422148235258</v>
      </c>
      <c r="J926" s="17" t="n">
        <f aca="false">AVERAGE(C727:C926)</f>
        <v>1544.0439</v>
      </c>
      <c r="K926" s="17" t="n">
        <f aca="false">MAX(K925,C926)</f>
        <v>2998.98</v>
      </c>
      <c r="L926" s="25" t="n">
        <f aca="false">C926/K926-1</f>
        <v>-0.362523257907689</v>
      </c>
      <c r="M926" s="25" t="n">
        <f aca="false">IF(COUNT(G897:G926)&lt;20,"",_xlfn.STDEV.S(G897:G926)*SQRT($R$3))</f>
        <v>0.776666276858997</v>
      </c>
      <c r="N926" s="25" t="n">
        <f aca="false">IF(A926-7&lt;$R$2,"",C926/INDEX(Clean_Data!$C$2:$C$4314,MATCH(A926-7,Clean_Data!$A$2:$A$4314,1))-1)</f>
        <v>-0.238028051128143</v>
      </c>
      <c r="O926" s="25" t="n">
        <f aca="false">IF(A926-30&lt;$R$2,"",C926/INDEX(Clean_Data!$C$2:$C$4314,MATCH(A926-30,Clean_Data!$A$2:$A$4314,1))-1)</f>
        <v>-0.229254605048318</v>
      </c>
    </row>
    <row r="927" customFormat="false" ht="15" hidden="false" customHeight="false" outlineLevel="0" collapsed="false">
      <c r="A927" s="16" t="n">
        <v>42933</v>
      </c>
      <c r="B927" s="23" t="n">
        <f aca="false">YEAR(A927)</f>
        <v>2017</v>
      </c>
      <c r="C927" s="17" t="n">
        <v>2235.19</v>
      </c>
      <c r="D927" s="23" t="n">
        <f aca="false">A927-A926</f>
        <v>1</v>
      </c>
      <c r="E927" s="24" t="n">
        <f aca="false">LN(C927)</f>
        <v>7.71208151462011</v>
      </c>
      <c r="F927" s="25" t="n">
        <f aca="false">LN(C927/C926)</f>
        <v>0.156291490390493</v>
      </c>
      <c r="G927" s="25" t="n">
        <f aca="false">IF(AND(D927=1,A927&gt;=$R$2),F927,"")</f>
        <v>0.156291490390493</v>
      </c>
      <c r="H927" s="27" t="n">
        <f aca="false">IF(G927="","",G927^2)</f>
        <v>0.0244270299684814</v>
      </c>
      <c r="I927" s="25" t="n">
        <f aca="false">IF(G927="","",C927/C926-1)</f>
        <v>0.169166954356673</v>
      </c>
      <c r="J927" s="17" t="n">
        <f aca="false">AVERAGE(C728:C927)</f>
        <v>1550.36625</v>
      </c>
      <c r="K927" s="17" t="n">
        <f aca="false">MAX(K926,C927)</f>
        <v>2998.98</v>
      </c>
      <c r="L927" s="25" t="n">
        <f aca="false">C927/K927-1</f>
        <v>-0.254683258974718</v>
      </c>
      <c r="M927" s="25" t="n">
        <f aca="false">IF(COUNT(G898:G927)&lt;20,"",_xlfn.STDEV.S(G898:G927)*SQRT($R$3))</f>
        <v>0.939033762481386</v>
      </c>
      <c r="N927" s="25" t="n">
        <f aca="false">IF(A927-7&lt;$R$2,"",C927/INDEX(Clean_Data!$C$2:$C$4314,MATCH(A927-7,Clean_Data!$A$2:$A$4314,1))-1)</f>
        <v>-0.0411230990326248</v>
      </c>
      <c r="O927" s="25" t="n">
        <f aca="false">IF(A927-30&lt;$R$2,"",C927/INDEX(Clean_Data!$C$2:$C$4314,MATCH(A927-30,Clean_Data!$A$2:$A$4314,1))-1)</f>
        <v>-0.15171123441141</v>
      </c>
    </row>
    <row r="928" customFormat="false" ht="15" hidden="false" customHeight="false" outlineLevel="0" collapsed="false">
      <c r="A928" s="16" t="n">
        <v>42934</v>
      </c>
      <c r="B928" s="23" t="n">
        <f aca="false">YEAR(A928)</f>
        <v>2017</v>
      </c>
      <c r="C928" s="17" t="n">
        <v>2308.15</v>
      </c>
      <c r="D928" s="23" t="n">
        <f aca="false">A928-A927</f>
        <v>1</v>
      </c>
      <c r="E928" s="24" t="n">
        <f aca="false">LN(C928)</f>
        <v>7.74420161685063</v>
      </c>
      <c r="F928" s="25" t="n">
        <f aca="false">LN(C928/C927)</f>
        <v>0.0321201022305282</v>
      </c>
      <c r="G928" s="25" t="n">
        <f aca="false">IF(AND(D928=1,A928&gt;=$R$2),F928,"")</f>
        <v>0.0321201022305282</v>
      </c>
      <c r="H928" s="27" t="n">
        <f aca="false">IF(G928="","",G928^2)</f>
        <v>0.00103170096729958</v>
      </c>
      <c r="I928" s="25" t="n">
        <f aca="false">IF(G928="","",C928/C927-1)</f>
        <v>0.0326415204076611</v>
      </c>
      <c r="J928" s="17" t="n">
        <f aca="false">AVERAGE(C729:C928)</f>
        <v>1557.10295</v>
      </c>
      <c r="K928" s="17" t="n">
        <f aca="false">MAX(K927,C928)</f>
        <v>2998.98</v>
      </c>
      <c r="L928" s="25" t="n">
        <f aca="false">C928/K928-1</f>
        <v>-0.23035498736237</v>
      </c>
      <c r="M928" s="25" t="n">
        <f aca="false">IF(COUNT(G899:G928)&lt;20,"",_xlfn.STDEV.S(G899:G928)*SQRT($R$3))</f>
        <v>0.935857303103979</v>
      </c>
      <c r="N928" s="25" t="n">
        <f aca="false">IF(A928-7&lt;$R$2,"",C928/INDEX(Clean_Data!$C$2:$C$4314,MATCH(A928-7,Clean_Data!$A$2:$A$4314,1))-1)</f>
        <v>-0.000805191319518173</v>
      </c>
      <c r="O928" s="25" t="n">
        <f aca="false">IF(A928-30&lt;$R$2,"",C928/INDEX(Clean_Data!$C$2:$C$4314,MATCH(A928-30,Clean_Data!$A$2:$A$4314,1))-1)</f>
        <v>-0.0823377397872974</v>
      </c>
    </row>
    <row r="929" customFormat="false" ht="15" hidden="false" customHeight="false" outlineLevel="0" collapsed="false">
      <c r="A929" s="16" t="n">
        <v>42935</v>
      </c>
      <c r="B929" s="23" t="n">
        <f aca="false">YEAR(A929)</f>
        <v>2017</v>
      </c>
      <c r="C929" s="17" t="n">
        <v>2258.99</v>
      </c>
      <c r="D929" s="23" t="n">
        <f aca="false">A929-A928</f>
        <v>1</v>
      </c>
      <c r="E929" s="24" t="n">
        <f aca="false">LN(C929)</f>
        <v>7.72267308972071</v>
      </c>
      <c r="F929" s="25" t="n">
        <f aca="false">LN(C929/C928)</f>
        <v>-0.021528527129923</v>
      </c>
      <c r="G929" s="25" t="n">
        <f aca="false">IF(AND(D929=1,A929&gt;=$R$2),F929,"")</f>
        <v>-0.021528527129923</v>
      </c>
      <c r="H929" s="27" t="n">
        <f aca="false">IF(G929="","",G929^2)</f>
        <v>0.000463477480383829</v>
      </c>
      <c r="I929" s="25" t="n">
        <f aca="false">IF(G929="","",C929/C928-1)</f>
        <v>-0.0212984424755758</v>
      </c>
      <c r="J929" s="17" t="n">
        <f aca="false">AVERAGE(C730:C929)</f>
        <v>1563.53105</v>
      </c>
      <c r="K929" s="17" t="n">
        <f aca="false">MAX(K928,C929)</f>
        <v>2998.98</v>
      </c>
      <c r="L929" s="25" t="n">
        <f aca="false">C929/K929-1</f>
        <v>-0.246747227390646</v>
      </c>
      <c r="M929" s="25" t="n">
        <f aca="false">IF(COUNT(G900:G929)&lt;20,"",_xlfn.STDEV.S(G900:G929)*SQRT($R$3))</f>
        <v>0.929372786232618</v>
      </c>
      <c r="N929" s="25" t="n">
        <f aca="false">IF(A929-7&lt;$R$2,"",C929/INDEX(Clean_Data!$C$2:$C$4314,MATCH(A929-7,Clean_Data!$A$2:$A$4314,1))-1)</f>
        <v>-0.0522064931904576</v>
      </c>
      <c r="O929" s="25" t="n">
        <f aca="false">IF(A929-30&lt;$R$2,"",C929/INDEX(Clean_Data!$C$2:$C$4314,MATCH(A929-30,Clean_Data!$A$2:$A$4314,1))-1)</f>
        <v>-0.130147324969773</v>
      </c>
    </row>
    <row r="930" customFormat="false" ht="15" hidden="false" customHeight="false" outlineLevel="0" collapsed="false">
      <c r="A930" s="16" t="n">
        <v>42936</v>
      </c>
      <c r="B930" s="23" t="n">
        <f aca="false">YEAR(A930)</f>
        <v>2017</v>
      </c>
      <c r="C930" s="17" t="n">
        <v>2873.48</v>
      </c>
      <c r="D930" s="23" t="n">
        <f aca="false">A930-A929</f>
        <v>1</v>
      </c>
      <c r="E930" s="24" t="n">
        <f aca="false">LN(C930)</f>
        <v>7.96327911777045</v>
      </c>
      <c r="F930" s="25" t="n">
        <f aca="false">LN(C930/C929)</f>
        <v>0.24060602804974</v>
      </c>
      <c r="G930" s="25" t="n">
        <f aca="false">IF(AND(D930=1,A930&gt;=$R$2),F930,"")</f>
        <v>0.24060602804974</v>
      </c>
      <c r="H930" s="27" t="n">
        <f aca="false">IF(G930="","",G930^2)</f>
        <v>0.0578912607338724</v>
      </c>
      <c r="I930" s="25" t="n">
        <f aca="false">IF(G930="","",C930/C929-1)</f>
        <v>0.272019796457709</v>
      </c>
      <c r="J930" s="17" t="n">
        <f aca="false">AVERAGE(C731:C930)</f>
        <v>1572.9337</v>
      </c>
      <c r="K930" s="17" t="n">
        <f aca="false">MAX(K929,C930)</f>
        <v>2998.98</v>
      </c>
      <c r="L930" s="25" t="n">
        <f aca="false">C930/K930-1</f>
        <v>-0.0418475615042447</v>
      </c>
      <c r="M930" s="25" t="n">
        <f aca="false">IF(COUNT(G901:G930)&lt;20,"",_xlfn.STDEV.S(G901:G930)*SQRT($R$3))</f>
        <v>1.253061631842</v>
      </c>
      <c r="N930" s="25" t="n">
        <f aca="false">IF(A930-7&lt;$R$2,"",C930/INDEX(Clean_Data!$C$2:$C$4314,MATCH(A930-7,Clean_Data!$A$2:$A$4314,1))-1)</f>
        <v>0.227982905982906</v>
      </c>
      <c r="O930" s="25" t="n">
        <f aca="false">IF(A930-30&lt;$R$2,"",C930/INDEX(Clean_Data!$C$2:$C$4314,MATCH(A930-30,Clean_Data!$A$2:$A$4314,1))-1)</f>
        <v>0.054457116855285</v>
      </c>
    </row>
    <row r="931" customFormat="false" ht="15" hidden="false" customHeight="false" outlineLevel="0" collapsed="false">
      <c r="A931" s="16" t="n">
        <v>42937</v>
      </c>
      <c r="B931" s="23" t="n">
        <f aca="false">YEAR(A931)</f>
        <v>2017</v>
      </c>
      <c r="C931" s="17" t="n">
        <v>2657.45</v>
      </c>
      <c r="D931" s="23" t="n">
        <f aca="false">A931-A930</f>
        <v>1</v>
      </c>
      <c r="E931" s="24" t="n">
        <f aca="false">LN(C931)</f>
        <v>7.88512229536366</v>
      </c>
      <c r="F931" s="25" t="n">
        <f aca="false">LN(C931/C930)</f>
        <v>-0.078156822406793</v>
      </c>
      <c r="G931" s="25" t="n">
        <f aca="false">IF(AND(D931=1,A931&gt;=$R$2),F931,"")</f>
        <v>-0.078156822406793</v>
      </c>
      <c r="H931" s="27" t="n">
        <f aca="false">IF(G931="","",G931^2)</f>
        <v>0.00610848888872698</v>
      </c>
      <c r="I931" s="25" t="n">
        <f aca="false">IF(G931="","",C931/C930-1)</f>
        <v>-0.075180617230675</v>
      </c>
      <c r="J931" s="17" t="n">
        <f aca="false">AVERAGE(C732:C931)</f>
        <v>1581.1637</v>
      </c>
      <c r="K931" s="17" t="n">
        <f aca="false">MAX(K930,C931)</f>
        <v>2998.98</v>
      </c>
      <c r="L931" s="25" t="n">
        <f aca="false">C931/K931-1</f>
        <v>-0.113882053231432</v>
      </c>
      <c r="M931" s="25" t="n">
        <f aca="false">IF(COUNT(G902:G931)&lt;20,"",_xlfn.STDEV.S(G902:G931)*SQRT($R$3))</f>
        <v>1.27927456283994</v>
      </c>
      <c r="N931" s="25" t="n">
        <f aca="false">IF(A931-7&lt;$R$2,"",C931/INDEX(Clean_Data!$C$2:$C$4314,MATCH(A931-7,Clean_Data!$A$2:$A$4314,1))-1)</f>
        <v>0.198539625841136</v>
      </c>
      <c r="O931" s="25" t="n">
        <f aca="false">IF(A931-30&lt;$R$2,"",C931/INDEX(Clean_Data!$C$2:$C$4314,MATCH(A931-30,Clean_Data!$A$2:$A$4314,1))-1)</f>
        <v>0.00533414039003533</v>
      </c>
    </row>
    <row r="932" customFormat="false" ht="15" hidden="false" customHeight="false" outlineLevel="0" collapsed="false">
      <c r="A932" s="16" t="n">
        <v>42938</v>
      </c>
      <c r="B932" s="23" t="n">
        <f aca="false">YEAR(A932)</f>
        <v>2017</v>
      </c>
      <c r="C932" s="17" t="n">
        <v>2825.27</v>
      </c>
      <c r="D932" s="23" t="n">
        <f aca="false">A932-A931</f>
        <v>1</v>
      </c>
      <c r="E932" s="24" t="n">
        <f aca="false">LN(C932)</f>
        <v>7.94635921423476</v>
      </c>
      <c r="F932" s="25" t="n">
        <f aca="false">LN(C932/C931)</f>
        <v>0.061236918871102</v>
      </c>
      <c r="G932" s="25" t="n">
        <f aca="false">IF(AND(D932=1,A932&gt;=$R$2),F932,"")</f>
        <v>0.061236918871102</v>
      </c>
      <c r="H932" s="27" t="n">
        <f aca="false">IF(G932="","",G932^2)</f>
        <v>0.00374996023282592</v>
      </c>
      <c r="I932" s="25" t="n">
        <f aca="false">IF(G932="","",C932/C931-1)</f>
        <v>0.0631507648309471</v>
      </c>
      <c r="J932" s="17" t="n">
        <f aca="false">AVERAGE(C733:C932)</f>
        <v>1590.1867</v>
      </c>
      <c r="K932" s="17" t="n">
        <f aca="false">MAX(K931,C932)</f>
        <v>2998.98</v>
      </c>
      <c r="L932" s="25" t="n">
        <f aca="false">C932/K932-1</f>
        <v>-0.0579230271625686</v>
      </c>
      <c r="M932" s="25" t="n">
        <f aca="false">IF(COUNT(G903:G932)&lt;20,"",_xlfn.STDEV.S(G903:G932)*SQRT($R$3))</f>
        <v>1.29622479721571</v>
      </c>
      <c r="N932" s="25" t="n">
        <f aca="false">IF(A932-7&lt;$R$2,"",C932/INDEX(Clean_Data!$C$2:$C$4314,MATCH(A932-7,Clean_Data!$A$2:$A$4314,1))-1)</f>
        <v>0.438301490090668</v>
      </c>
      <c r="O932" s="25" t="n">
        <f aca="false">IF(A932-30&lt;$R$2,"",C932/INDEX(Clean_Data!$C$2:$C$4314,MATCH(A932-30,Clean_Data!$A$2:$A$4314,1))-1)</f>
        <v>0.0542091574968564</v>
      </c>
    </row>
    <row r="933" customFormat="false" ht="15" hidden="false" customHeight="false" outlineLevel="0" collapsed="false">
      <c r="A933" s="16" t="n">
        <v>42939</v>
      </c>
      <c r="B933" s="23" t="n">
        <f aca="false">YEAR(A933)</f>
        <v>2017</v>
      </c>
      <c r="C933" s="17" t="n">
        <v>2754.28</v>
      </c>
      <c r="D933" s="23" t="n">
        <f aca="false">A933-A932</f>
        <v>1</v>
      </c>
      <c r="E933" s="24" t="n">
        <f aca="false">LN(C933)</f>
        <v>7.92091134441828</v>
      </c>
      <c r="F933" s="25" t="n">
        <f aca="false">LN(C933/C932)</f>
        <v>-0.0254478698164853</v>
      </c>
      <c r="G933" s="25" t="n">
        <f aca="false">IF(AND(D933=1,A933&gt;=$R$2),F933,"")</f>
        <v>-0.0254478698164853</v>
      </c>
      <c r="H933" s="27" t="n">
        <f aca="false">IF(G933="","",G933^2)</f>
        <v>0.000647594078196783</v>
      </c>
      <c r="I933" s="25" t="n">
        <f aca="false">IF(G933="","",C933/C932-1)</f>
        <v>-0.0251268020401589</v>
      </c>
      <c r="J933" s="17" t="n">
        <f aca="false">AVERAGE(C734:C933)</f>
        <v>1598.3066</v>
      </c>
      <c r="K933" s="17" t="n">
        <f aca="false">MAX(K932,C933)</f>
        <v>2998.98</v>
      </c>
      <c r="L933" s="25" t="n">
        <f aca="false">C933/K933-1</f>
        <v>-0.0815944087656469</v>
      </c>
      <c r="M933" s="25" t="n">
        <f aca="false">IF(COUNT(G904:G933)&lt;20,"",_xlfn.STDEV.S(G904:G933)*SQRT($R$3))</f>
        <v>1.29964912072015</v>
      </c>
      <c r="N933" s="25" t="n">
        <f aca="false">IF(A933-7&lt;$R$2,"",C933/INDEX(Clean_Data!$C$2:$C$4314,MATCH(A933-7,Clean_Data!$A$2:$A$4314,1))-1)</f>
        <v>0.44068878218205</v>
      </c>
      <c r="O933" s="25" t="n">
        <f aca="false">IF(A933-30&lt;$R$2,"",C933/INDEX(Clean_Data!$C$2:$C$4314,MATCH(A933-30,Clean_Data!$A$2:$A$4314,1))-1)</f>
        <v>0.0236067133449285</v>
      </c>
    </row>
    <row r="934" customFormat="false" ht="15" hidden="false" customHeight="false" outlineLevel="0" collapsed="false">
      <c r="A934" s="16" t="n">
        <v>42940</v>
      </c>
      <c r="B934" s="23" t="n">
        <f aca="false">YEAR(A934)</f>
        <v>2017</v>
      </c>
      <c r="C934" s="17" t="n">
        <v>2762.26</v>
      </c>
      <c r="D934" s="23" t="n">
        <f aca="false">A934-A933</f>
        <v>1</v>
      </c>
      <c r="E934" s="24" t="n">
        <f aca="false">LN(C934)</f>
        <v>7.92380446422386</v>
      </c>
      <c r="F934" s="25" t="n">
        <f aca="false">LN(C934/C933)</f>
        <v>0.00289311980558235</v>
      </c>
      <c r="G934" s="25" t="n">
        <f aca="false">IF(AND(D934=1,A934&gt;=$R$2),F934,"")</f>
        <v>0.00289311980558235</v>
      </c>
      <c r="H934" s="27" t="n">
        <f aca="false">IF(G934="","",G934^2)</f>
        <v>8.37014220945284E-006</v>
      </c>
      <c r="I934" s="25" t="n">
        <f aca="false">IF(G934="","",C934/C933-1)</f>
        <v>0.0028973089155786</v>
      </c>
      <c r="J934" s="17" t="n">
        <f aca="false">AVERAGE(C735:C934)</f>
        <v>1607.0829</v>
      </c>
      <c r="K934" s="17" t="n">
        <f aca="false">MAX(K933,C934)</f>
        <v>2998.98</v>
      </c>
      <c r="L934" s="25" t="n">
        <f aca="false">C934/K934-1</f>
        <v>-0.0789335040580463</v>
      </c>
      <c r="M934" s="25" t="n">
        <f aca="false">IF(COUNT(G905:G934)&lt;20,"",_xlfn.STDEV.S(G905:G934)*SQRT($R$3))</f>
        <v>1.28955159982682</v>
      </c>
      <c r="N934" s="25" t="n">
        <f aca="false">IF(A934-7&lt;$R$2,"",C934/INDEX(Clean_Data!$C$2:$C$4314,MATCH(A934-7,Clean_Data!$A$2:$A$4314,1))-1)</f>
        <v>0.235805457254193</v>
      </c>
      <c r="O934" s="25" t="n">
        <f aca="false">IF(A934-30&lt;$R$2,"",C934/INDEX(Clean_Data!$C$2:$C$4314,MATCH(A934-30,Clean_Data!$A$2:$A$4314,1))-1)</f>
        <v>0.0727889888303739</v>
      </c>
    </row>
    <row r="935" customFormat="false" ht="15" hidden="false" customHeight="false" outlineLevel="0" collapsed="false">
      <c r="A935" s="16" t="n">
        <v>42941</v>
      </c>
      <c r="B935" s="23" t="n">
        <f aca="false">YEAR(A935)</f>
        <v>2017</v>
      </c>
      <c r="C935" s="17" t="n">
        <v>2564</v>
      </c>
      <c r="D935" s="23" t="n">
        <f aca="false">A935-A934</f>
        <v>1</v>
      </c>
      <c r="E935" s="24" t="n">
        <f aca="false">LN(C935)</f>
        <v>7.84932381804056</v>
      </c>
      <c r="F935" s="25" t="n">
        <f aca="false">LN(C935/C934)</f>
        <v>-0.0744806461832963</v>
      </c>
      <c r="G935" s="25" t="n">
        <f aca="false">IF(AND(D935=1,A935&gt;=$R$2),F935,"")</f>
        <v>-0.0744806461832963</v>
      </c>
      <c r="H935" s="27" t="n">
        <f aca="false">IF(G935="","",G935^2)</f>
        <v>0.00554736665588138</v>
      </c>
      <c r="I935" s="25" t="n">
        <f aca="false">IF(G935="","",C935/C934-1)</f>
        <v>-0.0717745614098602</v>
      </c>
      <c r="J935" s="17" t="n">
        <f aca="false">AVERAGE(C736:C935)</f>
        <v>1615.42435</v>
      </c>
      <c r="K935" s="17" t="n">
        <f aca="false">MAX(K934,C935)</f>
        <v>2998.98</v>
      </c>
      <c r="L935" s="25" t="n">
        <f aca="false">C935/K935-1</f>
        <v>-0.145042647833597</v>
      </c>
      <c r="M935" s="25" t="n">
        <f aca="false">IF(COUNT(G906:G935)&lt;20,"",_xlfn.STDEV.S(G906:G935)*SQRT($R$3))</f>
        <v>1.31349250066281</v>
      </c>
      <c r="N935" s="25" t="n">
        <f aca="false">IF(A935-7&lt;$R$2,"",C935/INDEX(Clean_Data!$C$2:$C$4314,MATCH(A935-7,Clean_Data!$A$2:$A$4314,1))-1)</f>
        <v>0.110846348807486</v>
      </c>
      <c r="O935" s="25" t="n">
        <f aca="false">IF(A935-30&lt;$R$2,"",C935/INDEX(Clean_Data!$C$2:$C$4314,MATCH(A935-30,Clean_Data!$A$2:$A$4314,1))-1)</f>
        <v>0.0233037064826529</v>
      </c>
    </row>
    <row r="936" customFormat="false" ht="15" hidden="false" customHeight="false" outlineLevel="0" collapsed="false">
      <c r="A936" s="16" t="n">
        <v>42942</v>
      </c>
      <c r="B936" s="23" t="n">
        <f aca="false">YEAR(A936)</f>
        <v>2017</v>
      </c>
      <c r="C936" s="17" t="n">
        <v>2525.99</v>
      </c>
      <c r="D936" s="23" t="n">
        <f aca="false">A936-A935</f>
        <v>1</v>
      </c>
      <c r="E936" s="24" t="n">
        <f aca="false">LN(C936)</f>
        <v>7.83438834407441</v>
      </c>
      <c r="F936" s="25" t="n">
        <f aca="false">LN(C936/C935)</f>
        <v>-0.0149354739661474</v>
      </c>
      <c r="G936" s="25" t="n">
        <f aca="false">IF(AND(D936=1,A936&gt;=$R$2),F936,"")</f>
        <v>-0.0149354739661474</v>
      </c>
      <c r="H936" s="27" t="n">
        <f aca="false">IF(G936="","",G936^2)</f>
        <v>0.000223068382593467</v>
      </c>
      <c r="I936" s="25" t="n">
        <f aca="false">IF(G936="","",C936/C935-1)</f>
        <v>-0.0148244929797193</v>
      </c>
      <c r="J936" s="17" t="n">
        <f aca="false">AVERAGE(C737:C936)</f>
        <v>1623.5093</v>
      </c>
      <c r="K936" s="17" t="n">
        <f aca="false">MAX(K935,C936)</f>
        <v>2998.98</v>
      </c>
      <c r="L936" s="25" t="n">
        <f aca="false">C936/K936-1</f>
        <v>-0.157716957098747</v>
      </c>
      <c r="M936" s="25" t="n">
        <f aca="false">IF(COUNT(G907:G936)&lt;20,"",_xlfn.STDEV.S(G907:G936)*SQRT($R$3))</f>
        <v>1.30668326024083</v>
      </c>
      <c r="N936" s="25" t="n">
        <f aca="false">IF(A936-7&lt;$R$2,"",C936/INDEX(Clean_Data!$C$2:$C$4314,MATCH(A936-7,Clean_Data!$A$2:$A$4314,1))-1)</f>
        <v>0.118194414317903</v>
      </c>
      <c r="O936" s="25" t="n">
        <f aca="false">IF(A936-30&lt;$R$2,"",C936/INDEX(Clean_Data!$C$2:$C$4314,MATCH(A936-30,Clean_Data!$A$2:$A$4314,1))-1)</f>
        <v>0.0490383776802288</v>
      </c>
    </row>
    <row r="937" customFormat="false" ht="15" hidden="false" customHeight="false" outlineLevel="0" collapsed="false">
      <c r="A937" s="16" t="n">
        <v>42943</v>
      </c>
      <c r="B937" s="23" t="n">
        <f aca="false">YEAR(A937)</f>
        <v>2017</v>
      </c>
      <c r="C937" s="17" t="n">
        <v>2664.99</v>
      </c>
      <c r="D937" s="23" t="n">
        <f aca="false">A937-A936</f>
        <v>1</v>
      </c>
      <c r="E937" s="24" t="n">
        <f aca="false">LN(C937)</f>
        <v>7.88795558424769</v>
      </c>
      <c r="F937" s="25" t="n">
        <f aca="false">LN(C937/C936)</f>
        <v>0.0535672401732756</v>
      </c>
      <c r="G937" s="25" t="n">
        <f aca="false">IF(AND(D937=1,A937&gt;=$R$2),F937,"")</f>
        <v>0.0535672401732756</v>
      </c>
      <c r="H937" s="27" t="n">
        <f aca="false">IF(G937="","",G937^2)</f>
        <v>0.00286944921978139</v>
      </c>
      <c r="I937" s="25" t="n">
        <f aca="false">IF(G937="","",C937/C936-1)</f>
        <v>0.0550279296434268</v>
      </c>
      <c r="J937" s="17" t="n">
        <f aca="false">AVERAGE(C738:C937)</f>
        <v>1632.2176</v>
      </c>
      <c r="K937" s="17" t="n">
        <f aca="false">MAX(K936,C937)</f>
        <v>2998.98</v>
      </c>
      <c r="L937" s="25" t="n">
        <f aca="false">C937/K937-1</f>
        <v>-0.111367865074125</v>
      </c>
      <c r="M937" s="25" t="n">
        <f aca="false">IF(COUNT(G908:G937)&lt;20,"",_xlfn.STDEV.S(G908:G937)*SQRT($R$3))</f>
        <v>1.29879427794408</v>
      </c>
      <c r="N937" s="25" t="n">
        <f aca="false">IF(A937-7&lt;$R$2,"",C937/INDEX(Clean_Data!$C$2:$C$4314,MATCH(A937-7,Clean_Data!$A$2:$A$4314,1))-1)</f>
        <v>-0.0725566212397512</v>
      </c>
      <c r="O937" s="25" t="n">
        <f aca="false">IF(A937-30&lt;$R$2,"",C937/INDEX(Clean_Data!$C$2:$C$4314,MATCH(A937-30,Clean_Data!$A$2:$A$4314,1))-1)</f>
        <v>0.0346462195477044</v>
      </c>
    </row>
    <row r="938" customFormat="false" ht="15" hidden="false" customHeight="false" outlineLevel="0" collapsed="false">
      <c r="A938" s="16" t="n">
        <v>42944</v>
      </c>
      <c r="B938" s="23" t="n">
        <f aca="false">YEAR(A938)</f>
        <v>2017</v>
      </c>
      <c r="C938" s="17" t="n">
        <v>2786.07</v>
      </c>
      <c r="D938" s="23" t="n">
        <f aca="false">A938-A937</f>
        <v>1</v>
      </c>
      <c r="E938" s="24" t="n">
        <f aca="false">LN(C938)</f>
        <v>7.93238727965225</v>
      </c>
      <c r="F938" s="25" t="n">
        <f aca="false">LN(C938/C937)</f>
        <v>0.0444316954045595</v>
      </c>
      <c r="G938" s="25" t="n">
        <f aca="false">IF(AND(D938=1,A938&gt;=$R$2),F938,"")</f>
        <v>0.0444316954045595</v>
      </c>
      <c r="H938" s="27" t="n">
        <f aca="false">IF(G938="","",G938^2)</f>
        <v>0.00197417555652355</v>
      </c>
      <c r="I938" s="25" t="n">
        <f aca="false">IF(G938="","",C938/C937-1)</f>
        <v>0.0454335663548457</v>
      </c>
      <c r="J938" s="17" t="n">
        <f aca="false">AVERAGE(C739:C938)</f>
        <v>1641.63465</v>
      </c>
      <c r="K938" s="17" t="n">
        <f aca="false">MAX(K937,C938)</f>
        <v>2998.98</v>
      </c>
      <c r="L938" s="25" t="n">
        <f aca="false">C938/K938-1</f>
        <v>-0.0709941380069223</v>
      </c>
      <c r="M938" s="25" t="n">
        <f aca="false">IF(COUNT(G909:G938)&lt;20,"",_xlfn.STDEV.S(G909:G938)*SQRT($R$3))</f>
        <v>1.30691312334927</v>
      </c>
      <c r="N938" s="25" t="n">
        <f aca="false">IF(A938-7&lt;$R$2,"",C938/INDEX(Clean_Data!$C$2:$C$4314,MATCH(A938-7,Clean_Data!$A$2:$A$4314,1))-1)</f>
        <v>0.0483997817456585</v>
      </c>
      <c r="O938" s="25" t="n">
        <f aca="false">IF(A938-30&lt;$R$2,"",C938/INDEX(Clean_Data!$C$2:$C$4314,MATCH(A938-30,Clean_Data!$A$2:$A$4314,1))-1)</f>
        <v>0.0912413047565333</v>
      </c>
    </row>
    <row r="939" customFormat="false" ht="15" hidden="false" customHeight="false" outlineLevel="0" collapsed="false">
      <c r="A939" s="16" t="n">
        <v>42945</v>
      </c>
      <c r="B939" s="23" t="n">
        <f aca="false">YEAR(A939)</f>
        <v>2017</v>
      </c>
      <c r="C939" s="17" t="n">
        <v>2700.21</v>
      </c>
      <c r="D939" s="23" t="n">
        <f aca="false">A939-A938</f>
        <v>1</v>
      </c>
      <c r="E939" s="24" t="n">
        <f aca="false">LN(C939)</f>
        <v>7.90108482674566</v>
      </c>
      <c r="F939" s="25" t="n">
        <f aca="false">LN(C939/C938)</f>
        <v>-0.0313024529065847</v>
      </c>
      <c r="G939" s="25" t="n">
        <f aca="false">IF(AND(D939=1,A939&gt;=$R$2),F939,"")</f>
        <v>-0.0313024529065847</v>
      </c>
      <c r="H939" s="27" t="n">
        <f aca="false">IF(G939="","",G939^2)</f>
        <v>0.000979843557968955</v>
      </c>
      <c r="I939" s="25" t="n">
        <f aca="false">IF(G939="","",C939/C938-1)</f>
        <v>-0.0308176032906567</v>
      </c>
      <c r="J939" s="17" t="n">
        <f aca="false">AVERAGE(C740:C939)</f>
        <v>1650.6007</v>
      </c>
      <c r="K939" s="17" t="n">
        <f aca="false">MAX(K938,C939)</f>
        <v>2998.98</v>
      </c>
      <c r="L939" s="25" t="n">
        <f aca="false">C939/K939-1</f>
        <v>-0.0996238721165196</v>
      </c>
      <c r="M939" s="25" t="n">
        <f aca="false">IF(COUNT(G910:G939)&lt;20,"",_xlfn.STDEV.S(G910:G939)*SQRT($R$3))</f>
        <v>1.31176709457762</v>
      </c>
      <c r="N939" s="25" t="n">
        <f aca="false">IF(A939-7&lt;$R$2,"",C939/INDEX(Clean_Data!$C$2:$C$4314,MATCH(A939-7,Clean_Data!$A$2:$A$4314,1))-1)</f>
        <v>-0.0442647959310083</v>
      </c>
      <c r="O939" s="25" t="n">
        <f aca="false">IF(A939-30&lt;$R$2,"",C939/INDEX(Clean_Data!$C$2:$C$4314,MATCH(A939-30,Clean_Data!$A$2:$A$4314,1))-1)</f>
        <v>0.0672766798418973</v>
      </c>
    </row>
    <row r="940" customFormat="false" ht="15" hidden="false" customHeight="false" outlineLevel="0" collapsed="false">
      <c r="A940" s="16" t="n">
        <v>42946</v>
      </c>
      <c r="B940" s="23" t="n">
        <f aca="false">YEAR(A940)</f>
        <v>2017</v>
      </c>
      <c r="C940" s="17" t="n">
        <v>2723.99</v>
      </c>
      <c r="D940" s="23" t="n">
        <f aca="false">A940-A939</f>
        <v>1</v>
      </c>
      <c r="E940" s="24" t="n">
        <f aca="false">LN(C940)</f>
        <v>7.90985299619071</v>
      </c>
      <c r="F940" s="25" t="n">
        <f aca="false">LN(C940/C939)</f>
        <v>0.00876816944504787</v>
      </c>
      <c r="G940" s="25" t="n">
        <f aca="false">IF(AND(D940=1,A940&gt;=$R$2),F940,"")</f>
        <v>0.00876816944504787</v>
      </c>
      <c r="H940" s="27" t="n">
        <f aca="false">IF(G940="","",G940^2)</f>
        <v>7.68807954170711E-005</v>
      </c>
      <c r="I940" s="25" t="n">
        <f aca="false">IF(G940="","",C940/C939-1)</f>
        <v>0.0088067224401065</v>
      </c>
      <c r="J940" s="17" t="n">
        <f aca="false">AVERAGE(C741:C940)</f>
        <v>1660.2418</v>
      </c>
      <c r="K940" s="17" t="n">
        <f aca="false">MAX(K939,C940)</f>
        <v>2998.98</v>
      </c>
      <c r="L940" s="25" t="n">
        <f aca="false">C940/K940-1</f>
        <v>-0.091694509466552</v>
      </c>
      <c r="M940" s="25" t="n">
        <f aca="false">IF(COUNT(G911:G940)&lt;20,"",_xlfn.STDEV.S(G911:G940)*SQRT($R$3))</f>
        <v>1.30675614724996</v>
      </c>
      <c r="N940" s="25" t="n">
        <f aca="false">IF(A940-7&lt;$R$2,"",C940/INDEX(Clean_Data!$C$2:$C$4314,MATCH(A940-7,Clean_Data!$A$2:$A$4314,1))-1)</f>
        <v>-0.010997429455248</v>
      </c>
      <c r="O940" s="25" t="n">
        <f aca="false">IF(A940-30&lt;$R$2,"",C940/INDEX(Clean_Data!$C$2:$C$4314,MATCH(A940-30,Clean_Data!$A$2:$A$4314,1))-1)</f>
        <v>0.109482361853869</v>
      </c>
    </row>
    <row r="941" customFormat="false" ht="15" hidden="false" customHeight="false" outlineLevel="0" collapsed="false">
      <c r="A941" s="16" t="n">
        <v>42947</v>
      </c>
      <c r="B941" s="23" t="n">
        <f aca="false">YEAR(A941)</f>
        <v>2017</v>
      </c>
      <c r="C941" s="17" t="n">
        <v>2856.88</v>
      </c>
      <c r="D941" s="23" t="n">
        <f aca="false">A941-A940</f>
        <v>1</v>
      </c>
      <c r="E941" s="24" t="n">
        <f aca="false">LN(C941)</f>
        <v>7.95748539924856</v>
      </c>
      <c r="F941" s="25" t="n">
        <f aca="false">LN(C941/C940)</f>
        <v>0.0476324030578438</v>
      </c>
      <c r="G941" s="25" t="n">
        <f aca="false">IF(AND(D941=1,A941&gt;=$R$2),F941,"")</f>
        <v>0.0476324030578438</v>
      </c>
      <c r="H941" s="27" t="n">
        <f aca="false">IF(G941="","",G941^2)</f>
        <v>0.00226884582106489</v>
      </c>
      <c r="I941" s="25" t="n">
        <f aca="false">IF(G941="","",C941/C940-1)</f>
        <v>0.0487850542769983</v>
      </c>
      <c r="J941" s="17" t="n">
        <f aca="false">AVERAGE(C742:C941)</f>
        <v>1670.46495</v>
      </c>
      <c r="K941" s="17" t="n">
        <f aca="false">MAX(K940,C941)</f>
        <v>2998.98</v>
      </c>
      <c r="L941" s="25" t="n">
        <f aca="false">C941/K941-1</f>
        <v>-0.0473827768107823</v>
      </c>
      <c r="M941" s="25" t="n">
        <f aca="false">IF(COUNT(G912:G941)&lt;20,"",_xlfn.STDEV.S(G912:G941)*SQRT($R$3))</f>
        <v>1.31424566159328</v>
      </c>
      <c r="N941" s="25" t="n">
        <f aca="false">IF(A941-7&lt;$R$2,"",C941/INDEX(Clean_Data!$C$2:$C$4314,MATCH(A941-7,Clean_Data!$A$2:$A$4314,1))-1)</f>
        <v>0.0342545596721524</v>
      </c>
      <c r="O941" s="25" t="n">
        <f aca="false">IF(A941-30&lt;$R$2,"",C941/INDEX(Clean_Data!$C$2:$C$4314,MATCH(A941-30,Clean_Data!$A$2:$A$4314,1))-1)</f>
        <v>0.17876078444317</v>
      </c>
    </row>
    <row r="942" customFormat="false" ht="15" hidden="false" customHeight="false" outlineLevel="0" collapsed="false">
      <c r="A942" s="16" t="n">
        <v>42948</v>
      </c>
      <c r="B942" s="23" t="n">
        <f aca="false">YEAR(A942)</f>
        <v>2017</v>
      </c>
      <c r="C942" s="17" t="n">
        <v>2732.59</v>
      </c>
      <c r="D942" s="23" t="n">
        <f aca="false">A942-A941</f>
        <v>1</v>
      </c>
      <c r="E942" s="24" t="n">
        <f aca="false">LN(C942)</f>
        <v>7.91300515637928</v>
      </c>
      <c r="F942" s="25" t="n">
        <f aca="false">LN(C942/C941)</f>
        <v>-0.0444802428692711</v>
      </c>
      <c r="G942" s="25" t="n">
        <f aca="false">IF(AND(D942=1,A942&gt;=$R$2),F942,"")</f>
        <v>-0.0444802428692711</v>
      </c>
      <c r="H942" s="27" t="n">
        <f aca="false">IF(G942="","",G942^2)</f>
        <v>0.00197849200570934</v>
      </c>
      <c r="I942" s="25" t="n">
        <f aca="false">IF(G942="","",C942/C941-1)</f>
        <v>-0.0435055025062305</v>
      </c>
      <c r="J942" s="17" t="n">
        <f aca="false">AVERAGE(C743:C942)</f>
        <v>1679.9708</v>
      </c>
      <c r="K942" s="17" t="n">
        <f aca="false">MAX(K941,C942)</f>
        <v>2998.98</v>
      </c>
      <c r="L942" s="25" t="n">
        <f aca="false">C942/K942-1</f>
        <v>-0.0888268678017192</v>
      </c>
      <c r="M942" s="25" t="n">
        <f aca="false">IF(COUNT(G913:G942)&lt;20,"",_xlfn.STDEV.S(G913:G942)*SQRT($R$3))</f>
        <v>1.32014838817636</v>
      </c>
      <c r="N942" s="25" t="n">
        <f aca="false">IF(A942-7&lt;$R$2,"",C942/INDEX(Clean_Data!$C$2:$C$4314,MATCH(A942-7,Clean_Data!$A$2:$A$4314,1))-1)</f>
        <v>0.0657527301092045</v>
      </c>
      <c r="O942" s="25" t="n">
        <f aca="false">IF(A942-30&lt;$R$2,"",C942/INDEX(Clean_Data!$C$2:$C$4314,MATCH(A942-30,Clean_Data!$A$2:$A$4314,1))-1)</f>
        <v>0.0858002272853704</v>
      </c>
    </row>
    <row r="943" customFormat="false" ht="15" hidden="false" customHeight="false" outlineLevel="0" collapsed="false">
      <c r="A943" s="16" t="n">
        <v>42949</v>
      </c>
      <c r="B943" s="23" t="n">
        <f aca="false">YEAR(A943)</f>
        <v>2017</v>
      </c>
      <c r="C943" s="17" t="n">
        <v>2699.9</v>
      </c>
      <c r="D943" s="23" t="n">
        <f aca="false">A943-A942</f>
        <v>1</v>
      </c>
      <c r="E943" s="24" t="n">
        <f aca="false">LN(C943)</f>
        <v>7.9009700142695</v>
      </c>
      <c r="F943" s="25" t="n">
        <f aca="false">LN(C943/C942)</f>
        <v>-0.0120351421097887</v>
      </c>
      <c r="G943" s="25" t="n">
        <f aca="false">IF(AND(D943=1,A943&gt;=$R$2),F943,"")</f>
        <v>-0.0120351421097887</v>
      </c>
      <c r="H943" s="27" t="n">
        <f aca="false">IF(G943="","",G943^2)</f>
        <v>0.000144844645602809</v>
      </c>
      <c r="I943" s="25" t="n">
        <f aca="false">IF(G943="","",C943/C942-1)</f>
        <v>-0.0119630094525707</v>
      </c>
      <c r="J943" s="17" t="n">
        <f aca="false">AVERAGE(C744:C943)</f>
        <v>1689.3303</v>
      </c>
      <c r="K943" s="17" t="n">
        <f aca="false">MAX(K942,C943)</f>
        <v>2998.98</v>
      </c>
      <c r="L943" s="25" t="n">
        <f aca="false">C943/K943-1</f>
        <v>-0.0997272405951356</v>
      </c>
      <c r="M943" s="25" t="n">
        <f aca="false">IF(COUNT(G914:G943)&lt;20,"",_xlfn.STDEV.S(G914:G943)*SQRT($R$3))</f>
        <v>1.32084740904999</v>
      </c>
      <c r="N943" s="25" t="n">
        <f aca="false">IF(A943-7&lt;$R$2,"",C943/INDEX(Clean_Data!$C$2:$C$4314,MATCH(A943-7,Clean_Data!$A$2:$A$4314,1))-1)</f>
        <v>0.0688482535560315</v>
      </c>
      <c r="O943" s="25" t="n">
        <f aca="false">IF(A943-30&lt;$R$2,"",C943/INDEX(Clean_Data!$C$2:$C$4314,MATCH(A943-30,Clean_Data!$A$2:$A$4314,1))-1)</f>
        <v>0.0619451622672977</v>
      </c>
    </row>
    <row r="944" customFormat="false" ht="15" hidden="false" customHeight="false" outlineLevel="0" collapsed="false">
      <c r="A944" s="16" t="n">
        <v>42950</v>
      </c>
      <c r="B944" s="23" t="n">
        <f aca="false">YEAR(A944)</f>
        <v>2017</v>
      </c>
      <c r="C944" s="17" t="n">
        <v>2787.02</v>
      </c>
      <c r="D944" s="23" t="n">
        <f aca="false">A944-A943</f>
        <v>1</v>
      </c>
      <c r="E944" s="24" t="n">
        <f aca="false">LN(C944)</f>
        <v>7.9327282036313</v>
      </c>
      <c r="F944" s="25" t="n">
        <f aca="false">LN(C944/C943)</f>
        <v>0.0317581893618028</v>
      </c>
      <c r="G944" s="25" t="n">
        <f aca="false">IF(AND(D944=1,A944&gt;=$R$2),F944,"")</f>
        <v>0.0317581893618028</v>
      </c>
      <c r="H944" s="27" t="n">
        <f aca="false">IF(G944="","",G944^2)</f>
        <v>0.00100858259154012</v>
      </c>
      <c r="I944" s="25" t="n">
        <f aca="false">IF(G944="","",C944/C943-1)</f>
        <v>0.0322678617726582</v>
      </c>
      <c r="J944" s="17" t="n">
        <f aca="false">AVERAGE(C745:C944)</f>
        <v>1699.09885</v>
      </c>
      <c r="K944" s="17" t="n">
        <f aca="false">MAX(K943,C944)</f>
        <v>2998.98</v>
      </c>
      <c r="L944" s="25" t="n">
        <f aca="false">C944/K944-1</f>
        <v>-0.07067736363697</v>
      </c>
      <c r="M944" s="25" t="n">
        <f aca="false">IF(COUNT(G915:G944)&lt;20,"",_xlfn.STDEV.S(G915:G944)*SQRT($R$3))</f>
        <v>1.32291808202912</v>
      </c>
      <c r="N944" s="25" t="n">
        <f aca="false">IF(A944-7&lt;$R$2,"",C944/INDEX(Clean_Data!$C$2:$C$4314,MATCH(A944-7,Clean_Data!$A$2:$A$4314,1))-1)</f>
        <v>0.045790040487957</v>
      </c>
      <c r="O944" s="25" t="n">
        <f aca="false">IF(A944-30&lt;$R$2,"",C944/INDEX(Clean_Data!$C$2:$C$4314,MATCH(A944-30,Clean_Data!$A$2:$A$4314,1))-1)</f>
        <v>0.0711068408916218</v>
      </c>
    </row>
    <row r="945" customFormat="false" ht="15" hidden="false" customHeight="false" outlineLevel="0" collapsed="false">
      <c r="A945" s="16" t="n">
        <v>42951</v>
      </c>
      <c r="B945" s="23" t="n">
        <f aca="false">YEAR(A945)</f>
        <v>2017</v>
      </c>
      <c r="C945" s="17" t="n">
        <v>2857.34</v>
      </c>
      <c r="D945" s="23" t="n">
        <f aca="false">A945-A944</f>
        <v>1</v>
      </c>
      <c r="E945" s="24" t="n">
        <f aca="false">LN(C945)</f>
        <v>7.95764640110042</v>
      </c>
      <c r="F945" s="25" t="n">
        <f aca="false">LN(C945/C944)</f>
        <v>0.024918197469126</v>
      </c>
      <c r="G945" s="25" t="n">
        <f aca="false">IF(AND(D945=1,A945&gt;=$R$2),F945,"")</f>
        <v>0.024918197469126</v>
      </c>
      <c r="H945" s="27" t="n">
        <f aca="false">IF(G945="","",G945^2)</f>
        <v>0.000620916565110358</v>
      </c>
      <c r="I945" s="25" t="n">
        <f aca="false">IF(G945="","",C945/C944-1)</f>
        <v>0.0252312505830601</v>
      </c>
      <c r="J945" s="17" t="n">
        <f aca="false">AVERAGE(C746:C945)</f>
        <v>1709.2135</v>
      </c>
      <c r="K945" s="17" t="n">
        <f aca="false">MAX(K944,C945)</f>
        <v>2998.98</v>
      </c>
      <c r="L945" s="25" t="n">
        <f aca="false">C945/K945-1</f>
        <v>-0.0472293913263843</v>
      </c>
      <c r="M945" s="25" t="n">
        <f aca="false">IF(COUNT(G916:G945)&lt;20,"",_xlfn.STDEV.S(G916:G945)*SQRT($R$3))</f>
        <v>1.32523708679612</v>
      </c>
      <c r="N945" s="25" t="n">
        <f aca="false">IF(A945-7&lt;$R$2,"",C945/INDEX(Clean_Data!$C$2:$C$4314,MATCH(A945-7,Clean_Data!$A$2:$A$4314,1))-1)</f>
        <v>0.0255808360881098</v>
      </c>
      <c r="O945" s="25" t="n">
        <f aca="false">IF(A945-30&lt;$R$2,"",C945/INDEX(Clean_Data!$C$2:$C$4314,MATCH(A945-30,Clean_Data!$A$2:$A$4314,1))-1)</f>
        <v>0.0918546710687209</v>
      </c>
    </row>
    <row r="946" customFormat="false" ht="15" hidden="false" customHeight="false" outlineLevel="0" collapsed="false">
      <c r="A946" s="16" t="n">
        <v>42952</v>
      </c>
      <c r="B946" s="23" t="n">
        <f aca="false">YEAR(A946)</f>
        <v>2017</v>
      </c>
      <c r="C946" s="17" t="n">
        <v>3243.49</v>
      </c>
      <c r="D946" s="23" t="n">
        <f aca="false">A946-A945</f>
        <v>1</v>
      </c>
      <c r="E946" s="24" t="n">
        <f aca="false">LN(C946)</f>
        <v>8.0844051895591</v>
      </c>
      <c r="F946" s="25" t="n">
        <f aca="false">LN(C946/C945)</f>
        <v>0.126758788458678</v>
      </c>
      <c r="G946" s="25" t="n">
        <f aca="false">IF(AND(D946=1,A946&gt;=$R$2),F946,"")</f>
        <v>0.126758788458678</v>
      </c>
      <c r="H946" s="27" t="n">
        <f aca="false">IF(G946="","",G946^2)</f>
        <v>0.0160677904515118</v>
      </c>
      <c r="I946" s="25" t="n">
        <f aca="false">IF(G946="","",C946/C945-1)</f>
        <v>0.135143175120916</v>
      </c>
      <c r="J946" s="17" t="n">
        <f aca="false">AVERAGE(C747:C946)</f>
        <v>1720.90095</v>
      </c>
      <c r="K946" s="17" t="n">
        <f aca="false">MAX(K945,C946)</f>
        <v>3243.49</v>
      </c>
      <c r="L946" s="25" t="n">
        <f aca="false">C946/K946-1</f>
        <v>0</v>
      </c>
      <c r="M946" s="25" t="n">
        <f aca="false">IF(COUNT(G917:G946)&lt;20,"",_xlfn.STDEV.S(G917:G946)*SQRT($R$3))</f>
        <v>1.39329887163605</v>
      </c>
      <c r="N946" s="25" t="n">
        <f aca="false">IF(A946-7&lt;$R$2,"",C946/INDEX(Clean_Data!$C$2:$C$4314,MATCH(A946-7,Clean_Data!$A$2:$A$4314,1))-1)</f>
        <v>0.201199165990793</v>
      </c>
      <c r="O946" s="25" t="n">
        <f aca="false">IF(A946-30&lt;$R$2,"",C946/INDEX(Clean_Data!$C$2:$C$4314,MATCH(A946-30,Clean_Data!$A$2:$A$4314,1))-1)</f>
        <v>0.24517820672287</v>
      </c>
    </row>
    <row r="947" customFormat="false" ht="15" hidden="false" customHeight="false" outlineLevel="0" collapsed="false">
      <c r="A947" s="16" t="n">
        <v>42953</v>
      </c>
      <c r="B947" s="23" t="n">
        <f aca="false">YEAR(A947)</f>
        <v>2017</v>
      </c>
      <c r="C947" s="17" t="n">
        <v>3222.22</v>
      </c>
      <c r="D947" s="23" t="n">
        <f aca="false">A947-A946</f>
        <v>1</v>
      </c>
      <c r="E947" s="24" t="n">
        <f aca="false">LN(C947)</f>
        <v>8.07782584197698</v>
      </c>
      <c r="F947" s="25" t="n">
        <f aca="false">LN(C947/C946)</f>
        <v>-0.0065793475821204</v>
      </c>
      <c r="G947" s="25" t="n">
        <f aca="false">IF(AND(D947=1,A947&gt;=$R$2),F947,"")</f>
        <v>-0.0065793475821204</v>
      </c>
      <c r="H947" s="27" t="n">
        <f aca="false">IF(G947="","",G947^2)</f>
        <v>4.32878146063535E-005</v>
      </c>
      <c r="I947" s="25" t="n">
        <f aca="false">IF(G947="","",C947/C946-1)</f>
        <v>-0.00655775106443979</v>
      </c>
      <c r="J947" s="17" t="n">
        <f aca="false">AVERAGE(C748:C947)</f>
        <v>1732.5721</v>
      </c>
      <c r="K947" s="17" t="n">
        <f aca="false">MAX(K946,C947)</f>
        <v>3243.49</v>
      </c>
      <c r="L947" s="25" t="n">
        <f aca="false">C947/K947-1</f>
        <v>-0.00655775106443979</v>
      </c>
      <c r="M947" s="25" t="n">
        <f aca="false">IF(COUNT(G918:G947)&lt;20,"",_xlfn.STDEV.S(G918:G947)*SQRT($R$3))</f>
        <v>1.38358569820766</v>
      </c>
      <c r="N947" s="25" t="n">
        <f aca="false">IF(A947-7&lt;$R$2,"",C947/INDEX(Clean_Data!$C$2:$C$4314,MATCH(A947-7,Clean_Data!$A$2:$A$4314,1))-1)</f>
        <v>0.182904489370372</v>
      </c>
      <c r="O947" s="25" t="n">
        <f aca="false">IF(A947-30&lt;$R$2,"",C947/INDEX(Clean_Data!$C$2:$C$4314,MATCH(A947-30,Clean_Data!$A$2:$A$4314,1))-1)</f>
        <v>0.288295384123303</v>
      </c>
    </row>
    <row r="948" customFormat="false" ht="15" hidden="false" customHeight="false" outlineLevel="0" collapsed="false">
      <c r="A948" s="16" t="n">
        <v>42954</v>
      </c>
      <c r="B948" s="23" t="n">
        <f aca="false">YEAR(A948)</f>
        <v>2017</v>
      </c>
      <c r="C948" s="17" t="n">
        <v>3398.23</v>
      </c>
      <c r="D948" s="23" t="n">
        <f aca="false">A948-A947</f>
        <v>1</v>
      </c>
      <c r="E948" s="24" t="n">
        <f aca="false">LN(C948)</f>
        <v>8.13100998681586</v>
      </c>
      <c r="F948" s="25" t="n">
        <f aca="false">LN(C948/C947)</f>
        <v>0.0531841448388749</v>
      </c>
      <c r="G948" s="25" t="n">
        <f aca="false">IF(AND(D948=1,A948&gt;=$R$2),F948,"")</f>
        <v>0.0531841448388749</v>
      </c>
      <c r="H948" s="27" t="n">
        <f aca="false">IF(G948="","",G948^2)</f>
        <v>0.00282855326224242</v>
      </c>
      <c r="I948" s="25" t="n">
        <f aca="false">IF(G948="","",C948/C947-1)</f>
        <v>0.0546238307750557</v>
      </c>
      <c r="J948" s="17" t="n">
        <f aca="false">AVERAGE(C749:C948)</f>
        <v>1745.04865</v>
      </c>
      <c r="K948" s="17" t="n">
        <f aca="false">MAX(K947,C948)</f>
        <v>3398.23</v>
      </c>
      <c r="L948" s="25" t="n">
        <f aca="false">C948/K948-1</f>
        <v>0</v>
      </c>
      <c r="M948" s="25" t="n">
        <f aca="false">IF(COUNT(G919:G948)&lt;20,"",_xlfn.STDEV.S(G919:G948)*SQRT($R$3))</f>
        <v>1.39147849414767</v>
      </c>
      <c r="N948" s="25" t="n">
        <f aca="false">IF(A948-7&lt;$R$2,"",C948/INDEX(Clean_Data!$C$2:$C$4314,MATCH(A948-7,Clean_Data!$A$2:$A$4314,1))-1)</f>
        <v>0.189489933073843</v>
      </c>
      <c r="O948" s="25" t="n">
        <f aca="false">IF(A948-30&lt;$R$2,"",C948/INDEX(Clean_Data!$C$2:$C$4314,MATCH(A948-30,Clean_Data!$A$2:$A$4314,1))-1)</f>
        <v>0.326858276294263</v>
      </c>
    </row>
    <row r="949" customFormat="false" ht="15" hidden="false" customHeight="false" outlineLevel="0" collapsed="false">
      <c r="A949" s="16" t="n">
        <v>42955</v>
      </c>
      <c r="B949" s="23" t="n">
        <f aca="false">YEAR(A949)</f>
        <v>2017</v>
      </c>
      <c r="C949" s="17" t="n">
        <v>3422.43</v>
      </c>
      <c r="D949" s="23" t="n">
        <f aca="false">A949-A948</f>
        <v>1</v>
      </c>
      <c r="E949" s="24" t="n">
        <f aca="false">LN(C949)</f>
        <v>8.13810610406812</v>
      </c>
      <c r="F949" s="25" t="n">
        <f aca="false">LN(C949/C948)</f>
        <v>0.00709611725226663</v>
      </c>
      <c r="G949" s="25" t="n">
        <f aca="false">IF(AND(D949=1,A949&gt;=$R$2),F949,"")</f>
        <v>0.00709611725226663</v>
      </c>
      <c r="H949" s="27" t="n">
        <f aca="false">IF(G949="","",G949^2)</f>
        <v>5.03548800579161E-005</v>
      </c>
      <c r="I949" s="25" t="n">
        <f aca="false">IF(G949="","",C949/C948-1)</f>
        <v>0.00712135435211847</v>
      </c>
      <c r="J949" s="17" t="n">
        <f aca="false">AVERAGE(C750:C949)</f>
        <v>1757.68925</v>
      </c>
      <c r="K949" s="17" t="n">
        <f aca="false">MAX(K948,C949)</f>
        <v>3422.43</v>
      </c>
      <c r="L949" s="25" t="n">
        <f aca="false">C949/K949-1</f>
        <v>0</v>
      </c>
      <c r="M949" s="25" t="n">
        <f aca="false">IF(COUNT(G920:G949)&lt;20,"",_xlfn.STDEV.S(G920:G949)*SQRT($R$3))</f>
        <v>1.38731454879924</v>
      </c>
      <c r="N949" s="25" t="n">
        <f aca="false">IF(A949-7&lt;$R$2,"",C949/INDEX(Clean_Data!$C$2:$C$4314,MATCH(A949-7,Clean_Data!$A$2:$A$4314,1))-1)</f>
        <v>0.252449141656816</v>
      </c>
      <c r="O949" s="25" t="n">
        <f aca="false">IF(A949-30&lt;$R$2,"",C949/INDEX(Clean_Data!$C$2:$C$4314,MATCH(A949-30,Clean_Data!$A$2:$A$4314,1))-1)</f>
        <v>0.364066815730633</v>
      </c>
    </row>
    <row r="950" customFormat="false" ht="15" hidden="false" customHeight="false" outlineLevel="0" collapsed="false">
      <c r="A950" s="16" t="n">
        <v>42956</v>
      </c>
      <c r="B950" s="23" t="n">
        <f aca="false">YEAR(A950)</f>
        <v>2017</v>
      </c>
      <c r="C950" s="17" t="n">
        <v>3342.8</v>
      </c>
      <c r="D950" s="23" t="n">
        <f aca="false">A950-A949</f>
        <v>1</v>
      </c>
      <c r="E950" s="24" t="n">
        <f aca="false">LN(C950)</f>
        <v>8.11456405812728</v>
      </c>
      <c r="F950" s="25" t="n">
        <f aca="false">LN(C950/C949)</f>
        <v>-0.0235420459408419</v>
      </c>
      <c r="G950" s="25" t="n">
        <f aca="false">IF(AND(D950=1,A950&gt;=$R$2),F950,"")</f>
        <v>-0.0235420459408419</v>
      </c>
      <c r="H950" s="27" t="n">
        <f aca="false">IF(G950="","",G950^2)</f>
        <v>0.000554227927080712</v>
      </c>
      <c r="I950" s="25" t="n">
        <f aca="false">IF(G950="","",C950/C949-1)</f>
        <v>-0.0232670938485228</v>
      </c>
      <c r="J950" s="17" t="n">
        <f aca="false">AVERAGE(C751:C950)</f>
        <v>1769.77795</v>
      </c>
      <c r="K950" s="17" t="n">
        <f aca="false">MAX(K949,C950)</f>
        <v>3422.43</v>
      </c>
      <c r="L950" s="25" t="n">
        <f aca="false">C950/K950-1</f>
        <v>-0.0232670938485228</v>
      </c>
      <c r="M950" s="25" t="n">
        <f aca="false">IF(COUNT(G921:G950)&lt;20,"",_xlfn.STDEV.S(G921:G950)*SQRT($R$3))</f>
        <v>1.35993729731744</v>
      </c>
      <c r="N950" s="25" t="n">
        <f aca="false">IF(A950-7&lt;$R$2,"",C950/INDEX(Clean_Data!$C$2:$C$4314,MATCH(A950-7,Clean_Data!$A$2:$A$4314,1))-1)</f>
        <v>0.238119930367791</v>
      </c>
      <c r="O950" s="25" t="n">
        <f aca="false">IF(A950-30&lt;$R$2,"",C950/INDEX(Clean_Data!$C$2:$C$4314,MATCH(A950-30,Clean_Data!$A$2:$A$4314,1))-1)</f>
        <v>0.434031874048176</v>
      </c>
    </row>
    <row r="951" customFormat="false" ht="15" hidden="false" customHeight="false" outlineLevel="0" collapsed="false">
      <c r="A951" s="16" t="n">
        <v>42957</v>
      </c>
      <c r="B951" s="23" t="n">
        <f aca="false">YEAR(A951)</f>
        <v>2017</v>
      </c>
      <c r="C951" s="17" t="n">
        <v>3444.98</v>
      </c>
      <c r="D951" s="23" t="n">
        <f aca="false">A951-A950</f>
        <v>1</v>
      </c>
      <c r="E951" s="24" t="n">
        <f aca="false">LN(C951)</f>
        <v>8.14467337791567</v>
      </c>
      <c r="F951" s="25" t="n">
        <f aca="false">LN(C951/C950)</f>
        <v>0.0301093197883863</v>
      </c>
      <c r="G951" s="25" t="n">
        <f aca="false">IF(AND(D951=1,A951&gt;=$R$2),F951,"")</f>
        <v>0.0301093197883863</v>
      </c>
      <c r="H951" s="27" t="n">
        <f aca="false">IF(G951="","",G951^2)</f>
        <v>0.00090657113811931</v>
      </c>
      <c r="I951" s="25" t="n">
        <f aca="false">IF(G951="","",C951/C950-1)</f>
        <v>0.0305671891827211</v>
      </c>
      <c r="J951" s="17" t="n">
        <f aca="false">AVERAGE(C752:C951)</f>
        <v>1782.34675</v>
      </c>
      <c r="K951" s="17" t="n">
        <f aca="false">MAX(K950,C951)</f>
        <v>3444.98</v>
      </c>
      <c r="L951" s="25" t="n">
        <f aca="false">C951/K951-1</f>
        <v>0</v>
      </c>
      <c r="M951" s="25" t="n">
        <f aca="false">IF(COUNT(G922:G951)&lt;20,"",_xlfn.STDEV.S(G922:G951)*SQRT($R$3))</f>
        <v>1.35915822868155</v>
      </c>
      <c r="N951" s="25" t="n">
        <f aca="false">IF(A951-7&lt;$R$2,"",C951/INDEX(Clean_Data!$C$2:$C$4314,MATCH(A951-7,Clean_Data!$A$2:$A$4314,1))-1)</f>
        <v>0.236080114243888</v>
      </c>
      <c r="O951" s="25" t="n">
        <f aca="false">IF(A951-30&lt;$R$2,"",C951/INDEX(Clean_Data!$C$2:$C$4314,MATCH(A951-30,Clean_Data!$A$2:$A$4314,1))-1)</f>
        <v>0.491326877372825</v>
      </c>
    </row>
    <row r="952" customFormat="false" ht="15" hidden="false" customHeight="false" outlineLevel="0" collapsed="false">
      <c r="A952" s="16" t="n">
        <v>42958</v>
      </c>
      <c r="B952" s="23" t="n">
        <f aca="false">YEAR(A952)</f>
        <v>2017</v>
      </c>
      <c r="C952" s="17" t="n">
        <v>3656.15</v>
      </c>
      <c r="D952" s="23" t="n">
        <f aca="false">A952-A951</f>
        <v>1</v>
      </c>
      <c r="E952" s="24" t="n">
        <f aca="false">LN(C952)</f>
        <v>8.20416596017879</v>
      </c>
      <c r="F952" s="25" t="n">
        <f aca="false">LN(C952/C951)</f>
        <v>0.059492582263119</v>
      </c>
      <c r="G952" s="25" t="n">
        <f aca="false">IF(AND(D952=1,A952&gt;=$R$2),F952,"")</f>
        <v>0.059492582263119</v>
      </c>
      <c r="H952" s="27" t="n">
        <f aca="false">IF(G952="","",G952^2)</f>
        <v>0.00353936734433398</v>
      </c>
      <c r="I952" s="25" t="n">
        <f aca="false">IF(G952="","",C952/C951-1)</f>
        <v>0.0612978885218491</v>
      </c>
      <c r="J952" s="17" t="n">
        <f aca="false">AVERAGE(C753:C952)</f>
        <v>1796.074</v>
      </c>
      <c r="K952" s="17" t="n">
        <f aca="false">MAX(K951,C952)</f>
        <v>3656.15</v>
      </c>
      <c r="L952" s="25" t="n">
        <f aca="false">C952/K952-1</f>
        <v>0</v>
      </c>
      <c r="M952" s="25" t="n">
        <f aca="false">IF(COUNT(G923:G952)&lt;20,"",_xlfn.STDEV.S(G923:G952)*SQRT($R$3))</f>
        <v>1.36738671497848</v>
      </c>
      <c r="N952" s="25" t="n">
        <f aca="false">IF(A952-7&lt;$R$2,"",C952/INDEX(Clean_Data!$C$2:$C$4314,MATCH(A952-7,Clean_Data!$A$2:$A$4314,1))-1)</f>
        <v>0.279564210069505</v>
      </c>
      <c r="O952" s="25" t="n">
        <f aca="false">IF(A952-30&lt;$R$2,"",C952/INDEX(Clean_Data!$C$2:$C$4314,MATCH(A952-30,Clean_Data!$A$2:$A$4314,1))-1)</f>
        <v>0.533993169479152</v>
      </c>
    </row>
    <row r="953" customFormat="false" ht="15" hidden="false" customHeight="false" outlineLevel="0" collapsed="false">
      <c r="A953" s="16" t="n">
        <v>42959</v>
      </c>
      <c r="B953" s="23" t="n">
        <f aca="false">YEAR(A953)</f>
        <v>2017</v>
      </c>
      <c r="C953" s="17" t="n">
        <v>3874</v>
      </c>
      <c r="D953" s="23" t="n">
        <f aca="false">A953-A952</f>
        <v>1</v>
      </c>
      <c r="E953" s="24" t="n">
        <f aca="false">LN(C953)</f>
        <v>8.26204284396694</v>
      </c>
      <c r="F953" s="25" t="n">
        <f aca="false">LN(C953/C952)</f>
        <v>0.0578768837881548</v>
      </c>
      <c r="G953" s="25" t="n">
        <f aca="false">IF(AND(D953=1,A953&gt;=$R$2),F953,"")</f>
        <v>0.0578768837881548</v>
      </c>
      <c r="H953" s="27" t="n">
        <f aca="false">IF(G953="","",G953^2)</f>
        <v>0.00334973367702758</v>
      </c>
      <c r="I953" s="25" t="n">
        <f aca="false">IF(G953="","",C953/C952-1)</f>
        <v>0.0595845356454194</v>
      </c>
      <c r="J953" s="17" t="n">
        <f aca="false">AVERAGE(C754:C953)</f>
        <v>1811.009</v>
      </c>
      <c r="K953" s="17" t="n">
        <f aca="false">MAX(K952,C953)</f>
        <v>3874</v>
      </c>
      <c r="L953" s="25" t="n">
        <f aca="false">C953/K953-1</f>
        <v>0</v>
      </c>
      <c r="M953" s="25" t="n">
        <f aca="false">IF(COUNT(G924:G953)&lt;20,"",_xlfn.STDEV.S(G924:G953)*SQRT($R$3))</f>
        <v>1.37034031474586</v>
      </c>
      <c r="N953" s="25" t="n">
        <f aca="false">IF(A953-7&lt;$R$2,"",C953/INDEX(Clean_Data!$C$2:$C$4314,MATCH(A953-7,Clean_Data!$A$2:$A$4314,1))-1)</f>
        <v>0.19439245997367</v>
      </c>
      <c r="O953" s="25" t="n">
        <f aca="false">IF(A953-30&lt;$R$2,"",C953/INDEX(Clean_Data!$C$2:$C$4314,MATCH(A953-30,Clean_Data!$A$2:$A$4314,1))-1)</f>
        <v>0.655555555555555</v>
      </c>
    </row>
    <row r="954" customFormat="false" ht="15" hidden="false" customHeight="false" outlineLevel="0" collapsed="false">
      <c r="A954" s="16" t="n">
        <v>42960</v>
      </c>
      <c r="B954" s="23" t="n">
        <f aca="false">YEAR(A954)</f>
        <v>2017</v>
      </c>
      <c r="C954" s="17" t="n">
        <v>4060.47</v>
      </c>
      <c r="D954" s="23" t="n">
        <f aca="false">A954-A953</f>
        <v>1</v>
      </c>
      <c r="E954" s="24" t="n">
        <f aca="false">LN(C954)</f>
        <v>8.3090540094425</v>
      </c>
      <c r="F954" s="25" t="n">
        <f aca="false">LN(C954/C953)</f>
        <v>0.0470111654755528</v>
      </c>
      <c r="G954" s="25" t="n">
        <f aca="false">IF(AND(D954=1,A954&gt;=$R$2),F954,"")</f>
        <v>0.0470111654755528</v>
      </c>
      <c r="H954" s="27" t="n">
        <f aca="false">IF(G954="","",G954^2)</f>
        <v>0.00221004967936981</v>
      </c>
      <c r="I954" s="25" t="n">
        <f aca="false">IF(G954="","",C954/C953-1)</f>
        <v>0.0481337119256582</v>
      </c>
      <c r="J954" s="17" t="n">
        <f aca="false">AVERAGE(C755:C954)</f>
        <v>1826.83135</v>
      </c>
      <c r="K954" s="17" t="n">
        <f aca="false">MAX(K953,C954)</f>
        <v>4060.47</v>
      </c>
      <c r="L954" s="25" t="n">
        <f aca="false">C954/K954-1</f>
        <v>0</v>
      </c>
      <c r="M954" s="25" t="n">
        <f aca="false">IF(COUNT(G925:G954)&lt;20,"",_xlfn.STDEV.S(G925:G954)*SQRT($R$3))</f>
        <v>1.34986933671127</v>
      </c>
      <c r="N954" s="25" t="n">
        <f aca="false">IF(A954-7&lt;$R$2,"",C954/INDEX(Clean_Data!$C$2:$C$4314,MATCH(A954-7,Clean_Data!$A$2:$A$4314,1))-1)</f>
        <v>0.260146731135677</v>
      </c>
      <c r="O954" s="25" t="n">
        <f aca="false">IF(A954-30&lt;$R$2,"",C954/INDEX(Clean_Data!$C$2:$C$4314,MATCH(A954-30,Clean_Data!$A$2:$A$4314,1))-1)</f>
        <v>0.83131731341668</v>
      </c>
    </row>
    <row r="955" customFormat="false" ht="15" hidden="false" customHeight="false" outlineLevel="0" collapsed="false">
      <c r="A955" s="16" t="n">
        <v>42961</v>
      </c>
      <c r="B955" s="23" t="n">
        <f aca="false">YEAR(A955)</f>
        <v>2017</v>
      </c>
      <c r="C955" s="17" t="n">
        <v>4320.6</v>
      </c>
      <c r="D955" s="23" t="n">
        <f aca="false">A955-A954</f>
        <v>1</v>
      </c>
      <c r="E955" s="24" t="n">
        <f aca="false">LN(C955)</f>
        <v>8.37114956048288</v>
      </c>
      <c r="F955" s="25" t="n">
        <f aca="false">LN(C955/C954)</f>
        <v>0.0620955510403822</v>
      </c>
      <c r="G955" s="25" t="n">
        <f aca="false">IF(AND(D955=1,A955&gt;=$R$2),F955,"")</f>
        <v>0.0620955510403822</v>
      </c>
      <c r="H955" s="27" t="n">
        <f aca="false">IF(G955="","",G955^2)</f>
        <v>0.00385585745900871</v>
      </c>
      <c r="I955" s="25" t="n">
        <f aca="false">IF(G955="","",C955/C954-1)</f>
        <v>0.0640640122941434</v>
      </c>
      <c r="J955" s="17" t="n">
        <f aca="false">AVERAGE(C756:C955)</f>
        <v>1843.84925</v>
      </c>
      <c r="K955" s="17" t="n">
        <f aca="false">MAX(K954,C955)</f>
        <v>4320.6</v>
      </c>
      <c r="L955" s="25" t="n">
        <f aca="false">C955/K955-1</f>
        <v>0</v>
      </c>
      <c r="M955" s="25" t="n">
        <f aca="false">IF(COUNT(G926:G955)&lt;20,"",_xlfn.STDEV.S(G926:G955)*SQRT($R$3))</f>
        <v>1.256555920694</v>
      </c>
      <c r="N955" s="25" t="n">
        <f aca="false">IF(A955-7&lt;$R$2,"",C955/INDEX(Clean_Data!$C$2:$C$4314,MATCH(A955-7,Clean_Data!$A$2:$A$4314,1))-1)</f>
        <v>0.271426595610068</v>
      </c>
      <c r="O955" s="25" t="n">
        <f aca="false">IF(A955-30&lt;$R$2,"",C955/INDEX(Clean_Data!$C$2:$C$4314,MATCH(A955-30,Clean_Data!$A$2:$A$4314,1))-1)</f>
        <v>1.19955098736961</v>
      </c>
    </row>
    <row r="956" customFormat="false" ht="15" hidden="false" customHeight="false" outlineLevel="0" collapsed="false">
      <c r="A956" s="16" t="n">
        <v>42962</v>
      </c>
      <c r="B956" s="23" t="n">
        <f aca="false">YEAR(A956)</f>
        <v>2017</v>
      </c>
      <c r="C956" s="17" t="n">
        <v>4159.93</v>
      </c>
      <c r="D956" s="23" t="n">
        <f aca="false">A956-A955</f>
        <v>1</v>
      </c>
      <c r="E956" s="24" t="n">
        <f aca="false">LN(C956)</f>
        <v>8.33325352619066</v>
      </c>
      <c r="F956" s="25" t="n">
        <f aca="false">LN(C956/C955)</f>
        <v>-0.0378960342922183</v>
      </c>
      <c r="G956" s="25" t="n">
        <f aca="false">IF(AND(D956=1,A956&gt;=$R$2),F956,"")</f>
        <v>-0.0378960342922183</v>
      </c>
      <c r="H956" s="27" t="n">
        <f aca="false">IF(G956="","",G956^2)</f>
        <v>0.00143610941507699</v>
      </c>
      <c r="I956" s="25" t="n">
        <f aca="false">IF(G956="","",C956/C955-1)</f>
        <v>-0.0371869647734111</v>
      </c>
      <c r="J956" s="17" t="n">
        <f aca="false">AVERAGE(C757:C956)</f>
        <v>1860.03575</v>
      </c>
      <c r="K956" s="17" t="n">
        <f aca="false">MAX(K955,C956)</f>
        <v>4320.6</v>
      </c>
      <c r="L956" s="25" t="n">
        <f aca="false">C956/K956-1</f>
        <v>-0.0371869647734111</v>
      </c>
      <c r="M956" s="25" t="n">
        <f aca="false">IF(COUNT(G927:G956)&lt;20,"",_xlfn.STDEV.S(G927:G956)*SQRT($R$3))</f>
        <v>1.26287283593921</v>
      </c>
      <c r="N956" s="25" t="n">
        <f aca="false">IF(A956-7&lt;$R$2,"",C956/INDEX(Clean_Data!$C$2:$C$4314,MATCH(A956-7,Clean_Data!$A$2:$A$4314,1))-1)</f>
        <v>0.215490163421896</v>
      </c>
      <c r="O956" s="25" t="n">
        <f aca="false">IF(A956-30&lt;$R$2,"",C956/INDEX(Clean_Data!$C$2:$C$4314,MATCH(A956-30,Clean_Data!$A$2:$A$4314,1))-1)</f>
        <v>1.17594597704757</v>
      </c>
    </row>
    <row r="957" customFormat="false" ht="15" hidden="false" customHeight="false" outlineLevel="0" collapsed="false">
      <c r="A957" s="16" t="n">
        <v>42963</v>
      </c>
      <c r="B957" s="23" t="n">
        <f aca="false">YEAR(A957)</f>
        <v>2017</v>
      </c>
      <c r="C957" s="17" t="n">
        <v>4370.01</v>
      </c>
      <c r="D957" s="23" t="n">
        <f aca="false">A957-A956</f>
        <v>1</v>
      </c>
      <c r="E957" s="24" t="n">
        <f aca="false">LN(C957)</f>
        <v>8.38252057641654</v>
      </c>
      <c r="F957" s="25" t="n">
        <f aca="false">LN(C957/C956)</f>
        <v>0.0492670502258792</v>
      </c>
      <c r="G957" s="25" t="n">
        <f aca="false">IF(AND(D957=1,A957&gt;=$R$2),F957,"")</f>
        <v>0.0492670502258792</v>
      </c>
      <c r="H957" s="27" t="n">
        <f aca="false">IF(G957="","",G957^2)</f>
        <v>0.0024272422379593</v>
      </c>
      <c r="I957" s="25" t="n">
        <f aca="false">IF(G957="","",C957/C956-1)</f>
        <v>0.0505008497739143</v>
      </c>
      <c r="J957" s="17" t="n">
        <f aca="false">AVERAGE(C758:C957)</f>
        <v>1877.2609</v>
      </c>
      <c r="K957" s="17" t="n">
        <f aca="false">MAX(K956,C957)</f>
        <v>4370.01</v>
      </c>
      <c r="L957" s="25" t="n">
        <f aca="false">C957/K957-1</f>
        <v>0</v>
      </c>
      <c r="M957" s="25" t="n">
        <f aca="false">IF(COUNT(G928:G957)&lt;20,"",_xlfn.STDEV.S(G928:G957)*SQRT($R$3))</f>
        <v>1.17599586607402</v>
      </c>
      <c r="N957" s="25" t="n">
        <f aca="false">IF(A957-7&lt;$R$2,"",C957/INDEX(Clean_Data!$C$2:$C$4314,MATCH(A957-7,Clean_Data!$A$2:$A$4314,1))-1)</f>
        <v>0.307290295560608</v>
      </c>
      <c r="O957" s="25" t="n">
        <f aca="false">IF(A957-30&lt;$R$2,"",C957/INDEX(Clean_Data!$C$2:$C$4314,MATCH(A957-30,Clean_Data!$A$2:$A$4314,1))-1)</f>
        <v>0.955095539976467</v>
      </c>
    </row>
    <row r="958" customFormat="false" ht="15" hidden="false" customHeight="false" outlineLevel="0" collapsed="false">
      <c r="A958" s="16" t="n">
        <v>42964</v>
      </c>
      <c r="B958" s="23" t="n">
        <f aca="false">YEAR(A958)</f>
        <v>2017</v>
      </c>
      <c r="C958" s="17" t="n">
        <v>4280.01</v>
      </c>
      <c r="D958" s="23" t="n">
        <f aca="false">A958-A957</f>
        <v>1</v>
      </c>
      <c r="E958" s="24" t="n">
        <f aca="false">LN(C958)</f>
        <v>8.36171062502171</v>
      </c>
      <c r="F958" s="25" t="n">
        <f aca="false">LN(C958/C957)</f>
        <v>-0.020809951394826</v>
      </c>
      <c r="G958" s="25" t="n">
        <f aca="false">IF(AND(D958=1,A958&gt;=$R$2),F958,"")</f>
        <v>-0.020809951394826</v>
      </c>
      <c r="H958" s="27" t="n">
        <f aca="false">IF(G958="","",G958^2)</f>
        <v>0.000433054077055019</v>
      </c>
      <c r="I958" s="25" t="n">
        <f aca="false">IF(G958="","",C958/C957-1)</f>
        <v>-0.0205949185470972</v>
      </c>
      <c r="J958" s="17" t="n">
        <f aca="false">AVERAGE(C759:C958)</f>
        <v>1894.07825</v>
      </c>
      <c r="K958" s="17" t="n">
        <f aca="false">MAX(K957,C958)</f>
        <v>4370.01</v>
      </c>
      <c r="L958" s="25" t="n">
        <f aca="false">C958/K958-1</f>
        <v>-0.0205949185470972</v>
      </c>
      <c r="M958" s="25" t="n">
        <f aca="false">IF(COUNT(G929:G958)&lt;20,"",_xlfn.STDEV.S(G929:G958)*SQRT($R$3))</f>
        <v>1.18491861649421</v>
      </c>
      <c r="N958" s="25" t="n">
        <f aca="false">IF(A958-7&lt;$R$2,"",C958/INDEX(Clean_Data!$C$2:$C$4314,MATCH(A958-7,Clean_Data!$A$2:$A$4314,1))-1)</f>
        <v>0.242390376722071</v>
      </c>
      <c r="O958" s="25" t="n">
        <f aca="false">IF(A958-30&lt;$R$2,"",C958/INDEX(Clean_Data!$C$2:$C$4314,MATCH(A958-30,Clean_Data!$A$2:$A$4314,1))-1)</f>
        <v>0.854303229859411</v>
      </c>
    </row>
    <row r="959" customFormat="false" ht="15" hidden="false" customHeight="false" outlineLevel="0" collapsed="false">
      <c r="A959" s="16" t="n">
        <v>42965</v>
      </c>
      <c r="B959" s="23" t="n">
        <f aca="false">YEAR(A959)</f>
        <v>2017</v>
      </c>
      <c r="C959" s="17" t="n">
        <v>4101.72</v>
      </c>
      <c r="D959" s="23" t="n">
        <f aca="false">A959-A958</f>
        <v>1</v>
      </c>
      <c r="E959" s="24" t="n">
        <f aca="false">LN(C959)</f>
        <v>8.31916167691688</v>
      </c>
      <c r="F959" s="25" t="n">
        <f aca="false">LN(C959/C958)</f>
        <v>-0.0425489481048286</v>
      </c>
      <c r="G959" s="25" t="n">
        <f aca="false">IF(AND(D959=1,A959&gt;=$R$2),F959,"")</f>
        <v>-0.0425489481048286</v>
      </c>
      <c r="H959" s="27" t="n">
        <f aca="false">IF(G959="","",G959^2)</f>
        <v>0.00181041298482739</v>
      </c>
      <c r="I959" s="25" t="n">
        <f aca="false">IF(G959="","",C959/C958-1)</f>
        <v>-0.0416564447279328</v>
      </c>
      <c r="J959" s="17" t="n">
        <f aca="false">AVERAGE(C760:C959)</f>
        <v>1909.9707</v>
      </c>
      <c r="K959" s="17" t="n">
        <f aca="false">MAX(K958,C959)</f>
        <v>4370.01</v>
      </c>
      <c r="L959" s="25" t="n">
        <f aca="false">C959/K959-1</f>
        <v>-0.0613934521888966</v>
      </c>
      <c r="M959" s="25" t="n">
        <f aca="false">IF(COUNT(G930:G959)&lt;20,"",_xlfn.STDEV.S(G930:G959)*SQRT($R$3))</f>
        <v>1.19653293933462</v>
      </c>
      <c r="N959" s="25" t="n">
        <f aca="false">IF(A959-7&lt;$R$2,"",C959/INDEX(Clean_Data!$C$2:$C$4314,MATCH(A959-7,Clean_Data!$A$2:$A$4314,1))-1)</f>
        <v>0.121868632304473</v>
      </c>
      <c r="O959" s="25" t="n">
        <f aca="false">IF(A959-30&lt;$R$2,"",C959/INDEX(Clean_Data!$C$2:$C$4314,MATCH(A959-30,Clean_Data!$A$2:$A$4314,1))-1)</f>
        <v>0.815731809348426</v>
      </c>
    </row>
    <row r="960" customFormat="false" ht="15" hidden="false" customHeight="false" outlineLevel="0" collapsed="false">
      <c r="A960" s="16" t="n">
        <v>42966</v>
      </c>
      <c r="B960" s="23" t="n">
        <f aca="false">YEAR(A960)</f>
        <v>2017</v>
      </c>
      <c r="C960" s="17" t="n">
        <v>4157.41</v>
      </c>
      <c r="D960" s="23" t="n">
        <f aca="false">A960-A959</f>
        <v>1</v>
      </c>
      <c r="E960" s="24" t="n">
        <f aca="false">LN(C960)</f>
        <v>8.332647563208</v>
      </c>
      <c r="F960" s="25" t="n">
        <f aca="false">LN(C960/C959)</f>
        <v>0.0134858862911124</v>
      </c>
      <c r="G960" s="25" t="n">
        <f aca="false">IF(AND(D960=1,A960&gt;=$R$2),F960,"")</f>
        <v>0.0134858862911124</v>
      </c>
      <c r="H960" s="27" t="n">
        <f aca="false">IF(G960="","",G960^2)</f>
        <v>0.000181869129056814</v>
      </c>
      <c r="I960" s="25" t="n">
        <f aca="false">IF(G960="","",C960/C959-1)</f>
        <v>0.0135772310152813</v>
      </c>
      <c r="J960" s="17" t="n">
        <f aca="false">AVERAGE(C761:C960)</f>
        <v>1925.9077</v>
      </c>
      <c r="K960" s="17" t="n">
        <f aca="false">MAX(K959,C960)</f>
        <v>4370.01</v>
      </c>
      <c r="L960" s="25" t="n">
        <f aca="false">C960/K960-1</f>
        <v>-0.0486497742568096</v>
      </c>
      <c r="M960" s="25" t="n">
        <f aca="false">IF(COUNT(G931:G960)&lt;20,"",_xlfn.STDEV.S(G931:G960)*SQRT($R$3))</f>
        <v>0.89296216087311</v>
      </c>
      <c r="N960" s="25" t="n">
        <f aca="false">IF(A960-7&lt;$R$2,"",C960/INDEX(Clean_Data!$C$2:$C$4314,MATCH(A960-7,Clean_Data!$A$2:$A$4314,1))-1)</f>
        <v>0.0731569437274136</v>
      </c>
      <c r="O960" s="25" t="n">
        <f aca="false">IF(A960-30&lt;$R$2,"",C960/INDEX(Clean_Data!$C$2:$C$4314,MATCH(A960-30,Clean_Data!$A$2:$A$4314,1))-1)</f>
        <v>0.446820579923995</v>
      </c>
    </row>
    <row r="961" customFormat="false" ht="15" hidden="false" customHeight="false" outlineLevel="0" collapsed="false">
      <c r="A961" s="16" t="n">
        <v>42967</v>
      </c>
      <c r="B961" s="23" t="n">
        <f aca="false">YEAR(A961)</f>
        <v>2017</v>
      </c>
      <c r="C961" s="17" t="n">
        <v>4050.99</v>
      </c>
      <c r="D961" s="23" t="n">
        <f aca="false">A961-A960</f>
        <v>1</v>
      </c>
      <c r="E961" s="24" t="n">
        <f aca="false">LN(C961)</f>
        <v>8.30671657467335</v>
      </c>
      <c r="F961" s="25" t="n">
        <f aca="false">LN(C961/C960)</f>
        <v>-0.0259309885346411</v>
      </c>
      <c r="G961" s="25" t="n">
        <f aca="false">IF(AND(D961=1,A961&gt;=$R$2),F961,"")</f>
        <v>-0.0259309885346411</v>
      </c>
      <c r="H961" s="27" t="n">
        <f aca="false">IF(G961="","",G961^2)</f>
        <v>0.00067241616638369</v>
      </c>
      <c r="I961" s="25" t="n">
        <f aca="false">IF(G961="","",C961/C960-1)</f>
        <v>-0.0255976677787373</v>
      </c>
      <c r="J961" s="17" t="n">
        <f aca="false">AVERAGE(C762:C961)</f>
        <v>1941.1989</v>
      </c>
      <c r="K961" s="17" t="n">
        <f aca="false">MAX(K960,C961)</f>
        <v>4370.01</v>
      </c>
      <c r="L961" s="25" t="n">
        <f aca="false">C961/K961-1</f>
        <v>-0.0730021212766104</v>
      </c>
      <c r="M961" s="25" t="n">
        <f aca="false">IF(COUNT(G932:G961)&lt;20,"",_xlfn.STDEV.S(G932:G961)*SQRT($R$3))</f>
        <v>0.843582377934311</v>
      </c>
      <c r="N961" s="25" t="n">
        <f aca="false">IF(A961-7&lt;$R$2,"",C961/INDEX(Clean_Data!$C$2:$C$4314,MATCH(A961-7,Clean_Data!$A$2:$A$4314,1))-1)</f>
        <v>-0.00233470509571554</v>
      </c>
      <c r="O961" s="25" t="n">
        <f aca="false">IF(A961-30&lt;$R$2,"",C961/INDEX(Clean_Data!$C$2:$C$4314,MATCH(A961-30,Clean_Data!$A$2:$A$4314,1))-1)</f>
        <v>0.524389922670229</v>
      </c>
    </row>
    <row r="962" customFormat="false" ht="15" hidden="false" customHeight="false" outlineLevel="0" collapsed="false">
      <c r="A962" s="16" t="n">
        <v>42968</v>
      </c>
      <c r="B962" s="23" t="n">
        <f aca="false">YEAR(A962)</f>
        <v>2017</v>
      </c>
      <c r="C962" s="17" t="n">
        <v>4002</v>
      </c>
      <c r="D962" s="23" t="n">
        <f aca="false">A962-A961</f>
        <v>1</v>
      </c>
      <c r="E962" s="24" t="n">
        <f aca="false">LN(C962)</f>
        <v>8.29454951514368</v>
      </c>
      <c r="F962" s="25" t="n">
        <f aca="false">LN(C962/C961)</f>
        <v>-0.0121670595296752</v>
      </c>
      <c r="G962" s="25" t="n">
        <f aca="false">IF(AND(D962=1,A962&gt;=$R$2),F962,"")</f>
        <v>-0.0121670595296752</v>
      </c>
      <c r="H962" s="27" t="n">
        <f aca="false">IF(G962="","",G962^2)</f>
        <v>0.000148037337598659</v>
      </c>
      <c r="I962" s="25" t="n">
        <f aca="false">IF(G962="","",C962/C961-1)</f>
        <v>-0.0120933401464827</v>
      </c>
      <c r="J962" s="17" t="n">
        <f aca="false">AVERAGE(C763:C962)</f>
        <v>1956.167</v>
      </c>
      <c r="K962" s="17" t="n">
        <f aca="false">MAX(K961,C962)</f>
        <v>4370.01</v>
      </c>
      <c r="L962" s="25" t="n">
        <f aca="false">C962/K962-1</f>
        <v>-0.0842126219390803</v>
      </c>
      <c r="M962" s="25" t="n">
        <f aca="false">IF(COUNT(G933:G962)&lt;20,"",_xlfn.STDEV.S(G933:G962)*SQRT($R$3))</f>
        <v>0.830664136366065</v>
      </c>
      <c r="N962" s="25" t="n">
        <f aca="false">IF(A962-7&lt;$R$2,"",C962/INDEX(Clean_Data!$C$2:$C$4314,MATCH(A962-7,Clean_Data!$A$2:$A$4314,1))-1)</f>
        <v>-0.0737397583668936</v>
      </c>
      <c r="O962" s="25" t="n">
        <f aca="false">IF(A962-30&lt;$R$2,"",C962/INDEX(Clean_Data!$C$2:$C$4314,MATCH(A962-30,Clean_Data!$A$2:$A$4314,1))-1)</f>
        <v>0.416501785670042</v>
      </c>
    </row>
    <row r="963" customFormat="false" ht="15" hidden="false" customHeight="false" outlineLevel="0" collapsed="false">
      <c r="A963" s="16" t="n">
        <v>42969</v>
      </c>
      <c r="B963" s="23" t="n">
        <f aca="false">YEAR(A963)</f>
        <v>2017</v>
      </c>
      <c r="C963" s="17" t="n">
        <v>4092</v>
      </c>
      <c r="D963" s="23" t="n">
        <f aca="false">A963-A962</f>
        <v>1</v>
      </c>
      <c r="E963" s="24" t="n">
        <f aca="false">LN(C963)</f>
        <v>8.31678912707152</v>
      </c>
      <c r="F963" s="25" t="n">
        <f aca="false">LN(C963/C962)</f>
        <v>0.0222396119278384</v>
      </c>
      <c r="G963" s="25" t="n">
        <f aca="false">IF(AND(D963=1,A963&gt;=$R$2),F963,"")</f>
        <v>0.0222396119278384</v>
      </c>
      <c r="H963" s="27" t="n">
        <f aca="false">IF(G963="","",G963^2)</f>
        <v>0.00049460033870085</v>
      </c>
      <c r="I963" s="25" t="n">
        <f aca="false">IF(G963="","",C963/C962-1)</f>
        <v>0.0224887556221889</v>
      </c>
      <c r="J963" s="17" t="n">
        <f aca="false">AVERAGE(C764:C963)</f>
        <v>1971.537</v>
      </c>
      <c r="K963" s="17" t="n">
        <f aca="false">MAX(K962,C963)</f>
        <v>4370.01</v>
      </c>
      <c r="L963" s="25" t="n">
        <f aca="false">C963/K963-1</f>
        <v>-0.0636177033919831</v>
      </c>
      <c r="M963" s="25" t="n">
        <f aca="false">IF(COUNT(G934:G963)&lt;20,"",_xlfn.STDEV.S(G934:G963)*SQRT($R$3))</f>
        <v>0.820482091554908</v>
      </c>
      <c r="N963" s="25" t="n">
        <f aca="false">IF(A963-7&lt;$R$2,"",C963/INDEX(Clean_Data!$C$2:$C$4314,MATCH(A963-7,Clean_Data!$A$2:$A$4314,1))-1)</f>
        <v>-0.0163296017000287</v>
      </c>
      <c r="O963" s="25" t="n">
        <f aca="false">IF(A963-30&lt;$R$2,"",C963/INDEX(Clean_Data!$C$2:$C$4314,MATCH(A963-30,Clean_Data!$A$2:$A$4314,1))-1)</f>
        <v>0.485687729642593</v>
      </c>
    </row>
    <row r="964" customFormat="false" ht="15" hidden="false" customHeight="false" outlineLevel="0" collapsed="false">
      <c r="A964" s="16" t="n">
        <v>42970</v>
      </c>
      <c r="B964" s="23" t="n">
        <f aca="false">YEAR(A964)</f>
        <v>2017</v>
      </c>
      <c r="C964" s="17" t="n">
        <v>4143.49</v>
      </c>
      <c r="D964" s="23" t="n">
        <f aca="false">A964-A963</f>
        <v>1</v>
      </c>
      <c r="E964" s="24" t="n">
        <f aca="false">LN(C964)</f>
        <v>8.32929370686758</v>
      </c>
      <c r="F964" s="25" t="n">
        <f aca="false">LN(C964/C963)</f>
        <v>0.0125045797960602</v>
      </c>
      <c r="G964" s="25" t="n">
        <f aca="false">IF(AND(D964=1,A964&gt;=$R$2),F964,"")</f>
        <v>0.0125045797960602</v>
      </c>
      <c r="H964" s="27" t="n">
        <f aca="false">IF(G964="","",G964^2)</f>
        <v>0.000156364515876037</v>
      </c>
      <c r="I964" s="25" t="n">
        <f aca="false">IF(G964="","",C964/C963-1)</f>
        <v>0.0125830889540566</v>
      </c>
      <c r="J964" s="17" t="n">
        <f aca="false">AVERAGE(C765:C964)</f>
        <v>1987.07675</v>
      </c>
      <c r="K964" s="17" t="n">
        <f aca="false">MAX(K963,C964)</f>
        <v>4370.01</v>
      </c>
      <c r="L964" s="25" t="n">
        <f aca="false">C964/K964-1</f>
        <v>-0.0518351216587606</v>
      </c>
      <c r="M964" s="25" t="n">
        <f aca="false">IF(COUNT(G935:G964)&lt;20,"",_xlfn.STDEV.S(G935:G964)*SQRT($R$3))</f>
        <v>0.819647560038382</v>
      </c>
      <c r="N964" s="25" t="n">
        <f aca="false">IF(A964-7&lt;$R$2,"",C964/INDEX(Clean_Data!$C$2:$C$4314,MATCH(A964-7,Clean_Data!$A$2:$A$4314,1))-1)</f>
        <v>-0.0518351216587606</v>
      </c>
      <c r="O964" s="25" t="n">
        <f aca="false">IF(A964-30&lt;$R$2,"",C964/INDEX(Clean_Data!$C$2:$C$4314,MATCH(A964-30,Clean_Data!$A$2:$A$4314,1))-1)</f>
        <v>0.500036202240195</v>
      </c>
    </row>
    <row r="965" customFormat="false" ht="15" hidden="false" customHeight="false" outlineLevel="0" collapsed="false">
      <c r="A965" s="16" t="n">
        <v>42971</v>
      </c>
      <c r="B965" s="23" t="n">
        <f aca="false">YEAR(A965)</f>
        <v>2017</v>
      </c>
      <c r="C965" s="17" t="n">
        <v>4312.03</v>
      </c>
      <c r="D965" s="23" t="n">
        <f aca="false">A965-A964</f>
        <v>1</v>
      </c>
      <c r="E965" s="24" t="n">
        <f aca="false">LN(C965)</f>
        <v>8.36916406989302</v>
      </c>
      <c r="F965" s="25" t="n">
        <f aca="false">LN(C965/C964)</f>
        <v>0.0398703630254394</v>
      </c>
      <c r="G965" s="25" t="n">
        <f aca="false">IF(AND(D965=1,A965&gt;=$R$2),F965,"")</f>
        <v>0.0398703630254394</v>
      </c>
      <c r="H965" s="27" t="n">
        <f aca="false">IF(G965="","",G965^2)</f>
        <v>0.00158964584778033</v>
      </c>
      <c r="I965" s="25" t="n">
        <f aca="false">IF(G965="","",C965/C964-1)</f>
        <v>0.0406758553779543</v>
      </c>
      <c r="J965" s="17" t="n">
        <f aca="false">AVERAGE(C766:C965)</f>
        <v>2003.5553</v>
      </c>
      <c r="K965" s="17" t="n">
        <f aca="false">MAX(K964,C965)</f>
        <v>4370.01</v>
      </c>
      <c r="L965" s="25" t="n">
        <f aca="false">C965/K965-1</f>
        <v>-0.0132677041928967</v>
      </c>
      <c r="M965" s="25" t="n">
        <f aca="false">IF(COUNT(G936:G965)&lt;20,"",_xlfn.STDEV.S(G936:G965)*SQRT($R$3))</f>
        <v>0.760011109957961</v>
      </c>
      <c r="N965" s="25" t="n">
        <f aca="false">IF(A965-7&lt;$R$2,"",C965/INDEX(Clean_Data!$C$2:$C$4314,MATCH(A965-7,Clean_Data!$A$2:$A$4314,1))-1)</f>
        <v>0.00748129093156313</v>
      </c>
      <c r="O965" s="25" t="n">
        <f aca="false">IF(A965-30&lt;$R$2,"",C965/INDEX(Clean_Data!$C$2:$C$4314,MATCH(A965-30,Clean_Data!$A$2:$A$4314,1))-1)</f>
        <v>0.681758970358814</v>
      </c>
    </row>
    <row r="966" customFormat="false" ht="15" hidden="false" customHeight="false" outlineLevel="0" collapsed="false">
      <c r="A966" s="16" t="n">
        <v>42972</v>
      </c>
      <c r="B966" s="23" t="n">
        <f aca="false">YEAR(A966)</f>
        <v>2017</v>
      </c>
      <c r="C966" s="17" t="n">
        <v>4360</v>
      </c>
      <c r="D966" s="23" t="n">
        <f aca="false">A966-A965</f>
        <v>1</v>
      </c>
      <c r="E966" s="24" t="n">
        <f aca="false">LN(C966)</f>
        <v>8.38022733634308</v>
      </c>
      <c r="F966" s="25" t="n">
        <f aca="false">LN(C966/C965)</f>
        <v>0.0110632664500631</v>
      </c>
      <c r="G966" s="25" t="n">
        <f aca="false">IF(AND(D966=1,A966&gt;=$R$2),F966,"")</f>
        <v>0.0110632664500631</v>
      </c>
      <c r="H966" s="27" t="n">
        <f aca="false">IF(G966="","",G966^2)</f>
        <v>0.000122395864545092</v>
      </c>
      <c r="I966" s="25" t="n">
        <f aca="false">IF(G966="","",C966/C965-1)</f>
        <v>0.0111246906909275</v>
      </c>
      <c r="J966" s="17" t="n">
        <f aca="false">AVERAGE(C767:C966)</f>
        <v>2020.2424</v>
      </c>
      <c r="K966" s="17" t="n">
        <f aca="false">MAX(K965,C966)</f>
        <v>4370.01</v>
      </c>
      <c r="L966" s="25" t="n">
        <f aca="false">C966/K966-1</f>
        <v>-0.00229061260729391</v>
      </c>
      <c r="M966" s="25" t="n">
        <f aca="false">IF(COUNT(G937:G966)&lt;20,"",_xlfn.STDEV.S(G937:G966)*SQRT($R$3))</f>
        <v>0.751482459596343</v>
      </c>
      <c r="N966" s="25" t="n">
        <f aca="false">IF(A966-7&lt;$R$2,"",C966/INDEX(Clean_Data!$C$2:$C$4314,MATCH(A966-7,Clean_Data!$A$2:$A$4314,1))-1)</f>
        <v>0.0629687058112205</v>
      </c>
      <c r="O966" s="25" t="n">
        <f aca="false">IF(A966-30&lt;$R$2,"",C966/INDEX(Clean_Data!$C$2:$C$4314,MATCH(A966-30,Clean_Data!$A$2:$A$4314,1))-1)</f>
        <v>0.726055922628356</v>
      </c>
    </row>
    <row r="967" customFormat="false" ht="15" hidden="false" customHeight="false" outlineLevel="0" collapsed="false">
      <c r="A967" s="16" t="n">
        <v>42973</v>
      </c>
      <c r="B967" s="23" t="n">
        <f aca="false">YEAR(A967)</f>
        <v>2017</v>
      </c>
      <c r="C967" s="17" t="n">
        <v>4344.32</v>
      </c>
      <c r="D967" s="23" t="n">
        <f aca="false">A967-A966</f>
        <v>1</v>
      </c>
      <c r="E967" s="24" t="n">
        <f aca="false">LN(C967)</f>
        <v>8.3766245237257</v>
      </c>
      <c r="F967" s="25" t="n">
        <f aca="false">LN(C967/C966)</f>
        <v>-0.00360281261738265</v>
      </c>
      <c r="G967" s="25" t="n">
        <f aca="false">IF(AND(D967=1,A967&gt;=$R$2),F967,"")</f>
        <v>-0.00360281261738265</v>
      </c>
      <c r="H967" s="27" t="n">
        <f aca="false">IF(G967="","",G967^2)</f>
        <v>1.29802587559717E-005</v>
      </c>
      <c r="I967" s="25" t="n">
        <f aca="false">IF(G967="","",C967/C966-1)</f>
        <v>-0.00359633027522943</v>
      </c>
      <c r="J967" s="17" t="n">
        <f aca="false">AVERAGE(C768:C967)</f>
        <v>2036.6942</v>
      </c>
      <c r="K967" s="17" t="n">
        <f aca="false">MAX(K966,C967)</f>
        <v>4370.01</v>
      </c>
      <c r="L967" s="25" t="n">
        <f aca="false">C967/K967-1</f>
        <v>-0.00587870508305488</v>
      </c>
      <c r="M967" s="25" t="n">
        <f aca="false">IF(COUNT(G938:G967)&lt;20,"",_xlfn.STDEV.S(G938:G967)*SQRT($R$3))</f>
        <v>0.744033999430071</v>
      </c>
      <c r="N967" s="25" t="n">
        <f aca="false">IF(A967-7&lt;$R$2,"",C967/INDEX(Clean_Data!$C$2:$C$4314,MATCH(A967-7,Clean_Data!$A$2:$A$4314,1))-1)</f>
        <v>0.0449582793133225</v>
      </c>
      <c r="O967" s="25" t="n">
        <f aca="false">IF(A967-30&lt;$R$2,"",C967/INDEX(Clean_Data!$C$2:$C$4314,MATCH(A967-30,Clean_Data!$A$2:$A$4314,1))-1)</f>
        <v>0.630144953639601</v>
      </c>
    </row>
    <row r="968" customFormat="false" ht="15" hidden="false" customHeight="false" outlineLevel="0" collapsed="false">
      <c r="A968" s="16" t="n">
        <v>42974</v>
      </c>
      <c r="B968" s="23" t="n">
        <f aca="false">YEAR(A968)</f>
        <v>2017</v>
      </c>
      <c r="C968" s="17" t="n">
        <v>4340.11</v>
      </c>
      <c r="D968" s="23" t="n">
        <f aca="false">A968-A967</f>
        <v>1</v>
      </c>
      <c r="E968" s="24" t="n">
        <f aca="false">LN(C968)</f>
        <v>8.37565497239538</v>
      </c>
      <c r="F968" s="25" t="n">
        <f aca="false">LN(C968/C967)</f>
        <v>-0.00096955133032193</v>
      </c>
      <c r="G968" s="25" t="n">
        <f aca="false">IF(AND(D968=1,A968&gt;=$R$2),F968,"")</f>
        <v>-0.00096955133032193</v>
      </c>
      <c r="H968" s="27" t="n">
        <f aca="false">IF(G968="","",G968^2)</f>
        <v>9.40029782129023E-007</v>
      </c>
      <c r="I968" s="25" t="n">
        <f aca="false">IF(G968="","",C968/C967-1)</f>
        <v>-0.000969081467295241</v>
      </c>
      <c r="J968" s="17" t="n">
        <f aca="false">AVERAGE(C769:C968)</f>
        <v>2053.11125</v>
      </c>
      <c r="K968" s="17" t="n">
        <f aca="false">MAX(K967,C968)</f>
        <v>4370.01</v>
      </c>
      <c r="L968" s="25" t="n">
        <f aca="false">C968/K968-1</f>
        <v>-0.00684208960620236</v>
      </c>
      <c r="M968" s="25" t="n">
        <f aca="false">IF(COUNT(G939:G968)&lt;20,"",_xlfn.STDEV.S(G939:G968)*SQRT($R$3))</f>
        <v>0.73925790089266</v>
      </c>
      <c r="N968" s="25" t="n">
        <f aca="false">IF(A968-7&lt;$R$2,"",C968/INDEX(Clean_Data!$C$2:$C$4314,MATCH(A968-7,Clean_Data!$A$2:$A$4314,1))-1)</f>
        <v>0.0713702082700771</v>
      </c>
      <c r="O968" s="25" t="n">
        <f aca="false">IF(A968-30&lt;$R$2,"",C968/INDEX(Clean_Data!$C$2:$C$4314,MATCH(A968-30,Clean_Data!$A$2:$A$4314,1))-1)</f>
        <v>0.557789287419196</v>
      </c>
    </row>
    <row r="969" customFormat="false" ht="15" hidden="false" customHeight="false" outlineLevel="0" collapsed="false">
      <c r="A969" s="16" t="n">
        <v>42975</v>
      </c>
      <c r="B969" s="23" t="n">
        <f aca="false">YEAR(A969)</f>
        <v>2017</v>
      </c>
      <c r="C969" s="17" t="n">
        <v>4384.99</v>
      </c>
      <c r="D969" s="23" t="n">
        <f aca="false">A969-A968</f>
        <v>1</v>
      </c>
      <c r="E969" s="24" t="n">
        <f aca="false">LN(C969)</f>
        <v>8.38594262430197</v>
      </c>
      <c r="F969" s="25" t="n">
        <f aca="false">LN(C969/C968)</f>
        <v>0.0102876519065973</v>
      </c>
      <c r="G969" s="25" t="n">
        <f aca="false">IF(AND(D969=1,A969&gt;=$R$2),F969,"")</f>
        <v>0.0102876519065973</v>
      </c>
      <c r="H969" s="27" t="n">
        <f aca="false">IF(G969="","",G969^2)</f>
        <v>0.000105835781751314</v>
      </c>
      <c r="I969" s="25" t="n">
        <f aca="false">IF(G969="","",C969/C968-1)</f>
        <v>0.010340751732099</v>
      </c>
      <c r="J969" s="17" t="n">
        <f aca="false">AVERAGE(C770:C969)</f>
        <v>2070.065</v>
      </c>
      <c r="K969" s="17" t="n">
        <f aca="false">MAX(K968,C969)</f>
        <v>4384.99</v>
      </c>
      <c r="L969" s="25" t="n">
        <f aca="false">C969/K969-1</f>
        <v>0</v>
      </c>
      <c r="M969" s="25" t="n">
        <f aca="false">IF(COUNT(G940:G969)&lt;20,"",_xlfn.STDEV.S(G940:G969)*SQRT($R$3))</f>
        <v>0.720629722912944</v>
      </c>
      <c r="N969" s="25" t="n">
        <f aca="false">IF(A969-7&lt;$R$2,"",C969/INDEX(Clean_Data!$C$2:$C$4314,MATCH(A969-7,Clean_Data!$A$2:$A$4314,1))-1)</f>
        <v>0.0956996501749126</v>
      </c>
      <c r="O969" s="25" t="n">
        <f aca="false">IF(A969-30&lt;$R$2,"",C969/INDEX(Clean_Data!$C$2:$C$4314,MATCH(A969-30,Clean_Data!$A$2:$A$4314,1))-1)</f>
        <v>0.623944063609867</v>
      </c>
    </row>
    <row r="970" customFormat="false" ht="15" hidden="false" customHeight="false" outlineLevel="0" collapsed="false">
      <c r="A970" s="16" t="n">
        <v>42976</v>
      </c>
      <c r="B970" s="23" t="n">
        <f aca="false">YEAR(A970)</f>
        <v>2017</v>
      </c>
      <c r="C970" s="17" t="n">
        <v>4599</v>
      </c>
      <c r="D970" s="23" t="n">
        <f aca="false">A970-A969</f>
        <v>1</v>
      </c>
      <c r="E970" s="24" t="n">
        <f aca="false">LN(C970)</f>
        <v>8.43359416753992</v>
      </c>
      <c r="F970" s="25" t="n">
        <f aca="false">LN(C970/C969)</f>
        <v>0.0476515432379512</v>
      </c>
      <c r="G970" s="25" t="n">
        <f aca="false">IF(AND(D970=1,A970&gt;=$R$2),F970,"")</f>
        <v>0.0476515432379512</v>
      </c>
      <c r="H970" s="27" t="n">
        <f aca="false">IF(G970="","",G970^2)</f>
        <v>0.00227066957295833</v>
      </c>
      <c r="I970" s="25" t="n">
        <f aca="false">IF(G970="","",C970/C969-1)</f>
        <v>0.0488051284039417</v>
      </c>
      <c r="J970" s="17" t="n">
        <f aca="false">AVERAGE(C771:C970)</f>
        <v>2088.05005</v>
      </c>
      <c r="K970" s="17" t="n">
        <f aca="false">MAX(K969,C970)</f>
        <v>4599</v>
      </c>
      <c r="L970" s="25" t="n">
        <f aca="false">C970/K970-1</f>
        <v>0</v>
      </c>
      <c r="M970" s="25" t="n">
        <f aca="false">IF(COUNT(G941:G970)&lt;20,"",_xlfn.STDEV.S(G941:G970)*SQRT($R$3))</f>
        <v>0.728330461553871</v>
      </c>
      <c r="N970" s="25" t="n">
        <f aca="false">IF(A970-7&lt;$R$2,"",C970/INDEX(Clean_Data!$C$2:$C$4314,MATCH(A970-7,Clean_Data!$A$2:$A$4314,1))-1)</f>
        <v>0.123900293255132</v>
      </c>
      <c r="O970" s="25" t="n">
        <f aca="false">IF(A970-30&lt;$R$2,"",C970/INDEX(Clean_Data!$C$2:$C$4314,MATCH(A970-30,Clean_Data!$A$2:$A$4314,1))-1)</f>
        <v>0.688332189178375</v>
      </c>
    </row>
    <row r="971" customFormat="false" ht="15" hidden="false" customHeight="false" outlineLevel="0" collapsed="false">
      <c r="A971" s="16" t="n">
        <v>42977</v>
      </c>
      <c r="B971" s="23" t="n">
        <f aca="false">YEAR(A971)</f>
        <v>2017</v>
      </c>
      <c r="C971" s="17" t="n">
        <v>4581.98</v>
      </c>
      <c r="D971" s="23" t="n">
        <f aca="false">A971-A970</f>
        <v>1</v>
      </c>
      <c r="E971" s="24" t="n">
        <f aca="false">LN(C971)</f>
        <v>8.42988649809776</v>
      </c>
      <c r="F971" s="25" t="n">
        <f aca="false">LN(C971/C970)</f>
        <v>-0.00370766944216388</v>
      </c>
      <c r="G971" s="25" t="n">
        <f aca="false">IF(AND(D971=1,A971&gt;=$R$2),F971,"")</f>
        <v>-0.00370766944216388</v>
      </c>
      <c r="H971" s="27" t="n">
        <f aca="false">IF(G971="","",G971^2)</f>
        <v>1.37468126923558E-005</v>
      </c>
      <c r="I971" s="25" t="n">
        <f aca="false">IF(G971="","",C971/C970-1)</f>
        <v>-0.00370080452272248</v>
      </c>
      <c r="J971" s="17" t="n">
        <f aca="false">AVERAGE(C772:C971)</f>
        <v>2105.8667</v>
      </c>
      <c r="K971" s="17" t="n">
        <f aca="false">MAX(K970,C971)</f>
        <v>4599</v>
      </c>
      <c r="L971" s="25" t="n">
        <f aca="false">C971/K971-1</f>
        <v>-0.00370080452272248</v>
      </c>
      <c r="M971" s="25" t="n">
        <f aca="false">IF(COUNT(G942:G971)&lt;20,"",_xlfn.STDEV.S(G942:G971)*SQRT($R$3))</f>
        <v>0.723559432141765</v>
      </c>
      <c r="N971" s="25" t="n">
        <f aca="false">IF(A971-7&lt;$R$2,"",C971/INDEX(Clean_Data!$C$2:$C$4314,MATCH(A971-7,Clean_Data!$A$2:$A$4314,1))-1)</f>
        <v>0.105826247921438</v>
      </c>
      <c r="O971" s="25" t="n">
        <f aca="false">IF(A971-30&lt;$R$2,"",C971/INDEX(Clean_Data!$C$2:$C$4314,MATCH(A971-30,Clean_Data!$A$2:$A$4314,1))-1)</f>
        <v>0.603840553330906</v>
      </c>
    </row>
    <row r="972" customFormat="false" ht="15" hidden="false" customHeight="false" outlineLevel="0" collapsed="false">
      <c r="A972" s="16" t="n">
        <v>42978</v>
      </c>
      <c r="B972" s="23" t="n">
        <f aca="false">YEAR(A972)</f>
        <v>2017</v>
      </c>
      <c r="C972" s="17" t="n">
        <v>4743.94</v>
      </c>
      <c r="D972" s="23" t="n">
        <f aca="false">A972-A971</f>
        <v>1</v>
      </c>
      <c r="E972" s="24" t="n">
        <f aca="false">LN(C972)</f>
        <v>8.46462329304277</v>
      </c>
      <c r="F972" s="25" t="n">
        <f aca="false">LN(C972/C971)</f>
        <v>0.0347367949450142</v>
      </c>
      <c r="G972" s="25" t="n">
        <f aca="false">IF(AND(D972=1,A972&gt;=$R$2),F972,"")</f>
        <v>0.0347367949450142</v>
      </c>
      <c r="H972" s="27" t="n">
        <f aca="false">IF(G972="","",G972^2)</f>
        <v>0.00120664492305196</v>
      </c>
      <c r="I972" s="25" t="n">
        <f aca="false">IF(G972="","",C972/C971-1)</f>
        <v>0.0353471643263392</v>
      </c>
      <c r="J972" s="17" t="n">
        <f aca="false">AVERAGE(C773:C972)</f>
        <v>2124.5364</v>
      </c>
      <c r="K972" s="17" t="n">
        <f aca="false">MAX(K971,C972)</f>
        <v>4743.94</v>
      </c>
      <c r="L972" s="25" t="n">
        <f aca="false">C972/K972-1</f>
        <v>0</v>
      </c>
      <c r="M972" s="25" t="n">
        <f aca="false">IF(COUNT(G943:G972)&lt;20,"",_xlfn.STDEV.S(G943:G972)*SQRT($R$3))</f>
        <v>0.692669197815081</v>
      </c>
      <c r="N972" s="25" t="n">
        <f aca="false">IF(A972-7&lt;$R$2,"",C972/INDEX(Clean_Data!$C$2:$C$4314,MATCH(A972-7,Clean_Data!$A$2:$A$4314,1))-1)</f>
        <v>0.100163959898238</v>
      </c>
      <c r="O972" s="25" t="n">
        <f aca="false">IF(A972-30&lt;$R$2,"",C972/INDEX(Clean_Data!$C$2:$C$4314,MATCH(A972-30,Clean_Data!$A$2:$A$4314,1))-1)</f>
        <v>0.736059928492749</v>
      </c>
    </row>
    <row r="973" customFormat="false" ht="15" hidden="false" customHeight="false" outlineLevel="0" collapsed="false">
      <c r="A973" s="16" t="n">
        <v>42979</v>
      </c>
      <c r="B973" s="23" t="n">
        <f aca="false">YEAR(A973)</f>
        <v>2017</v>
      </c>
      <c r="C973" s="17" t="n">
        <v>4947.99</v>
      </c>
      <c r="D973" s="23" t="n">
        <f aca="false">A973-A972</f>
        <v>1</v>
      </c>
      <c r="E973" s="24" t="n">
        <f aca="false">LN(C973)</f>
        <v>8.50673671249174</v>
      </c>
      <c r="F973" s="25" t="n">
        <f aca="false">LN(C973/C972)</f>
        <v>0.0421134194489685</v>
      </c>
      <c r="G973" s="25" t="n">
        <f aca="false">IF(AND(D973=1,A973&gt;=$R$2),F973,"")</f>
        <v>0.0421134194489685</v>
      </c>
      <c r="H973" s="27" t="n">
        <f aca="false">IF(G973="","",G973^2)</f>
        <v>0.00177354009768476</v>
      </c>
      <c r="I973" s="25" t="n">
        <f aca="false">IF(G973="","",C973/C972-1)</f>
        <v>0.0430127699760114</v>
      </c>
      <c r="J973" s="17" t="n">
        <f aca="false">AVERAGE(C774:C973)</f>
        <v>2144.26225</v>
      </c>
      <c r="K973" s="17" t="n">
        <f aca="false">MAX(K972,C973)</f>
        <v>4947.99</v>
      </c>
      <c r="L973" s="25" t="n">
        <f aca="false">C973/K973-1</f>
        <v>0</v>
      </c>
      <c r="M973" s="25" t="n">
        <f aca="false">IF(COUNT(G944:G973)&lt;20,"",_xlfn.STDEV.S(G944:G973)*SQRT($R$3))</f>
        <v>0.688474273729933</v>
      </c>
      <c r="N973" s="25" t="n">
        <f aca="false">IF(A973-7&lt;$R$2,"",C973/INDEX(Clean_Data!$C$2:$C$4314,MATCH(A973-7,Clean_Data!$A$2:$A$4314,1))-1)</f>
        <v>0.134860091743119</v>
      </c>
      <c r="O973" s="25" t="n">
        <f aca="false">IF(A973-30&lt;$R$2,"",C973/INDEX(Clean_Data!$C$2:$C$4314,MATCH(A973-30,Clean_Data!$A$2:$A$4314,1))-1)</f>
        <v>0.832656765065373</v>
      </c>
    </row>
    <row r="974" customFormat="false" ht="15" hidden="false" customHeight="false" outlineLevel="0" collapsed="false">
      <c r="A974" s="16" t="n">
        <v>42980</v>
      </c>
      <c r="B974" s="23" t="n">
        <f aca="false">YEAR(A974)</f>
        <v>2017</v>
      </c>
      <c r="C974" s="17" t="n">
        <v>4649.99</v>
      </c>
      <c r="D974" s="23" t="n">
        <f aca="false">A974-A973</f>
        <v>1</v>
      </c>
      <c r="E974" s="24" t="n">
        <f aca="false">LN(C974)</f>
        <v>8.44462034804146</v>
      </c>
      <c r="F974" s="25" t="n">
        <f aca="false">LN(C974/C973)</f>
        <v>-0.0621163644502877</v>
      </c>
      <c r="G974" s="25" t="n">
        <f aca="false">IF(AND(D974=1,A974&gt;=$R$2),F974,"")</f>
        <v>-0.0621163644502877</v>
      </c>
      <c r="H974" s="27" t="n">
        <f aca="false">IF(G974="","",G974^2)</f>
        <v>0.00385844273252096</v>
      </c>
      <c r="I974" s="25" t="n">
        <f aca="false">IF(G974="","",C974/C973-1)</f>
        <v>-0.0602264758012849</v>
      </c>
      <c r="J974" s="17" t="n">
        <f aca="false">AVERAGE(C775:C974)</f>
        <v>2162.4426</v>
      </c>
      <c r="K974" s="17" t="n">
        <f aca="false">MAX(K973,C974)</f>
        <v>4947.99</v>
      </c>
      <c r="L974" s="25" t="n">
        <f aca="false">C974/K974-1</f>
        <v>-0.0602264758012849</v>
      </c>
      <c r="M974" s="25" t="n">
        <f aca="false">IF(COUNT(G945:G974)&lt;20,"",_xlfn.STDEV.S(G945:G974)*SQRT($R$3))</f>
        <v>0.744233700234212</v>
      </c>
      <c r="N974" s="25" t="n">
        <f aca="false">IF(A974-7&lt;$R$2,"",C974/INDEX(Clean_Data!$C$2:$C$4314,MATCH(A974-7,Clean_Data!$A$2:$A$4314,1))-1)</f>
        <v>0.0703608389805539</v>
      </c>
      <c r="O974" s="25" t="n">
        <f aca="false">IF(A974-30&lt;$R$2,"",C974/INDEX(Clean_Data!$C$2:$C$4314,MATCH(A974-30,Clean_Data!$A$2:$A$4314,1))-1)</f>
        <v>0.668445149299251</v>
      </c>
    </row>
    <row r="975" customFormat="false" ht="15" hidden="false" customHeight="false" outlineLevel="0" collapsed="false">
      <c r="A975" s="16" t="n">
        <v>42981</v>
      </c>
      <c r="B975" s="23" t="n">
        <f aca="false">YEAR(A975)</f>
        <v>2017</v>
      </c>
      <c r="C975" s="17" t="n">
        <v>4626.05</v>
      </c>
      <c r="D975" s="23" t="n">
        <f aca="false">A975-A974</f>
        <v>1</v>
      </c>
      <c r="E975" s="24" t="n">
        <f aca="false">LN(C975)</f>
        <v>8.43945865120682</v>
      </c>
      <c r="F975" s="25" t="n">
        <f aca="false">LN(C975/C974)</f>
        <v>-0.00516169683463825</v>
      </c>
      <c r="G975" s="25" t="n">
        <f aca="false">IF(AND(D975=1,A975&gt;=$R$2),F975,"")</f>
        <v>-0.00516169683463825</v>
      </c>
      <c r="H975" s="27" t="n">
        <f aca="false">IF(G975="","",G975^2)</f>
        <v>2.66431142127145E-005</v>
      </c>
      <c r="I975" s="25" t="n">
        <f aca="false">IF(G975="","",C975/C974-1)</f>
        <v>-0.00514839816859813</v>
      </c>
      <c r="J975" s="17" t="n">
        <f aca="false">AVERAGE(C776:C975)</f>
        <v>2180.5002</v>
      </c>
      <c r="K975" s="17" t="n">
        <f aca="false">MAX(K974,C975)</f>
        <v>4947.99</v>
      </c>
      <c r="L975" s="25" t="n">
        <f aca="false">C975/K975-1</f>
        <v>-0.0650648040921666</v>
      </c>
      <c r="M975" s="25" t="n">
        <f aca="false">IF(COUNT(G946:G975)&lt;20,"",_xlfn.STDEV.S(G946:G975)*SQRT($R$3))</f>
        <v>0.747625861587557</v>
      </c>
      <c r="N975" s="25" t="n">
        <f aca="false">IF(A975-7&lt;$R$2,"",C975/INDEX(Clean_Data!$C$2:$C$4314,MATCH(A975-7,Clean_Data!$A$2:$A$4314,1))-1)</f>
        <v>0.0658831227779941</v>
      </c>
      <c r="O975" s="25" t="n">
        <f aca="false">IF(A975-30&lt;$R$2,"",C975/INDEX(Clean_Data!$C$2:$C$4314,MATCH(A975-30,Clean_Data!$A$2:$A$4314,1))-1)</f>
        <v>0.619005788600587</v>
      </c>
    </row>
    <row r="976" customFormat="false" ht="15" hidden="false" customHeight="false" outlineLevel="0" collapsed="false">
      <c r="A976" s="16" t="n">
        <v>42982</v>
      </c>
      <c r="B976" s="23" t="n">
        <f aca="false">YEAR(A976)</f>
        <v>2017</v>
      </c>
      <c r="C976" s="17" t="n">
        <v>4498.25</v>
      </c>
      <c r="D976" s="23" t="n">
        <f aca="false">A976-A975</f>
        <v>1</v>
      </c>
      <c r="E976" s="24" t="n">
        <f aca="false">LN(C976)</f>
        <v>8.41144371123263</v>
      </c>
      <c r="F976" s="25" t="n">
        <f aca="false">LN(C976/C975)</f>
        <v>-0.0280149399741888</v>
      </c>
      <c r="G976" s="25" t="n">
        <f aca="false">IF(AND(D976=1,A976&gt;=$R$2),F976,"")</f>
        <v>-0.0280149399741888</v>
      </c>
      <c r="H976" s="27" t="n">
        <f aca="false">IF(G976="","",G976^2)</f>
        <v>0.000784836861757402</v>
      </c>
      <c r="I976" s="25" t="n">
        <f aca="false">IF(G976="","",C976/C975-1)</f>
        <v>-0.0276261605473352</v>
      </c>
      <c r="J976" s="17" t="n">
        <f aca="false">AVERAGE(C777:C976)</f>
        <v>2197.79675</v>
      </c>
      <c r="K976" s="17" t="n">
        <f aca="false">MAX(K975,C976)</f>
        <v>4947.99</v>
      </c>
      <c r="L976" s="25" t="n">
        <f aca="false">C976/K976-1</f>
        <v>-0.0908934739156708</v>
      </c>
      <c r="M976" s="25" t="n">
        <f aca="false">IF(COUNT(G947:G976)&lt;20,"",_xlfn.STDEV.S(G947:G976)*SQRT($R$3))</f>
        <v>0.647388424227088</v>
      </c>
      <c r="N976" s="25" t="n">
        <f aca="false">IF(A976-7&lt;$R$2,"",C976/INDEX(Clean_Data!$C$2:$C$4314,MATCH(A976-7,Clean_Data!$A$2:$A$4314,1))-1)</f>
        <v>0.0258290212748491</v>
      </c>
      <c r="O976" s="25" t="n">
        <f aca="false">IF(A976-30&lt;$R$2,"",C976/INDEX(Clean_Data!$C$2:$C$4314,MATCH(A976-30,Clean_Data!$A$2:$A$4314,1))-1)</f>
        <v>0.386854900123016</v>
      </c>
    </row>
    <row r="977" customFormat="false" ht="15" hidden="false" customHeight="false" outlineLevel="0" collapsed="false">
      <c r="A977" s="16" t="n">
        <v>42983</v>
      </c>
      <c r="B977" s="23" t="n">
        <f aca="false">YEAR(A977)</f>
        <v>2017</v>
      </c>
      <c r="C977" s="17" t="n">
        <v>4432.51</v>
      </c>
      <c r="D977" s="23" t="n">
        <f aca="false">A977-A976</f>
        <v>1</v>
      </c>
      <c r="E977" s="24" t="n">
        <f aca="false">LN(C977)</f>
        <v>8.39672129400899</v>
      </c>
      <c r="F977" s="25" t="n">
        <f aca="false">LN(C977/C976)</f>
        <v>-0.0147224172236402</v>
      </c>
      <c r="G977" s="25" t="n">
        <f aca="false">IF(AND(D977=1,A977&gt;=$R$2),F977,"")</f>
        <v>-0.0147224172236402</v>
      </c>
      <c r="H977" s="27" t="n">
        <f aca="false">IF(G977="","",G977^2)</f>
        <v>0.000216749568906937</v>
      </c>
      <c r="I977" s="25" t="n">
        <f aca="false">IF(G977="","",C977/C976-1)</f>
        <v>-0.0146145723336852</v>
      </c>
      <c r="J977" s="17" t="n">
        <f aca="false">AVERAGE(C778:C977)</f>
        <v>2214.6728</v>
      </c>
      <c r="K977" s="17" t="n">
        <f aca="false">MAX(K976,C977)</f>
        <v>4947.99</v>
      </c>
      <c r="L977" s="25" t="n">
        <f aca="false">C977/K977-1</f>
        <v>-0.104179677000156</v>
      </c>
      <c r="M977" s="25" t="n">
        <f aca="false">IF(COUNT(G948:G977)&lt;20,"",_xlfn.STDEV.S(G948:G977)*SQRT($R$3))</f>
        <v>0.650770105991917</v>
      </c>
      <c r="N977" s="25" t="n">
        <f aca="false">IF(A977-7&lt;$R$2,"",C977/INDEX(Clean_Data!$C$2:$C$4314,MATCH(A977-7,Clean_Data!$A$2:$A$4314,1))-1)</f>
        <v>-0.0362013481191563</v>
      </c>
      <c r="O977" s="25" t="n">
        <f aca="false">IF(A977-30&lt;$R$2,"",C977/INDEX(Clean_Data!$C$2:$C$4314,MATCH(A977-30,Clean_Data!$A$2:$A$4314,1))-1)</f>
        <v>0.375607500418966</v>
      </c>
    </row>
    <row r="978" customFormat="false" ht="15" hidden="false" customHeight="false" outlineLevel="0" collapsed="false">
      <c r="A978" s="16" t="n">
        <v>42984</v>
      </c>
      <c r="B978" s="23" t="n">
        <f aca="false">YEAR(A978)</f>
        <v>2017</v>
      </c>
      <c r="C978" s="17" t="n">
        <v>4616.18</v>
      </c>
      <c r="D978" s="23" t="n">
        <f aca="false">A978-A977</f>
        <v>1</v>
      </c>
      <c r="E978" s="24" t="n">
        <f aca="false">LN(C978)</f>
        <v>8.43732280222835</v>
      </c>
      <c r="F978" s="25" t="n">
        <f aca="false">LN(C978/C977)</f>
        <v>0.0406015082193635</v>
      </c>
      <c r="G978" s="25" t="n">
        <f aca="false">IF(AND(D978=1,A978&gt;=$R$2),F978,"")</f>
        <v>0.0406015082193635</v>
      </c>
      <c r="H978" s="27" t="n">
        <f aca="false">IF(G978="","",G978^2)</f>
        <v>0.00164848246968704</v>
      </c>
      <c r="I978" s="25" t="n">
        <f aca="false">IF(G978="","",C978/C977-1)</f>
        <v>0.0414370187546109</v>
      </c>
      <c r="J978" s="17" t="n">
        <f aca="false">AVERAGE(C779:C978)</f>
        <v>2232.44295</v>
      </c>
      <c r="K978" s="17" t="n">
        <f aca="false">MAX(K977,C978)</f>
        <v>4947.99</v>
      </c>
      <c r="L978" s="25" t="n">
        <f aca="false">C978/K978-1</f>
        <v>-0.0670595534752495</v>
      </c>
      <c r="M978" s="25" t="n">
        <f aca="false">IF(COUNT(G949:G978)&lt;20,"",_xlfn.STDEV.S(G949:G978)*SQRT($R$3))</f>
        <v>0.641832954549036</v>
      </c>
      <c r="N978" s="25" t="n">
        <f aca="false">IF(A978-7&lt;$R$2,"",C978/INDEX(Clean_Data!$C$2:$C$4314,MATCH(A978-7,Clean_Data!$A$2:$A$4314,1))-1)</f>
        <v>0.00746402210398145</v>
      </c>
      <c r="O978" s="25" t="n">
        <f aca="false">IF(A978-30&lt;$R$2,"",C978/INDEX(Clean_Data!$C$2:$C$4314,MATCH(A978-30,Clean_Data!$A$2:$A$4314,1))-1)</f>
        <v>0.358407170791853</v>
      </c>
    </row>
    <row r="979" customFormat="false" ht="15" hidden="false" customHeight="false" outlineLevel="0" collapsed="false">
      <c r="A979" s="16" t="n">
        <v>42985</v>
      </c>
      <c r="B979" s="23" t="n">
        <f aca="false">YEAR(A979)</f>
        <v>2017</v>
      </c>
      <c r="C979" s="17" t="n">
        <v>4624.18</v>
      </c>
      <c r="D979" s="23" t="n">
        <f aca="false">A979-A978</f>
        <v>1</v>
      </c>
      <c r="E979" s="24" t="n">
        <f aca="false">LN(C979)</f>
        <v>8.43905433693021</v>
      </c>
      <c r="F979" s="25" t="n">
        <f aca="false">LN(C979/C978)</f>
        <v>0.00173153470185322</v>
      </c>
      <c r="G979" s="25" t="n">
        <f aca="false">IF(AND(D979=1,A979&gt;=$R$2),F979,"")</f>
        <v>0.00173153470185322</v>
      </c>
      <c r="H979" s="27" t="n">
        <f aca="false">IF(G979="","",G979^2)</f>
        <v>2.99821242372191E-006</v>
      </c>
      <c r="I979" s="25" t="n">
        <f aca="false">IF(G979="","",C979/C978-1)</f>
        <v>0.00173303467369124</v>
      </c>
      <c r="J979" s="17" t="n">
        <f aca="false">AVERAGE(C780:C979)</f>
        <v>2250.26445</v>
      </c>
      <c r="K979" s="17" t="n">
        <f aca="false">MAX(K978,C979)</f>
        <v>4947.99</v>
      </c>
      <c r="L979" s="25" t="n">
        <f aca="false">C979/K979-1</f>
        <v>-0.0654427353329331</v>
      </c>
      <c r="M979" s="25" t="n">
        <f aca="false">IF(COUNT(G950:G979)&lt;20,"",_xlfn.STDEV.S(G950:G979)*SQRT($R$3))</f>
        <v>0.642433060936348</v>
      </c>
      <c r="N979" s="25" t="n">
        <f aca="false">IF(A979-7&lt;$R$2,"",C979/INDEX(Clean_Data!$C$2:$C$4314,MATCH(A979-7,Clean_Data!$A$2:$A$4314,1))-1)</f>
        <v>-0.025244838678398</v>
      </c>
      <c r="O979" s="25" t="n">
        <f aca="false">IF(A979-30&lt;$R$2,"",C979/INDEX(Clean_Data!$C$2:$C$4314,MATCH(A979-30,Clean_Data!$A$2:$A$4314,1))-1)</f>
        <v>0.351139395108154</v>
      </c>
    </row>
    <row r="980" customFormat="false" ht="15" hidden="false" customHeight="false" outlineLevel="0" collapsed="false">
      <c r="A980" s="16" t="n">
        <v>42986</v>
      </c>
      <c r="B980" s="23" t="n">
        <f aca="false">YEAR(A980)</f>
        <v>2017</v>
      </c>
      <c r="C980" s="17" t="n">
        <v>4350</v>
      </c>
      <c r="D980" s="23" t="n">
        <f aca="false">A980-A979</f>
        <v>1</v>
      </c>
      <c r="E980" s="24" t="n">
        <f aca="false">LN(C980)</f>
        <v>8.37793112408273</v>
      </c>
      <c r="F980" s="25" t="n">
        <f aca="false">LN(C980/C979)</f>
        <v>-0.0611232128474748</v>
      </c>
      <c r="G980" s="25" t="n">
        <f aca="false">IF(AND(D980=1,A980&gt;=$R$2),F980,"")</f>
        <v>-0.0611232128474748</v>
      </c>
      <c r="H980" s="27" t="n">
        <f aca="false">IF(G980="","",G980^2)</f>
        <v>0.00373604714879771</v>
      </c>
      <c r="I980" s="25" t="n">
        <f aca="false">IF(G980="","",C980/C979-1)</f>
        <v>-0.0592926745931172</v>
      </c>
      <c r="J980" s="17" t="n">
        <f aca="false">AVERAGE(C781:C980)</f>
        <v>2266.56535</v>
      </c>
      <c r="K980" s="17" t="n">
        <f aca="false">MAX(K979,C980)</f>
        <v>4947.99</v>
      </c>
      <c r="L980" s="25" t="n">
        <f aca="false">C980/K980-1</f>
        <v>-0.120855135115471</v>
      </c>
      <c r="M980" s="25" t="n">
        <f aca="false">IF(COUNT(G951:G980)&lt;20,"",_xlfn.STDEV.S(G951:G980)*SQRT($R$3))</f>
        <v>0.679459142042026</v>
      </c>
      <c r="N980" s="25" t="n">
        <f aca="false">IF(A980-7&lt;$R$2,"",C980/INDEX(Clean_Data!$C$2:$C$4314,MATCH(A980-7,Clean_Data!$A$2:$A$4314,1))-1)</f>
        <v>-0.120855135115471</v>
      </c>
      <c r="O980" s="25" t="n">
        <f aca="false">IF(A980-30&lt;$R$2,"",C980/INDEX(Clean_Data!$C$2:$C$4314,MATCH(A980-30,Clean_Data!$A$2:$A$4314,1))-1)</f>
        <v>0.301304295799928</v>
      </c>
    </row>
    <row r="981" customFormat="false" ht="15" hidden="false" customHeight="false" outlineLevel="0" collapsed="false">
      <c r="A981" s="16" t="n">
        <v>42987</v>
      </c>
      <c r="B981" s="23" t="n">
        <f aca="false">YEAR(A981)</f>
        <v>2017</v>
      </c>
      <c r="C981" s="17" t="n">
        <v>4334.36</v>
      </c>
      <c r="D981" s="23" t="n">
        <f aca="false">A981-A980</f>
        <v>1</v>
      </c>
      <c r="E981" s="24" t="n">
        <f aca="false">LN(C981)</f>
        <v>8.37432924279065</v>
      </c>
      <c r="F981" s="25" t="n">
        <f aca="false">LN(C981/C980)</f>
        <v>-0.00360188129208267</v>
      </c>
      <c r="G981" s="25" t="n">
        <f aca="false">IF(AND(D981=1,A981&gt;=$R$2),F981,"")</f>
        <v>-0.00360188129208267</v>
      </c>
      <c r="H981" s="27" t="n">
        <f aca="false">IF(G981="","",G981^2)</f>
        <v>1.29735488422551E-005</v>
      </c>
      <c r="I981" s="25" t="n">
        <f aca="false">IF(G981="","",C981/C980-1)</f>
        <v>-0.00359540229885069</v>
      </c>
      <c r="J981" s="17" t="n">
        <f aca="false">AVERAGE(C782:C981)</f>
        <v>2282.5957</v>
      </c>
      <c r="K981" s="17" t="n">
        <f aca="false">MAX(K980,C981)</f>
        <v>4947.99</v>
      </c>
      <c r="L981" s="25" t="n">
        <f aca="false">C981/K981-1</f>
        <v>-0.1240160145837</v>
      </c>
      <c r="M981" s="25" t="n">
        <f aca="false">IF(COUNT(G952:G981)&lt;20,"",_xlfn.STDEV.S(G952:G981)*SQRT($R$3))</f>
        <v>0.67630662126669</v>
      </c>
      <c r="N981" s="25" t="n">
        <f aca="false">IF(A981-7&lt;$R$2,"",C981/INDEX(Clean_Data!$C$2:$C$4314,MATCH(A981-7,Clean_Data!$A$2:$A$4314,1))-1)</f>
        <v>-0.0678775653280975</v>
      </c>
      <c r="O981" s="25" t="n">
        <f aca="false">IF(A981-30&lt;$R$2,"",C981/INDEX(Clean_Data!$C$2:$C$4314,MATCH(A981-30,Clean_Data!$A$2:$A$4314,1))-1)</f>
        <v>0.258166955976522</v>
      </c>
    </row>
    <row r="982" customFormat="false" ht="15" hidden="false" customHeight="false" outlineLevel="0" collapsed="false">
      <c r="A982" s="16" t="n">
        <v>42988</v>
      </c>
      <c r="B982" s="23" t="n">
        <f aca="false">YEAR(A982)</f>
        <v>2017</v>
      </c>
      <c r="C982" s="17" t="n">
        <v>4251.36</v>
      </c>
      <c r="D982" s="23" t="n">
        <f aca="false">A982-A981</f>
        <v>1</v>
      </c>
      <c r="E982" s="24" t="n">
        <f aca="false">LN(C982)</f>
        <v>8.35499421072938</v>
      </c>
      <c r="F982" s="25" t="n">
        <f aca="false">LN(C982/C981)</f>
        <v>-0.0193350320612646</v>
      </c>
      <c r="G982" s="25" t="n">
        <f aca="false">IF(AND(D982=1,A982&gt;=$R$2),F982,"")</f>
        <v>-0.0193350320612646</v>
      </c>
      <c r="H982" s="27" t="n">
        <f aca="false">IF(G982="","",G982^2)</f>
        <v>0.000373843464810131</v>
      </c>
      <c r="I982" s="25" t="n">
        <f aca="false">IF(G982="","",C982/C981-1)</f>
        <v>-0.0191493092405799</v>
      </c>
      <c r="J982" s="17" t="n">
        <f aca="false">AVERAGE(C783:C982)</f>
        <v>2298.20895</v>
      </c>
      <c r="K982" s="17" t="n">
        <f aca="false">MAX(K981,C982)</f>
        <v>4947.99</v>
      </c>
      <c r="L982" s="25" t="n">
        <f aca="false">C982/K982-1</f>
        <v>-0.140790502810232</v>
      </c>
      <c r="M982" s="25" t="n">
        <f aca="false">IF(COUNT(G953:G982)&lt;20,"",_xlfn.STDEV.S(G953:G982)*SQRT($R$3))</f>
        <v>0.655844366373679</v>
      </c>
      <c r="N982" s="25" t="n">
        <f aca="false">IF(A982-7&lt;$R$2,"",C982/INDEX(Clean_Data!$C$2:$C$4314,MATCH(A982-7,Clean_Data!$A$2:$A$4314,1))-1)</f>
        <v>-0.0809956658488344</v>
      </c>
      <c r="O982" s="25" t="n">
        <f aca="false">IF(A982-30&lt;$R$2,"",C982/INDEX(Clean_Data!$C$2:$C$4314,MATCH(A982-30,Clean_Data!$A$2:$A$4314,1))-1)</f>
        <v>0.162796931198118</v>
      </c>
    </row>
    <row r="983" customFormat="false" ht="15" hidden="false" customHeight="false" outlineLevel="0" collapsed="false">
      <c r="A983" s="16" t="n">
        <v>42989</v>
      </c>
      <c r="B983" s="23" t="n">
        <f aca="false">YEAR(A983)</f>
        <v>2017</v>
      </c>
      <c r="C983" s="17" t="n">
        <v>4210.72</v>
      </c>
      <c r="D983" s="23" t="n">
        <f aca="false">A983-A982</f>
        <v>1</v>
      </c>
      <c r="E983" s="24" t="n">
        <f aca="false">LN(C983)</f>
        <v>8.34538893343161</v>
      </c>
      <c r="F983" s="25" t="n">
        <f aca="false">LN(C983/C982)</f>
        <v>-0.00960527729777178</v>
      </c>
      <c r="G983" s="25" t="n">
        <f aca="false">IF(AND(D983=1,A983&gt;=$R$2),F983,"")</f>
        <v>-0.00960527729777178</v>
      </c>
      <c r="H983" s="27" t="n">
        <f aca="false">IF(G983="","",G983^2)</f>
        <v>9.22613519670899E-005</v>
      </c>
      <c r="I983" s="25" t="n">
        <f aca="false">IF(G983="","",C983/C982-1)</f>
        <v>-0.00955929396710686</v>
      </c>
      <c r="J983" s="17" t="n">
        <f aca="false">AVERAGE(C784:C983)</f>
        <v>2313.32805</v>
      </c>
      <c r="K983" s="17" t="n">
        <f aca="false">MAX(K982,C983)</f>
        <v>4947.99</v>
      </c>
      <c r="L983" s="25" t="n">
        <f aca="false">C983/K983-1</f>
        <v>-0.149003938973199</v>
      </c>
      <c r="M983" s="25" t="n">
        <f aca="false">IF(COUNT(G954:G983)&lt;20,"",_xlfn.STDEV.S(G954:G983)*SQRT($R$3))</f>
        <v>0.629096522583749</v>
      </c>
      <c r="N983" s="25" t="n">
        <f aca="false">IF(A983-7&lt;$R$2,"",C983/INDEX(Clean_Data!$C$2:$C$4314,MATCH(A983-7,Clean_Data!$A$2:$A$4314,1))-1)</f>
        <v>-0.0639204134941366</v>
      </c>
      <c r="O983" s="25" t="n">
        <f aca="false">IF(A983-30&lt;$R$2,"",C983/INDEX(Clean_Data!$C$2:$C$4314,MATCH(A983-30,Clean_Data!$A$2:$A$4314,1))-1)</f>
        <v>0.0869179143004648</v>
      </c>
    </row>
    <row r="984" customFormat="false" ht="15" hidden="false" customHeight="false" outlineLevel="0" collapsed="false">
      <c r="A984" s="16" t="n">
        <v>42990</v>
      </c>
      <c r="B984" s="23" t="n">
        <f aca="false">YEAR(A984)</f>
        <v>2017</v>
      </c>
      <c r="C984" s="17" t="n">
        <v>4164.52</v>
      </c>
      <c r="D984" s="23" t="n">
        <f aca="false">A984-A983</f>
        <v>1</v>
      </c>
      <c r="E984" s="24" t="n">
        <f aca="false">LN(C984)</f>
        <v>8.33435630186116</v>
      </c>
      <c r="F984" s="25" t="n">
        <f aca="false">LN(C984/C983)</f>
        <v>-0.0110326315704488</v>
      </c>
      <c r="G984" s="25" t="n">
        <f aca="false">IF(AND(D984=1,A984&gt;=$R$2),F984,"")</f>
        <v>-0.0110326315704488</v>
      </c>
      <c r="H984" s="27" t="n">
        <f aca="false">IF(G984="","",G984^2)</f>
        <v>0.000121718959369263</v>
      </c>
      <c r="I984" s="25" t="n">
        <f aca="false">IF(G984="","",C984/C983-1)</f>
        <v>-0.0109719952882167</v>
      </c>
      <c r="J984" s="17" t="n">
        <f aca="false">AVERAGE(C785:C984)</f>
        <v>2328.2161</v>
      </c>
      <c r="K984" s="17" t="n">
        <f aca="false">MAX(K983,C984)</f>
        <v>4947.99</v>
      </c>
      <c r="L984" s="25" t="n">
        <f aca="false">C984/K984-1</f>
        <v>-0.158341063745076</v>
      </c>
      <c r="M984" s="25" t="n">
        <f aca="false">IF(COUNT(G955:G984)&lt;20,"",_xlfn.STDEV.S(G955:G984)*SQRT($R$3))</f>
        <v>0.610019709421046</v>
      </c>
      <c r="N984" s="25" t="n">
        <f aca="false">IF(A984-7&lt;$R$2,"",C984/INDEX(Clean_Data!$C$2:$C$4314,MATCH(A984-7,Clean_Data!$A$2:$A$4314,1))-1)</f>
        <v>-0.0604601004848269</v>
      </c>
      <c r="O984" s="25" t="n">
        <f aca="false">IF(A984-30&lt;$R$2,"",C984/INDEX(Clean_Data!$C$2:$C$4314,MATCH(A984-30,Clean_Data!$A$2:$A$4314,1))-1)</f>
        <v>0.0256251123638398</v>
      </c>
    </row>
    <row r="985" customFormat="false" ht="15" hidden="false" customHeight="false" outlineLevel="0" collapsed="false">
      <c r="A985" s="16" t="n">
        <v>42991</v>
      </c>
      <c r="B985" s="23" t="n">
        <f aca="false">YEAR(A985)</f>
        <v>2017</v>
      </c>
      <c r="C985" s="17" t="n">
        <v>3855.32</v>
      </c>
      <c r="D985" s="23" t="n">
        <f aca="false">A985-A984</f>
        <v>1</v>
      </c>
      <c r="E985" s="24" t="n">
        <f aca="false">LN(C985)</f>
        <v>8.25720929163149</v>
      </c>
      <c r="F985" s="25" t="n">
        <f aca="false">LN(C985/C984)</f>
        <v>-0.077147010229677</v>
      </c>
      <c r="G985" s="25" t="n">
        <f aca="false">IF(AND(D985=1,A985&gt;=$R$2),F985,"")</f>
        <v>-0.077147010229677</v>
      </c>
      <c r="H985" s="27" t="n">
        <f aca="false">IF(G985="","",G985^2)</f>
        <v>0.00595166118737789</v>
      </c>
      <c r="I985" s="25" t="n">
        <f aca="false">IF(G985="","",C985/C984-1)</f>
        <v>-0.0742462516688599</v>
      </c>
      <c r="J985" s="17" t="n">
        <f aca="false">AVERAGE(C786:C985)</f>
        <v>2341.7027</v>
      </c>
      <c r="K985" s="17" t="n">
        <f aca="false">MAX(K984,C985)</f>
        <v>4947.99</v>
      </c>
      <c r="L985" s="25" t="n">
        <f aca="false">C985/K985-1</f>
        <v>-0.220831084945604</v>
      </c>
      <c r="M985" s="25" t="n">
        <f aca="false">IF(COUNT(G956:G985)&lt;20,"",_xlfn.STDEV.S(G956:G985)*SQRT($R$3))</f>
        <v>0.62715566222745</v>
      </c>
      <c r="N985" s="25" t="n">
        <f aca="false">IF(A985-7&lt;$R$2,"",C985/INDEX(Clean_Data!$C$2:$C$4314,MATCH(A985-7,Clean_Data!$A$2:$A$4314,1))-1)</f>
        <v>-0.164824595228089</v>
      </c>
      <c r="O985" s="25" t="n">
        <f aca="false">IF(A985-30&lt;$R$2,"",C985/INDEX(Clean_Data!$C$2:$C$4314,MATCH(A985-30,Clean_Data!$A$2:$A$4314,1))-1)</f>
        <v>-0.107688746933296</v>
      </c>
    </row>
    <row r="986" customFormat="false" ht="15" hidden="false" customHeight="false" outlineLevel="0" collapsed="false">
      <c r="A986" s="16" t="n">
        <v>42992</v>
      </c>
      <c r="B986" s="23" t="n">
        <f aca="false">YEAR(A986)</f>
        <v>2017</v>
      </c>
      <c r="C986" s="17" t="n">
        <v>3250.4</v>
      </c>
      <c r="D986" s="23" t="n">
        <f aca="false">A986-A985</f>
        <v>1</v>
      </c>
      <c r="E986" s="24" t="n">
        <f aca="false">LN(C986)</f>
        <v>8.08653334467352</v>
      </c>
      <c r="F986" s="25" t="n">
        <f aca="false">LN(C986/C985)</f>
        <v>-0.170675946957968</v>
      </c>
      <c r="G986" s="25" t="n">
        <f aca="false">IF(AND(D986=1,A986&gt;=$R$2),F986,"")</f>
        <v>-0.170675946957968</v>
      </c>
      <c r="H986" s="27" t="n">
        <f aca="false">IF(G986="","",G986^2)</f>
        <v>0.0291302788699991</v>
      </c>
      <c r="I986" s="25" t="n">
        <f aca="false">IF(G986="","",C986/C985-1)</f>
        <v>-0.156905263376322</v>
      </c>
      <c r="J986" s="17" t="n">
        <f aca="false">AVERAGE(C787:C986)</f>
        <v>2352.03015</v>
      </c>
      <c r="K986" s="17" t="n">
        <f aca="false">MAX(K985,C986)</f>
        <v>4947.99</v>
      </c>
      <c r="L986" s="25" t="n">
        <f aca="false">C986/K986-1</f>
        <v>-0.343086788776857</v>
      </c>
      <c r="M986" s="25" t="n">
        <f aca="false">IF(COUNT(G957:G986)&lt;20,"",_xlfn.STDEV.S(G957:G986)*SQRT($R$3))</f>
        <v>0.849586743324742</v>
      </c>
      <c r="N986" s="25" t="n">
        <f aca="false">IF(A986-7&lt;$R$2,"",C986/INDEX(Clean_Data!$C$2:$C$4314,MATCH(A986-7,Clean_Data!$A$2:$A$4314,1))-1)</f>
        <v>-0.297086186091372</v>
      </c>
      <c r="O986" s="25" t="n">
        <f aca="false">IF(A986-30&lt;$R$2,"",C986/INDEX(Clean_Data!$C$2:$C$4314,MATCH(A986-30,Clean_Data!$A$2:$A$4314,1))-1)</f>
        <v>-0.218640698280981</v>
      </c>
    </row>
    <row r="987" customFormat="false" ht="15" hidden="false" customHeight="false" outlineLevel="0" collapsed="false">
      <c r="A987" s="16" t="n">
        <v>42993</v>
      </c>
      <c r="B987" s="23" t="n">
        <f aca="false">YEAR(A987)</f>
        <v>2017</v>
      </c>
      <c r="C987" s="17" t="n">
        <v>3740.02</v>
      </c>
      <c r="D987" s="23" t="n">
        <f aca="false">A987-A986</f>
        <v>1</v>
      </c>
      <c r="E987" s="24" t="n">
        <f aca="false">LN(C987)</f>
        <v>8.22684623798786</v>
      </c>
      <c r="F987" s="25" t="n">
        <f aca="false">LN(C987/C986)</f>
        <v>0.140312893314345</v>
      </c>
      <c r="G987" s="25" t="n">
        <f aca="false">IF(AND(D987=1,A987&gt;=$R$2),F987,"")</f>
        <v>0.140312893314345</v>
      </c>
      <c r="H987" s="27" t="n">
        <f aca="false">IF(G987="","",G987^2)</f>
        <v>0.0196877080302428</v>
      </c>
      <c r="I987" s="25" t="n">
        <f aca="false">IF(G987="","",C987/C986-1)</f>
        <v>0.150633768151612</v>
      </c>
      <c r="J987" s="17" t="n">
        <f aca="false">AVERAGE(C788:C987)</f>
        <v>2364.7512</v>
      </c>
      <c r="K987" s="17" t="n">
        <f aca="false">MAX(K986,C987)</f>
        <v>4947.99</v>
      </c>
      <c r="L987" s="25" t="n">
        <f aca="false">C987/K987-1</f>
        <v>-0.244133476421739</v>
      </c>
      <c r="M987" s="25" t="n">
        <f aca="false">IF(COUNT(G958:G987)&lt;20,"",_xlfn.STDEV.S(G958:G987)*SQRT($R$3))</f>
        <v>0.976940044231531</v>
      </c>
      <c r="N987" s="25" t="n">
        <f aca="false">IF(A987-7&lt;$R$2,"",C987/INDEX(Clean_Data!$C$2:$C$4314,MATCH(A987-7,Clean_Data!$A$2:$A$4314,1))-1)</f>
        <v>-0.140225287356322</v>
      </c>
      <c r="O987" s="25" t="n">
        <f aca="false">IF(A987-30&lt;$R$2,"",C987/INDEX(Clean_Data!$C$2:$C$4314,MATCH(A987-30,Clean_Data!$A$2:$A$4314,1))-1)</f>
        <v>-0.144162141505397</v>
      </c>
    </row>
    <row r="988" customFormat="false" ht="15" hidden="false" customHeight="false" outlineLevel="0" collapsed="false">
      <c r="A988" s="16" t="n">
        <v>42994</v>
      </c>
      <c r="B988" s="23" t="n">
        <f aca="false">YEAR(A988)</f>
        <v>2017</v>
      </c>
      <c r="C988" s="17" t="n">
        <v>3726.51</v>
      </c>
      <c r="D988" s="23" t="n">
        <f aca="false">A988-A987</f>
        <v>1</v>
      </c>
      <c r="E988" s="24" t="n">
        <f aca="false">LN(C988)</f>
        <v>8.22322741780131</v>
      </c>
      <c r="F988" s="25" t="n">
        <f aca="false">LN(C988/C987)</f>
        <v>-0.003618820186553</v>
      </c>
      <c r="G988" s="25" t="n">
        <f aca="false">IF(AND(D988=1,A988&gt;=$R$2),F988,"")</f>
        <v>-0.003618820186553</v>
      </c>
      <c r="H988" s="27" t="n">
        <f aca="false">IF(G988="","",G988^2)</f>
        <v>1.30958595426035E-005</v>
      </c>
      <c r="I988" s="25" t="n">
        <f aca="false">IF(G988="","",C988/C987-1)</f>
        <v>-0.00361228014823445</v>
      </c>
      <c r="J988" s="17" t="n">
        <f aca="false">AVERAGE(C789:C988)</f>
        <v>2377.40835</v>
      </c>
      <c r="K988" s="17" t="n">
        <f aca="false">MAX(K987,C988)</f>
        <v>4947.99</v>
      </c>
      <c r="L988" s="25" t="n">
        <f aca="false">C988/K988-1</f>
        <v>-0.246863878059576</v>
      </c>
      <c r="M988" s="25" t="n">
        <f aca="false">IF(COUNT(G959:G988)&lt;20,"",_xlfn.STDEV.S(G959:G988)*SQRT($R$3))</f>
        <v>0.975319302793796</v>
      </c>
      <c r="N988" s="25" t="n">
        <f aca="false">IF(A988-7&lt;$R$2,"",C988/INDEX(Clean_Data!$C$2:$C$4314,MATCH(A988-7,Clean_Data!$A$2:$A$4314,1))-1)</f>
        <v>-0.140239850866102</v>
      </c>
      <c r="O988" s="25" t="n">
        <f aca="false">IF(A988-30&lt;$R$2,"",C988/INDEX(Clean_Data!$C$2:$C$4314,MATCH(A988-30,Clean_Data!$A$2:$A$4314,1))-1)</f>
        <v>-0.129322127752038</v>
      </c>
    </row>
    <row r="989" customFormat="false" ht="15" hidden="false" customHeight="false" outlineLevel="0" collapsed="false">
      <c r="A989" s="16" t="n">
        <v>42995</v>
      </c>
      <c r="B989" s="23" t="n">
        <f aca="false">YEAR(A989)</f>
        <v>2017</v>
      </c>
      <c r="C989" s="17" t="n">
        <v>3719.97</v>
      </c>
      <c r="D989" s="23" t="n">
        <f aca="false">A989-A988</f>
        <v>1</v>
      </c>
      <c r="E989" s="24" t="n">
        <f aca="false">LN(C989)</f>
        <v>8.22147088271855</v>
      </c>
      <c r="F989" s="25" t="n">
        <f aca="false">LN(C989/C988)</f>
        <v>-0.00175653508276444</v>
      </c>
      <c r="G989" s="25" t="n">
        <f aca="false">IF(AND(D989=1,A989&gt;=$R$2),F989,"")</f>
        <v>-0.00175653508276444</v>
      </c>
      <c r="H989" s="27" t="n">
        <f aca="false">IF(G989="","",G989^2)</f>
        <v>3.08541549698228E-006</v>
      </c>
      <c r="I989" s="25" t="n">
        <f aca="false">IF(G989="","",C989/C988-1)</f>
        <v>-0.00175499327789286</v>
      </c>
      <c r="J989" s="17" t="n">
        <f aca="false">AVERAGE(C790:C989)</f>
        <v>2389.8582</v>
      </c>
      <c r="K989" s="17" t="n">
        <f aca="false">MAX(K988,C989)</f>
        <v>4947.99</v>
      </c>
      <c r="L989" s="25" t="n">
        <f aca="false">C989/K989-1</f>
        <v>-0.248185626890919</v>
      </c>
      <c r="M989" s="25" t="n">
        <f aca="false">IF(COUNT(G960:G989)&lt;20,"",_xlfn.STDEV.S(G960:G989)*SQRT($R$3))</f>
        <v>0.965682266235985</v>
      </c>
      <c r="N989" s="25" t="n">
        <f aca="false">IF(A989-7&lt;$R$2,"",C989/INDEX(Clean_Data!$C$2:$C$4314,MATCH(A989-7,Clean_Data!$A$2:$A$4314,1))-1)</f>
        <v>-0.124992943434571</v>
      </c>
      <c r="O989" s="25" t="n">
        <f aca="false">IF(A989-30&lt;$R$2,"",C989/INDEX(Clean_Data!$C$2:$C$4314,MATCH(A989-30,Clean_Data!$A$2:$A$4314,1))-1)</f>
        <v>-0.0930707117989528</v>
      </c>
    </row>
    <row r="990" customFormat="false" ht="15" hidden="false" customHeight="false" outlineLevel="0" collapsed="false">
      <c r="A990" s="16" t="n">
        <v>42996</v>
      </c>
      <c r="B990" s="23" t="n">
        <f aca="false">YEAR(A990)</f>
        <v>2017</v>
      </c>
      <c r="C990" s="17" t="n">
        <v>4100</v>
      </c>
      <c r="D990" s="23" t="n">
        <f aca="false">A990-A989</f>
        <v>1</v>
      </c>
      <c r="E990" s="24" t="n">
        <f aca="false">LN(C990)</f>
        <v>8.3187422526924</v>
      </c>
      <c r="F990" s="25" t="n">
        <f aca="false">LN(C990/C989)</f>
        <v>0.0972713699738544</v>
      </c>
      <c r="G990" s="25" t="n">
        <f aca="false">IF(AND(D990=1,A990&gt;=$R$2),F990,"")</f>
        <v>0.0972713699738544</v>
      </c>
      <c r="H990" s="27" t="n">
        <f aca="false">IF(G990="","",G990^2)</f>
        <v>0.00946171941659047</v>
      </c>
      <c r="I990" s="25" t="n">
        <f aca="false">IF(G990="","",C990/C989-1)</f>
        <v>0.102159426016877</v>
      </c>
      <c r="J990" s="17" t="n">
        <f aca="false">AVERAGE(C791:C990)</f>
        <v>2404.01235</v>
      </c>
      <c r="K990" s="17" t="n">
        <f aca="false">MAX(K989,C990)</f>
        <v>4947.99</v>
      </c>
      <c r="L990" s="25" t="n">
        <f aca="false">C990/K990-1</f>
        <v>-0.171380702062858</v>
      </c>
      <c r="M990" s="25" t="n">
        <f aca="false">IF(COUNT(G961:G990)&lt;20,"",_xlfn.STDEV.S(G961:G990)*SQRT($R$3))</f>
        <v>1.02628607718074</v>
      </c>
      <c r="N990" s="25" t="n">
        <f aca="false">IF(A990-7&lt;$R$2,"",C990/INDEX(Clean_Data!$C$2:$C$4314,MATCH(A990-7,Clean_Data!$A$2:$A$4314,1))-1)</f>
        <v>-0.0262947904396398</v>
      </c>
      <c r="O990" s="25" t="n">
        <f aca="false">IF(A990-30&lt;$R$2,"",C990/INDEX(Clean_Data!$C$2:$C$4314,MATCH(A990-30,Clean_Data!$A$2:$A$4314,1))-1)</f>
        <v>-0.0138090782482363</v>
      </c>
    </row>
    <row r="991" customFormat="false" ht="15" hidden="false" customHeight="false" outlineLevel="0" collapsed="false">
      <c r="A991" s="16" t="n">
        <v>42997</v>
      </c>
      <c r="B991" s="23" t="n">
        <f aca="false">YEAR(A991)</f>
        <v>2017</v>
      </c>
      <c r="C991" s="17" t="n">
        <v>3910.11</v>
      </c>
      <c r="D991" s="23" t="n">
        <f aca="false">A991-A990</f>
        <v>1</v>
      </c>
      <c r="E991" s="24" t="n">
        <f aca="false">LN(C991)</f>
        <v>8.27132078557601</v>
      </c>
      <c r="F991" s="25" t="n">
        <f aca="false">LN(C991/C990)</f>
        <v>-0.0474214671163855</v>
      </c>
      <c r="G991" s="25" t="n">
        <f aca="false">IF(AND(D991=1,A991&gt;=$R$2),F991,"")</f>
        <v>-0.0474214671163855</v>
      </c>
      <c r="H991" s="27" t="n">
        <f aca="false">IF(G991="","",G991^2)</f>
        <v>0.00224879554347043</v>
      </c>
      <c r="I991" s="25" t="n">
        <f aca="false">IF(G991="","",C991/C990-1)</f>
        <v>-0.0463146341463414</v>
      </c>
      <c r="J991" s="17" t="n">
        <f aca="false">AVERAGE(C792:C991)</f>
        <v>2417.0986</v>
      </c>
      <c r="K991" s="17" t="n">
        <f aca="false">MAX(K990,C991)</f>
        <v>4947.99</v>
      </c>
      <c r="L991" s="25" t="n">
        <f aca="false">C991/K991-1</f>
        <v>-0.209757901693415</v>
      </c>
      <c r="M991" s="25" t="n">
        <f aca="false">IF(COUNT(G962:G991)&lt;20,"",_xlfn.STDEV.S(G962:G991)*SQRT($R$3))</f>
        <v>1.03569264000294</v>
      </c>
      <c r="N991" s="25" t="n">
        <f aca="false">IF(A991-7&lt;$R$2,"",C991/INDEX(Clean_Data!$C$2:$C$4314,MATCH(A991-7,Clean_Data!$A$2:$A$4314,1))-1)</f>
        <v>-0.0610898735028287</v>
      </c>
      <c r="O991" s="25" t="n">
        <f aca="false">IF(A991-30&lt;$R$2,"",C991/INDEX(Clean_Data!$C$2:$C$4314,MATCH(A991-30,Clean_Data!$A$2:$A$4314,1))-1)</f>
        <v>-0.0347766842179318</v>
      </c>
    </row>
    <row r="992" customFormat="false" ht="15" hidden="false" customHeight="false" outlineLevel="0" collapsed="false">
      <c r="A992" s="16" t="n">
        <v>42998</v>
      </c>
      <c r="B992" s="23" t="n">
        <f aca="false">YEAR(A992)</f>
        <v>2017</v>
      </c>
      <c r="C992" s="17" t="n">
        <v>3872.06</v>
      </c>
      <c r="D992" s="23" t="n">
        <f aca="false">A992-A991</f>
        <v>1</v>
      </c>
      <c r="E992" s="24" t="n">
        <f aca="false">LN(C992)</f>
        <v>8.26154194414418</v>
      </c>
      <c r="F992" s="25" t="n">
        <f aca="false">LN(C992/C991)</f>
        <v>-0.00977884143183718</v>
      </c>
      <c r="G992" s="25" t="n">
        <f aca="false">IF(AND(D992=1,A992&gt;=$R$2),F992,"")</f>
        <v>-0.00977884143183718</v>
      </c>
      <c r="H992" s="27" t="n">
        <f aca="false">IF(G992="","",G992^2)</f>
        <v>9.56257397490155E-005</v>
      </c>
      <c r="I992" s="25" t="n">
        <f aca="false">IF(G992="","",C992/C991-1)</f>
        <v>-0.00973118403318585</v>
      </c>
      <c r="J992" s="17" t="n">
        <f aca="false">AVERAGE(C793:C992)</f>
        <v>2430.08905</v>
      </c>
      <c r="K992" s="17" t="n">
        <f aca="false">MAX(K991,C992)</f>
        <v>4947.99</v>
      </c>
      <c r="L992" s="25" t="n">
        <f aca="false">C992/K992-1</f>
        <v>-0.217447892982807</v>
      </c>
      <c r="M992" s="25" t="n">
        <f aca="false">IF(COUNT(G963:G992)&lt;20,"",_xlfn.STDEV.S(G963:G992)*SQRT($R$3))</f>
        <v>1.03540722343085</v>
      </c>
      <c r="N992" s="25" t="n">
        <f aca="false">IF(A992-7&lt;$R$2,"",C992/INDEX(Clean_Data!$C$2:$C$4314,MATCH(A992-7,Clean_Data!$A$2:$A$4314,1))-1)</f>
        <v>0.00434205202162197</v>
      </c>
      <c r="O992" s="25" t="n">
        <f aca="false">IF(A992-30&lt;$R$2,"",C992/INDEX(Clean_Data!$C$2:$C$4314,MATCH(A992-30,Clean_Data!$A$2:$A$4314,1))-1)</f>
        <v>-0.0324687656171914</v>
      </c>
    </row>
    <row r="993" customFormat="false" ht="15" hidden="false" customHeight="false" outlineLevel="0" collapsed="false">
      <c r="A993" s="16" t="n">
        <v>42999</v>
      </c>
      <c r="B993" s="23" t="n">
        <f aca="false">YEAR(A993)</f>
        <v>2017</v>
      </c>
      <c r="C993" s="17" t="n">
        <v>3617.47</v>
      </c>
      <c r="D993" s="23" t="n">
        <f aca="false">A993-A992</f>
        <v>1</v>
      </c>
      <c r="E993" s="24" t="n">
        <f aca="false">LN(C993)</f>
        <v>8.19353016545121</v>
      </c>
      <c r="F993" s="25" t="n">
        <f aca="false">LN(C993/C992)</f>
        <v>-0.0680117786929664</v>
      </c>
      <c r="G993" s="25" t="n">
        <f aca="false">IF(AND(D993=1,A993&gt;=$R$2),F993,"")</f>
        <v>-0.0680117786929664</v>
      </c>
      <c r="H993" s="27" t="n">
        <f aca="false">IF(G993="","",G993^2)</f>
        <v>0.00462560204098103</v>
      </c>
      <c r="I993" s="25" t="n">
        <f aca="false">IF(G993="","",C993/C992-1)</f>
        <v>-0.0657505307252471</v>
      </c>
      <c r="J993" s="17" t="n">
        <f aca="false">AVERAGE(C794:C993)</f>
        <v>2441.7815</v>
      </c>
      <c r="K993" s="17" t="n">
        <f aca="false">MAX(K992,C993)</f>
        <v>4947.99</v>
      </c>
      <c r="L993" s="25" t="n">
        <f aca="false">C993/K993-1</f>
        <v>-0.268901109339348</v>
      </c>
      <c r="M993" s="25" t="n">
        <f aca="false">IF(COUNT(G964:G993)&lt;20,"",_xlfn.STDEV.S(G964:G993)*SQRT($R$3))</f>
        <v>1.05742369489364</v>
      </c>
      <c r="N993" s="25" t="n">
        <f aca="false">IF(A993-7&lt;$R$2,"",C993/INDEX(Clean_Data!$C$2:$C$4314,MATCH(A993-7,Clean_Data!$A$2:$A$4314,1))-1)</f>
        <v>0.112930716219542</v>
      </c>
      <c r="O993" s="25" t="n">
        <f aca="false">IF(A993-30&lt;$R$2,"",C993/INDEX(Clean_Data!$C$2:$C$4314,MATCH(A993-30,Clean_Data!$A$2:$A$4314,1))-1)</f>
        <v>-0.115965298142718</v>
      </c>
    </row>
    <row r="994" customFormat="false" ht="15" hidden="false" customHeight="false" outlineLevel="0" collapsed="false">
      <c r="A994" s="16" t="n">
        <v>43000</v>
      </c>
      <c r="B994" s="23" t="n">
        <f aca="false">YEAR(A994)</f>
        <v>2017</v>
      </c>
      <c r="C994" s="17" t="n">
        <v>3619.01</v>
      </c>
      <c r="D994" s="23" t="n">
        <f aca="false">A994-A993</f>
        <v>1</v>
      </c>
      <c r="E994" s="24" t="n">
        <f aca="false">LN(C994)</f>
        <v>8.19395578675418</v>
      </c>
      <c r="F994" s="25" t="n">
        <f aca="false">LN(C994/C993)</f>
        <v>0.000425621302967304</v>
      </c>
      <c r="G994" s="25" t="n">
        <f aca="false">IF(AND(D994=1,A994&gt;=$R$2),F994,"")</f>
        <v>0.000425621302967304</v>
      </c>
      <c r="H994" s="27" t="n">
        <f aca="false">IF(G994="","",G994^2)</f>
        <v>1.81153493539585E-007</v>
      </c>
      <c r="I994" s="25" t="n">
        <f aca="false">IF(G994="","",C994/C993-1)</f>
        <v>0.000425711892565905</v>
      </c>
      <c r="J994" s="17" t="n">
        <f aca="false">AVERAGE(C795:C994)</f>
        <v>2453.4516</v>
      </c>
      <c r="K994" s="17" t="n">
        <f aca="false">MAX(K993,C994)</f>
        <v>4947.99</v>
      </c>
      <c r="L994" s="25" t="n">
        <f aca="false">C994/K994-1</f>
        <v>-0.268589871846952</v>
      </c>
      <c r="M994" s="25" t="n">
        <f aca="false">IF(COUNT(G965:G994)&lt;20,"",_xlfn.STDEV.S(G965:G994)*SQRT($R$3))</f>
        <v>1.0558734045891</v>
      </c>
      <c r="N994" s="25" t="n">
        <f aca="false">IF(A994-7&lt;$R$2,"",C994/INDEX(Clean_Data!$C$2:$C$4314,MATCH(A994-7,Clean_Data!$A$2:$A$4314,1))-1)</f>
        <v>-0.0323554419495082</v>
      </c>
      <c r="O994" s="25" t="n">
        <f aca="false">IF(A994-30&lt;$R$2,"",C994/INDEX(Clean_Data!$C$2:$C$4314,MATCH(A994-30,Clean_Data!$A$2:$A$4314,1))-1)</f>
        <v>-0.12657928461273</v>
      </c>
    </row>
    <row r="995" customFormat="false" ht="15" hidden="false" customHeight="false" outlineLevel="0" collapsed="false">
      <c r="A995" s="16" t="n">
        <v>43001</v>
      </c>
      <c r="B995" s="23" t="n">
        <f aca="false">YEAR(A995)</f>
        <v>2017</v>
      </c>
      <c r="C995" s="17" t="n">
        <v>3787.33</v>
      </c>
      <c r="D995" s="23" t="n">
        <f aca="false">A995-A994</f>
        <v>1</v>
      </c>
      <c r="E995" s="24" t="n">
        <f aca="false">LN(C995)</f>
        <v>8.23941656432184</v>
      </c>
      <c r="F995" s="25" t="n">
        <f aca="false">LN(C995/C994)</f>
        <v>0.0454607775676595</v>
      </c>
      <c r="G995" s="25" t="n">
        <f aca="false">IF(AND(D995=1,A995&gt;=$R$2),F995,"")</f>
        <v>0.0454607775676595</v>
      </c>
      <c r="H995" s="27" t="n">
        <f aca="false">IF(G995="","",G995^2)</f>
        <v>0.00206668229705621</v>
      </c>
      <c r="I995" s="25" t="n">
        <f aca="false">IF(G995="","",C995/C994-1)</f>
        <v>0.0465099571429755</v>
      </c>
      <c r="J995" s="17" t="n">
        <f aca="false">AVERAGE(C796:C995)</f>
        <v>2466.20145</v>
      </c>
      <c r="K995" s="17" t="n">
        <f aca="false">MAX(K994,C995)</f>
        <v>4947.99</v>
      </c>
      <c r="L995" s="25" t="n">
        <f aca="false">C995/K995-1</f>
        <v>-0.234572018132615</v>
      </c>
      <c r="M995" s="25" t="n">
        <f aca="false">IF(COUNT(G966:G995)&lt;20,"",_xlfn.STDEV.S(G966:G995)*SQRT($R$3))</f>
        <v>1.05900635424518</v>
      </c>
      <c r="N995" s="25" t="n">
        <f aca="false">IF(A995-7&lt;$R$2,"",C995/INDEX(Clean_Data!$C$2:$C$4314,MATCH(A995-7,Clean_Data!$A$2:$A$4314,1))-1)</f>
        <v>0.0163209007892102</v>
      </c>
      <c r="O995" s="25" t="n">
        <f aca="false">IF(A995-30&lt;$R$2,"",C995/INDEX(Clean_Data!$C$2:$C$4314,MATCH(A995-30,Clean_Data!$A$2:$A$4314,1))-1)</f>
        <v>-0.121682826882002</v>
      </c>
    </row>
    <row r="996" customFormat="false" ht="15" hidden="false" customHeight="false" outlineLevel="0" collapsed="false">
      <c r="A996" s="16" t="n">
        <v>43002</v>
      </c>
      <c r="B996" s="23" t="n">
        <f aca="false">YEAR(A996)</f>
        <v>2017</v>
      </c>
      <c r="C996" s="17" t="n">
        <v>3669.01</v>
      </c>
      <c r="D996" s="23" t="n">
        <f aca="false">A996-A995</f>
        <v>1</v>
      </c>
      <c r="E996" s="24" t="n">
        <f aca="false">LN(C996)</f>
        <v>8.20767714988986</v>
      </c>
      <c r="F996" s="25" t="n">
        <f aca="false">LN(C996/C995)</f>
        <v>-0.0317394144319753</v>
      </c>
      <c r="G996" s="25" t="n">
        <f aca="false">IF(AND(D996=1,A996&gt;=$R$2),F996,"")</f>
        <v>-0.0317394144319753</v>
      </c>
      <c r="H996" s="27" t="n">
        <f aca="false">IF(G996="","",G996^2)</f>
        <v>0.00100739042848468</v>
      </c>
      <c r="I996" s="25" t="n">
        <f aca="false">IF(G996="","",C996/C995-1)</f>
        <v>-0.0312410061969778</v>
      </c>
      <c r="J996" s="17" t="n">
        <f aca="false">AVERAGE(C797:C996)</f>
        <v>2478.7954</v>
      </c>
      <c r="K996" s="17" t="n">
        <f aca="false">MAX(K995,C996)</f>
        <v>4947.99</v>
      </c>
      <c r="L996" s="25" t="n">
        <f aca="false">C996/K996-1</f>
        <v>-0.258484758457475</v>
      </c>
      <c r="M996" s="25" t="n">
        <f aca="false">IF(COUNT(G967:G996)&lt;20,"",_xlfn.STDEV.S(G967:G996)*SQRT($R$3))</f>
        <v>1.06169896315334</v>
      </c>
      <c r="N996" s="25" t="n">
        <f aca="false">IF(A996-7&lt;$R$2,"",C996/INDEX(Clean_Data!$C$2:$C$4314,MATCH(A996-7,Clean_Data!$A$2:$A$4314,1))-1)</f>
        <v>-0.0136990352072731</v>
      </c>
      <c r="O996" s="25" t="n">
        <f aca="false">IF(A996-30&lt;$R$2,"",C996/INDEX(Clean_Data!$C$2:$C$4314,MATCH(A996-30,Clean_Data!$A$2:$A$4314,1))-1)</f>
        <v>-0.158483944954128</v>
      </c>
    </row>
    <row r="997" customFormat="false" ht="15" hidden="false" customHeight="false" outlineLevel="0" collapsed="false">
      <c r="A997" s="16" t="n">
        <v>43003</v>
      </c>
      <c r="B997" s="23" t="n">
        <f aca="false">YEAR(A997)</f>
        <v>2017</v>
      </c>
      <c r="C997" s="17" t="n">
        <v>3919.78</v>
      </c>
      <c r="D997" s="23" t="n">
        <f aca="false">A997-A996</f>
        <v>1</v>
      </c>
      <c r="E997" s="24" t="n">
        <f aca="false">LN(C997)</f>
        <v>8.27379080876061</v>
      </c>
      <c r="F997" s="25" t="n">
        <f aca="false">LN(C997/C996)</f>
        <v>0.0661136588707434</v>
      </c>
      <c r="G997" s="25" t="n">
        <f aca="false">IF(AND(D997=1,A997&gt;=$R$2),F997,"")</f>
        <v>0.0661136588707434</v>
      </c>
      <c r="H997" s="27" t="n">
        <f aca="false">IF(G997="","",G997^2)</f>
        <v>0.00437101588927703</v>
      </c>
      <c r="I997" s="25" t="n">
        <f aca="false">IF(G997="","",C997/C996-1)</f>
        <v>0.0683481375084831</v>
      </c>
      <c r="J997" s="17" t="n">
        <f aca="false">AVERAGE(C798:C997)</f>
        <v>2492.4078</v>
      </c>
      <c r="K997" s="17" t="n">
        <f aca="false">MAX(K996,C997)</f>
        <v>4947.99</v>
      </c>
      <c r="L997" s="25" t="n">
        <f aca="false">C997/K997-1</f>
        <v>-0.20780357276389</v>
      </c>
      <c r="M997" s="25" t="n">
        <f aca="false">IF(COUNT(G968:G997)&lt;20,"",_xlfn.STDEV.S(G968:G997)*SQRT($R$3))</f>
        <v>1.09092185461669</v>
      </c>
      <c r="N997" s="25" t="n">
        <f aca="false">IF(A997-7&lt;$R$2,"",C997/INDEX(Clean_Data!$C$2:$C$4314,MATCH(A997-7,Clean_Data!$A$2:$A$4314,1))-1)</f>
        <v>-0.0439560975609755</v>
      </c>
      <c r="O997" s="25" t="n">
        <f aca="false">IF(A997-30&lt;$R$2,"",C997/INDEX(Clean_Data!$C$2:$C$4314,MATCH(A997-30,Clean_Data!$A$2:$A$4314,1))-1)</f>
        <v>-0.0977230038302887</v>
      </c>
    </row>
    <row r="998" customFormat="false" ht="15" hidden="false" customHeight="false" outlineLevel="0" collapsed="false">
      <c r="A998" s="16" t="n">
        <v>43004</v>
      </c>
      <c r="B998" s="23" t="n">
        <f aca="false">YEAR(A998)</f>
        <v>2017</v>
      </c>
      <c r="C998" s="17" t="n">
        <v>3885.09</v>
      </c>
      <c r="D998" s="23" t="n">
        <f aca="false">A998-A997</f>
        <v>1</v>
      </c>
      <c r="E998" s="24" t="n">
        <f aca="false">LN(C998)</f>
        <v>8.26490142855659</v>
      </c>
      <c r="F998" s="25" t="n">
        <f aca="false">LN(C998/C997)</f>
        <v>-0.00888938020401946</v>
      </c>
      <c r="G998" s="25" t="n">
        <f aca="false">IF(AND(D998=1,A998&gt;=$R$2),F998,"")</f>
        <v>-0.00888938020401946</v>
      </c>
      <c r="H998" s="27" t="n">
        <f aca="false">IF(G998="","",G998^2)</f>
        <v>7.90210804116131E-005</v>
      </c>
      <c r="I998" s="25" t="n">
        <f aca="false">IF(G998="","",C998/C997-1)</f>
        <v>-0.00884998647883306</v>
      </c>
      <c r="J998" s="17" t="n">
        <f aca="false">AVERAGE(C799:C998)</f>
        <v>2506.2882</v>
      </c>
      <c r="K998" s="17" t="n">
        <f aca="false">MAX(K997,C998)</f>
        <v>4947.99</v>
      </c>
      <c r="L998" s="25" t="n">
        <f aca="false">C998/K998-1</f>
        <v>-0.214814500433509</v>
      </c>
      <c r="M998" s="25" t="n">
        <f aca="false">IF(COUNT(G969:G998)&lt;20,"",_xlfn.STDEV.S(G969:G998)*SQRT($R$3))</f>
        <v>1.0910469987893</v>
      </c>
      <c r="N998" s="25" t="n">
        <f aca="false">IF(A998-7&lt;$R$2,"",C998/INDEX(Clean_Data!$C$2:$C$4314,MATCH(A998-7,Clean_Data!$A$2:$A$4314,1))-1)</f>
        <v>-0.00639879696479129</v>
      </c>
      <c r="O998" s="25" t="n">
        <f aca="false">IF(A998-30&lt;$R$2,"",C998/INDEX(Clean_Data!$C$2:$C$4314,MATCH(A998-30,Clean_Data!$A$2:$A$4314,1))-1)</f>
        <v>-0.104840660720581</v>
      </c>
    </row>
    <row r="999" customFormat="false" ht="15" hidden="false" customHeight="false" outlineLevel="0" collapsed="false">
      <c r="A999" s="16" t="n">
        <v>43005</v>
      </c>
      <c r="B999" s="23" t="n">
        <f aca="false">YEAR(A999)</f>
        <v>2017</v>
      </c>
      <c r="C999" s="17" t="n">
        <v>4200</v>
      </c>
      <c r="D999" s="23" t="n">
        <f aca="false">A999-A998</f>
        <v>1</v>
      </c>
      <c r="E999" s="24" t="n">
        <f aca="false">LN(C999)</f>
        <v>8.34283980427146</v>
      </c>
      <c r="F999" s="25" t="n">
        <f aca="false">LN(C999/C998)</f>
        <v>0.077938375714874</v>
      </c>
      <c r="G999" s="25" t="n">
        <f aca="false">IF(AND(D999=1,A999&gt;=$R$2),F999,"")</f>
        <v>0.077938375714874</v>
      </c>
      <c r="H999" s="27" t="n">
        <f aca="false">IF(G999="","",G999^2)</f>
        <v>0.00607439040907286</v>
      </c>
      <c r="I999" s="25" t="n">
        <f aca="false">IF(G999="","",C999/C998-1)</f>
        <v>0.0810560373118769</v>
      </c>
      <c r="J999" s="17" t="n">
        <f aca="false">AVERAGE(C800:C999)</f>
        <v>2521.34765</v>
      </c>
      <c r="K999" s="17" t="n">
        <f aca="false">MAX(K998,C999)</f>
        <v>4947.99</v>
      </c>
      <c r="L999" s="25" t="n">
        <f aca="false">C999/K999-1</f>
        <v>-0.151170475283903</v>
      </c>
      <c r="M999" s="25" t="n">
        <f aca="false">IF(COUNT(G970:G999)&lt;20,"",_xlfn.STDEV.S(G970:G999)*SQRT($R$3))</f>
        <v>1.12688588557324</v>
      </c>
      <c r="N999" s="25" t="n">
        <f aca="false">IF(A999-7&lt;$R$2,"",C999/INDEX(Clean_Data!$C$2:$C$4314,MATCH(A999-7,Clean_Data!$A$2:$A$4314,1))-1)</f>
        <v>0.0846939355278586</v>
      </c>
      <c r="O999" s="25" t="n">
        <f aca="false">IF(A999-30&lt;$R$2,"",C999/INDEX(Clean_Data!$C$2:$C$4314,MATCH(A999-30,Clean_Data!$A$2:$A$4314,1))-1)</f>
        <v>-0.0421870973479984</v>
      </c>
    </row>
    <row r="1000" customFormat="false" ht="15" hidden="false" customHeight="false" outlineLevel="0" collapsed="false">
      <c r="A1000" s="16" t="n">
        <v>43006</v>
      </c>
      <c r="B1000" s="23" t="n">
        <f aca="false">YEAR(A1000)</f>
        <v>2017</v>
      </c>
      <c r="C1000" s="17" t="n">
        <v>4189.42</v>
      </c>
      <c r="D1000" s="23" t="n">
        <f aca="false">A1000-A999</f>
        <v>1</v>
      </c>
      <c r="E1000" s="24" t="n">
        <f aca="false">LN(C1000)</f>
        <v>8.34031757851358</v>
      </c>
      <c r="F1000" s="25" t="n">
        <f aca="false">LN(C1000/C999)</f>
        <v>-0.00252222575787844</v>
      </c>
      <c r="G1000" s="25" t="n">
        <f aca="false">IF(AND(D1000=1,A1000&gt;=$R$2),F1000,"")</f>
        <v>-0.00252222575787844</v>
      </c>
      <c r="H1000" s="27" t="n">
        <f aca="false">IF(G1000="","",G1000^2)</f>
        <v>6.36162277370545E-006</v>
      </c>
      <c r="I1000" s="25" t="n">
        <f aca="false">IF(G1000="","",C1000/C999-1)</f>
        <v>-0.00251904761904764</v>
      </c>
      <c r="J1000" s="17" t="n">
        <f aca="false">AVERAGE(C801:C1000)</f>
        <v>2536.11685</v>
      </c>
      <c r="K1000" s="17" t="n">
        <f aca="false">MAX(K999,C1000)</f>
        <v>4947.99</v>
      </c>
      <c r="L1000" s="25" t="n">
        <f aca="false">C1000/K1000-1</f>
        <v>-0.153308717277116</v>
      </c>
      <c r="M1000" s="25" t="n">
        <f aca="false">IF(COUNT(G971:G1000)&lt;20,"",_xlfn.STDEV.S(G971:G1000)*SQRT($R$3))</f>
        <v>1.11288003659636</v>
      </c>
      <c r="N1000" s="25" t="n">
        <f aca="false">IF(A1000-7&lt;$R$2,"",C1000/INDEX(Clean_Data!$C$2:$C$4314,MATCH(A1000-7,Clean_Data!$A$2:$A$4314,1))-1)</f>
        <v>0.158107738281174</v>
      </c>
      <c r="O1000" s="25" t="n">
        <f aca="false">IF(A1000-30&lt;$R$2,"",C1000/INDEX(Clean_Data!$C$2:$C$4314,MATCH(A1000-30,Clean_Data!$A$2:$A$4314,1))-1)</f>
        <v>-0.0890584909762991</v>
      </c>
    </row>
    <row r="1001" customFormat="false" ht="15" hidden="false" customHeight="false" outlineLevel="0" collapsed="false">
      <c r="A1001" s="16" t="n">
        <v>43007</v>
      </c>
      <c r="B1001" s="23" t="n">
        <f aca="false">YEAR(A1001)</f>
        <v>2017</v>
      </c>
      <c r="C1001" s="17" t="n">
        <v>4156.99</v>
      </c>
      <c r="D1001" s="23" t="n">
        <f aca="false">A1001-A1000</f>
        <v>1</v>
      </c>
      <c r="E1001" s="24" t="n">
        <f aca="false">LN(C1001)</f>
        <v>8.3325465336688</v>
      </c>
      <c r="F1001" s="25" t="n">
        <f aca="false">LN(C1001/C1000)</f>
        <v>-0.00777104484478509</v>
      </c>
      <c r="G1001" s="25" t="n">
        <f aca="false">IF(AND(D1001=1,A1001&gt;=$R$2),F1001,"")</f>
        <v>-0.00777104484478509</v>
      </c>
      <c r="H1001" s="27" t="n">
        <f aca="false">IF(G1001="","",G1001^2)</f>
        <v>6.0389137979661E-005</v>
      </c>
      <c r="I1001" s="25" t="n">
        <f aca="false">IF(G1001="","",C1001/C1000-1)</f>
        <v>-0.00774092833852902</v>
      </c>
      <c r="J1001" s="17" t="n">
        <f aca="false">AVERAGE(C802:C1001)</f>
        <v>2550.67435</v>
      </c>
      <c r="K1001" s="17" t="n">
        <f aca="false">MAX(K1000,C1001)</f>
        <v>4947.99</v>
      </c>
      <c r="L1001" s="25" t="n">
        <f aca="false">C1001/K1001-1</f>
        <v>-0.159862893821532</v>
      </c>
      <c r="M1001" s="25" t="n">
        <f aca="false">IF(COUNT(G972:G1001)&lt;20,"",_xlfn.STDEV.S(G972:G1001)*SQRT($R$3))</f>
        <v>1.11299778631683</v>
      </c>
      <c r="N1001" s="25" t="n">
        <f aca="false">IF(A1001-7&lt;$R$2,"",C1001/INDEX(Clean_Data!$C$2:$C$4314,MATCH(A1001-7,Clean_Data!$A$2:$A$4314,1))-1)</f>
        <v>0.148653913639365</v>
      </c>
      <c r="O1001" s="25" t="n">
        <f aca="false">IF(A1001-30&lt;$R$2,"",C1001/INDEX(Clean_Data!$C$2:$C$4314,MATCH(A1001-30,Clean_Data!$A$2:$A$4314,1))-1)</f>
        <v>-0.0927524781862863</v>
      </c>
    </row>
    <row r="1002" customFormat="false" ht="15" hidden="false" customHeight="false" outlineLevel="0" collapsed="false">
      <c r="A1002" s="16" t="n">
        <v>43008</v>
      </c>
      <c r="B1002" s="23" t="n">
        <f aca="false">YEAR(A1002)</f>
        <v>2017</v>
      </c>
      <c r="C1002" s="17" t="n">
        <v>4339</v>
      </c>
      <c r="D1002" s="23" t="n">
        <f aca="false">A1002-A1001</f>
        <v>1</v>
      </c>
      <c r="E1002" s="24" t="n">
        <f aca="false">LN(C1002)</f>
        <v>8.37539918579835</v>
      </c>
      <c r="F1002" s="25" t="n">
        <f aca="false">LN(C1002/C1001)</f>
        <v>0.0428526521295546</v>
      </c>
      <c r="G1002" s="25" t="n">
        <f aca="false">IF(AND(D1002=1,A1002&gt;=$R$2),F1002,"")</f>
        <v>0.0428526521295546</v>
      </c>
      <c r="H1002" s="27" t="n">
        <f aca="false">IF(G1002="","",G1002^2)</f>
        <v>0.00183634979453662</v>
      </c>
      <c r="I1002" s="25" t="n">
        <f aca="false">IF(G1002="","",C1002/C1001-1)</f>
        <v>0.0437840841570465</v>
      </c>
      <c r="J1002" s="17" t="n">
        <f aca="false">AVERAGE(C803:C1002)</f>
        <v>2566.13225</v>
      </c>
      <c r="K1002" s="17" t="n">
        <f aca="false">MAX(K1001,C1002)</f>
        <v>4947.99</v>
      </c>
      <c r="L1002" s="25" t="n">
        <f aca="false">C1002/K1002-1</f>
        <v>-0.123078260061156</v>
      </c>
      <c r="M1002" s="25" t="n">
        <f aca="false">IF(COUNT(G973:G1002)&lt;20,"",_xlfn.STDEV.S(G973:G1002)*SQRT($R$3))</f>
        <v>1.11683700936338</v>
      </c>
      <c r="N1002" s="25" t="n">
        <f aca="false">IF(A1002-7&lt;$R$2,"",C1002/INDEX(Clean_Data!$C$2:$C$4314,MATCH(A1002-7,Clean_Data!$A$2:$A$4314,1))-1)</f>
        <v>0.145661983508171</v>
      </c>
      <c r="O1002" s="25" t="n">
        <f aca="false">IF(A1002-30&lt;$R$2,"",C1002/INDEX(Clean_Data!$C$2:$C$4314,MATCH(A1002-30,Clean_Data!$A$2:$A$4314,1))-1)</f>
        <v>-0.0853594269742029</v>
      </c>
    </row>
    <row r="1003" customFormat="false" ht="15" hidden="false" customHeight="false" outlineLevel="0" collapsed="false">
      <c r="A1003" s="16" t="n">
        <v>43009</v>
      </c>
      <c r="B1003" s="23" t="n">
        <f aca="false">YEAR(A1003)</f>
        <v>2017</v>
      </c>
      <c r="C1003" s="17" t="n">
        <v>4394.81</v>
      </c>
      <c r="D1003" s="23" t="n">
        <f aca="false">A1003-A1002</f>
        <v>1</v>
      </c>
      <c r="E1003" s="24" t="n">
        <f aca="false">LN(C1003)</f>
        <v>8.38817957824054</v>
      </c>
      <c r="F1003" s="25" t="n">
        <f aca="false">LN(C1003/C1002)</f>
        <v>0.0127803924421877</v>
      </c>
      <c r="G1003" s="25" t="n">
        <f aca="false">IF(AND(D1003=1,A1003&gt;=$R$2),F1003,"")</f>
        <v>0.0127803924421877</v>
      </c>
      <c r="H1003" s="27" t="n">
        <f aca="false">IF(G1003="","",G1003^2)</f>
        <v>0.000163338430976329</v>
      </c>
      <c r="I1003" s="25" t="n">
        <f aca="false">IF(G1003="","",C1003/C1002-1)</f>
        <v>0.0128624106937083</v>
      </c>
      <c r="J1003" s="17" t="n">
        <f aca="false">AVERAGE(C804:C1003)</f>
        <v>2581.7913</v>
      </c>
      <c r="K1003" s="17" t="n">
        <f aca="false">MAX(K1002,C1003)</f>
        <v>4947.99</v>
      </c>
      <c r="L1003" s="25" t="n">
        <f aca="false">C1003/K1003-1</f>
        <v>-0.111798932495821</v>
      </c>
      <c r="M1003" s="25" t="n">
        <f aca="false">IF(COUNT(G974:G1003)&lt;20,"",_xlfn.STDEV.S(G974:G1003)*SQRT($R$3))</f>
        <v>1.10657197607288</v>
      </c>
      <c r="N1003" s="25" t="n">
        <f aca="false">IF(A1003-7&lt;$R$2,"",C1003/INDEX(Clean_Data!$C$2:$C$4314,MATCH(A1003-7,Clean_Data!$A$2:$A$4314,1))-1)</f>
        <v>0.197819030201608</v>
      </c>
      <c r="O1003" s="25" t="n">
        <f aca="false">IF(A1003-30&lt;$R$2,"",C1003/INDEX(Clean_Data!$C$2:$C$4314,MATCH(A1003-30,Clean_Data!$A$2:$A$4314,1))-1)</f>
        <v>-0.111798932495821</v>
      </c>
    </row>
    <row r="1004" customFormat="false" ht="15" hidden="false" customHeight="false" outlineLevel="0" collapsed="false">
      <c r="A1004" s="16" t="n">
        <v>43010</v>
      </c>
      <c r="B1004" s="23" t="n">
        <f aca="false">YEAR(A1004)</f>
        <v>2017</v>
      </c>
      <c r="C1004" s="17" t="n">
        <v>4392.71</v>
      </c>
      <c r="D1004" s="23" t="n">
        <f aca="false">A1004-A1003</f>
        <v>1</v>
      </c>
      <c r="E1004" s="24" t="n">
        <f aca="false">LN(C1004)</f>
        <v>8.38770162768339</v>
      </c>
      <c r="F1004" s="25" t="n">
        <f aca="false">LN(C1004/C1003)</f>
        <v>-0.000477950557148539</v>
      </c>
      <c r="G1004" s="25" t="n">
        <f aca="false">IF(AND(D1004=1,A1004&gt;=$R$2),F1004,"")</f>
        <v>-0.000477950557148539</v>
      </c>
      <c r="H1004" s="27" t="n">
        <f aca="false">IF(G1004="","",G1004^2)</f>
        <v>2.28436735078598E-007</v>
      </c>
      <c r="I1004" s="25" t="n">
        <f aca="false">IF(G1004="","",C1004/C1003-1)</f>
        <v>-0.000477836356975736</v>
      </c>
      <c r="J1004" s="17" t="n">
        <f aca="false">AVERAGE(C805:C1004)</f>
        <v>2597.8793</v>
      </c>
      <c r="K1004" s="17" t="n">
        <f aca="false">MAX(K1003,C1004)</f>
        <v>4947.99</v>
      </c>
      <c r="L1004" s="25" t="n">
        <f aca="false">C1004/K1004-1</f>
        <v>-0.11222334725818</v>
      </c>
      <c r="M1004" s="25" t="n">
        <f aca="false">IF(COUNT(G975:G1004)&lt;20,"",_xlfn.STDEV.S(G975:G1004)*SQRT($R$3))</f>
        <v>1.08649851558238</v>
      </c>
      <c r="N1004" s="25" t="n">
        <f aca="false">IF(A1004-7&lt;$R$2,"",C1004/INDEX(Clean_Data!$C$2:$C$4314,MATCH(A1004-7,Clean_Data!$A$2:$A$4314,1))-1)</f>
        <v>0.120652179459051</v>
      </c>
      <c r="O1004" s="25" t="n">
        <f aca="false">IF(A1004-30&lt;$R$2,"",C1004/INDEX(Clean_Data!$C$2:$C$4314,MATCH(A1004-30,Clean_Data!$A$2:$A$4314,1))-1)</f>
        <v>-0.0553291512454865</v>
      </c>
    </row>
    <row r="1005" customFormat="false" ht="15" hidden="false" customHeight="false" outlineLevel="0" collapsed="false">
      <c r="A1005" s="16" t="n">
        <v>43011</v>
      </c>
      <c r="B1005" s="23" t="n">
        <f aca="false">YEAR(A1005)</f>
        <v>2017</v>
      </c>
      <c r="C1005" s="17" t="n">
        <v>4307.99</v>
      </c>
      <c r="D1005" s="23" t="n">
        <f aca="false">A1005-A1004</f>
        <v>1</v>
      </c>
      <c r="E1005" s="24" t="n">
        <f aca="false">LN(C1005)</f>
        <v>8.36822671701082</v>
      </c>
      <c r="F1005" s="25" t="n">
        <f aca="false">LN(C1005/C1004)</f>
        <v>-0.0194749106725719</v>
      </c>
      <c r="G1005" s="25" t="n">
        <f aca="false">IF(AND(D1005=1,A1005&gt;=$R$2),F1005,"")</f>
        <v>-0.0194749106725719</v>
      </c>
      <c r="H1005" s="27" t="n">
        <f aca="false">IF(G1005="","",G1005^2)</f>
        <v>0.000379272145704653</v>
      </c>
      <c r="I1005" s="25" t="n">
        <f aca="false">IF(G1005="","",C1005/C1004-1)</f>
        <v>-0.0192864996778754</v>
      </c>
      <c r="J1005" s="17" t="n">
        <f aca="false">AVERAGE(C806:C1005)</f>
        <v>2614.0714</v>
      </c>
      <c r="K1005" s="17" t="n">
        <f aca="false">MAX(K1004,C1005)</f>
        <v>4947.99</v>
      </c>
      <c r="L1005" s="25" t="n">
        <f aca="false">C1005/K1005-1</f>
        <v>-0.12934545138531</v>
      </c>
      <c r="M1005" s="25" t="n">
        <f aca="false">IF(COUNT(G976:G1005)&lt;20,"",_xlfn.STDEV.S(G976:G1005)*SQRT($R$3))</f>
        <v>1.08818552903437</v>
      </c>
      <c r="N1005" s="25" t="n">
        <f aca="false">IF(A1005-7&lt;$R$2,"",C1005/INDEX(Clean_Data!$C$2:$C$4314,MATCH(A1005-7,Clean_Data!$A$2:$A$4314,1))-1)</f>
        <v>0.108852047185522</v>
      </c>
      <c r="O1005" s="25" t="n">
        <f aca="false">IF(A1005-30&lt;$R$2,"",C1005/INDEX(Clean_Data!$C$2:$C$4314,MATCH(A1005-30,Clean_Data!$A$2:$A$4314,1))-1)</f>
        <v>-0.0687541206861146</v>
      </c>
    </row>
    <row r="1006" customFormat="false" ht="15" hidden="false" customHeight="false" outlineLevel="0" collapsed="false">
      <c r="A1006" s="16" t="n">
        <v>43012</v>
      </c>
      <c r="B1006" s="23" t="n">
        <f aca="false">YEAR(A1006)</f>
        <v>2017</v>
      </c>
      <c r="C1006" s="17" t="n">
        <v>4214.84</v>
      </c>
      <c r="D1006" s="23" t="n">
        <f aca="false">A1006-A1005</f>
        <v>1</v>
      </c>
      <c r="E1006" s="24" t="n">
        <f aca="false">LN(C1006)</f>
        <v>8.34636691004762</v>
      </c>
      <c r="F1006" s="25" t="n">
        <f aca="false">LN(C1006/C1005)</f>
        <v>-0.0218598069632015</v>
      </c>
      <c r="G1006" s="25" t="n">
        <f aca="false">IF(AND(D1006=1,A1006&gt;=$R$2),F1006,"")</f>
        <v>-0.0218598069632015</v>
      </c>
      <c r="H1006" s="27" t="n">
        <f aca="false">IF(G1006="","",G1006^2)</f>
        <v>0.000477851160468432</v>
      </c>
      <c r="I1006" s="25" t="n">
        <f aca="false">IF(G1006="","",C1006/C1005-1)</f>
        <v>-0.0216226128658608</v>
      </c>
      <c r="J1006" s="17" t="n">
        <f aca="false">AVERAGE(C807:C1006)</f>
        <v>2630.2956</v>
      </c>
      <c r="K1006" s="17" t="n">
        <f aca="false">MAX(K1005,C1006)</f>
        <v>4947.99</v>
      </c>
      <c r="L1006" s="25" t="n">
        <f aca="false">C1006/K1006-1</f>
        <v>-0.148171277629906</v>
      </c>
      <c r="M1006" s="25" t="n">
        <f aca="false">IF(COUNT(G977:G1006)&lt;20,"",_xlfn.STDEV.S(G977:G1006)*SQRT($R$3))</f>
        <v>1.08657073107524</v>
      </c>
      <c r="N1006" s="25" t="n">
        <f aca="false">IF(A1006-7&lt;$R$2,"",C1006/INDEX(Clean_Data!$C$2:$C$4314,MATCH(A1006-7,Clean_Data!$A$2:$A$4314,1))-1)</f>
        <v>0.00353333333333339</v>
      </c>
      <c r="O1006" s="25" t="n">
        <f aca="false">IF(A1006-30&lt;$R$2,"",C1006/INDEX(Clean_Data!$C$2:$C$4314,MATCH(A1006-30,Clean_Data!$A$2:$A$4314,1))-1)</f>
        <v>-0.0630045017506808</v>
      </c>
    </row>
    <row r="1007" customFormat="false" ht="15" hidden="false" customHeight="false" outlineLevel="0" collapsed="false">
      <c r="A1007" s="16" t="n">
        <v>43013</v>
      </c>
      <c r="B1007" s="23" t="n">
        <f aca="false">YEAR(A1007)</f>
        <v>2017</v>
      </c>
      <c r="C1007" s="17" t="n">
        <v>4320.04</v>
      </c>
      <c r="D1007" s="23" t="n">
        <f aca="false">A1007-A1006</f>
        <v>1</v>
      </c>
      <c r="E1007" s="24" t="n">
        <f aca="false">LN(C1007)</f>
        <v>8.37101994045455</v>
      </c>
      <c r="F1007" s="25" t="n">
        <f aca="false">LN(C1007/C1006)</f>
        <v>0.024653030406932</v>
      </c>
      <c r="G1007" s="25" t="n">
        <f aca="false">IF(AND(D1007=1,A1007&gt;=$R$2),F1007,"")</f>
        <v>0.024653030406932</v>
      </c>
      <c r="H1007" s="27" t="n">
        <f aca="false">IF(G1007="","",G1007^2)</f>
        <v>0.000607771908245113</v>
      </c>
      <c r="I1007" s="25" t="n">
        <f aca="false">IF(G1007="","",C1007/C1006-1)</f>
        <v>0.0249594290649229</v>
      </c>
      <c r="J1007" s="17" t="n">
        <f aca="false">AVERAGE(C808:C1007)</f>
        <v>2646.79835</v>
      </c>
      <c r="K1007" s="17" t="n">
        <f aca="false">MAX(K1006,C1007)</f>
        <v>4947.99</v>
      </c>
      <c r="L1007" s="25" t="n">
        <f aca="false">C1007/K1007-1</f>
        <v>-0.126910119058446</v>
      </c>
      <c r="M1007" s="25" t="n">
        <f aca="false">IF(COUNT(G978:G1007)&lt;20,"",_xlfn.STDEV.S(G978:G1007)*SQRT($R$3))</f>
        <v>1.08952148169639</v>
      </c>
      <c r="N1007" s="25" t="n">
        <f aca="false">IF(A1007-7&lt;$R$2,"",C1007/INDEX(Clean_Data!$C$2:$C$4314,MATCH(A1007-7,Clean_Data!$A$2:$A$4314,1))-1)</f>
        <v>0.0311785402275255</v>
      </c>
      <c r="O1007" s="25" t="n">
        <f aca="false">IF(A1007-30&lt;$R$2,"",C1007/INDEX(Clean_Data!$C$2:$C$4314,MATCH(A1007-30,Clean_Data!$A$2:$A$4314,1))-1)</f>
        <v>-0.0253738852253013</v>
      </c>
    </row>
    <row r="1008" customFormat="false" ht="15" hidden="false" customHeight="false" outlineLevel="0" collapsed="false">
      <c r="A1008" s="16" t="n">
        <v>43014</v>
      </c>
      <c r="B1008" s="23" t="n">
        <f aca="false">YEAR(A1008)</f>
        <v>2017</v>
      </c>
      <c r="C1008" s="17" t="n">
        <v>4362.99</v>
      </c>
      <c r="D1008" s="23" t="n">
        <f aca="false">A1008-A1007</f>
        <v>1</v>
      </c>
      <c r="E1008" s="24" t="n">
        <f aca="false">LN(C1008)</f>
        <v>8.38091288112007</v>
      </c>
      <c r="F1008" s="25" t="n">
        <f aca="false">LN(C1008/C1007)</f>
        <v>0.00989294066551745</v>
      </c>
      <c r="G1008" s="25" t="n">
        <f aca="false">IF(AND(D1008=1,A1008&gt;=$R$2),F1008,"")</f>
        <v>0.00989294066551745</v>
      </c>
      <c r="H1008" s="27" t="n">
        <f aca="false">IF(G1008="","",G1008^2)</f>
        <v>9.78702750114488E-005</v>
      </c>
      <c r="I1008" s="25" t="n">
        <f aca="false">IF(G1008="","",C1008/C1007-1)</f>
        <v>0.00994203757372603</v>
      </c>
      <c r="J1008" s="17" t="n">
        <f aca="false">AVERAGE(C809:C1008)</f>
        <v>2663.3885</v>
      </c>
      <c r="K1008" s="17" t="n">
        <f aca="false">MAX(K1007,C1008)</f>
        <v>4947.99</v>
      </c>
      <c r="L1008" s="25" t="n">
        <f aca="false">C1008/K1008-1</f>
        <v>-0.118229826656885</v>
      </c>
      <c r="M1008" s="25" t="n">
        <f aca="false">IF(COUNT(G979:G1008)&lt;20,"",_xlfn.STDEV.S(G979:G1008)*SQRT($R$3))</f>
        <v>1.08003835777082</v>
      </c>
      <c r="N1008" s="25" t="n">
        <f aca="false">IF(A1008-7&lt;$R$2,"",C1008/INDEX(Clean_Data!$C$2:$C$4314,MATCH(A1008-7,Clean_Data!$A$2:$A$4314,1))-1)</f>
        <v>0.0495550867334298</v>
      </c>
      <c r="O1008" s="25" t="n">
        <f aca="false">IF(A1008-30&lt;$R$2,"",C1008/INDEX(Clean_Data!$C$2:$C$4314,MATCH(A1008-30,Clean_Data!$A$2:$A$4314,1))-1)</f>
        <v>-0.0548483811289855</v>
      </c>
    </row>
    <row r="1009" customFormat="false" ht="15" hidden="false" customHeight="false" outlineLevel="0" collapsed="false">
      <c r="A1009" s="16" t="n">
        <v>43015</v>
      </c>
      <c r="B1009" s="23" t="n">
        <f aca="false">YEAR(A1009)</f>
        <v>2017</v>
      </c>
      <c r="C1009" s="17" t="n">
        <v>4425</v>
      </c>
      <c r="D1009" s="23" t="n">
        <f aca="false">A1009-A1008</f>
        <v>1</v>
      </c>
      <c r="E1009" s="24" t="n">
        <f aca="false">LN(C1009)</f>
        <v>8.39502555744203</v>
      </c>
      <c r="F1009" s="25" t="n">
        <f aca="false">LN(C1009/C1008)</f>
        <v>0.0141126763219637</v>
      </c>
      <c r="G1009" s="25" t="n">
        <f aca="false">IF(AND(D1009=1,A1009&gt;=$R$2),F1009,"")</f>
        <v>0.0141126763219637</v>
      </c>
      <c r="H1009" s="27" t="n">
        <f aca="false">IF(G1009="","",G1009^2)</f>
        <v>0.000199167632968515</v>
      </c>
      <c r="I1009" s="25" t="n">
        <f aca="false">IF(G1009="","",C1009/C1008-1)</f>
        <v>0.0142127302606698</v>
      </c>
      <c r="J1009" s="17" t="n">
        <f aca="false">AVERAGE(C810:C1009)</f>
        <v>2679.9414</v>
      </c>
      <c r="K1009" s="17" t="n">
        <f aca="false">MAX(K1008,C1009)</f>
        <v>4947.99</v>
      </c>
      <c r="L1009" s="25" t="n">
        <f aca="false">C1009/K1009-1</f>
        <v>-0.105697465031255</v>
      </c>
      <c r="M1009" s="25" t="n">
        <f aca="false">IF(COUNT(G980:G1009)&lt;20,"",_xlfn.STDEV.S(G980:G1009)*SQRT($R$3))</f>
        <v>1.08142202707864</v>
      </c>
      <c r="N1009" s="25" t="n">
        <f aca="false">IF(A1009-7&lt;$R$2,"",C1009/INDEX(Clean_Data!$C$2:$C$4314,MATCH(A1009-7,Clean_Data!$A$2:$A$4314,1))-1)</f>
        <v>0.0198202350772068</v>
      </c>
      <c r="O1009" s="25" t="n">
        <f aca="false">IF(A1009-30&lt;$R$2,"",C1009/INDEX(Clean_Data!$C$2:$C$4314,MATCH(A1009-30,Clean_Data!$A$2:$A$4314,1))-1)</f>
        <v>-0.043073582775757</v>
      </c>
    </row>
    <row r="1010" customFormat="false" ht="15" hidden="false" customHeight="false" outlineLevel="0" collapsed="false">
      <c r="A1010" s="16" t="n">
        <v>43016</v>
      </c>
      <c r="B1010" s="23" t="n">
        <f aca="false">YEAR(A1010)</f>
        <v>2017</v>
      </c>
      <c r="C1010" s="17" t="n">
        <v>4603.49</v>
      </c>
      <c r="D1010" s="23" t="n">
        <f aca="false">A1010-A1009</f>
        <v>1</v>
      </c>
      <c r="E1010" s="24" t="n">
        <f aca="false">LN(C1010)</f>
        <v>8.4345699904653</v>
      </c>
      <c r="F1010" s="25" t="n">
        <f aca="false">LN(C1010/C1009)</f>
        <v>0.0395444330232746</v>
      </c>
      <c r="G1010" s="25" t="n">
        <f aca="false">IF(AND(D1010=1,A1010&gt;=$R$2),F1010,"")</f>
        <v>0.0395444330232746</v>
      </c>
      <c r="H1010" s="27" t="n">
        <f aca="false">IF(G1010="","",G1010^2)</f>
        <v>0.00156376218313225</v>
      </c>
      <c r="I1010" s="25" t="n">
        <f aca="false">IF(G1010="","",C1010/C1009-1)</f>
        <v>0.0403367231638419</v>
      </c>
      <c r="J1010" s="17" t="n">
        <f aca="false">AVERAGE(C811:C1010)</f>
        <v>2697.786</v>
      </c>
      <c r="K1010" s="17" t="n">
        <f aca="false">MAX(K1009,C1010)</f>
        <v>4947.99</v>
      </c>
      <c r="L1010" s="25" t="n">
        <f aca="false">C1010/K1010-1</f>
        <v>-0.0696242312534989</v>
      </c>
      <c r="M1010" s="25" t="n">
        <f aca="false">IF(COUNT(G981:G1010)&lt;20,"",_xlfn.STDEV.S(G981:G1010)*SQRT($R$3))</f>
        <v>1.0684569231465</v>
      </c>
      <c r="N1010" s="25" t="n">
        <f aca="false">IF(A1010-7&lt;$R$2,"",C1010/INDEX(Clean_Data!$C$2:$C$4314,MATCH(A1010-7,Clean_Data!$A$2:$A$4314,1))-1)</f>
        <v>0.0474832814160338</v>
      </c>
      <c r="O1010" s="25" t="n">
        <f aca="false">IF(A1010-30&lt;$R$2,"",C1010/INDEX(Clean_Data!$C$2:$C$4314,MATCH(A1010-30,Clean_Data!$A$2:$A$4314,1))-1)</f>
        <v>0.0582735632183908</v>
      </c>
    </row>
    <row r="1011" customFormat="false" ht="15" hidden="false" customHeight="false" outlineLevel="0" collapsed="false">
      <c r="A1011" s="16" t="n">
        <v>43017</v>
      </c>
      <c r="B1011" s="23" t="n">
        <f aca="false">YEAR(A1011)</f>
        <v>2017</v>
      </c>
      <c r="C1011" s="17" t="n">
        <v>4769.55</v>
      </c>
      <c r="D1011" s="23" t="n">
        <f aca="false">A1011-A1010</f>
        <v>1</v>
      </c>
      <c r="E1011" s="24" t="n">
        <f aca="false">LN(C1011)</f>
        <v>8.47000723980948</v>
      </c>
      <c r="F1011" s="25" t="n">
        <f aca="false">LN(C1011/C1010)</f>
        <v>0.035437249344179</v>
      </c>
      <c r="G1011" s="25" t="n">
        <f aca="false">IF(AND(D1011=1,A1011&gt;=$R$2),F1011,"")</f>
        <v>0.035437249344179</v>
      </c>
      <c r="H1011" s="27" t="n">
        <f aca="false">IF(G1011="","",G1011^2)</f>
        <v>0.00125579864108151</v>
      </c>
      <c r="I1011" s="25" t="n">
        <f aca="false">IF(G1011="","",C1011/C1010-1)</f>
        <v>0.0360726318510523</v>
      </c>
      <c r="J1011" s="17" t="n">
        <f aca="false">AVERAGE(C812:C1011)</f>
        <v>2716.50805</v>
      </c>
      <c r="K1011" s="17" t="n">
        <f aca="false">MAX(K1010,C1011)</f>
        <v>4947.99</v>
      </c>
      <c r="L1011" s="25" t="n">
        <f aca="false">C1011/K1011-1</f>
        <v>-0.0360631286643667</v>
      </c>
      <c r="M1011" s="25" t="n">
        <f aca="false">IF(COUNT(G982:G1011)&lt;20,"",_xlfn.STDEV.S(G982:G1011)*SQRT($R$3))</f>
        <v>1.07459198339471</v>
      </c>
      <c r="N1011" s="25" t="n">
        <f aca="false">IF(A1011-7&lt;$R$2,"",C1011/INDEX(Clean_Data!$C$2:$C$4314,MATCH(A1011-7,Clean_Data!$A$2:$A$4314,1))-1)</f>
        <v>0.0857875889826554</v>
      </c>
      <c r="O1011" s="25" t="n">
        <f aca="false">IF(A1011-30&lt;$R$2,"",C1011/INDEX(Clean_Data!$C$2:$C$4314,MATCH(A1011-30,Clean_Data!$A$2:$A$4314,1))-1)</f>
        <v>0.100404673354313</v>
      </c>
    </row>
    <row r="1012" customFormat="false" ht="15" hidden="false" customHeight="false" outlineLevel="0" collapsed="false">
      <c r="A1012" s="16" t="n">
        <v>43018</v>
      </c>
      <c r="B1012" s="23" t="n">
        <f aca="false">YEAR(A1012)</f>
        <v>2017</v>
      </c>
      <c r="C1012" s="17" t="n">
        <v>4750</v>
      </c>
      <c r="D1012" s="23" t="n">
        <f aca="false">A1012-A1011</f>
        <v>1</v>
      </c>
      <c r="E1012" s="24" t="n">
        <f aca="false">LN(C1012)</f>
        <v>8.46589989702869</v>
      </c>
      <c r="F1012" s="25" t="n">
        <f aca="false">LN(C1012/C1011)</f>
        <v>-0.00410734278079639</v>
      </c>
      <c r="G1012" s="25" t="n">
        <f aca="false">IF(AND(D1012=1,A1012&gt;=$R$2),F1012,"")</f>
        <v>-0.00410734278079639</v>
      </c>
      <c r="H1012" s="27" t="n">
        <f aca="false">IF(G1012="","",G1012^2)</f>
        <v>1.68702647189603E-005</v>
      </c>
      <c r="I1012" s="25" t="n">
        <f aca="false">IF(G1012="","",C1012/C1011-1)</f>
        <v>-0.00409891918524807</v>
      </c>
      <c r="J1012" s="17" t="n">
        <f aca="false">AVERAGE(C813:C1012)</f>
        <v>2735.5837</v>
      </c>
      <c r="K1012" s="17" t="n">
        <f aca="false">MAX(K1011,C1012)</f>
        <v>4947.99</v>
      </c>
      <c r="L1012" s="25" t="n">
        <f aca="false">C1012/K1012-1</f>
        <v>-0.0400142279996524</v>
      </c>
      <c r="M1012" s="25" t="n">
        <f aca="false">IF(COUNT(G983:G1012)&lt;20,"",_xlfn.STDEV.S(G983:G1012)*SQRT($R$3))</f>
        <v>1.07188395167841</v>
      </c>
      <c r="N1012" s="25" t="n">
        <f aca="false">IF(A1012-7&lt;$R$2,"",C1012/INDEX(Clean_Data!$C$2:$C$4314,MATCH(A1012-7,Clean_Data!$A$2:$A$4314,1))-1)</f>
        <v>0.102602373728816</v>
      </c>
      <c r="O1012" s="25" t="n">
        <f aca="false">IF(A1012-30&lt;$R$2,"",C1012/INDEX(Clean_Data!$C$2:$C$4314,MATCH(A1012-30,Clean_Data!$A$2:$A$4314,1))-1)</f>
        <v>0.117289526175153</v>
      </c>
    </row>
    <row r="1013" customFormat="false" ht="15" hidden="false" customHeight="false" outlineLevel="0" collapsed="false">
      <c r="A1013" s="16" t="n">
        <v>43019</v>
      </c>
      <c r="B1013" s="23" t="n">
        <f aca="false">YEAR(A1013)</f>
        <v>2017</v>
      </c>
      <c r="C1013" s="17" t="n">
        <v>4814.99</v>
      </c>
      <c r="D1013" s="23" t="n">
        <f aca="false">A1013-A1012</f>
        <v>1</v>
      </c>
      <c r="E1013" s="24" t="n">
        <f aca="false">LN(C1013)</f>
        <v>8.47948924738687</v>
      </c>
      <c r="F1013" s="25" t="n">
        <f aca="false">LN(C1013/C1012)</f>
        <v>0.0135893503581841</v>
      </c>
      <c r="G1013" s="25" t="n">
        <f aca="false">IF(AND(D1013=1,A1013&gt;=$R$2),F1013,"")</f>
        <v>0.0135893503581841</v>
      </c>
      <c r="H1013" s="27" t="n">
        <f aca="false">IF(G1013="","",G1013^2)</f>
        <v>0.000184670443157478</v>
      </c>
      <c r="I1013" s="25" t="n">
        <f aca="false">IF(G1013="","",C1013/C1012-1)</f>
        <v>0.0136821052631579</v>
      </c>
      <c r="J1013" s="17" t="n">
        <f aca="false">AVERAGE(C814:C1013)</f>
        <v>2754.84005</v>
      </c>
      <c r="K1013" s="17" t="n">
        <f aca="false">MAX(K1012,C1013)</f>
        <v>4947.99</v>
      </c>
      <c r="L1013" s="25" t="n">
        <f aca="false">C1013/K1013-1</f>
        <v>-0.0268796016160098</v>
      </c>
      <c r="M1013" s="25" t="n">
        <f aca="false">IF(COUNT(G984:G1013)&lt;20,"",_xlfn.STDEV.S(G984:G1013)*SQRT($R$3))</f>
        <v>1.07131419899112</v>
      </c>
      <c r="N1013" s="25" t="n">
        <f aca="false">IF(A1013-7&lt;$R$2,"",C1013/INDEX(Clean_Data!$C$2:$C$4314,MATCH(A1013-7,Clean_Data!$A$2:$A$4314,1))-1)</f>
        <v>0.142389746704501</v>
      </c>
      <c r="O1013" s="25" t="n">
        <f aca="false">IF(A1013-30&lt;$R$2,"",C1013/INDEX(Clean_Data!$C$2:$C$4314,MATCH(A1013-30,Clean_Data!$A$2:$A$4314,1))-1)</f>
        <v>0.143507523653912</v>
      </c>
    </row>
    <row r="1014" customFormat="false" ht="15" hidden="false" customHeight="false" outlineLevel="0" collapsed="false">
      <c r="A1014" s="16" t="n">
        <v>43020</v>
      </c>
      <c r="B1014" s="23" t="n">
        <f aca="false">YEAR(A1014)</f>
        <v>2017</v>
      </c>
      <c r="C1014" s="17" t="n">
        <v>5440</v>
      </c>
      <c r="D1014" s="23" t="n">
        <f aca="false">A1014-A1013</f>
        <v>1</v>
      </c>
      <c r="E1014" s="24" t="n">
        <f aca="false">LN(C1014)</f>
        <v>8.60153433984999</v>
      </c>
      <c r="F1014" s="25" t="n">
        <f aca="false">LN(C1014/C1013)</f>
        <v>0.122045092463117</v>
      </c>
      <c r="G1014" s="25" t="n">
        <f aca="false">IF(AND(D1014=1,A1014&gt;=$R$2),F1014,"")</f>
        <v>0.122045092463117</v>
      </c>
      <c r="H1014" s="27" t="n">
        <f aca="false">IF(G1014="","",G1014^2)</f>
        <v>0.0148950045943309</v>
      </c>
      <c r="I1014" s="25" t="n">
        <f aca="false">IF(G1014="","",C1014/C1013-1)</f>
        <v>0.129805046324084</v>
      </c>
      <c r="J1014" s="17" t="n">
        <f aca="false">AVERAGE(C815:C1014)</f>
        <v>2777.17465</v>
      </c>
      <c r="K1014" s="17" t="n">
        <f aca="false">MAX(K1013,C1014)</f>
        <v>5440</v>
      </c>
      <c r="L1014" s="25" t="n">
        <f aca="false">C1014/K1014-1</f>
        <v>0</v>
      </c>
      <c r="M1014" s="25" t="n">
        <f aca="false">IF(COUNT(G985:G1014)&lt;20,"",_xlfn.STDEV.S(G985:G1014)*SQRT($R$3))</f>
        <v>1.14509815591326</v>
      </c>
      <c r="N1014" s="25" t="n">
        <f aca="false">IF(A1014-7&lt;$R$2,"",C1014/INDEX(Clean_Data!$C$2:$C$4314,MATCH(A1014-7,Clean_Data!$A$2:$A$4314,1))-1)</f>
        <v>0.259247599559263</v>
      </c>
      <c r="O1014" s="25" t="n">
        <f aca="false">IF(A1014-30&lt;$R$2,"",C1014/INDEX(Clean_Data!$C$2:$C$4314,MATCH(A1014-30,Clean_Data!$A$2:$A$4314,1))-1)</f>
        <v>0.306272991845399</v>
      </c>
    </row>
    <row r="1015" customFormat="false" ht="15" hidden="false" customHeight="false" outlineLevel="0" collapsed="false">
      <c r="A1015" s="16" t="n">
        <v>43021</v>
      </c>
      <c r="B1015" s="23" t="n">
        <f aca="false">YEAR(A1015)</f>
        <v>2017</v>
      </c>
      <c r="C1015" s="17" t="n">
        <v>5624.8</v>
      </c>
      <c r="D1015" s="23" t="n">
        <f aca="false">A1015-A1014</f>
        <v>1</v>
      </c>
      <c r="E1015" s="24" t="n">
        <f aca="false">LN(C1015)</f>
        <v>8.63494067088495</v>
      </c>
      <c r="F1015" s="25" t="n">
        <f aca="false">LN(C1015/C1014)</f>
        <v>0.0334063310349632</v>
      </c>
      <c r="G1015" s="25" t="n">
        <f aca="false">IF(AND(D1015=1,A1015&gt;=$R$2),F1015,"")</f>
        <v>0.0334063310349632</v>
      </c>
      <c r="H1015" s="27" t="n">
        <f aca="false">IF(G1015="","",G1015^2)</f>
        <v>0.00111598295321755</v>
      </c>
      <c r="I1015" s="25" t="n">
        <f aca="false">IF(G1015="","",C1015/C1014-1)</f>
        <v>0.0339705882352941</v>
      </c>
      <c r="J1015" s="17" t="n">
        <f aca="false">AVERAGE(C816:C1015)</f>
        <v>2800.08825</v>
      </c>
      <c r="K1015" s="17" t="n">
        <f aca="false">MAX(K1014,C1015)</f>
        <v>5624.8</v>
      </c>
      <c r="L1015" s="25" t="n">
        <f aca="false">C1015/K1015-1</f>
        <v>0</v>
      </c>
      <c r="M1015" s="25" t="n">
        <f aca="false">IF(COUNT(G986:G1015)&lt;20,"",_xlfn.STDEV.S(G986:G1015)*SQRT($R$3))</f>
        <v>1.10475111493129</v>
      </c>
      <c r="N1015" s="25" t="n">
        <f aca="false">IF(A1015-7&lt;$R$2,"",C1015/INDEX(Clean_Data!$C$2:$C$4314,MATCH(A1015-7,Clean_Data!$A$2:$A$4314,1))-1)</f>
        <v>0.289207630546942</v>
      </c>
      <c r="O1015" s="25" t="n">
        <f aca="false">IF(A1015-30&lt;$R$2,"",C1015/INDEX(Clean_Data!$C$2:$C$4314,MATCH(A1015-30,Clean_Data!$A$2:$A$4314,1))-1)</f>
        <v>0.458970980359607</v>
      </c>
    </row>
    <row r="1016" customFormat="false" ht="15" hidden="false" customHeight="false" outlineLevel="0" collapsed="false">
      <c r="A1016" s="16" t="n">
        <v>43022</v>
      </c>
      <c r="B1016" s="23" t="n">
        <f aca="false">YEAR(A1016)</f>
        <v>2017</v>
      </c>
      <c r="C1016" s="17" t="n">
        <v>5819.13</v>
      </c>
      <c r="D1016" s="23" t="n">
        <f aca="false">A1016-A1015</f>
        <v>1</v>
      </c>
      <c r="E1016" s="24" t="n">
        <f aca="false">LN(C1016)</f>
        <v>8.66890604501547</v>
      </c>
      <c r="F1016" s="25" t="n">
        <f aca="false">LN(C1016/C1015)</f>
        <v>0.0339653741305226</v>
      </c>
      <c r="G1016" s="25" t="n">
        <f aca="false">IF(AND(D1016=1,A1016&gt;=$R$2),F1016,"")</f>
        <v>0.0339653741305226</v>
      </c>
      <c r="H1016" s="27" t="n">
        <f aca="false">IF(G1016="","",G1016^2)</f>
        <v>0.00115364663982637</v>
      </c>
      <c r="I1016" s="25" t="n">
        <f aca="false">IF(G1016="","",C1016/C1015-1)</f>
        <v>0.0345487839567629</v>
      </c>
      <c r="J1016" s="17" t="n">
        <f aca="false">AVERAGE(C817:C1016)</f>
        <v>2823.9569</v>
      </c>
      <c r="K1016" s="17" t="n">
        <f aca="false">MAX(K1015,C1016)</f>
        <v>5819.13</v>
      </c>
      <c r="L1016" s="25" t="n">
        <f aca="false">C1016/K1016-1</f>
        <v>0</v>
      </c>
      <c r="M1016" s="25" t="n">
        <f aca="false">IF(COUNT(G987:G1016)&lt;20,"",_xlfn.STDEV.S(G987:G1016)*SQRT($R$3))</f>
        <v>0.88652431011512</v>
      </c>
      <c r="N1016" s="25" t="n">
        <f aca="false">IF(A1016-7&lt;$R$2,"",C1016/INDEX(Clean_Data!$C$2:$C$4314,MATCH(A1016-7,Clean_Data!$A$2:$A$4314,1))-1)</f>
        <v>0.315057627118644</v>
      </c>
      <c r="O1016" s="25" t="n">
        <f aca="false">IF(A1016-30&lt;$R$2,"",C1016/INDEX(Clean_Data!$C$2:$C$4314,MATCH(A1016-30,Clean_Data!$A$2:$A$4314,1))-1)</f>
        <v>0.790281196160473</v>
      </c>
    </row>
    <row r="1017" customFormat="false" ht="15" hidden="false" customHeight="false" outlineLevel="0" collapsed="false">
      <c r="A1017" s="16" t="n">
        <v>43023</v>
      </c>
      <c r="B1017" s="23" t="n">
        <f aca="false">YEAR(A1017)</f>
        <v>2017</v>
      </c>
      <c r="C1017" s="17" t="n">
        <v>5693.7</v>
      </c>
      <c r="D1017" s="23" t="n">
        <f aca="false">A1017-A1016</f>
        <v>1</v>
      </c>
      <c r="E1017" s="24" t="n">
        <f aca="false">LN(C1017)</f>
        <v>8.64711557941098</v>
      </c>
      <c r="F1017" s="25" t="n">
        <f aca="false">LN(C1017/C1016)</f>
        <v>-0.0217904656044906</v>
      </c>
      <c r="G1017" s="25" t="n">
        <f aca="false">IF(AND(D1017=1,A1017&gt;=$R$2),F1017,"")</f>
        <v>-0.0217904656044906</v>
      </c>
      <c r="H1017" s="27" t="n">
        <f aca="false">IF(G1017="","",G1017^2)</f>
        <v>0.000474824391260487</v>
      </c>
      <c r="I1017" s="25" t="n">
        <f aca="false">IF(G1017="","",C1017/C1016-1)</f>
        <v>-0.0215547684963217</v>
      </c>
      <c r="J1017" s="17" t="n">
        <f aca="false">AVERAGE(C818:C1017)</f>
        <v>2847.20905</v>
      </c>
      <c r="K1017" s="17" t="n">
        <f aca="false">MAX(K1016,C1017)</f>
        <v>5819.13</v>
      </c>
      <c r="L1017" s="25" t="n">
        <f aca="false">C1017/K1017-1</f>
        <v>-0.0215547684963217</v>
      </c>
      <c r="M1017" s="25" t="n">
        <f aca="false">IF(COUNT(G988:G1017)&lt;20,"",_xlfn.STDEV.S(G988:G1017)*SQRT($R$3))</f>
        <v>0.78249382530089</v>
      </c>
      <c r="N1017" s="25" t="n">
        <f aca="false">IF(A1017-7&lt;$R$2,"",C1017/INDEX(Clean_Data!$C$2:$C$4314,MATCH(A1017-7,Clean_Data!$A$2:$A$4314,1))-1)</f>
        <v>0.236822497713691</v>
      </c>
      <c r="O1017" s="25" t="n">
        <f aca="false">IF(A1017-30&lt;$R$2,"",C1017/INDEX(Clean_Data!$C$2:$C$4314,MATCH(A1017-30,Clean_Data!$A$2:$A$4314,1))-1)</f>
        <v>0.522371538120117</v>
      </c>
    </row>
    <row r="1018" customFormat="false" ht="15" hidden="false" customHeight="false" outlineLevel="0" collapsed="false">
      <c r="A1018" s="16" t="n">
        <v>43024</v>
      </c>
      <c r="B1018" s="23" t="n">
        <f aca="false">YEAR(A1018)</f>
        <v>2017</v>
      </c>
      <c r="C1018" s="17" t="n">
        <v>5754.9</v>
      </c>
      <c r="D1018" s="23" t="n">
        <f aca="false">A1018-A1017</f>
        <v>1</v>
      </c>
      <c r="E1018" s="24" t="n">
        <f aca="false">LN(C1018)</f>
        <v>8.6578069448104</v>
      </c>
      <c r="F1018" s="25" t="n">
        <f aca="false">LN(C1018/C1017)</f>
        <v>0.0106913653994182</v>
      </c>
      <c r="G1018" s="25" t="n">
        <f aca="false">IF(AND(D1018=1,A1018&gt;=$R$2),F1018,"")</f>
        <v>0.0106913653994182</v>
      </c>
      <c r="H1018" s="27" t="n">
        <f aca="false">IF(G1018="","",G1018^2)</f>
        <v>0.000114305294103877</v>
      </c>
      <c r="I1018" s="25" t="n">
        <f aca="false">IF(G1018="","",C1018/C1017-1)</f>
        <v>0.0107487222719849</v>
      </c>
      <c r="J1018" s="17" t="n">
        <f aca="false">AVERAGE(C819:C1018)</f>
        <v>2870.77185</v>
      </c>
      <c r="K1018" s="17" t="n">
        <f aca="false">MAX(K1017,C1018)</f>
        <v>5819.13</v>
      </c>
      <c r="L1018" s="25" t="n">
        <f aca="false">C1018/K1018-1</f>
        <v>-0.0110377324445408</v>
      </c>
      <c r="M1018" s="25" t="n">
        <f aca="false">IF(COUNT(G989:G1018)&lt;20,"",_xlfn.STDEV.S(G989:G1018)*SQRT($R$3))</f>
        <v>0.780024470516818</v>
      </c>
      <c r="N1018" s="25" t="n">
        <f aca="false">IF(A1018-7&lt;$R$2,"",C1018/INDEX(Clean_Data!$C$2:$C$4314,MATCH(A1018-7,Clean_Data!$A$2:$A$4314,1))-1)</f>
        <v>0.206591816838066</v>
      </c>
      <c r="O1018" s="25" t="n">
        <f aca="false">IF(A1018-30&lt;$R$2,"",C1018/INDEX(Clean_Data!$C$2:$C$4314,MATCH(A1018-30,Clean_Data!$A$2:$A$4314,1))-1)</f>
        <v>0.544313580266791</v>
      </c>
    </row>
    <row r="1019" customFormat="false" ht="15" hidden="false" customHeight="false" outlineLevel="0" collapsed="false">
      <c r="A1019" s="16" t="n">
        <v>43025</v>
      </c>
      <c r="B1019" s="23" t="n">
        <f aca="false">YEAR(A1019)</f>
        <v>2017</v>
      </c>
      <c r="C1019" s="17" t="n">
        <v>5594</v>
      </c>
      <c r="D1019" s="23" t="n">
        <f aca="false">A1019-A1018</f>
        <v>1</v>
      </c>
      <c r="E1019" s="24" t="n">
        <f aca="false">LN(C1019)</f>
        <v>8.62944987376191</v>
      </c>
      <c r="F1019" s="25" t="n">
        <f aca="false">LN(C1019/C1018)</f>
        <v>-0.0283570710484967</v>
      </c>
      <c r="G1019" s="25" t="n">
        <f aca="false">IF(AND(D1019=1,A1019&gt;=$R$2),F1019,"")</f>
        <v>-0.0283570710484967</v>
      </c>
      <c r="H1019" s="27" t="n">
        <f aca="false">IF(G1019="","",G1019^2)</f>
        <v>0.00080412347844949</v>
      </c>
      <c r="I1019" s="25" t="n">
        <f aca="false">IF(G1019="","",C1019/C1018-1)</f>
        <v>-0.0279587829501815</v>
      </c>
      <c r="J1019" s="17" t="n">
        <f aca="false">AVERAGE(C820:C1019)</f>
        <v>2893.2969</v>
      </c>
      <c r="K1019" s="17" t="n">
        <f aca="false">MAX(K1018,C1019)</f>
        <v>5819.13</v>
      </c>
      <c r="L1019" s="25" t="n">
        <f aca="false">C1019/K1019-1</f>
        <v>-0.0386879138290432</v>
      </c>
      <c r="M1019" s="25" t="n">
        <f aca="false">IF(COUNT(G990:G1019)&lt;20,"",_xlfn.STDEV.S(G990:G1019)*SQRT($R$3))</f>
        <v>0.792416023452486</v>
      </c>
      <c r="N1019" s="25" t="n">
        <f aca="false">IF(A1019-7&lt;$R$2,"",C1019/INDEX(Clean_Data!$C$2:$C$4314,MATCH(A1019-7,Clean_Data!$A$2:$A$4314,1))-1)</f>
        <v>0.177684210526316</v>
      </c>
      <c r="O1019" s="25" t="n">
        <f aca="false">IF(A1019-30&lt;$R$2,"",C1019/INDEX(Clean_Data!$C$2:$C$4314,MATCH(A1019-30,Clean_Data!$A$2:$A$4314,1))-1)</f>
        <v>0.503775568082538</v>
      </c>
    </row>
    <row r="1020" customFormat="false" ht="15" hidden="false" customHeight="false" outlineLevel="0" collapsed="false">
      <c r="A1020" s="16" t="n">
        <v>43026</v>
      </c>
      <c r="B1020" s="23" t="n">
        <f aca="false">YEAR(A1020)</f>
        <v>2017</v>
      </c>
      <c r="C1020" s="17" t="n">
        <v>5574.44</v>
      </c>
      <c r="D1020" s="23" t="n">
        <f aca="false">A1020-A1019</f>
        <v>1</v>
      </c>
      <c r="E1020" s="24" t="n">
        <f aca="false">LN(C1020)</f>
        <v>8.62594714285254</v>
      </c>
      <c r="F1020" s="25" t="n">
        <f aca="false">LN(C1020/C1019)</f>
        <v>-0.00350273090936037</v>
      </c>
      <c r="G1020" s="25" t="n">
        <f aca="false">IF(AND(D1020=1,A1020&gt;=$R$2),F1020,"")</f>
        <v>-0.00350273090936037</v>
      </c>
      <c r="H1020" s="27" t="n">
        <f aca="false">IF(G1020="","",G1020^2)</f>
        <v>1.22691238233885E-005</v>
      </c>
      <c r="I1020" s="25" t="n">
        <f aca="false">IF(G1020="","",C1020/C1019-1)</f>
        <v>-0.00349660350375414</v>
      </c>
      <c r="J1020" s="17" t="n">
        <f aca="false">AVERAGE(C821:C1020)</f>
        <v>2915.7091</v>
      </c>
      <c r="K1020" s="17" t="n">
        <f aca="false">MAX(K1019,C1020)</f>
        <v>5819.13</v>
      </c>
      <c r="L1020" s="25" t="n">
        <f aca="false">C1020/K1020-1</f>
        <v>-0.0420492410377498</v>
      </c>
      <c r="M1020" s="25" t="n">
        <f aca="false">IF(COUNT(G991:G1020)&lt;20,"",_xlfn.STDEV.S(G991:G1020)*SQRT($R$3))</f>
        <v>0.734321133097065</v>
      </c>
      <c r="N1020" s="25" t="n">
        <f aca="false">IF(A1020-7&lt;$R$2,"",C1020/INDEX(Clean_Data!$C$2:$C$4314,MATCH(A1020-7,Clean_Data!$A$2:$A$4314,1))-1)</f>
        <v>0.157726184270372</v>
      </c>
      <c r="O1020" s="25" t="n">
        <f aca="false">IF(A1020-30&lt;$R$2,"",C1020/INDEX(Clean_Data!$C$2:$C$4314,MATCH(A1020-30,Clean_Data!$A$2:$A$4314,1))-1)</f>
        <v>0.359619512195122</v>
      </c>
    </row>
    <row r="1021" customFormat="false" ht="15" hidden="false" customHeight="false" outlineLevel="0" collapsed="false">
      <c r="A1021" s="16" t="n">
        <v>43027</v>
      </c>
      <c r="B1021" s="23" t="n">
        <f aca="false">YEAR(A1021)</f>
        <v>2017</v>
      </c>
      <c r="C1021" s="17" t="n">
        <v>5704.01</v>
      </c>
      <c r="D1021" s="23" t="n">
        <f aca="false">A1021-A1020</f>
        <v>1</v>
      </c>
      <c r="E1021" s="24" t="n">
        <f aca="false">LN(C1021)</f>
        <v>8.64892471524828</v>
      </c>
      <c r="F1021" s="25" t="n">
        <f aca="false">LN(C1021/C1020)</f>
        <v>0.0229775723957307</v>
      </c>
      <c r="G1021" s="25" t="n">
        <f aca="false">IF(AND(D1021=1,A1021&gt;=$R$2),F1021,"")</f>
        <v>0.0229775723957307</v>
      </c>
      <c r="H1021" s="27" t="n">
        <f aca="false">IF(G1021="","",G1021^2)</f>
        <v>0.000527968833201044</v>
      </c>
      <c r="I1021" s="25" t="n">
        <f aca="false">IF(G1021="","",C1021/C1020-1)</f>
        <v>0.0232435903875547</v>
      </c>
      <c r="J1021" s="17" t="n">
        <f aca="false">AVERAGE(C822:C1021)</f>
        <v>2938.6592</v>
      </c>
      <c r="K1021" s="17" t="n">
        <f aca="false">MAX(K1020,C1021)</f>
        <v>5819.13</v>
      </c>
      <c r="L1021" s="25" t="n">
        <f aca="false">C1021/K1021-1</f>
        <v>-0.0197830259849839</v>
      </c>
      <c r="M1021" s="25" t="n">
        <f aca="false">IF(COUNT(G992:G1021)&lt;20,"",_xlfn.STDEV.S(G992:G1021)*SQRT($R$3))</f>
        <v>0.705225396620368</v>
      </c>
      <c r="N1021" s="25" t="n">
        <f aca="false">IF(A1021-7&lt;$R$2,"",C1021/INDEX(Clean_Data!$C$2:$C$4314,MATCH(A1021-7,Clean_Data!$A$2:$A$4314,1))-1)</f>
        <v>0.0485312500000001</v>
      </c>
      <c r="O1021" s="25" t="n">
        <f aca="false">IF(A1021-30&lt;$R$2,"",C1021/INDEX(Clean_Data!$C$2:$C$4314,MATCH(A1021-30,Clean_Data!$A$2:$A$4314,1))-1)</f>
        <v>0.458785046967988</v>
      </c>
    </row>
    <row r="1022" customFormat="false" ht="15" hidden="false" customHeight="false" outlineLevel="0" collapsed="false">
      <c r="A1022" s="16" t="n">
        <v>43028</v>
      </c>
      <c r="B1022" s="23" t="n">
        <f aca="false">YEAR(A1022)</f>
        <v>2017</v>
      </c>
      <c r="C1022" s="17" t="n">
        <v>5989.1</v>
      </c>
      <c r="D1022" s="23" t="n">
        <f aca="false">A1022-A1021</f>
        <v>1</v>
      </c>
      <c r="E1022" s="24" t="n">
        <f aca="false">LN(C1022)</f>
        <v>8.69769642940341</v>
      </c>
      <c r="F1022" s="25" t="n">
        <f aca="false">LN(C1022/C1021)</f>
        <v>0.0487717141551327</v>
      </c>
      <c r="G1022" s="25" t="n">
        <f aca="false">IF(AND(D1022=1,A1022&gt;=$R$2),F1022,"")</f>
        <v>0.0487717141551327</v>
      </c>
      <c r="H1022" s="27" t="n">
        <f aca="false">IF(G1022="","",G1022^2)</f>
        <v>0.00237868010162998</v>
      </c>
      <c r="I1022" s="25" t="n">
        <f aca="false">IF(G1022="","",C1022/C1021-1)</f>
        <v>0.0499806276636963</v>
      </c>
      <c r="J1022" s="17" t="n">
        <f aca="false">AVERAGE(C823:C1022)</f>
        <v>2962.8417</v>
      </c>
      <c r="K1022" s="17" t="n">
        <f aca="false">MAX(K1021,C1022)</f>
        <v>5989.1</v>
      </c>
      <c r="L1022" s="25" t="n">
        <f aca="false">C1022/K1022-1</f>
        <v>0</v>
      </c>
      <c r="M1022" s="25" t="n">
        <f aca="false">IF(COUNT(G993:G1022)&lt;20,"",_xlfn.STDEV.S(G993:G1022)*SQRT($R$3))</f>
        <v>0.711398930090593</v>
      </c>
      <c r="N1022" s="25" t="n">
        <f aca="false">IF(A1022-7&lt;$R$2,"",C1022/INDEX(Clean_Data!$C$2:$C$4314,MATCH(A1022-7,Clean_Data!$A$2:$A$4314,1))-1)</f>
        <v>0.064766747262125</v>
      </c>
      <c r="O1022" s="25" t="n">
        <f aca="false">IF(A1022-30&lt;$R$2,"",C1022/INDEX(Clean_Data!$C$2:$C$4314,MATCH(A1022-30,Clean_Data!$A$2:$A$4314,1))-1)</f>
        <v>0.546747726016643</v>
      </c>
    </row>
    <row r="1023" customFormat="false" ht="15" hidden="false" customHeight="false" outlineLevel="0" collapsed="false">
      <c r="A1023" s="16" t="n">
        <v>43029</v>
      </c>
      <c r="B1023" s="23" t="n">
        <f aca="false">YEAR(A1023)</f>
        <v>2017</v>
      </c>
      <c r="C1023" s="17" t="n">
        <v>6024.86</v>
      </c>
      <c r="D1023" s="23" t="n">
        <f aca="false">A1023-A1022</f>
        <v>1</v>
      </c>
      <c r="E1023" s="24" t="n">
        <f aca="false">LN(C1023)</f>
        <v>8.70364952157436</v>
      </c>
      <c r="F1023" s="25" t="n">
        <f aca="false">LN(C1023/C1022)</f>
        <v>0.0059530921709527</v>
      </c>
      <c r="G1023" s="25" t="n">
        <f aca="false">IF(AND(D1023=1,A1023&gt;=$R$2),F1023,"")</f>
        <v>0.0059530921709527</v>
      </c>
      <c r="H1023" s="27" t="n">
        <f aca="false">IF(G1023="","",G1023^2)</f>
        <v>3.54393063958583E-005</v>
      </c>
      <c r="I1023" s="25" t="n">
        <f aca="false">IF(G1023="","",C1023/C1022-1)</f>
        <v>0.00597084703878692</v>
      </c>
      <c r="J1023" s="17" t="n">
        <f aca="false">AVERAGE(C824:C1023)</f>
        <v>2987.24605</v>
      </c>
      <c r="K1023" s="17" t="n">
        <f aca="false">MAX(K1022,C1023)</f>
        <v>6024.86</v>
      </c>
      <c r="L1023" s="25" t="n">
        <f aca="false">C1023/K1023-1</f>
        <v>0</v>
      </c>
      <c r="M1023" s="25" t="n">
        <f aca="false">IF(COUNT(G994:G1023)&lt;20,"",_xlfn.STDEV.S(G994:G1023)*SQRT($R$3))</f>
        <v>0.647264745067012</v>
      </c>
      <c r="N1023" s="25" t="n">
        <f aca="false">IF(A1023-7&lt;$R$2,"",C1023/INDEX(Clean_Data!$C$2:$C$4314,MATCH(A1023-7,Clean_Data!$A$2:$A$4314,1))-1)</f>
        <v>0.0353540821394263</v>
      </c>
      <c r="O1023" s="25" t="n">
        <f aca="false">IF(A1023-30&lt;$R$2,"",C1023/INDEX(Clean_Data!$C$2:$C$4314,MATCH(A1023-30,Clean_Data!$A$2:$A$4314,1))-1)</f>
        <v>0.665489969509077</v>
      </c>
    </row>
    <row r="1024" customFormat="false" ht="15" hidden="false" customHeight="false" outlineLevel="0" collapsed="false">
      <c r="A1024" s="16" t="n">
        <v>43030</v>
      </c>
      <c r="B1024" s="23" t="n">
        <f aca="false">YEAR(A1024)</f>
        <v>2017</v>
      </c>
      <c r="C1024" s="17" t="n">
        <v>6005.05</v>
      </c>
      <c r="D1024" s="23" t="n">
        <f aca="false">A1024-A1023</f>
        <v>1</v>
      </c>
      <c r="E1024" s="24" t="n">
        <f aca="false">LN(C1024)</f>
        <v>8.70035606087409</v>
      </c>
      <c r="F1024" s="25" t="n">
        <f aca="false">LN(C1024/C1023)</f>
        <v>-0.00329346070027001</v>
      </c>
      <c r="G1024" s="25" t="n">
        <f aca="false">IF(AND(D1024=1,A1024&gt;=$R$2),F1024,"")</f>
        <v>-0.00329346070027001</v>
      </c>
      <c r="H1024" s="27" t="n">
        <f aca="false">IF(G1024="","",G1024^2)</f>
        <v>1.0846883384223E-005</v>
      </c>
      <c r="I1024" s="25" t="n">
        <f aca="false">IF(G1024="","",C1024/C1023-1)</f>
        <v>-0.00328804320764287</v>
      </c>
      <c r="J1024" s="17" t="n">
        <f aca="false">AVERAGE(C825:C1024)</f>
        <v>3011.60635</v>
      </c>
      <c r="K1024" s="17" t="n">
        <f aca="false">MAX(K1023,C1024)</f>
        <v>6024.86</v>
      </c>
      <c r="L1024" s="25" t="n">
        <f aca="false">C1024/K1024-1</f>
        <v>-0.00328804320764287</v>
      </c>
      <c r="M1024" s="25" t="n">
        <f aca="false">IF(COUNT(G995:G1024)&lt;20,"",_xlfn.STDEV.S(G995:G1024)*SQRT($R$3))</f>
        <v>0.64859229987881</v>
      </c>
      <c r="N1024" s="25" t="n">
        <f aca="false">IF(A1024-7&lt;$R$2,"",C1024/INDEX(Clean_Data!$C$2:$C$4314,MATCH(A1024-7,Clean_Data!$A$2:$A$4314,1))-1)</f>
        <v>0.0546832463951386</v>
      </c>
      <c r="O1024" s="25" t="n">
        <f aca="false">IF(A1024-30&lt;$R$2,"",C1024/INDEX(Clean_Data!$C$2:$C$4314,MATCH(A1024-30,Clean_Data!$A$2:$A$4314,1))-1)</f>
        <v>0.659307379642499</v>
      </c>
    </row>
    <row r="1025" customFormat="false" ht="15" hidden="false" customHeight="false" outlineLevel="0" collapsed="false">
      <c r="A1025" s="16" t="n">
        <v>43031</v>
      </c>
      <c r="B1025" s="23" t="n">
        <f aca="false">YEAR(A1025)</f>
        <v>2017</v>
      </c>
      <c r="C1025" s="17" t="n">
        <v>5905.99</v>
      </c>
      <c r="D1025" s="23" t="n">
        <f aca="false">A1025-A1024</f>
        <v>1</v>
      </c>
      <c r="E1025" s="24" t="n">
        <f aca="false">LN(C1025)</f>
        <v>8.68372236910907</v>
      </c>
      <c r="F1025" s="25" t="n">
        <f aca="false">LN(C1025/C1024)</f>
        <v>-0.016633691765019</v>
      </c>
      <c r="G1025" s="25" t="n">
        <f aca="false">IF(AND(D1025=1,A1025&gt;=$R$2),F1025,"")</f>
        <v>-0.016633691765019</v>
      </c>
      <c r="H1025" s="27" t="n">
        <f aca="false">IF(G1025="","",G1025^2)</f>
        <v>0.00027667970173366</v>
      </c>
      <c r="I1025" s="25" t="n">
        <f aca="false">IF(G1025="","",C1025/C1024-1)</f>
        <v>-0.0164961157692276</v>
      </c>
      <c r="J1025" s="17" t="n">
        <f aca="false">AVERAGE(C826:C1025)</f>
        <v>3035.1748</v>
      </c>
      <c r="K1025" s="17" t="n">
        <f aca="false">MAX(K1024,C1025)</f>
        <v>6024.86</v>
      </c>
      <c r="L1025" s="25" t="n">
        <f aca="false">C1025/K1025-1</f>
        <v>-0.0197299190354631</v>
      </c>
      <c r="M1025" s="25" t="n">
        <f aca="false">IF(COUNT(G996:G1025)&lt;20,"",_xlfn.STDEV.S(G996:G1025)*SQRT($R$3))</f>
        <v>0.650314996094536</v>
      </c>
      <c r="N1025" s="25" t="n">
        <f aca="false">IF(A1025-7&lt;$R$2,"",C1025/INDEX(Clean_Data!$C$2:$C$4314,MATCH(A1025-7,Clean_Data!$A$2:$A$4314,1))-1)</f>
        <v>0.0262541486385515</v>
      </c>
      <c r="O1025" s="25" t="n">
        <f aca="false">IF(A1025-30&lt;$R$2,"",C1025/INDEX(Clean_Data!$C$2:$C$4314,MATCH(A1025-30,Clean_Data!$A$2:$A$4314,1))-1)</f>
        <v>0.55940728692773</v>
      </c>
    </row>
    <row r="1026" customFormat="false" ht="15" hidden="false" customHeight="false" outlineLevel="0" collapsed="false">
      <c r="A1026" s="16" t="n">
        <v>43032</v>
      </c>
      <c r="B1026" s="23" t="n">
        <f aca="false">YEAR(A1026)</f>
        <v>2017</v>
      </c>
      <c r="C1026" s="17" t="n">
        <v>5525.43</v>
      </c>
      <c r="D1026" s="23" t="n">
        <f aca="false">A1026-A1025</f>
        <v>1</v>
      </c>
      <c r="E1026" s="24" t="n">
        <f aca="false">LN(C1026)</f>
        <v>8.61711635141181</v>
      </c>
      <c r="F1026" s="25" t="n">
        <f aca="false">LN(C1026/C1025)</f>
        <v>-0.0666060176972654</v>
      </c>
      <c r="G1026" s="25" t="n">
        <f aca="false">IF(AND(D1026=1,A1026&gt;=$R$2),F1026,"")</f>
        <v>-0.0666060176972654</v>
      </c>
      <c r="H1026" s="27" t="n">
        <f aca="false">IF(G1026="","",G1026^2)</f>
        <v>0.00443636159348843</v>
      </c>
      <c r="I1026" s="25" t="n">
        <f aca="false">IF(G1026="","",C1026/C1025-1)</f>
        <v>-0.0644362757133011</v>
      </c>
      <c r="J1026" s="17" t="n">
        <f aca="false">AVERAGE(C827:C1026)</f>
        <v>3056.83195</v>
      </c>
      <c r="K1026" s="17" t="n">
        <f aca="false">MAX(K1025,C1026)</f>
        <v>6024.86</v>
      </c>
      <c r="L1026" s="25" t="n">
        <f aca="false">C1026/K1026-1</f>
        <v>-0.082894872245994</v>
      </c>
      <c r="M1026" s="25" t="n">
        <f aca="false">IF(COUNT(G997:G1026)&lt;20,"",_xlfn.STDEV.S(G997:G1026)*SQRT($R$3))</f>
        <v>0.691777325260966</v>
      </c>
      <c r="N1026" s="25" t="n">
        <f aca="false">IF(A1026-7&lt;$R$2,"",C1026/INDEX(Clean_Data!$C$2:$C$4314,MATCH(A1026-7,Clean_Data!$A$2:$A$4314,1))-1)</f>
        <v>-0.0122577761887737</v>
      </c>
      <c r="O1026" s="25" t="n">
        <f aca="false">IF(A1026-30&lt;$R$2,"",C1026/INDEX(Clean_Data!$C$2:$C$4314,MATCH(A1026-30,Clean_Data!$A$2:$A$4314,1))-1)</f>
        <v>0.505973000891249</v>
      </c>
    </row>
    <row r="1027" customFormat="false" ht="15" hidden="false" customHeight="false" outlineLevel="0" collapsed="false">
      <c r="A1027" s="16" t="n">
        <v>43033</v>
      </c>
      <c r="B1027" s="23" t="n">
        <f aca="false">YEAR(A1027)</f>
        <v>2017</v>
      </c>
      <c r="C1027" s="17" t="n">
        <v>5739.97</v>
      </c>
      <c r="D1027" s="23" t="n">
        <f aca="false">A1027-A1026</f>
        <v>1</v>
      </c>
      <c r="E1027" s="24" t="n">
        <f aca="false">LN(C1027)</f>
        <v>8.65520926281912</v>
      </c>
      <c r="F1027" s="25" t="n">
        <f aca="false">LN(C1027/C1026)</f>
        <v>0.0380929114073115</v>
      </c>
      <c r="G1027" s="25" t="n">
        <f aca="false">IF(AND(D1027=1,A1027&gt;=$R$2),F1027,"")</f>
        <v>0.0380929114073115</v>
      </c>
      <c r="H1027" s="27" t="n">
        <f aca="false">IF(G1027="","",G1027^2)</f>
        <v>0.00145106989948528</v>
      </c>
      <c r="I1027" s="25" t="n">
        <f aca="false">IF(G1027="","",C1027/C1026-1)</f>
        <v>0.0388277473427408</v>
      </c>
      <c r="J1027" s="17" t="n">
        <f aca="false">AVERAGE(C828:C1027)</f>
        <v>3079.6093</v>
      </c>
      <c r="K1027" s="17" t="n">
        <f aca="false">MAX(K1026,C1027)</f>
        <v>6024.86</v>
      </c>
      <c r="L1027" s="25" t="n">
        <f aca="false">C1027/K1027-1</f>
        <v>-0.0472857460588295</v>
      </c>
      <c r="M1027" s="25" t="n">
        <f aca="false">IF(COUNT(G998:G1027)&lt;20,"",_xlfn.STDEV.S(G998:G1027)*SQRT($R$3))</f>
        <v>0.671641282383998</v>
      </c>
      <c r="N1027" s="25" t="n">
        <f aca="false">IF(A1027-7&lt;$R$2,"",C1027/INDEX(Clean_Data!$C$2:$C$4314,MATCH(A1027-7,Clean_Data!$A$2:$A$4314,1))-1)</f>
        <v>0.0296944625827886</v>
      </c>
      <c r="O1027" s="25" t="n">
        <f aca="false">IF(A1027-30&lt;$R$2,"",C1027/INDEX(Clean_Data!$C$2:$C$4314,MATCH(A1027-30,Clean_Data!$A$2:$A$4314,1))-1)</f>
        <v>0.464360244707611</v>
      </c>
    </row>
    <row r="1028" customFormat="false" ht="15" hidden="false" customHeight="false" outlineLevel="0" collapsed="false">
      <c r="A1028" s="16" t="n">
        <v>43034</v>
      </c>
      <c r="B1028" s="23" t="n">
        <f aca="false">YEAR(A1028)</f>
        <v>2017</v>
      </c>
      <c r="C1028" s="17" t="n">
        <v>5891.61</v>
      </c>
      <c r="D1028" s="23" t="n">
        <f aca="false">A1028-A1027</f>
        <v>1</v>
      </c>
      <c r="E1028" s="24" t="n">
        <f aca="false">LN(C1028)</f>
        <v>8.68128458394574</v>
      </c>
      <c r="F1028" s="25" t="n">
        <f aca="false">LN(C1028/C1027)</f>
        <v>0.0260753211266241</v>
      </c>
      <c r="G1028" s="25" t="n">
        <f aca="false">IF(AND(D1028=1,A1028&gt;=$R$2),F1028,"")</f>
        <v>0.0260753211266241</v>
      </c>
      <c r="H1028" s="27" t="n">
        <f aca="false">IF(G1028="","",G1028^2)</f>
        <v>0.000679922371856568</v>
      </c>
      <c r="I1028" s="25" t="n">
        <f aca="false">IF(G1028="","",C1028/C1027-1)</f>
        <v>0.0264182565414104</v>
      </c>
      <c r="J1028" s="17" t="n">
        <f aca="false">AVERAGE(C829:C1028)</f>
        <v>3103.0125</v>
      </c>
      <c r="K1028" s="17" t="n">
        <f aca="false">MAX(K1027,C1028)</f>
        <v>6024.86</v>
      </c>
      <c r="L1028" s="25" t="n">
        <f aca="false">C1028/K1028-1</f>
        <v>-0.0221166964875532</v>
      </c>
      <c r="M1028" s="25" t="n">
        <f aca="false">IF(COUNT(G999:G1028)&lt;20,"",_xlfn.STDEV.S(G999:G1028)*SQRT($R$3))</f>
        <v>0.668552204036412</v>
      </c>
      <c r="N1028" s="25" t="n">
        <f aca="false">IF(A1028-7&lt;$R$2,"",C1028/INDEX(Clean_Data!$C$2:$C$4314,MATCH(A1028-7,Clean_Data!$A$2:$A$4314,1))-1)</f>
        <v>0.0328891429012221</v>
      </c>
      <c r="O1028" s="25" t="n">
        <f aca="false">IF(A1028-30&lt;$R$2,"",C1028/INDEX(Clean_Data!$C$2:$C$4314,MATCH(A1028-30,Clean_Data!$A$2:$A$4314,1))-1)</f>
        <v>0.516466799996911</v>
      </c>
    </row>
    <row r="1029" customFormat="false" ht="15" hidden="false" customHeight="false" outlineLevel="0" collapsed="false">
      <c r="A1029" s="16" t="n">
        <v>43035</v>
      </c>
      <c r="B1029" s="23" t="n">
        <f aca="false">YEAR(A1029)</f>
        <v>2017</v>
      </c>
      <c r="C1029" s="17" t="n">
        <v>5780</v>
      </c>
      <c r="D1029" s="23" t="n">
        <f aca="false">A1029-A1028</f>
        <v>1</v>
      </c>
      <c r="E1029" s="24" t="n">
        <f aca="false">LN(C1029)</f>
        <v>8.66215896166642</v>
      </c>
      <c r="F1029" s="25" t="n">
        <f aca="false">LN(C1029/C1028)</f>
        <v>-0.0191256222793187</v>
      </c>
      <c r="G1029" s="25" t="n">
        <f aca="false">IF(AND(D1029=1,A1029&gt;=$R$2),F1029,"")</f>
        <v>-0.0191256222793187</v>
      </c>
      <c r="H1029" s="27" t="n">
        <f aca="false">IF(G1029="","",G1029^2)</f>
        <v>0.000365789427571173</v>
      </c>
      <c r="I1029" s="25" t="n">
        <f aca="false">IF(G1029="","",C1029/C1028-1)</f>
        <v>-0.0189438880034489</v>
      </c>
      <c r="J1029" s="17" t="n">
        <f aca="false">AVERAGE(C830:C1029)</f>
        <v>3125.8625</v>
      </c>
      <c r="K1029" s="17" t="n">
        <f aca="false">MAX(K1028,C1029)</f>
        <v>6024.86</v>
      </c>
      <c r="L1029" s="25" t="n">
        <f aca="false">C1029/K1029-1</f>
        <v>-0.0406416082697357</v>
      </c>
      <c r="M1029" s="25" t="n">
        <f aca="false">IF(COUNT(G1000:G1029)&lt;20,"",_xlfn.STDEV.S(G1000:G1029)*SQRT($R$3))</f>
        <v>0.63645256813109</v>
      </c>
      <c r="N1029" s="25" t="n">
        <f aca="false">IF(A1029-7&lt;$R$2,"",C1029/INDEX(Clean_Data!$C$2:$C$4314,MATCH(A1029-7,Clean_Data!$A$2:$A$4314,1))-1)</f>
        <v>-0.0349134260573376</v>
      </c>
      <c r="O1029" s="25" t="n">
        <f aca="false">IF(A1029-30&lt;$R$2,"",C1029/INDEX(Clean_Data!$C$2:$C$4314,MATCH(A1029-30,Clean_Data!$A$2:$A$4314,1))-1)</f>
        <v>0.376190476190476</v>
      </c>
    </row>
    <row r="1030" customFormat="false" ht="15" hidden="false" customHeight="false" outlineLevel="0" collapsed="false">
      <c r="A1030" s="16" t="n">
        <v>43036</v>
      </c>
      <c r="B1030" s="23" t="n">
        <f aca="false">YEAR(A1030)</f>
        <v>2017</v>
      </c>
      <c r="C1030" s="17" t="n">
        <v>5752.01</v>
      </c>
      <c r="D1030" s="23" t="n">
        <f aca="false">A1030-A1029</f>
        <v>1</v>
      </c>
      <c r="E1030" s="24" t="n">
        <f aca="false">LN(C1030)</f>
        <v>8.6573046379251</v>
      </c>
      <c r="F1030" s="25" t="n">
        <f aca="false">LN(C1030/C1029)</f>
        <v>-0.00485432374132156</v>
      </c>
      <c r="G1030" s="25" t="n">
        <f aca="false">IF(AND(D1030=1,A1030&gt;=$R$2),F1030,"")</f>
        <v>-0.00485432374132156</v>
      </c>
      <c r="H1030" s="27" t="n">
        <f aca="false">IF(G1030="","",G1030^2)</f>
        <v>2.35644589855582E-005</v>
      </c>
      <c r="I1030" s="25" t="n">
        <f aca="false">IF(G1030="","",C1030/C1029-1)</f>
        <v>-0.00484256055363319</v>
      </c>
      <c r="J1030" s="17" t="n">
        <f aca="false">AVERAGE(C831:C1030)</f>
        <v>3148.5026</v>
      </c>
      <c r="K1030" s="17" t="n">
        <f aca="false">MAX(K1029,C1030)</f>
        <v>6024.86</v>
      </c>
      <c r="L1030" s="25" t="n">
        <f aca="false">C1030/K1030-1</f>
        <v>-0.0452873593743256</v>
      </c>
      <c r="M1030" s="25" t="n">
        <f aca="false">IF(COUNT(G1001:G1030)&lt;20,"",_xlfn.STDEV.S(G1001:G1030)*SQRT($R$3))</f>
        <v>0.637111416957353</v>
      </c>
      <c r="N1030" s="25" t="n">
        <f aca="false">IF(A1030-7&lt;$R$2,"",C1030/INDEX(Clean_Data!$C$2:$C$4314,MATCH(A1030-7,Clean_Data!$A$2:$A$4314,1))-1)</f>
        <v>-0.0452873593743256</v>
      </c>
      <c r="O1030" s="25" t="n">
        <f aca="false">IF(A1030-30&lt;$R$2,"",C1030/INDEX(Clean_Data!$C$2:$C$4314,MATCH(A1030-30,Clean_Data!$A$2:$A$4314,1))-1)</f>
        <v>0.372984804579154</v>
      </c>
    </row>
    <row r="1031" customFormat="false" ht="15" hidden="false" customHeight="false" outlineLevel="0" collapsed="false">
      <c r="A1031" s="16" t="n">
        <v>43037</v>
      </c>
      <c r="B1031" s="23" t="n">
        <f aca="false">YEAR(A1031)</f>
        <v>2017</v>
      </c>
      <c r="C1031" s="17" t="n">
        <v>6140.01</v>
      </c>
      <c r="D1031" s="23" t="n">
        <f aca="false">A1031-A1030</f>
        <v>1</v>
      </c>
      <c r="E1031" s="24" t="n">
        <f aca="false">LN(C1031)</f>
        <v>8.72258164980436</v>
      </c>
      <c r="F1031" s="25" t="n">
        <f aca="false">LN(C1031/C1030)</f>
        <v>0.0652770118792554</v>
      </c>
      <c r="G1031" s="25" t="n">
        <f aca="false">IF(AND(D1031=1,A1031&gt;=$R$2),F1031,"")</f>
        <v>0.0652770118792554</v>
      </c>
      <c r="H1031" s="27" t="n">
        <f aca="false">IF(G1031="","",G1031^2)</f>
        <v>0.00426108827988445</v>
      </c>
      <c r="I1031" s="25" t="n">
        <f aca="false">IF(G1031="","",C1031/C1030-1)</f>
        <v>0.0674546810593166</v>
      </c>
      <c r="J1031" s="17" t="n">
        <f aca="false">AVERAGE(C832:C1031)</f>
        <v>3173.1318</v>
      </c>
      <c r="K1031" s="17" t="n">
        <f aca="false">MAX(K1030,C1031)</f>
        <v>6140.01</v>
      </c>
      <c r="L1031" s="25" t="n">
        <f aca="false">C1031/K1031-1</f>
        <v>0</v>
      </c>
      <c r="M1031" s="25" t="n">
        <f aca="false">IF(COUNT(G1002:G1031)&lt;20,"",_xlfn.STDEV.S(G1002:G1031)*SQRT($R$3))</f>
        <v>0.661145975844565</v>
      </c>
      <c r="N1031" s="25" t="n">
        <f aca="false">IF(A1031-7&lt;$R$2,"",C1031/INDEX(Clean_Data!$C$2:$C$4314,MATCH(A1031-7,Clean_Data!$A$2:$A$4314,1))-1)</f>
        <v>0.0224744173653841</v>
      </c>
      <c r="O1031" s="25" t="n">
        <f aca="false">IF(A1031-30&lt;$R$2,"",C1031/INDEX(Clean_Data!$C$2:$C$4314,MATCH(A1031-30,Clean_Data!$A$2:$A$4314,1))-1)</f>
        <v>0.477032660651096</v>
      </c>
    </row>
    <row r="1032" customFormat="false" ht="15" hidden="false" customHeight="false" outlineLevel="0" collapsed="false">
      <c r="A1032" s="16" t="n">
        <v>43038</v>
      </c>
      <c r="B1032" s="23" t="n">
        <f aca="false">YEAR(A1032)</f>
        <v>2017</v>
      </c>
      <c r="C1032" s="17" t="n">
        <v>6124.16</v>
      </c>
      <c r="D1032" s="23" t="n">
        <f aca="false">A1032-A1031</f>
        <v>1</v>
      </c>
      <c r="E1032" s="24" t="n">
        <f aca="false">LN(C1032)</f>
        <v>8.71999688315084</v>
      </c>
      <c r="F1032" s="25" t="n">
        <f aca="false">LN(C1032/C1031)</f>
        <v>-0.00258476665351371</v>
      </c>
      <c r="G1032" s="25" t="n">
        <f aca="false">IF(AND(D1032=1,A1032&gt;=$R$2),F1032,"")</f>
        <v>-0.00258476665351371</v>
      </c>
      <c r="H1032" s="27" t="n">
        <f aca="false">IF(G1032="","",G1032^2)</f>
        <v>6.68101865311644E-006</v>
      </c>
      <c r="I1032" s="25" t="n">
        <f aca="false">IF(G1032="","",C1032/C1031-1)</f>
        <v>-0.00258142902047398</v>
      </c>
      <c r="J1032" s="17" t="n">
        <f aca="false">AVERAGE(C833:C1032)</f>
        <v>3197.86735</v>
      </c>
      <c r="K1032" s="17" t="n">
        <f aca="false">MAX(K1031,C1032)</f>
        <v>6140.01</v>
      </c>
      <c r="L1032" s="25" t="n">
        <f aca="false">C1032/K1032-1</f>
        <v>-0.00258142902047398</v>
      </c>
      <c r="M1032" s="25" t="n">
        <f aca="false">IF(COUNT(G1003:G1032)&lt;20,"",_xlfn.STDEV.S(G1003:G1032)*SQRT($R$3))</f>
        <v>0.654285555749297</v>
      </c>
      <c r="N1032" s="25" t="n">
        <f aca="false">IF(A1032-7&lt;$R$2,"",C1032/INDEX(Clean_Data!$C$2:$C$4314,MATCH(A1032-7,Clean_Data!$A$2:$A$4314,1))-1)</f>
        <v>0.036940462140979</v>
      </c>
      <c r="O1032" s="25" t="n">
        <f aca="false">IF(A1032-30&lt;$R$2,"",C1032/INDEX(Clean_Data!$C$2:$C$4314,MATCH(A1032-30,Clean_Data!$A$2:$A$4314,1))-1)</f>
        <v>0.411421986632865</v>
      </c>
    </row>
    <row r="1033" customFormat="false" ht="15" hidden="false" customHeight="false" outlineLevel="0" collapsed="false">
      <c r="A1033" s="16" t="n">
        <v>43039</v>
      </c>
      <c r="B1033" s="23" t="n">
        <f aca="false">YEAR(A1033)</f>
        <v>2017</v>
      </c>
      <c r="C1033" s="17" t="n">
        <v>6445.01</v>
      </c>
      <c r="D1033" s="23" t="n">
        <f aca="false">A1033-A1032</f>
        <v>1</v>
      </c>
      <c r="E1033" s="24" t="n">
        <f aca="false">LN(C1033)</f>
        <v>8.77106146696247</v>
      </c>
      <c r="F1033" s="25" t="n">
        <f aca="false">LN(C1033/C1032)</f>
        <v>0.0510645838116208</v>
      </c>
      <c r="G1033" s="25" t="n">
        <f aca="false">IF(AND(D1033=1,A1033&gt;=$R$2),F1033,"")</f>
        <v>0.0510645838116208</v>
      </c>
      <c r="H1033" s="27" t="n">
        <f aca="false">IF(G1033="","",G1033^2)</f>
        <v>0.00260759171985405</v>
      </c>
      <c r="I1033" s="25" t="n">
        <f aca="false">IF(G1033="","",C1033/C1032-1)</f>
        <v>0.0523908585014108</v>
      </c>
      <c r="J1033" s="17" t="n">
        <f aca="false">AVERAGE(C834:C1033)</f>
        <v>3224.2237</v>
      </c>
      <c r="K1033" s="17" t="n">
        <f aca="false">MAX(K1032,C1033)</f>
        <v>6445.01</v>
      </c>
      <c r="L1033" s="25" t="n">
        <f aca="false">C1033/K1033-1</f>
        <v>0</v>
      </c>
      <c r="M1033" s="25" t="n">
        <f aca="false">IF(COUNT(G1004:G1033)&lt;20,"",_xlfn.STDEV.S(G1004:G1033)*SQRT($R$3))</f>
        <v>0.66870686004864</v>
      </c>
      <c r="N1033" s="25" t="n">
        <f aca="false">IF(A1033-7&lt;$R$2,"",C1033/INDEX(Clean_Data!$C$2:$C$4314,MATCH(A1033-7,Clean_Data!$A$2:$A$4314,1))-1)</f>
        <v>0.166426866325336</v>
      </c>
      <c r="O1033" s="25" t="n">
        <f aca="false">IF(A1033-30&lt;$R$2,"",C1033/INDEX(Clean_Data!$C$2:$C$4314,MATCH(A1033-30,Clean_Data!$A$2:$A$4314,1))-1)</f>
        <v>0.466504809081621</v>
      </c>
    </row>
    <row r="1034" customFormat="false" ht="15" hidden="false" customHeight="false" outlineLevel="0" collapsed="false">
      <c r="A1034" s="16" t="n">
        <v>43040</v>
      </c>
      <c r="B1034" s="23" t="n">
        <f aca="false">YEAR(A1034)</f>
        <v>2017</v>
      </c>
      <c r="C1034" s="17" t="n">
        <v>6783.69</v>
      </c>
      <c r="D1034" s="23" t="n">
        <f aca="false">A1034-A1033</f>
        <v>1</v>
      </c>
      <c r="E1034" s="24" t="n">
        <f aca="false">LN(C1034)</f>
        <v>8.82227648067294</v>
      </c>
      <c r="F1034" s="25" t="n">
        <f aca="false">LN(C1034/C1033)</f>
        <v>0.051215013710475</v>
      </c>
      <c r="G1034" s="25" t="n">
        <f aca="false">IF(AND(D1034=1,A1034&gt;=$R$2),F1034,"")</f>
        <v>0.051215013710475</v>
      </c>
      <c r="H1034" s="27" t="n">
        <f aca="false">IF(G1034="","",G1034^2)</f>
        <v>0.00262297762936414</v>
      </c>
      <c r="I1034" s="25" t="n">
        <f aca="false">IF(G1034="","",C1034/C1033-1)</f>
        <v>0.052549181459765</v>
      </c>
      <c r="J1034" s="17" t="n">
        <f aca="false">AVERAGE(C835:C1034)</f>
        <v>3252.2479</v>
      </c>
      <c r="K1034" s="17" t="n">
        <f aca="false">MAX(K1033,C1034)</f>
        <v>6783.69</v>
      </c>
      <c r="L1034" s="25" t="n">
        <f aca="false">C1034/K1034-1</f>
        <v>0</v>
      </c>
      <c r="M1034" s="25" t="n">
        <f aca="false">IF(COUNT(G1005:G1034)&lt;20,"",_xlfn.STDEV.S(G1005:G1034)*SQRT($R$3))</f>
        <v>0.680037437903275</v>
      </c>
      <c r="N1034" s="25" t="n">
        <f aca="false">IF(A1034-7&lt;$R$2,"",C1034/INDEX(Clean_Data!$C$2:$C$4314,MATCH(A1034-7,Clean_Data!$A$2:$A$4314,1))-1)</f>
        <v>0.181833702963604</v>
      </c>
      <c r="O1034" s="25" t="n">
        <f aca="false">IF(A1034-30&lt;$R$2,"",C1034/INDEX(Clean_Data!$C$2:$C$4314,MATCH(A1034-30,Clean_Data!$A$2:$A$4314,1))-1)</f>
        <v>0.544306362131805</v>
      </c>
    </row>
    <row r="1035" customFormat="false" ht="15" hidden="false" customHeight="false" outlineLevel="0" collapsed="false">
      <c r="A1035" s="16" t="n">
        <v>43041</v>
      </c>
      <c r="B1035" s="23" t="n">
        <f aca="false">YEAR(A1035)</f>
        <v>2017</v>
      </c>
      <c r="C1035" s="17" t="n">
        <v>7039.98</v>
      </c>
      <c r="D1035" s="23" t="n">
        <f aca="false">A1035-A1034</f>
        <v>1</v>
      </c>
      <c r="E1035" s="24" t="n">
        <f aca="false">LN(C1035)</f>
        <v>8.85936060823896</v>
      </c>
      <c r="F1035" s="25" t="n">
        <f aca="false">LN(C1035/C1034)</f>
        <v>0.0370841275660225</v>
      </c>
      <c r="G1035" s="25" t="n">
        <f aca="false">IF(AND(D1035=1,A1035&gt;=$R$2),F1035,"")</f>
        <v>0.0370841275660225</v>
      </c>
      <c r="H1035" s="27" t="n">
        <f aca="false">IF(G1035="","",G1035^2)</f>
        <v>0.00137523251733303</v>
      </c>
      <c r="I1035" s="25" t="n">
        <f aca="false">IF(G1035="","",C1035/C1034-1)</f>
        <v>0.0377803230984906</v>
      </c>
      <c r="J1035" s="17" t="n">
        <f aca="false">AVERAGE(C836:C1035)</f>
        <v>3281.55785</v>
      </c>
      <c r="K1035" s="17" t="n">
        <f aca="false">MAX(K1034,C1035)</f>
        <v>7039.98</v>
      </c>
      <c r="L1035" s="25" t="n">
        <f aca="false">C1035/K1035-1</f>
        <v>0</v>
      </c>
      <c r="M1035" s="25" t="n">
        <f aca="false">IF(COUNT(G1006:G1035)&lt;20,"",_xlfn.STDEV.S(G1006:G1035)*SQRT($R$3))</f>
        <v>0.673067849545817</v>
      </c>
      <c r="N1035" s="25" t="n">
        <f aca="false">IF(A1035-7&lt;$R$2,"",C1035/INDEX(Clean_Data!$C$2:$C$4314,MATCH(A1035-7,Clean_Data!$A$2:$A$4314,1))-1)</f>
        <v>0.194916160438318</v>
      </c>
      <c r="O1035" s="25" t="n">
        <f aca="false">IF(A1035-30&lt;$R$2,"",C1035/INDEX(Clean_Data!$C$2:$C$4314,MATCH(A1035-30,Clean_Data!$A$2:$A$4314,1))-1)</f>
        <v>0.634168138737555</v>
      </c>
    </row>
    <row r="1036" customFormat="false" ht="15" hidden="false" customHeight="false" outlineLevel="0" collapsed="false">
      <c r="A1036" s="16" t="n">
        <v>43042</v>
      </c>
      <c r="B1036" s="23" t="n">
        <f aca="false">YEAR(A1036)</f>
        <v>2017</v>
      </c>
      <c r="C1036" s="17" t="n">
        <v>7170.01</v>
      </c>
      <c r="D1036" s="23" t="n">
        <f aca="false">A1036-A1035</f>
        <v>1</v>
      </c>
      <c r="E1036" s="24" t="n">
        <f aca="false">LN(C1036)</f>
        <v>8.87766232829283</v>
      </c>
      <c r="F1036" s="25" t="n">
        <f aca="false">LN(C1036/C1035)</f>
        <v>0.0183017200538712</v>
      </c>
      <c r="G1036" s="25" t="n">
        <f aca="false">IF(AND(D1036=1,A1036&gt;=$R$2),F1036,"")</f>
        <v>0.0183017200538712</v>
      </c>
      <c r="H1036" s="27" t="n">
        <f aca="false">IF(G1036="","",G1036^2)</f>
        <v>0.000334952956930269</v>
      </c>
      <c r="I1036" s="25" t="n">
        <f aca="false">IF(G1036="","",C1036/C1035-1)</f>
        <v>0.0184702229267697</v>
      </c>
      <c r="J1036" s="17" t="n">
        <f aca="false">AVERAGE(C837:C1036)</f>
        <v>3311.45835</v>
      </c>
      <c r="K1036" s="17" t="n">
        <f aca="false">MAX(K1035,C1036)</f>
        <v>7170.01</v>
      </c>
      <c r="L1036" s="25" t="n">
        <f aca="false">C1036/K1036-1</f>
        <v>0</v>
      </c>
      <c r="M1036" s="25" t="n">
        <f aca="false">IF(COUNT(G1007:G1036)&lt;20,"",_xlfn.STDEV.S(G1007:G1036)*SQRT($R$3))</f>
        <v>0.658782579904114</v>
      </c>
      <c r="N1036" s="25" t="n">
        <f aca="false">IF(A1036-7&lt;$R$2,"",C1036/INDEX(Clean_Data!$C$2:$C$4314,MATCH(A1036-7,Clean_Data!$A$2:$A$4314,1))-1)</f>
        <v>0.24048615916955</v>
      </c>
      <c r="O1036" s="25" t="n">
        <f aca="false">IF(A1036-30&lt;$R$2,"",C1036/INDEX(Clean_Data!$C$2:$C$4314,MATCH(A1036-30,Clean_Data!$A$2:$A$4314,1))-1)</f>
        <v>0.701134562640575</v>
      </c>
    </row>
    <row r="1037" customFormat="false" ht="15" hidden="false" customHeight="false" outlineLevel="0" collapsed="false">
      <c r="A1037" s="16" t="n">
        <v>43043</v>
      </c>
      <c r="B1037" s="23" t="n">
        <f aca="false">YEAR(A1037)</f>
        <v>2017</v>
      </c>
      <c r="C1037" s="17" t="n">
        <v>7412.55</v>
      </c>
      <c r="D1037" s="23" t="n">
        <f aca="false">A1037-A1036</f>
        <v>1</v>
      </c>
      <c r="E1037" s="24" t="n">
        <f aca="false">LN(C1037)</f>
        <v>8.91092978864579</v>
      </c>
      <c r="F1037" s="25" t="n">
        <f aca="false">LN(C1037/C1036)</f>
        <v>0.0332674603529614</v>
      </c>
      <c r="G1037" s="25" t="n">
        <f aca="false">IF(AND(D1037=1,A1037&gt;=$R$2),F1037,"")</f>
        <v>0.0332674603529614</v>
      </c>
      <c r="H1037" s="27" t="n">
        <f aca="false">IF(G1037="","",G1037^2)</f>
        <v>0.00110672391833586</v>
      </c>
      <c r="I1037" s="25" t="n">
        <f aca="false">IF(G1037="","",C1037/C1036-1)</f>
        <v>0.0338270100041702</v>
      </c>
      <c r="J1037" s="17" t="n">
        <f aca="false">AVERAGE(C838:C1037)</f>
        <v>3342.5114</v>
      </c>
      <c r="K1037" s="17" t="n">
        <f aca="false">MAX(K1036,C1037)</f>
        <v>7412.55</v>
      </c>
      <c r="L1037" s="25" t="n">
        <f aca="false">C1037/K1037-1</f>
        <v>0</v>
      </c>
      <c r="M1037" s="25" t="n">
        <f aca="false">IF(COUNT(G1008:G1037)&lt;20,"",_xlfn.STDEV.S(G1008:G1037)*SQRT($R$3))</f>
        <v>0.660608021407524</v>
      </c>
      <c r="N1037" s="25" t="n">
        <f aca="false">IF(A1037-7&lt;$R$2,"",C1037/INDEX(Clean_Data!$C$2:$C$4314,MATCH(A1037-7,Clean_Data!$A$2:$A$4314,1))-1)</f>
        <v>0.288688649706798</v>
      </c>
      <c r="O1037" s="25" t="n">
        <f aca="false">IF(A1037-30&lt;$R$2,"",C1037/INDEX(Clean_Data!$C$2:$C$4314,MATCH(A1037-30,Clean_Data!$A$2:$A$4314,1))-1)</f>
        <v>0.715852168035481</v>
      </c>
    </row>
    <row r="1038" customFormat="false" ht="15" hidden="false" customHeight="false" outlineLevel="0" collapsed="false">
      <c r="A1038" s="16" t="n">
        <v>43044</v>
      </c>
      <c r="B1038" s="23" t="n">
        <f aca="false">YEAR(A1038)</f>
        <v>2017</v>
      </c>
      <c r="C1038" s="17" t="n">
        <v>7392</v>
      </c>
      <c r="D1038" s="23" t="n">
        <f aca="false">A1038-A1037</f>
        <v>1</v>
      </c>
      <c r="E1038" s="24" t="n">
        <f aca="false">LN(C1038)</f>
        <v>8.90815361332152</v>
      </c>
      <c r="F1038" s="25" t="n">
        <f aca="false">LN(C1038/C1037)</f>
        <v>-0.00277617532427426</v>
      </c>
      <c r="G1038" s="25" t="n">
        <f aca="false">IF(AND(D1038=1,A1038&gt;=$R$2),F1038,"")</f>
        <v>-0.00277617532427426</v>
      </c>
      <c r="H1038" s="27" t="n">
        <f aca="false">IF(G1038="","",G1038^2)</f>
        <v>7.70714943110927E-006</v>
      </c>
      <c r="I1038" s="25" t="n">
        <f aca="false">IF(G1038="","",C1038/C1037-1)</f>
        <v>-0.00277232531315141</v>
      </c>
      <c r="J1038" s="17" t="n">
        <f aca="false">AVERAGE(C839:C1038)</f>
        <v>3373.40035</v>
      </c>
      <c r="K1038" s="17" t="n">
        <f aca="false">MAX(K1037,C1038)</f>
        <v>7412.55</v>
      </c>
      <c r="L1038" s="25" t="n">
        <f aca="false">C1038/K1038-1</f>
        <v>-0.00277232531315141</v>
      </c>
      <c r="M1038" s="25" t="n">
        <f aca="false">IF(COUNT(G1009:G1038)&lt;20,"",_xlfn.STDEV.S(G1009:G1038)*SQRT($R$3))</f>
        <v>0.664033334292925</v>
      </c>
      <c r="N1038" s="25" t="n">
        <f aca="false">IF(A1038-7&lt;$R$2,"",C1038/INDEX(Clean_Data!$C$2:$C$4314,MATCH(A1038-7,Clean_Data!$A$2:$A$4314,1))-1)</f>
        <v>0.203906834027958</v>
      </c>
      <c r="O1038" s="25" t="n">
        <f aca="false">IF(A1038-30&lt;$R$2,"",C1038/INDEX(Clean_Data!$C$2:$C$4314,MATCH(A1038-30,Clean_Data!$A$2:$A$4314,1))-1)</f>
        <v>0.694250960923587</v>
      </c>
    </row>
    <row r="1039" customFormat="false" ht="15" hidden="false" customHeight="false" outlineLevel="0" collapsed="false">
      <c r="A1039" s="16" t="n">
        <v>43045</v>
      </c>
      <c r="B1039" s="23" t="n">
        <f aca="false">YEAR(A1039)</f>
        <v>2017</v>
      </c>
      <c r="C1039" s="17" t="n">
        <v>6969.76</v>
      </c>
      <c r="D1039" s="23" t="n">
        <f aca="false">A1039-A1038</f>
        <v>1</v>
      </c>
      <c r="E1039" s="24" t="n">
        <f aca="false">LN(C1039)</f>
        <v>8.84933606987622</v>
      </c>
      <c r="F1039" s="25" t="n">
        <f aca="false">LN(C1039/C1038)</f>
        <v>-0.058817543445299</v>
      </c>
      <c r="G1039" s="25" t="n">
        <f aca="false">IF(AND(D1039=1,A1039&gt;=$R$2),F1039,"")</f>
        <v>-0.058817543445299</v>
      </c>
      <c r="H1039" s="27" t="n">
        <f aca="false">IF(G1039="","",G1039^2)</f>
        <v>0.00345950341693964</v>
      </c>
      <c r="I1039" s="25" t="n">
        <f aca="false">IF(G1039="","",C1039/C1038-1)</f>
        <v>-0.0571212121212121</v>
      </c>
      <c r="J1039" s="17" t="n">
        <f aca="false">AVERAGE(C840:C1039)</f>
        <v>3402.0684</v>
      </c>
      <c r="K1039" s="17" t="n">
        <f aca="false">MAX(K1038,C1039)</f>
        <v>7412.55</v>
      </c>
      <c r="L1039" s="25" t="n">
        <f aca="false">C1039/K1039-1</f>
        <v>-0.0597351788520819</v>
      </c>
      <c r="M1039" s="25" t="n">
        <f aca="false">IF(COUNT(G1010:G1039)&lt;20,"",_xlfn.STDEV.S(G1010:G1039)*SQRT($R$3))</f>
        <v>0.715547490671994</v>
      </c>
      <c r="N1039" s="25" t="n">
        <f aca="false">IF(A1039-7&lt;$R$2,"",C1039/INDEX(Clean_Data!$C$2:$C$4314,MATCH(A1039-7,Clean_Data!$A$2:$A$4314,1))-1)</f>
        <v>0.138076079005121</v>
      </c>
      <c r="O1039" s="25" t="n">
        <f aca="false">IF(A1039-30&lt;$R$2,"",C1039/INDEX(Clean_Data!$C$2:$C$4314,MATCH(A1039-30,Clean_Data!$A$2:$A$4314,1))-1)</f>
        <v>0.575087005649718</v>
      </c>
    </row>
    <row r="1040" customFormat="false" ht="15" hidden="false" customHeight="false" outlineLevel="0" collapsed="false">
      <c r="A1040" s="16" t="n">
        <v>43046</v>
      </c>
      <c r="B1040" s="23" t="n">
        <f aca="false">YEAR(A1040)</f>
        <v>2017</v>
      </c>
      <c r="C1040" s="17" t="n">
        <v>7126.63</v>
      </c>
      <c r="D1040" s="23" t="n">
        <f aca="false">A1040-A1039</f>
        <v>1</v>
      </c>
      <c r="E1040" s="24" t="n">
        <f aca="false">LN(C1040)</f>
        <v>8.87159375090237</v>
      </c>
      <c r="F1040" s="25" t="n">
        <f aca="false">LN(C1040/C1039)</f>
        <v>0.0222576810261472</v>
      </c>
      <c r="G1040" s="25" t="n">
        <f aca="false">IF(AND(D1040=1,A1040&gt;=$R$2),F1040,"")</f>
        <v>0.0222576810261472</v>
      </c>
      <c r="H1040" s="27" t="n">
        <f aca="false">IF(G1040="","",G1040^2)</f>
        <v>0.000495404364661713</v>
      </c>
      <c r="I1040" s="25" t="n">
        <f aca="false">IF(G1040="","",C1040/C1039-1)</f>
        <v>0.0225072312389523</v>
      </c>
      <c r="J1040" s="17" t="n">
        <f aca="false">AVERAGE(C841:C1040)</f>
        <v>3431.4516</v>
      </c>
      <c r="K1040" s="17" t="n">
        <f aca="false">MAX(K1039,C1040)</f>
        <v>7412.55</v>
      </c>
      <c r="L1040" s="25" t="n">
        <f aca="false">C1040/K1040-1</f>
        <v>-0.0385724210966537</v>
      </c>
      <c r="M1040" s="25" t="n">
        <f aca="false">IF(COUNT(G1011:G1040)&lt;20,"",_xlfn.STDEV.S(G1011:G1040)*SQRT($R$3))</f>
        <v>0.710651834514708</v>
      </c>
      <c r="N1040" s="25" t="n">
        <f aca="false">IF(A1040-7&lt;$R$2,"",C1040/INDEX(Clean_Data!$C$2:$C$4314,MATCH(A1040-7,Clean_Data!$A$2:$A$4314,1))-1)</f>
        <v>0.105759339395905</v>
      </c>
      <c r="O1040" s="25" t="n">
        <f aca="false">IF(A1040-30&lt;$R$2,"",C1040/INDEX(Clean_Data!$C$2:$C$4314,MATCH(A1040-30,Clean_Data!$A$2:$A$4314,1))-1)</f>
        <v>0.548092859982318</v>
      </c>
    </row>
    <row r="1041" customFormat="false" ht="15" hidden="false" customHeight="false" outlineLevel="0" collapsed="false">
      <c r="A1041" s="16" t="n">
        <v>43047</v>
      </c>
      <c r="B1041" s="23" t="n">
        <f aca="false">YEAR(A1041)</f>
        <v>2017</v>
      </c>
      <c r="C1041" s="17" t="n">
        <v>7467.96</v>
      </c>
      <c r="D1041" s="23" t="n">
        <f aca="false">A1041-A1040</f>
        <v>1</v>
      </c>
      <c r="E1041" s="24" t="n">
        <f aca="false">LN(C1041)</f>
        <v>8.91837714846087</v>
      </c>
      <c r="F1041" s="25" t="n">
        <f aca="false">LN(C1041/C1040)</f>
        <v>0.0467833975585053</v>
      </c>
      <c r="G1041" s="25" t="n">
        <f aca="false">IF(AND(D1041=1,A1041&gt;=$R$2),F1041,"")</f>
        <v>0.0467833975585053</v>
      </c>
      <c r="H1041" s="27" t="n">
        <f aca="false">IF(G1041="","",G1041^2)</f>
        <v>0.00218868628711716</v>
      </c>
      <c r="I1041" s="25" t="n">
        <f aca="false">IF(G1041="","",C1041/C1040-1)</f>
        <v>0.0478950078788993</v>
      </c>
      <c r="J1041" s="17" t="n">
        <f aca="false">AVERAGE(C842:C1041)</f>
        <v>3462.5564</v>
      </c>
      <c r="K1041" s="17" t="n">
        <f aca="false">MAX(K1040,C1041)</f>
        <v>7467.96</v>
      </c>
      <c r="L1041" s="25" t="n">
        <f aca="false">C1041/K1041-1</f>
        <v>0</v>
      </c>
      <c r="M1041" s="25" t="n">
        <f aca="false">IF(COUNT(G1012:G1041)&lt;20,"",_xlfn.STDEV.S(G1012:G1041)*SQRT($R$3))</f>
        <v>0.715928017548284</v>
      </c>
      <c r="N1041" s="25" t="n">
        <f aca="false">IF(A1041-7&lt;$R$2,"",C1041/INDEX(Clean_Data!$C$2:$C$4314,MATCH(A1041-7,Clean_Data!$A$2:$A$4314,1))-1)</f>
        <v>0.100869880551735</v>
      </c>
      <c r="O1041" s="25" t="n">
        <f aca="false">IF(A1041-30&lt;$R$2,"",C1041/INDEX(Clean_Data!$C$2:$C$4314,MATCH(A1041-30,Clean_Data!$A$2:$A$4314,1))-1)</f>
        <v>0.565757775890807</v>
      </c>
    </row>
    <row r="1042" customFormat="false" ht="15" hidden="false" customHeight="false" outlineLevel="0" collapsed="false">
      <c r="A1042" s="16" t="n">
        <v>43048</v>
      </c>
      <c r="B1042" s="23" t="n">
        <f aca="false">YEAR(A1042)</f>
        <v>2017</v>
      </c>
      <c r="C1042" s="17" t="n">
        <v>7156</v>
      </c>
      <c r="D1042" s="23" t="n">
        <f aca="false">A1042-A1041</f>
        <v>1</v>
      </c>
      <c r="E1042" s="24" t="n">
        <f aca="false">LN(C1042)</f>
        <v>8.87570644462861</v>
      </c>
      <c r="F1042" s="25" t="n">
        <f aca="false">LN(C1042/C1041)</f>
        <v>-0.0426707038322638</v>
      </c>
      <c r="G1042" s="25" t="n">
        <f aca="false">IF(AND(D1042=1,A1042&gt;=$R$2),F1042,"")</f>
        <v>-0.0426707038322638</v>
      </c>
      <c r="H1042" s="27" t="n">
        <f aca="false">IF(G1042="","",G1042^2)</f>
        <v>0.00182078896554077</v>
      </c>
      <c r="I1042" s="25" t="n">
        <f aca="false">IF(G1042="","",C1042/C1041-1)</f>
        <v>-0.0417731214414646</v>
      </c>
      <c r="J1042" s="17" t="n">
        <f aca="false">AVERAGE(C843:C1042)</f>
        <v>3492.0765</v>
      </c>
      <c r="K1042" s="17" t="n">
        <f aca="false">MAX(K1041,C1042)</f>
        <v>7467.96</v>
      </c>
      <c r="L1042" s="25" t="n">
        <f aca="false">C1042/K1042-1</f>
        <v>-0.0417731214414646</v>
      </c>
      <c r="M1042" s="25" t="n">
        <f aca="false">IF(COUNT(G1013:G1042)&lt;20,"",_xlfn.STDEV.S(G1013:G1042)*SQRT($R$3))</f>
        <v>0.74104099439635</v>
      </c>
      <c r="N1042" s="25" t="n">
        <f aca="false">IF(A1042-7&lt;$R$2,"",C1042/INDEX(Clean_Data!$C$2:$C$4314,MATCH(A1042-7,Clean_Data!$A$2:$A$4314,1))-1)</f>
        <v>0.0164801604550013</v>
      </c>
      <c r="O1042" s="25" t="n">
        <f aca="false">IF(A1042-30&lt;$R$2,"",C1042/INDEX(Clean_Data!$C$2:$C$4314,MATCH(A1042-30,Clean_Data!$A$2:$A$4314,1))-1)</f>
        <v>0.506526315789474</v>
      </c>
    </row>
    <row r="1043" customFormat="false" ht="15" hidden="false" customHeight="false" outlineLevel="0" collapsed="false">
      <c r="A1043" s="16" t="n">
        <v>43049</v>
      </c>
      <c r="B1043" s="23" t="n">
        <f aca="false">YEAR(A1043)</f>
        <v>2017</v>
      </c>
      <c r="C1043" s="17" t="n">
        <v>6577.62</v>
      </c>
      <c r="D1043" s="23" t="n">
        <f aca="false">A1043-A1042</f>
        <v>1</v>
      </c>
      <c r="E1043" s="24" t="n">
        <f aca="false">LN(C1043)</f>
        <v>8.79142825676171</v>
      </c>
      <c r="F1043" s="25" t="n">
        <f aca="false">LN(C1043/C1042)</f>
        <v>-0.084278187866899</v>
      </c>
      <c r="G1043" s="25" t="n">
        <f aca="false">IF(AND(D1043=1,A1043&gt;=$R$2),F1043,"")</f>
        <v>-0.084278187866899</v>
      </c>
      <c r="H1043" s="27" t="n">
        <f aca="false">IF(G1043="","",G1043^2)</f>
        <v>0.00710281295012831</v>
      </c>
      <c r="I1043" s="25" t="n">
        <f aca="false">IF(G1043="","",C1043/C1042-1)</f>
        <v>-0.0808244829513695</v>
      </c>
      <c r="J1043" s="17" t="n">
        <f aca="false">AVERAGE(C844:C1043)</f>
        <v>3518.67815</v>
      </c>
      <c r="K1043" s="17" t="n">
        <f aca="false">MAX(K1042,C1043)</f>
        <v>7467.96</v>
      </c>
      <c r="L1043" s="25" t="n">
        <f aca="false">C1043/K1043-1</f>
        <v>-0.119221313451063</v>
      </c>
      <c r="M1043" s="25" t="n">
        <f aca="false">IF(COUNT(G1014:G1043)&lt;20,"",_xlfn.STDEV.S(G1014:G1043)*SQRT($R$3))</f>
        <v>0.815995922665456</v>
      </c>
      <c r="N1043" s="25" t="n">
        <f aca="false">IF(A1043-7&lt;$R$2,"",C1043/INDEX(Clean_Data!$C$2:$C$4314,MATCH(A1043-7,Clean_Data!$A$2:$A$4314,1))-1)</f>
        <v>-0.0826205263312047</v>
      </c>
      <c r="O1043" s="25" t="n">
        <f aca="false">IF(A1043-30&lt;$R$2,"",C1043/INDEX(Clean_Data!$C$2:$C$4314,MATCH(A1043-30,Clean_Data!$A$2:$A$4314,1))-1)</f>
        <v>0.366071372941585</v>
      </c>
    </row>
    <row r="1044" customFormat="false" ht="15" hidden="false" customHeight="false" outlineLevel="0" collapsed="false">
      <c r="A1044" s="16" t="n">
        <v>43050</v>
      </c>
      <c r="B1044" s="23" t="n">
        <f aca="false">YEAR(A1044)</f>
        <v>2017</v>
      </c>
      <c r="C1044" s="17" t="n">
        <v>6346.7</v>
      </c>
      <c r="D1044" s="23" t="n">
        <f aca="false">A1044-A1043</f>
        <v>1</v>
      </c>
      <c r="E1044" s="24" t="n">
        <f aca="false">LN(C1044)</f>
        <v>8.75569027176429</v>
      </c>
      <c r="F1044" s="25" t="n">
        <f aca="false">LN(C1044/C1043)</f>
        <v>-0.0357379849974161</v>
      </c>
      <c r="G1044" s="25" t="n">
        <f aca="false">IF(AND(D1044=1,A1044&gt;=$R$2),F1044,"")</f>
        <v>-0.0357379849974161</v>
      </c>
      <c r="H1044" s="27" t="n">
        <f aca="false">IF(G1044="","",G1044^2)</f>
        <v>0.00127720357167554</v>
      </c>
      <c r="I1044" s="25" t="n">
        <f aca="false">IF(G1044="","",C1044/C1043-1)</f>
        <v>-0.0351069231728194</v>
      </c>
      <c r="J1044" s="17" t="n">
        <f aca="false">AVERAGE(C845:C1044)</f>
        <v>3544.00585</v>
      </c>
      <c r="K1044" s="17" t="n">
        <f aca="false">MAX(K1043,C1044)</f>
        <v>7467.96</v>
      </c>
      <c r="L1044" s="25" t="n">
        <f aca="false">C1044/K1044-1</f>
        <v>-0.150142743131993</v>
      </c>
      <c r="M1044" s="25" t="n">
        <f aca="false">IF(COUNT(G1015:G1044)&lt;20,"",_xlfn.STDEV.S(G1015:G1044)*SQRT($R$3))</f>
        <v>0.724780427349509</v>
      </c>
      <c r="N1044" s="25" t="n">
        <f aca="false">IF(A1044-7&lt;$R$2,"",C1044/INDEX(Clean_Data!$C$2:$C$4314,MATCH(A1044-7,Clean_Data!$A$2:$A$4314,1))-1)</f>
        <v>-0.14378992384537</v>
      </c>
      <c r="O1044" s="25" t="n">
        <f aca="false">IF(A1044-30&lt;$R$2,"",C1044/INDEX(Clean_Data!$C$2:$C$4314,MATCH(A1044-30,Clean_Data!$A$2:$A$4314,1))-1)</f>
        <v>0.166672794117647</v>
      </c>
    </row>
    <row r="1045" customFormat="false" ht="15" hidden="false" customHeight="false" outlineLevel="0" collapsed="false">
      <c r="A1045" s="16" t="n">
        <v>43051</v>
      </c>
      <c r="B1045" s="23" t="n">
        <f aca="false">YEAR(A1045)</f>
        <v>2017</v>
      </c>
      <c r="C1045" s="17" t="n">
        <v>5886.35</v>
      </c>
      <c r="D1045" s="23" t="n">
        <f aca="false">A1045-A1044</f>
        <v>1</v>
      </c>
      <c r="E1045" s="24" t="n">
        <f aca="false">LN(C1045)</f>
        <v>8.68039139015841</v>
      </c>
      <c r="F1045" s="25" t="n">
        <f aca="false">LN(C1045/C1044)</f>
        <v>-0.0752988816058809</v>
      </c>
      <c r="G1045" s="25" t="n">
        <f aca="false">IF(AND(D1045=1,A1045&gt;=$R$2),F1045,"")</f>
        <v>-0.0752988816058809</v>
      </c>
      <c r="H1045" s="27" t="n">
        <f aca="false">IF(G1045="","",G1045^2)</f>
        <v>0.00566992157109648</v>
      </c>
      <c r="I1045" s="25" t="n">
        <f aca="false">IF(G1045="","",C1045/C1044-1)</f>
        <v>-0.0725337577008524</v>
      </c>
      <c r="J1045" s="17" t="n">
        <f aca="false">AVERAGE(C846:C1045)</f>
        <v>3566.9454</v>
      </c>
      <c r="K1045" s="17" t="n">
        <f aca="false">MAX(K1044,C1045)</f>
        <v>7467.96</v>
      </c>
      <c r="L1045" s="25" t="n">
        <f aca="false">C1045/K1045-1</f>
        <v>-0.211786083481968</v>
      </c>
      <c r="M1045" s="25" t="n">
        <f aca="false">IF(COUNT(G1016:G1045)&lt;20,"",_xlfn.STDEV.S(G1016:G1045)*SQRT($R$3))</f>
        <v>0.769237794403962</v>
      </c>
      <c r="N1045" s="25" t="n">
        <f aca="false">IF(A1045-7&lt;$R$2,"",C1045/INDEX(Clean_Data!$C$2:$C$4314,MATCH(A1045-7,Clean_Data!$A$2:$A$4314,1))-1)</f>
        <v>-0.203686417748918</v>
      </c>
      <c r="O1045" s="25" t="n">
        <f aca="false">IF(A1045-30&lt;$R$2,"",C1045/INDEX(Clean_Data!$C$2:$C$4314,MATCH(A1045-30,Clean_Data!$A$2:$A$4314,1))-1)</f>
        <v>0.0464994310908833</v>
      </c>
    </row>
    <row r="1046" customFormat="false" ht="15" hidden="false" customHeight="false" outlineLevel="0" collapsed="false">
      <c r="A1046" s="16" t="n">
        <v>43052</v>
      </c>
      <c r="B1046" s="23" t="n">
        <f aca="false">YEAR(A1046)</f>
        <v>2017</v>
      </c>
      <c r="C1046" s="17" t="n">
        <v>6535.87</v>
      </c>
      <c r="D1046" s="23" t="n">
        <f aca="false">A1046-A1045</f>
        <v>1</v>
      </c>
      <c r="E1046" s="24" t="n">
        <f aca="false">LN(C1046)</f>
        <v>8.78506074650115</v>
      </c>
      <c r="F1046" s="25" t="n">
        <f aca="false">LN(C1046/C1045)</f>
        <v>0.104669356342738</v>
      </c>
      <c r="G1046" s="25" t="n">
        <f aca="false">IF(AND(D1046=1,A1046&gt;=$R$2),F1046,"")</f>
        <v>0.104669356342738</v>
      </c>
      <c r="H1046" s="27" t="n">
        <f aca="false">IF(G1046="","",G1046^2)</f>
        <v>0.0109556741572031</v>
      </c>
      <c r="I1046" s="25" t="n">
        <f aca="false">IF(G1046="","",C1046/C1045-1)</f>
        <v>0.110343421644992</v>
      </c>
      <c r="J1046" s="17" t="n">
        <f aca="false">AVERAGE(C847:C1046)</f>
        <v>3592.87845</v>
      </c>
      <c r="K1046" s="17" t="n">
        <f aca="false">MAX(K1045,C1046)</f>
        <v>7467.96</v>
      </c>
      <c r="L1046" s="25" t="n">
        <f aca="false">C1046/K1046-1</f>
        <v>-0.124811862945168</v>
      </c>
      <c r="M1046" s="25" t="n">
        <f aca="false">IF(COUNT(G1017:G1046)&lt;20,"",_xlfn.STDEV.S(G1017:G1046)*SQRT($R$3))</f>
        <v>0.842794994305198</v>
      </c>
      <c r="N1046" s="25" t="n">
        <f aca="false">IF(A1046-7&lt;$R$2,"",C1046/INDEX(Clean_Data!$C$2:$C$4314,MATCH(A1046-7,Clean_Data!$A$2:$A$4314,1))-1)</f>
        <v>-0.0622532196230574</v>
      </c>
      <c r="O1046" s="25" t="n">
        <f aca="false">IF(A1046-30&lt;$R$2,"",C1046/INDEX(Clean_Data!$C$2:$C$4314,MATCH(A1046-30,Clean_Data!$A$2:$A$4314,1))-1)</f>
        <v>0.123169614701854</v>
      </c>
    </row>
    <row r="1047" customFormat="false" ht="15" hidden="false" customHeight="false" outlineLevel="0" collapsed="false">
      <c r="A1047" s="16" t="n">
        <v>43053</v>
      </c>
      <c r="B1047" s="23" t="n">
        <f aca="false">YEAR(A1047)</f>
        <v>2017</v>
      </c>
      <c r="C1047" s="17" t="n">
        <v>6605</v>
      </c>
      <c r="D1047" s="23" t="n">
        <f aca="false">A1047-A1046</f>
        <v>1</v>
      </c>
      <c r="E1047" s="24" t="n">
        <f aca="false">LN(C1047)</f>
        <v>8.79558221695643</v>
      </c>
      <c r="F1047" s="25" t="n">
        <f aca="false">LN(C1047/C1046)</f>
        <v>0.0105214704552737</v>
      </c>
      <c r="G1047" s="25" t="n">
        <f aca="false">IF(AND(D1047=1,A1047&gt;=$R$2),F1047,"")</f>
        <v>0.0105214704552737</v>
      </c>
      <c r="H1047" s="27" t="n">
        <f aca="false">IF(G1047="","",G1047^2)</f>
        <v>0.000110701340541198</v>
      </c>
      <c r="I1047" s="25" t="n">
        <f aca="false">IF(G1047="","",C1047/C1046-1)</f>
        <v>0.0105770157607175</v>
      </c>
      <c r="J1047" s="17" t="n">
        <f aca="false">AVERAGE(C848:C1047)</f>
        <v>3619.13675</v>
      </c>
      <c r="K1047" s="17" t="n">
        <f aca="false">MAX(K1046,C1047)</f>
        <v>7467.96</v>
      </c>
      <c r="L1047" s="25" t="n">
        <f aca="false">C1047/K1047-1</f>
        <v>-0.115554984225947</v>
      </c>
      <c r="M1047" s="25" t="n">
        <f aca="false">IF(COUNT(G1018:G1047)&lt;20,"",_xlfn.STDEV.S(G1018:G1047)*SQRT($R$3))</f>
        <v>0.837933903082124</v>
      </c>
      <c r="N1047" s="25" t="n">
        <f aca="false">IF(A1047-7&lt;$R$2,"",C1047/INDEX(Clean_Data!$C$2:$C$4314,MATCH(A1047-7,Clean_Data!$A$2:$A$4314,1))-1)</f>
        <v>-0.0731944832269951</v>
      </c>
      <c r="O1047" s="25" t="n">
        <f aca="false">IF(A1047-30&lt;$R$2,"",C1047/INDEX(Clean_Data!$C$2:$C$4314,MATCH(A1047-30,Clean_Data!$A$2:$A$4314,1))-1)</f>
        <v>0.160054094876794</v>
      </c>
    </row>
    <row r="1048" customFormat="false" ht="15" hidden="false" customHeight="false" outlineLevel="0" collapsed="false">
      <c r="A1048" s="16" t="n">
        <v>43054</v>
      </c>
      <c r="B1048" s="23" t="n">
        <f aca="false">YEAR(A1048)</f>
        <v>2017</v>
      </c>
      <c r="C1048" s="17" t="n">
        <v>7294</v>
      </c>
      <c r="D1048" s="23" t="n">
        <f aca="false">A1048-A1047</f>
        <v>1</v>
      </c>
      <c r="E1048" s="24" t="n">
        <f aca="false">LN(C1048)</f>
        <v>8.89480737136863</v>
      </c>
      <c r="F1048" s="25" t="n">
        <f aca="false">LN(C1048/C1047)</f>
        <v>0.0992251544121999</v>
      </c>
      <c r="G1048" s="25" t="n">
        <f aca="false">IF(AND(D1048=1,A1048&gt;=$R$2),F1048,"")</f>
        <v>0.0992251544121999</v>
      </c>
      <c r="H1048" s="27" t="n">
        <f aca="false">IF(G1048="","",G1048^2)</f>
        <v>0.00984563126812492</v>
      </c>
      <c r="I1048" s="25" t="n">
        <f aca="false">IF(G1048="","",C1048/C1047-1)</f>
        <v>0.104314912944739</v>
      </c>
      <c r="J1048" s="17" t="n">
        <f aca="false">AVERAGE(C849:C1048)</f>
        <v>3648.7796</v>
      </c>
      <c r="K1048" s="17" t="n">
        <f aca="false">MAX(K1047,C1048)</f>
        <v>7467.96</v>
      </c>
      <c r="L1048" s="25" t="n">
        <f aca="false">C1048/K1048-1</f>
        <v>-0.023294179401068</v>
      </c>
      <c r="M1048" s="25" t="n">
        <f aca="false">IF(COUNT(G1019:G1048)&lt;20,"",_xlfn.STDEV.S(G1019:G1048)*SQRT($R$3))</f>
        <v>0.900164494660332</v>
      </c>
      <c r="N1048" s="25" t="n">
        <f aca="false">IF(A1048-7&lt;$R$2,"",C1048/INDEX(Clean_Data!$C$2:$C$4314,MATCH(A1048-7,Clean_Data!$A$2:$A$4314,1))-1)</f>
        <v>-0.023294179401068</v>
      </c>
      <c r="O1048" s="25" t="n">
        <f aca="false">IF(A1048-30&lt;$R$2,"",C1048/INDEX(Clean_Data!$C$2:$C$4314,MATCH(A1048-30,Clean_Data!$A$2:$A$4314,1))-1)</f>
        <v>0.267441658412831</v>
      </c>
    </row>
    <row r="1049" customFormat="false" ht="15" hidden="false" customHeight="false" outlineLevel="0" collapsed="false">
      <c r="A1049" s="16" t="n">
        <v>43055</v>
      </c>
      <c r="B1049" s="23" t="n">
        <f aca="false">YEAR(A1049)</f>
        <v>2017</v>
      </c>
      <c r="C1049" s="17" t="n">
        <v>7838.53</v>
      </c>
      <c r="D1049" s="23" t="n">
        <f aca="false">A1049-A1048</f>
        <v>1</v>
      </c>
      <c r="E1049" s="24" t="n">
        <f aca="false">LN(C1049)</f>
        <v>8.96680659576413</v>
      </c>
      <c r="F1049" s="25" t="n">
        <f aca="false">LN(C1049/C1048)</f>
        <v>0.0719992243955054</v>
      </c>
      <c r="G1049" s="25" t="n">
        <f aca="false">IF(AND(D1049=1,A1049&gt;=$R$2),F1049,"")</f>
        <v>0.0719992243955054</v>
      </c>
      <c r="H1049" s="27" t="n">
        <f aca="false">IF(G1049="","",G1049^2)</f>
        <v>0.00518388831355434</v>
      </c>
      <c r="I1049" s="25" t="n">
        <f aca="false">IF(G1049="","",C1049/C1048-1)</f>
        <v>0.0746545105566219</v>
      </c>
      <c r="J1049" s="17" t="n">
        <f aca="false">AVERAGE(C850:C1049)</f>
        <v>3681.0495</v>
      </c>
      <c r="K1049" s="17" t="n">
        <f aca="false">MAX(K1048,C1049)</f>
        <v>7838.53</v>
      </c>
      <c r="L1049" s="25" t="n">
        <f aca="false">C1049/K1049-1</f>
        <v>0</v>
      </c>
      <c r="M1049" s="25" t="n">
        <f aca="false">IF(COUNT(G1020:G1049)&lt;20,"",_xlfn.STDEV.S(G1020:G1049)*SQRT($R$3))</f>
        <v>0.917190435919703</v>
      </c>
      <c r="N1049" s="25" t="n">
        <f aca="false">IF(A1049-7&lt;$R$2,"",C1049/INDEX(Clean_Data!$C$2:$C$4314,MATCH(A1049-7,Clean_Data!$A$2:$A$4314,1))-1)</f>
        <v>0.0953787031861375</v>
      </c>
      <c r="O1049" s="25" t="n">
        <f aca="false">IF(A1049-30&lt;$R$2,"",C1049/INDEX(Clean_Data!$C$2:$C$4314,MATCH(A1049-30,Clean_Data!$A$2:$A$4314,1))-1)</f>
        <v>0.40123882731498</v>
      </c>
    </row>
    <row r="1050" customFormat="false" ht="15" hidden="false" customHeight="false" outlineLevel="0" collapsed="false">
      <c r="A1050" s="16" t="n">
        <v>43056</v>
      </c>
      <c r="B1050" s="23" t="n">
        <f aca="false">YEAR(A1050)</f>
        <v>2017</v>
      </c>
      <c r="C1050" s="17" t="n">
        <v>7714.71</v>
      </c>
      <c r="D1050" s="23" t="n">
        <f aca="false">A1050-A1049</f>
        <v>1</v>
      </c>
      <c r="E1050" s="24" t="n">
        <f aca="false">LN(C1050)</f>
        <v>8.95088417497865</v>
      </c>
      <c r="F1050" s="25" t="n">
        <f aca="false">LN(C1050/C1049)</f>
        <v>-0.0159224207854774</v>
      </c>
      <c r="G1050" s="25" t="n">
        <f aca="false">IF(AND(D1050=1,A1050&gt;=$R$2),F1050,"")</f>
        <v>-0.0159224207854774</v>
      </c>
      <c r="H1050" s="27" t="n">
        <f aca="false">IF(G1050="","",G1050^2)</f>
        <v>0.000253523483669802</v>
      </c>
      <c r="I1050" s="25" t="n">
        <f aca="false">IF(G1050="","",C1050/C1049-1)</f>
        <v>-0.015796329158656</v>
      </c>
      <c r="J1050" s="17" t="n">
        <f aca="false">AVERAGE(C851:C1050)</f>
        <v>3712.44055</v>
      </c>
      <c r="K1050" s="17" t="n">
        <f aca="false">MAX(K1049,C1050)</f>
        <v>7838.53</v>
      </c>
      <c r="L1050" s="25" t="n">
        <f aca="false">C1050/K1050-1</f>
        <v>-0.015796329158656</v>
      </c>
      <c r="M1050" s="25" t="n">
        <f aca="false">IF(COUNT(G1021:G1050)&lt;20,"",_xlfn.STDEV.S(G1021:G1050)*SQRT($R$3))</f>
        <v>0.920720204010396</v>
      </c>
      <c r="N1050" s="25" t="n">
        <f aca="false">IF(A1050-7&lt;$R$2,"",C1050/INDEX(Clean_Data!$C$2:$C$4314,MATCH(A1050-7,Clean_Data!$A$2:$A$4314,1))-1)</f>
        <v>0.172872558767457</v>
      </c>
      <c r="O1050" s="25" t="n">
        <f aca="false">IF(A1050-30&lt;$R$2,"",C1050/INDEX(Clean_Data!$C$2:$C$4314,MATCH(A1050-30,Clean_Data!$A$2:$A$4314,1))-1)</f>
        <v>0.383943499257325</v>
      </c>
    </row>
    <row r="1051" customFormat="false" ht="15" hidden="false" customHeight="false" outlineLevel="0" collapsed="false">
      <c r="A1051" s="16" t="n">
        <v>43057</v>
      </c>
      <c r="B1051" s="23" t="n">
        <f aca="false">YEAR(A1051)</f>
        <v>2017</v>
      </c>
      <c r="C1051" s="17" t="n">
        <v>7777.01</v>
      </c>
      <c r="D1051" s="23" t="n">
        <f aca="false">A1051-A1050</f>
        <v>1</v>
      </c>
      <c r="E1051" s="24" t="n">
        <f aca="false">LN(C1051)</f>
        <v>8.95892722453699</v>
      </c>
      <c r="F1051" s="25" t="n">
        <f aca="false">LN(C1051/C1050)</f>
        <v>0.00804304955833309</v>
      </c>
      <c r="G1051" s="25" t="n">
        <f aca="false">IF(AND(D1051=1,A1051&gt;=$R$2),F1051,"")</f>
        <v>0.00804304955833309</v>
      </c>
      <c r="H1051" s="27" t="n">
        <f aca="false">IF(G1051="","",G1051^2)</f>
        <v>6.46906461978021E-005</v>
      </c>
      <c r="I1051" s="25" t="n">
        <f aca="false">IF(G1051="","",C1051/C1050-1)</f>
        <v>0.00807548177442841</v>
      </c>
      <c r="J1051" s="17" t="n">
        <f aca="false">AVERAGE(C852:C1051)</f>
        <v>3743.96565</v>
      </c>
      <c r="K1051" s="17" t="n">
        <f aca="false">MAX(K1050,C1051)</f>
        <v>7838.53</v>
      </c>
      <c r="L1051" s="25" t="n">
        <f aca="false">C1051/K1051-1</f>
        <v>-0.00784841035245121</v>
      </c>
      <c r="M1051" s="25" t="n">
        <f aca="false">IF(COUNT(G1022:G1051)&lt;20,"",_xlfn.STDEV.S(G1022:G1051)*SQRT($R$3))</f>
        <v>0.91971358432724</v>
      </c>
      <c r="N1051" s="25" t="n">
        <f aca="false">IF(A1051-7&lt;$R$2,"",C1051/INDEX(Clean_Data!$C$2:$C$4314,MATCH(A1051-7,Clean_Data!$A$2:$A$4314,1))-1)</f>
        <v>0.225362786960153</v>
      </c>
      <c r="O1051" s="25" t="n">
        <f aca="false">IF(A1051-30&lt;$R$2,"",C1051/INDEX(Clean_Data!$C$2:$C$4314,MATCH(A1051-30,Clean_Data!$A$2:$A$4314,1))-1)</f>
        <v>0.363428535363718</v>
      </c>
    </row>
    <row r="1052" customFormat="false" ht="15" hidden="false" customHeight="false" outlineLevel="0" collapsed="false">
      <c r="A1052" s="16" t="n">
        <v>43058</v>
      </c>
      <c r="B1052" s="23" t="n">
        <f aca="false">YEAR(A1052)</f>
        <v>2017</v>
      </c>
      <c r="C1052" s="17" t="n">
        <v>8031.82</v>
      </c>
      <c r="D1052" s="23" t="n">
        <f aca="false">A1052-A1051</f>
        <v>1</v>
      </c>
      <c r="E1052" s="24" t="n">
        <f aca="false">LN(C1052)</f>
        <v>8.99116643132183</v>
      </c>
      <c r="F1052" s="25" t="n">
        <f aca="false">LN(C1052/C1051)</f>
        <v>0.0322392067848422</v>
      </c>
      <c r="G1052" s="25" t="n">
        <f aca="false">IF(AND(D1052=1,A1052&gt;=$R$2),F1052,"")</f>
        <v>0.0322392067848422</v>
      </c>
      <c r="H1052" s="27" t="n">
        <f aca="false">IF(G1052="","",G1052^2)</f>
        <v>0.00103936645411582</v>
      </c>
      <c r="I1052" s="25" t="n">
        <f aca="false">IF(G1052="","",C1052/C1051-1)</f>
        <v>0.0327645200404783</v>
      </c>
      <c r="J1052" s="17" t="n">
        <f aca="false">AVERAGE(C853:C1052)</f>
        <v>3776.45975</v>
      </c>
      <c r="K1052" s="17" t="n">
        <f aca="false">MAX(K1051,C1052)</f>
        <v>8031.82</v>
      </c>
      <c r="L1052" s="25" t="n">
        <f aca="false">C1052/K1052-1</f>
        <v>0</v>
      </c>
      <c r="M1052" s="25" t="n">
        <f aca="false">IF(COUNT(G1023:G1052)&lt;20,"",_xlfn.STDEV.S(G1023:G1052)*SQRT($R$3))</f>
        <v>0.912798945668102</v>
      </c>
      <c r="N1052" s="25" t="n">
        <f aca="false">IF(A1052-7&lt;$R$2,"",C1052/INDEX(Clean_Data!$C$2:$C$4314,MATCH(A1052-7,Clean_Data!$A$2:$A$4314,1))-1)</f>
        <v>0.364482234321778</v>
      </c>
      <c r="O1052" s="25" t="n">
        <f aca="false">IF(A1052-30&lt;$R$2,"",C1052/INDEX(Clean_Data!$C$2:$C$4314,MATCH(A1052-30,Clean_Data!$A$2:$A$4314,1))-1)</f>
        <v>0.34107294919103</v>
      </c>
    </row>
    <row r="1053" customFormat="false" ht="15" hidden="false" customHeight="false" outlineLevel="0" collapsed="false">
      <c r="A1053" s="16" t="n">
        <v>43059</v>
      </c>
      <c r="B1053" s="23" t="n">
        <f aca="false">YEAR(A1053)</f>
        <v>2017</v>
      </c>
      <c r="C1053" s="17" t="n">
        <v>8256.01</v>
      </c>
      <c r="D1053" s="23" t="n">
        <f aca="false">A1053-A1052</f>
        <v>1</v>
      </c>
      <c r="E1053" s="24" t="n">
        <f aca="false">LN(C1053)</f>
        <v>9.01869669896092</v>
      </c>
      <c r="F1053" s="25" t="n">
        <f aca="false">LN(C1053/C1052)</f>
        <v>0.0275302676390916</v>
      </c>
      <c r="G1053" s="25" t="n">
        <f aca="false">IF(AND(D1053=1,A1053&gt;=$R$2),F1053,"")</f>
        <v>0.0275302676390916</v>
      </c>
      <c r="H1053" s="27" t="n">
        <f aca="false">IF(G1053="","",G1053^2)</f>
        <v>0.000757915636280016</v>
      </c>
      <c r="I1053" s="25" t="n">
        <f aca="false">IF(G1053="","",C1053/C1052-1)</f>
        <v>0.027912727127849</v>
      </c>
      <c r="J1053" s="17" t="n">
        <f aca="false">AVERAGE(C854:C1053)</f>
        <v>3809.92285</v>
      </c>
      <c r="K1053" s="17" t="n">
        <f aca="false">MAX(K1052,C1053)</f>
        <v>8256.01</v>
      </c>
      <c r="L1053" s="25" t="n">
        <f aca="false">C1053/K1053-1</f>
        <v>0</v>
      </c>
      <c r="M1053" s="25" t="n">
        <f aca="false">IF(COUNT(G1024:G1053)&lt;20,"",_xlfn.STDEV.S(G1024:G1053)*SQRT($R$3))</f>
        <v>0.914760380743236</v>
      </c>
      <c r="N1053" s="25" t="n">
        <f aca="false">IF(A1053-7&lt;$R$2,"",C1053/INDEX(Clean_Data!$C$2:$C$4314,MATCH(A1053-7,Clean_Data!$A$2:$A$4314,1))-1)</f>
        <v>0.263184549264291</v>
      </c>
      <c r="O1053" s="25" t="n">
        <f aca="false">IF(A1053-30&lt;$R$2,"",C1053/INDEX(Clean_Data!$C$2:$C$4314,MATCH(A1053-30,Clean_Data!$A$2:$A$4314,1))-1)</f>
        <v>0.370323957735118</v>
      </c>
    </row>
    <row r="1054" customFormat="false" ht="15" hidden="false" customHeight="false" outlineLevel="0" collapsed="false">
      <c r="A1054" s="16" t="n">
        <v>43060</v>
      </c>
      <c r="B1054" s="23" t="n">
        <f aca="false">YEAR(A1054)</f>
        <v>2017</v>
      </c>
      <c r="C1054" s="17" t="n">
        <v>8109</v>
      </c>
      <c r="D1054" s="23" t="n">
        <f aca="false">A1054-A1053</f>
        <v>1</v>
      </c>
      <c r="E1054" s="24" t="n">
        <f aca="false">LN(C1054)</f>
        <v>9.00072983494456</v>
      </c>
      <c r="F1054" s="25" t="n">
        <f aca="false">LN(C1054/C1053)</f>
        <v>-0.0179668640163632</v>
      </c>
      <c r="G1054" s="25" t="n">
        <f aca="false">IF(AND(D1054=1,A1054&gt;=$R$2),F1054,"")</f>
        <v>-0.0179668640163632</v>
      </c>
      <c r="H1054" s="27" t="n">
        <f aca="false">IF(G1054="","",G1054^2)</f>
        <v>0.000322808202582488</v>
      </c>
      <c r="I1054" s="25" t="n">
        <f aca="false">IF(G1054="","",C1054/C1053-1)</f>
        <v>-0.0178064222305933</v>
      </c>
      <c r="J1054" s="17" t="n">
        <f aca="false">AVERAGE(C855:C1054)</f>
        <v>3842.71135</v>
      </c>
      <c r="K1054" s="17" t="n">
        <f aca="false">MAX(K1053,C1054)</f>
        <v>8256.01</v>
      </c>
      <c r="L1054" s="25" t="n">
        <f aca="false">C1054/K1054-1</f>
        <v>-0.0178064222305933</v>
      </c>
      <c r="M1054" s="25" t="n">
        <f aca="false">IF(COUNT(G1025:G1054)&lt;20,"",_xlfn.STDEV.S(G1025:G1054)*SQRT($R$3))</f>
        <v>0.918967652500366</v>
      </c>
      <c r="N1054" s="25" t="n">
        <f aca="false">IF(A1054-7&lt;$R$2,"",C1054/INDEX(Clean_Data!$C$2:$C$4314,MATCH(A1054-7,Clean_Data!$A$2:$A$4314,1))-1)</f>
        <v>0.227706283118849</v>
      </c>
      <c r="O1054" s="25" t="n">
        <f aca="false">IF(A1054-30&lt;$R$2,"",C1054/INDEX(Clean_Data!$C$2:$C$4314,MATCH(A1054-30,Clean_Data!$A$2:$A$4314,1))-1)</f>
        <v>0.350363444101215</v>
      </c>
    </row>
    <row r="1055" customFormat="false" ht="15" hidden="false" customHeight="false" outlineLevel="0" collapsed="false">
      <c r="A1055" s="16" t="n">
        <v>43061</v>
      </c>
      <c r="B1055" s="23" t="n">
        <f aca="false">YEAR(A1055)</f>
        <v>2017</v>
      </c>
      <c r="C1055" s="17" t="n">
        <v>8250</v>
      </c>
      <c r="D1055" s="23" t="n">
        <f aca="false">A1055-A1054</f>
        <v>1</v>
      </c>
      <c r="E1055" s="24" t="n">
        <f aca="false">LN(C1055)</f>
        <v>9.01796847932873</v>
      </c>
      <c r="F1055" s="25" t="n">
        <f aca="false">LN(C1055/C1054)</f>
        <v>0.0172386443841693</v>
      </c>
      <c r="G1055" s="25" t="n">
        <f aca="false">IF(AND(D1055=1,A1055&gt;=$R$2),F1055,"")</f>
        <v>0.0172386443841693</v>
      </c>
      <c r="H1055" s="27" t="n">
        <f aca="false">IF(G1055="","",G1055^2)</f>
        <v>0.000297170860203851</v>
      </c>
      <c r="I1055" s="25" t="n">
        <f aca="false">IF(G1055="","",C1055/C1054-1)</f>
        <v>0.0173880873103958</v>
      </c>
      <c r="J1055" s="17" t="n">
        <f aca="false">AVERAGE(C856:C1055)</f>
        <v>3876.0344</v>
      </c>
      <c r="K1055" s="17" t="n">
        <f aca="false">MAX(K1054,C1055)</f>
        <v>8256.01</v>
      </c>
      <c r="L1055" s="25" t="n">
        <f aca="false">C1055/K1055-1</f>
        <v>-0.000727954544628706</v>
      </c>
      <c r="M1055" s="25" t="n">
        <f aca="false">IF(COUNT(G1026:G1055)&lt;20,"",_xlfn.STDEV.S(G1026:G1055)*SQRT($R$3))</f>
        <v>0.914188706541031</v>
      </c>
      <c r="N1055" s="25" t="n">
        <f aca="false">IF(A1055-7&lt;$R$2,"",C1055/INDEX(Clean_Data!$C$2:$C$4314,MATCH(A1055-7,Clean_Data!$A$2:$A$4314,1))-1)</f>
        <v>0.131066630106937</v>
      </c>
      <c r="O1055" s="25" t="n">
        <f aca="false">IF(A1055-30&lt;$R$2,"",C1055/INDEX(Clean_Data!$C$2:$C$4314,MATCH(A1055-30,Clean_Data!$A$2:$A$4314,1))-1)</f>
        <v>0.396886889412275</v>
      </c>
    </row>
    <row r="1056" customFormat="false" ht="15" hidden="false" customHeight="false" outlineLevel="0" collapsed="false">
      <c r="A1056" s="16" t="n">
        <v>43062</v>
      </c>
      <c r="B1056" s="23" t="n">
        <f aca="false">YEAR(A1056)</f>
        <v>2017</v>
      </c>
      <c r="C1056" s="17" t="n">
        <v>8031.16</v>
      </c>
      <c r="D1056" s="23" t="n">
        <f aca="false">A1056-A1055</f>
        <v>1</v>
      </c>
      <c r="E1056" s="24" t="n">
        <f aca="false">LN(C1056)</f>
        <v>8.99108425478916</v>
      </c>
      <c r="F1056" s="25" t="n">
        <f aca="false">LN(C1056/C1055)</f>
        <v>-0.0268842245395676</v>
      </c>
      <c r="G1056" s="25" t="n">
        <f aca="false">IF(AND(D1056=1,A1056&gt;=$R$2),F1056,"")</f>
        <v>-0.0268842245395676</v>
      </c>
      <c r="H1056" s="27" t="n">
        <f aca="false">IF(G1056="","",G1056^2)</f>
        <v>0.000722761529093888</v>
      </c>
      <c r="I1056" s="25" t="n">
        <f aca="false">IF(G1056="","",C1056/C1055-1)</f>
        <v>-0.0265260606060607</v>
      </c>
      <c r="J1056" s="17" t="n">
        <f aca="false">AVERAGE(C857:C1056)</f>
        <v>3908.14235</v>
      </c>
      <c r="K1056" s="17" t="n">
        <f aca="false">MAX(K1055,C1056)</f>
        <v>8256.01</v>
      </c>
      <c r="L1056" s="25" t="n">
        <f aca="false">C1056/K1056-1</f>
        <v>-0.02723470538432</v>
      </c>
      <c r="M1056" s="25" t="n">
        <f aca="false">IF(COUNT(G1027:G1056)&lt;20,"",_xlfn.STDEV.S(G1027:G1056)*SQRT($R$3))</f>
        <v>0.881588647628644</v>
      </c>
      <c r="N1056" s="25" t="n">
        <f aca="false">IF(A1056-7&lt;$R$2,"",C1056/INDEX(Clean_Data!$C$2:$C$4314,MATCH(A1056-7,Clean_Data!$A$2:$A$4314,1))-1)</f>
        <v>0.02457476082888</v>
      </c>
      <c r="O1056" s="25" t="n">
        <f aca="false">IF(A1056-30&lt;$R$2,"",C1056/INDEX(Clean_Data!$C$2:$C$4314,MATCH(A1056-30,Clean_Data!$A$2:$A$4314,1))-1)</f>
        <v>0.453490497572135</v>
      </c>
    </row>
    <row r="1057" customFormat="false" ht="15" hidden="false" customHeight="false" outlineLevel="0" collapsed="false">
      <c r="A1057" s="16" t="n">
        <v>43063</v>
      </c>
      <c r="B1057" s="23" t="n">
        <f aca="false">YEAR(A1057)</f>
        <v>2017</v>
      </c>
      <c r="C1057" s="17" t="n">
        <v>8215.01</v>
      </c>
      <c r="D1057" s="23" t="n">
        <f aca="false">A1057-A1056</f>
        <v>1</v>
      </c>
      <c r="E1057" s="24" t="n">
        <f aca="false">LN(C1057)</f>
        <v>9.01371824775608</v>
      </c>
      <c r="F1057" s="25" t="n">
        <f aca="false">LN(C1057/C1056)</f>
        <v>0.0226339929669219</v>
      </c>
      <c r="G1057" s="25" t="n">
        <f aca="false">IF(AND(D1057=1,A1057&gt;=$R$2),F1057,"")</f>
        <v>0.0226339929669219</v>
      </c>
      <c r="H1057" s="27" t="n">
        <f aca="false">IF(G1057="","",G1057^2)</f>
        <v>0.00051229763762667</v>
      </c>
      <c r="I1057" s="25" t="n">
        <f aca="false">IF(G1057="","",C1057/C1056-1)</f>
        <v>0.0228920853276489</v>
      </c>
      <c r="J1057" s="17" t="n">
        <f aca="false">AVERAGE(C858:C1057)</f>
        <v>3940.6524</v>
      </c>
      <c r="K1057" s="17" t="n">
        <f aca="false">MAX(K1056,C1057)</f>
        <v>8256.01</v>
      </c>
      <c r="L1057" s="25" t="n">
        <f aca="false">C1057/K1057-1</f>
        <v>-0.00496607925620241</v>
      </c>
      <c r="M1057" s="25" t="n">
        <f aca="false">IF(COUNT(G1028:G1057)&lt;20,"",_xlfn.STDEV.S(G1028:G1057)*SQRT($R$3))</f>
        <v>0.877572527940529</v>
      </c>
      <c r="N1057" s="25" t="n">
        <f aca="false">IF(A1057-7&lt;$R$2,"",C1057/INDEX(Clean_Data!$C$2:$C$4314,MATCH(A1057-7,Clean_Data!$A$2:$A$4314,1))-1)</f>
        <v>0.0648501369461716</v>
      </c>
      <c r="O1057" s="25" t="n">
        <f aca="false">IF(A1057-30&lt;$R$2,"",C1057/INDEX(Clean_Data!$C$2:$C$4314,MATCH(A1057-30,Clean_Data!$A$2:$A$4314,1))-1)</f>
        <v>0.431193891257271</v>
      </c>
    </row>
    <row r="1058" customFormat="false" ht="15" hidden="false" customHeight="false" outlineLevel="0" collapsed="false">
      <c r="A1058" s="16" t="n">
        <v>43064</v>
      </c>
      <c r="B1058" s="23" t="n">
        <f aca="false">YEAR(A1058)</f>
        <v>2017</v>
      </c>
      <c r="C1058" s="17" t="n">
        <v>8795.5</v>
      </c>
      <c r="D1058" s="23" t="n">
        <f aca="false">A1058-A1057</f>
        <v>1</v>
      </c>
      <c r="E1058" s="24" t="n">
        <f aca="false">LN(C1058)</f>
        <v>9.08199550603896</v>
      </c>
      <c r="F1058" s="25" t="n">
        <f aca="false">LN(C1058/C1057)</f>
        <v>0.0682772582828791</v>
      </c>
      <c r="G1058" s="25" t="n">
        <f aca="false">IF(AND(D1058=1,A1058&gt;=$R$2),F1058,"")</f>
        <v>0.0682772582828791</v>
      </c>
      <c r="H1058" s="27" t="n">
        <f aca="false">IF(G1058="","",G1058^2)</f>
        <v>0.00466178399862698</v>
      </c>
      <c r="I1058" s="25" t="n">
        <f aca="false">IF(G1058="","",C1058/C1057-1)</f>
        <v>0.0706621172707032</v>
      </c>
      <c r="J1058" s="17" t="n">
        <f aca="false">AVERAGE(C859:C1058)</f>
        <v>3976.02775</v>
      </c>
      <c r="K1058" s="17" t="n">
        <f aca="false">MAX(K1057,C1058)</f>
        <v>8795.5</v>
      </c>
      <c r="L1058" s="25" t="n">
        <f aca="false">C1058/K1058-1</f>
        <v>0</v>
      </c>
      <c r="M1058" s="25" t="n">
        <f aca="false">IF(COUNT(G1029:G1058)&lt;20,"",_xlfn.STDEV.S(G1029:G1058)*SQRT($R$3))</f>
        <v>0.898224791471399</v>
      </c>
      <c r="N1058" s="25" t="n">
        <f aca="false">IF(A1058-7&lt;$R$2,"",C1058/INDEX(Clean_Data!$C$2:$C$4314,MATCH(A1058-7,Clean_Data!$A$2:$A$4314,1))-1)</f>
        <v>0.130961642070667</v>
      </c>
      <c r="O1058" s="25" t="n">
        <f aca="false">IF(A1058-30&lt;$R$2,"",C1058/INDEX(Clean_Data!$C$2:$C$4314,MATCH(A1058-30,Clean_Data!$A$2:$A$4314,1))-1)</f>
        <v>0.492885645859112</v>
      </c>
    </row>
    <row r="1059" customFormat="false" ht="15" hidden="false" customHeight="false" outlineLevel="0" collapsed="false">
      <c r="A1059" s="16" t="n">
        <v>43065</v>
      </c>
      <c r="B1059" s="23" t="n">
        <f aca="false">YEAR(A1059)</f>
        <v>2017</v>
      </c>
      <c r="C1059" s="17" t="n">
        <v>9401.11</v>
      </c>
      <c r="D1059" s="23" t="n">
        <f aca="false">A1059-A1058</f>
        <v>1</v>
      </c>
      <c r="E1059" s="24" t="n">
        <f aca="false">LN(C1059)</f>
        <v>9.14858304639298</v>
      </c>
      <c r="F1059" s="25" t="n">
        <f aca="false">LN(C1059/C1058)</f>
        <v>0.0665875403540207</v>
      </c>
      <c r="G1059" s="25" t="n">
        <f aca="false">IF(AND(D1059=1,A1059&gt;=$R$2),F1059,"")</f>
        <v>0.0665875403540207</v>
      </c>
      <c r="H1059" s="27" t="n">
        <f aca="false">IF(G1059="","",G1059^2)</f>
        <v>0.00443390053039834</v>
      </c>
      <c r="I1059" s="25" t="n">
        <f aca="false">IF(G1059="","",C1059/C1058-1)</f>
        <v>0.0688545278835768</v>
      </c>
      <c r="J1059" s="17" t="n">
        <f aca="false">AVERAGE(C860:C1059)</f>
        <v>4014.05835</v>
      </c>
      <c r="K1059" s="17" t="n">
        <f aca="false">MAX(K1058,C1059)</f>
        <v>9401.11</v>
      </c>
      <c r="L1059" s="25" t="n">
        <f aca="false">C1059/K1059-1</f>
        <v>0</v>
      </c>
      <c r="M1059" s="25" t="n">
        <f aca="false">IF(COUNT(G1030:G1059)&lt;20,"",_xlfn.STDEV.S(G1030:G1059)*SQRT($R$3))</f>
        <v>0.908905046069354</v>
      </c>
      <c r="N1059" s="25" t="n">
        <f aca="false">IF(A1059-7&lt;$R$2,"",C1059/INDEX(Clean_Data!$C$2:$C$4314,MATCH(A1059-7,Clean_Data!$A$2:$A$4314,1))-1)</f>
        <v>0.170483153257917</v>
      </c>
      <c r="O1059" s="25" t="n">
        <f aca="false">IF(A1059-30&lt;$R$2,"",C1059/INDEX(Clean_Data!$C$2:$C$4314,MATCH(A1059-30,Clean_Data!$A$2:$A$4314,1))-1)</f>
        <v>0.626489619377163</v>
      </c>
    </row>
    <row r="1060" customFormat="false" ht="15" hidden="false" customHeight="false" outlineLevel="0" collapsed="false">
      <c r="A1060" s="16" t="n">
        <v>43066</v>
      </c>
      <c r="B1060" s="23" t="n">
        <f aca="false">YEAR(A1060)</f>
        <v>2017</v>
      </c>
      <c r="C1060" s="17" t="n">
        <v>9768.71</v>
      </c>
      <c r="D1060" s="23" t="n">
        <f aca="false">A1060-A1059</f>
        <v>1</v>
      </c>
      <c r="E1060" s="24" t="n">
        <f aca="false">LN(C1060)</f>
        <v>9.1869396994717</v>
      </c>
      <c r="F1060" s="25" t="n">
        <f aca="false">LN(C1060/C1059)</f>
        <v>0.0383566530787232</v>
      </c>
      <c r="G1060" s="25" t="n">
        <f aca="false">IF(AND(D1060=1,A1060&gt;=$R$2),F1060,"")</f>
        <v>0.0383566530787232</v>
      </c>
      <c r="H1060" s="27" t="n">
        <f aca="false">IF(G1060="","",G1060^2)</f>
        <v>0.00147123283540152</v>
      </c>
      <c r="I1060" s="25" t="n">
        <f aca="false">IF(G1060="","",C1060/C1059-1)</f>
        <v>0.0391017656425676</v>
      </c>
      <c r="J1060" s="17" t="n">
        <f aca="false">AVERAGE(C861:C1060)</f>
        <v>4053.71225</v>
      </c>
      <c r="K1060" s="17" t="n">
        <f aca="false">MAX(K1059,C1060)</f>
        <v>9768.71</v>
      </c>
      <c r="L1060" s="25" t="n">
        <f aca="false">C1060/K1060-1</f>
        <v>0</v>
      </c>
      <c r="M1060" s="25" t="n">
        <f aca="false">IF(COUNT(G1031:G1060)&lt;20,"",_xlfn.STDEV.S(G1031:G1060)*SQRT($R$3))</f>
        <v>0.908795445183838</v>
      </c>
      <c r="N1060" s="25" t="n">
        <f aca="false">IF(A1060-7&lt;$R$2,"",C1060/INDEX(Clean_Data!$C$2:$C$4314,MATCH(A1060-7,Clean_Data!$A$2:$A$4314,1))-1)</f>
        <v>0.183224099777011</v>
      </c>
      <c r="O1060" s="25" t="n">
        <f aca="false">IF(A1060-30&lt;$R$2,"",C1060/INDEX(Clean_Data!$C$2:$C$4314,MATCH(A1060-30,Clean_Data!$A$2:$A$4314,1))-1)</f>
        <v>0.698312416007622</v>
      </c>
    </row>
    <row r="1061" customFormat="false" ht="15" hidden="false" customHeight="false" outlineLevel="0" collapsed="false">
      <c r="A1061" s="16" t="n">
        <v>43067</v>
      </c>
      <c r="B1061" s="23" t="n">
        <f aca="false">YEAR(A1061)</f>
        <v>2017</v>
      </c>
      <c r="C1061" s="17" t="n">
        <v>9949</v>
      </c>
      <c r="D1061" s="23" t="n">
        <f aca="false">A1061-A1060</f>
        <v>1</v>
      </c>
      <c r="E1061" s="24" t="n">
        <f aca="false">LN(C1061)</f>
        <v>9.20522732258936</v>
      </c>
      <c r="F1061" s="25" t="n">
        <f aca="false">LN(C1061/C1060)</f>
        <v>0.0182876231176557</v>
      </c>
      <c r="G1061" s="25" t="n">
        <f aca="false">IF(AND(D1061=1,A1061&gt;=$R$2),F1061,"")</f>
        <v>0.0182876231176557</v>
      </c>
      <c r="H1061" s="27" t="n">
        <f aca="false">IF(G1061="","",G1061^2)</f>
        <v>0.000334437159293416</v>
      </c>
      <c r="I1061" s="25" t="n">
        <f aca="false">IF(G1061="","",C1061/C1060-1)</f>
        <v>0.0184558657181964</v>
      </c>
      <c r="J1061" s="17" t="n">
        <f aca="false">AVERAGE(C862:C1061)</f>
        <v>4094.9792</v>
      </c>
      <c r="K1061" s="17" t="n">
        <f aca="false">MAX(K1060,C1061)</f>
        <v>9949</v>
      </c>
      <c r="L1061" s="25" t="n">
        <f aca="false">C1061/K1061-1</f>
        <v>0</v>
      </c>
      <c r="M1061" s="25" t="n">
        <f aca="false">IF(COUNT(G1032:G1061)&lt;20,"",_xlfn.STDEV.S(G1032:G1061)*SQRT($R$3))</f>
        <v>0.892436865208285</v>
      </c>
      <c r="N1061" s="25" t="n">
        <f aca="false">IF(A1061-7&lt;$R$2,"",C1061/INDEX(Clean_Data!$C$2:$C$4314,MATCH(A1061-7,Clean_Data!$A$2:$A$4314,1))-1)</f>
        <v>0.226908373412258</v>
      </c>
      <c r="O1061" s="25" t="n">
        <f aca="false">IF(A1061-30&lt;$R$2,"",C1061/INDEX(Clean_Data!$C$2:$C$4314,MATCH(A1061-30,Clean_Data!$A$2:$A$4314,1))-1)</f>
        <v>0.620355667173181</v>
      </c>
    </row>
    <row r="1062" customFormat="false" ht="15" hidden="false" customHeight="false" outlineLevel="0" collapsed="false">
      <c r="A1062" s="16" t="n">
        <v>43068</v>
      </c>
      <c r="B1062" s="23" t="n">
        <f aca="false">YEAR(A1062)</f>
        <v>2017</v>
      </c>
      <c r="C1062" s="17" t="n">
        <v>9935.98</v>
      </c>
      <c r="D1062" s="23" t="n">
        <f aca="false">A1062-A1061</f>
        <v>1</v>
      </c>
      <c r="E1062" s="24" t="n">
        <f aca="false">LN(C1062)</f>
        <v>9.20391779128879</v>
      </c>
      <c r="F1062" s="25" t="n">
        <f aca="false">LN(C1062/C1061)</f>
        <v>-0.00130953130057331</v>
      </c>
      <c r="G1062" s="25" t="n">
        <f aca="false">IF(AND(D1062=1,A1062&gt;=$R$2),F1062,"")</f>
        <v>-0.00130953130057331</v>
      </c>
      <c r="H1062" s="27" t="n">
        <f aca="false">IF(G1062="","",G1062^2)</f>
        <v>1.71487222718122E-006</v>
      </c>
      <c r="I1062" s="25" t="n">
        <f aca="false">IF(G1062="","",C1062/C1061-1)</f>
        <v>-0.00130867423861702</v>
      </c>
      <c r="J1062" s="17" t="n">
        <f aca="false">AVERAGE(C863:C1062)</f>
        <v>4135.69545</v>
      </c>
      <c r="K1062" s="17" t="n">
        <f aca="false">MAX(K1061,C1062)</f>
        <v>9949</v>
      </c>
      <c r="L1062" s="25" t="n">
        <f aca="false">C1062/K1062-1</f>
        <v>-0.00130867423861702</v>
      </c>
      <c r="M1062" s="25" t="n">
        <f aca="false">IF(COUNT(G1033:G1062)&lt;20,"",_xlfn.STDEV.S(G1033:G1062)*SQRT($R$3))</f>
        <v>0.892112060338552</v>
      </c>
      <c r="N1062" s="25" t="n">
        <f aca="false">IF(A1062-7&lt;$R$2,"",C1062/INDEX(Clean_Data!$C$2:$C$4314,MATCH(A1062-7,Clean_Data!$A$2:$A$4314,1))-1)</f>
        <v>0.204361212121212</v>
      </c>
      <c r="O1062" s="25" t="n">
        <f aca="false">IF(A1062-30&lt;$R$2,"",C1062/INDEX(Clean_Data!$C$2:$C$4314,MATCH(A1062-30,Clean_Data!$A$2:$A$4314,1))-1)</f>
        <v>0.622423320096144</v>
      </c>
    </row>
    <row r="1063" customFormat="false" ht="15" hidden="false" customHeight="false" outlineLevel="0" collapsed="false">
      <c r="A1063" s="16" t="n">
        <v>43069</v>
      </c>
      <c r="B1063" s="23" t="n">
        <f aca="false">YEAR(A1063)</f>
        <v>2017</v>
      </c>
      <c r="C1063" s="17" t="n">
        <v>9903</v>
      </c>
      <c r="D1063" s="23" t="n">
        <f aca="false">A1063-A1062</f>
        <v>1</v>
      </c>
      <c r="E1063" s="24" t="n">
        <f aca="false">LN(C1063)</f>
        <v>9.2005930205213</v>
      </c>
      <c r="F1063" s="25" t="n">
        <f aca="false">LN(C1063/C1062)</f>
        <v>-0.00332477076748372</v>
      </c>
      <c r="G1063" s="25" t="n">
        <f aca="false">IF(AND(D1063=1,A1063&gt;=$R$2),F1063,"")</f>
        <v>-0.00332477076748372</v>
      </c>
      <c r="H1063" s="27" t="n">
        <f aca="false">IF(G1063="","",G1063^2)</f>
        <v>1.10541006563143E-005</v>
      </c>
      <c r="I1063" s="25" t="n">
        <f aca="false">IF(G1063="","",C1063/C1062-1)</f>
        <v>-0.00331924983745935</v>
      </c>
      <c r="J1063" s="17" t="n">
        <f aca="false">AVERAGE(C864:C1063)</f>
        <v>4176.2105</v>
      </c>
      <c r="K1063" s="17" t="n">
        <f aca="false">MAX(K1062,C1063)</f>
        <v>9949</v>
      </c>
      <c r="L1063" s="25" t="n">
        <f aca="false">C1063/K1063-1</f>
        <v>-0.00462358025932252</v>
      </c>
      <c r="M1063" s="25" t="n">
        <f aca="false">IF(COUNT(G1034:G1063)&lt;20,"",_xlfn.STDEV.S(G1034:G1063)*SQRT($R$3))</f>
        <v>0.885452993614118</v>
      </c>
      <c r="N1063" s="25" t="n">
        <f aca="false">IF(A1063-7&lt;$R$2,"",C1063/INDEX(Clean_Data!$C$2:$C$4314,MATCH(A1063-7,Clean_Data!$A$2:$A$4314,1))-1)</f>
        <v>0.233072183843928</v>
      </c>
      <c r="O1063" s="25" t="n">
        <f aca="false">IF(A1063-30&lt;$R$2,"",C1063/INDEX(Clean_Data!$C$2:$C$4314,MATCH(A1063-30,Clean_Data!$A$2:$A$4314,1))-1)</f>
        <v>0.536537569375377</v>
      </c>
    </row>
    <row r="1064" customFormat="false" ht="15" hidden="false" customHeight="false" outlineLevel="0" collapsed="false">
      <c r="A1064" s="16" t="n">
        <v>43070</v>
      </c>
      <c r="B1064" s="23" t="n">
        <f aca="false">YEAR(A1064)</f>
        <v>2017</v>
      </c>
      <c r="C1064" s="17" t="n">
        <v>10869.84</v>
      </c>
      <c r="D1064" s="23" t="n">
        <f aca="false">A1064-A1063</f>
        <v>1</v>
      </c>
      <c r="E1064" s="24" t="n">
        <f aca="false">LN(C1064)</f>
        <v>9.2937472605957</v>
      </c>
      <c r="F1064" s="25" t="n">
        <f aca="false">LN(C1064/C1063)</f>
        <v>0.0931542400743972</v>
      </c>
      <c r="G1064" s="25" t="n">
        <f aca="false">IF(AND(D1064=1,A1064&gt;=$R$2),F1064,"")</f>
        <v>0.0931542400743972</v>
      </c>
      <c r="H1064" s="27" t="n">
        <f aca="false">IF(G1064="","",G1064^2)</f>
        <v>0.00867771244383843</v>
      </c>
      <c r="I1064" s="25" t="n">
        <f aca="false">IF(G1064="","",C1064/C1063-1)</f>
        <v>0.0976310209027567</v>
      </c>
      <c r="J1064" s="17" t="n">
        <f aca="false">AVERAGE(C865:C1064)</f>
        <v>4221.82065</v>
      </c>
      <c r="K1064" s="17" t="n">
        <f aca="false">MAX(K1063,C1064)</f>
        <v>10869.84</v>
      </c>
      <c r="L1064" s="25" t="n">
        <f aca="false">C1064/K1064-1</f>
        <v>0</v>
      </c>
      <c r="M1064" s="25" t="n">
        <f aca="false">IF(COUNT(G1035:G1064)&lt;20,"",_xlfn.STDEV.S(G1035:G1064)*SQRT($R$3))</f>
        <v>0.918901430690623</v>
      </c>
      <c r="N1064" s="25" t="n">
        <f aca="false">IF(A1064-7&lt;$R$2,"",C1064/INDEX(Clean_Data!$C$2:$C$4314,MATCH(A1064-7,Clean_Data!$A$2:$A$4314,1))-1)</f>
        <v>0.323168200647352</v>
      </c>
      <c r="O1064" s="25" t="n">
        <f aca="false">IF(A1064-30&lt;$R$2,"",C1064/INDEX(Clean_Data!$C$2:$C$4314,MATCH(A1064-30,Clean_Data!$A$2:$A$4314,1))-1)</f>
        <v>0.602349163950593</v>
      </c>
    </row>
    <row r="1065" customFormat="false" ht="15" hidden="false" customHeight="false" outlineLevel="0" collapsed="false">
      <c r="A1065" s="16" t="n">
        <v>43071</v>
      </c>
      <c r="B1065" s="23" t="n">
        <f aca="false">YEAR(A1065)</f>
        <v>2017</v>
      </c>
      <c r="C1065" s="17" t="n">
        <v>10930.24</v>
      </c>
      <c r="D1065" s="23" t="n">
        <f aca="false">A1065-A1064</f>
        <v>1</v>
      </c>
      <c r="E1065" s="24" t="n">
        <f aca="false">LN(C1065)</f>
        <v>9.29928853884351</v>
      </c>
      <c r="F1065" s="25" t="n">
        <f aca="false">LN(C1065/C1064)</f>
        <v>0.00554127824781089</v>
      </c>
      <c r="G1065" s="25" t="n">
        <f aca="false">IF(AND(D1065=1,A1065&gt;=$R$2),F1065,"")</f>
        <v>0.00554127824781089</v>
      </c>
      <c r="H1065" s="27" t="n">
        <f aca="false">IF(G1065="","",G1065^2)</f>
        <v>3.07057646196621E-005</v>
      </c>
      <c r="I1065" s="25" t="n">
        <f aca="false">IF(G1065="","",C1065/C1064-1)</f>
        <v>0.00555665952764706</v>
      </c>
      <c r="J1065" s="17" t="n">
        <f aca="false">AVERAGE(C866:C1065)</f>
        <v>4267.58445</v>
      </c>
      <c r="K1065" s="17" t="n">
        <f aca="false">MAX(K1064,C1065)</f>
        <v>10930.24</v>
      </c>
      <c r="L1065" s="25" t="n">
        <f aca="false">C1065/K1065-1</f>
        <v>0</v>
      </c>
      <c r="M1065" s="25" t="n">
        <f aca="false">IF(COUNT(G1036:G1065)&lt;20,"",_xlfn.STDEV.S(G1036:G1065)*SQRT($R$3))</f>
        <v>0.916252332622797</v>
      </c>
      <c r="N1065" s="25" t="n">
        <f aca="false">IF(A1065-7&lt;$R$2,"",C1065/INDEX(Clean_Data!$C$2:$C$4314,MATCH(A1065-7,Clean_Data!$A$2:$A$4314,1))-1)</f>
        <v>0.242708203058382</v>
      </c>
      <c r="O1065" s="25" t="n">
        <f aca="false">IF(A1065-30&lt;$R$2,"",C1065/INDEX(Clean_Data!$C$2:$C$4314,MATCH(A1065-30,Clean_Data!$A$2:$A$4314,1))-1)</f>
        <v>0.552595319873068</v>
      </c>
    </row>
    <row r="1066" customFormat="false" ht="15" hidden="false" customHeight="false" outlineLevel="0" collapsed="false">
      <c r="A1066" s="16" t="n">
        <v>43072</v>
      </c>
      <c r="B1066" s="23" t="n">
        <f aca="false">YEAR(A1066)</f>
        <v>2017</v>
      </c>
      <c r="C1066" s="17" t="n">
        <v>11290</v>
      </c>
      <c r="D1066" s="23" t="n">
        <f aca="false">A1066-A1065</f>
        <v>1</v>
      </c>
      <c r="E1066" s="24" t="n">
        <f aca="false">LN(C1066)</f>
        <v>9.33167265714371</v>
      </c>
      <c r="F1066" s="25" t="n">
        <f aca="false">LN(C1066/C1065)</f>
        <v>0.0323841183001968</v>
      </c>
      <c r="G1066" s="25" t="n">
        <f aca="false">IF(AND(D1066=1,A1066&gt;=$R$2),F1066,"")</f>
        <v>0.0323841183001968</v>
      </c>
      <c r="H1066" s="27" t="n">
        <f aca="false">IF(G1066="","",G1066^2)</f>
        <v>0.00104873111808114</v>
      </c>
      <c r="I1066" s="25" t="n">
        <f aca="false">IF(G1066="","",C1066/C1065-1)</f>
        <v>0.032914190356296</v>
      </c>
      <c r="J1066" s="17" t="n">
        <f aca="false">AVERAGE(C867:C1066)</f>
        <v>4314.9683</v>
      </c>
      <c r="K1066" s="17" t="n">
        <f aca="false">MAX(K1065,C1066)</f>
        <v>11290</v>
      </c>
      <c r="L1066" s="25" t="n">
        <f aca="false">C1066/K1066-1</f>
        <v>0</v>
      </c>
      <c r="M1066" s="25" t="n">
        <f aca="false">IF(COUNT(G1037:G1066)&lt;20,"",_xlfn.STDEV.S(G1037:G1066)*SQRT($R$3))</f>
        <v>0.918270434501881</v>
      </c>
      <c r="N1066" s="25" t="n">
        <f aca="false">IF(A1066-7&lt;$R$2,"",C1066/INDEX(Clean_Data!$C$2:$C$4314,MATCH(A1066-7,Clean_Data!$A$2:$A$4314,1))-1)</f>
        <v>0.200922018782888</v>
      </c>
      <c r="O1066" s="25" t="n">
        <f aca="false">IF(A1066-30&lt;$R$2,"",C1066/INDEX(Clean_Data!$C$2:$C$4314,MATCH(A1066-30,Clean_Data!$A$2:$A$4314,1))-1)</f>
        <v>0.574614261346916</v>
      </c>
    </row>
    <row r="1067" customFormat="false" ht="15" hidden="false" customHeight="false" outlineLevel="0" collapsed="false">
      <c r="A1067" s="16" t="n">
        <v>43073</v>
      </c>
      <c r="B1067" s="23" t="n">
        <f aca="false">YEAR(A1067)</f>
        <v>2017</v>
      </c>
      <c r="C1067" s="17" t="n">
        <v>11643.98</v>
      </c>
      <c r="D1067" s="23" t="n">
        <f aca="false">A1067-A1066</f>
        <v>1</v>
      </c>
      <c r="E1067" s="24" t="n">
        <f aca="false">LN(C1067)</f>
        <v>9.36254458724123</v>
      </c>
      <c r="F1067" s="25" t="n">
        <f aca="false">LN(C1067/C1066)</f>
        <v>0.030871930097521</v>
      </c>
      <c r="G1067" s="25" t="n">
        <f aca="false">IF(AND(D1067=1,A1067&gt;=$R$2),F1067,"")</f>
        <v>0.030871930097521</v>
      </c>
      <c r="H1067" s="27" t="n">
        <f aca="false">IF(G1067="","",G1067^2)</f>
        <v>0.00095307606794622</v>
      </c>
      <c r="I1067" s="25" t="n">
        <f aca="false">IF(G1067="","",C1067/C1066-1)</f>
        <v>0.0313534100974313</v>
      </c>
      <c r="J1067" s="17" t="n">
        <f aca="false">AVERAGE(C868:C1067)</f>
        <v>4363.6924</v>
      </c>
      <c r="K1067" s="17" t="n">
        <f aca="false">MAX(K1066,C1067)</f>
        <v>11643.98</v>
      </c>
      <c r="L1067" s="25" t="n">
        <f aca="false">C1067/K1067-1</f>
        <v>0</v>
      </c>
      <c r="M1067" s="25" t="n">
        <f aca="false">IF(COUNT(G1038:G1067)&lt;20,"",_xlfn.STDEV.S(G1038:G1067)*SQRT($R$3))</f>
        <v>0.917712874379397</v>
      </c>
      <c r="N1067" s="25" t="n">
        <f aca="false">IF(A1067-7&lt;$R$2,"",C1067/INDEX(Clean_Data!$C$2:$C$4314,MATCH(A1067-7,Clean_Data!$A$2:$A$4314,1))-1)</f>
        <v>0.191967004855298</v>
      </c>
      <c r="O1067" s="25" t="n">
        <f aca="false">IF(A1067-30&lt;$R$2,"",C1067/INDEX(Clean_Data!$C$2:$C$4314,MATCH(A1067-30,Clean_Data!$A$2:$A$4314,1))-1)</f>
        <v>0.570846739650997</v>
      </c>
    </row>
    <row r="1068" customFormat="false" ht="15" hidden="false" customHeight="false" outlineLevel="0" collapsed="false">
      <c r="A1068" s="16" t="n">
        <v>43074</v>
      </c>
      <c r="B1068" s="23" t="n">
        <f aca="false">YEAR(A1068)</f>
        <v>2017</v>
      </c>
      <c r="C1068" s="17" t="n">
        <v>11718.35</v>
      </c>
      <c r="D1068" s="23" t="n">
        <f aca="false">A1068-A1067</f>
        <v>1</v>
      </c>
      <c r="E1068" s="24" t="n">
        <f aca="false">LN(C1068)</f>
        <v>9.36891126823693</v>
      </c>
      <c r="F1068" s="25" t="n">
        <f aca="false">LN(C1068/C1067)</f>
        <v>0.00636668099570399</v>
      </c>
      <c r="G1068" s="25" t="n">
        <f aca="false">IF(AND(D1068=1,A1068&gt;=$R$2),F1068,"")</f>
        <v>0.00636668099570399</v>
      </c>
      <c r="H1068" s="27" t="n">
        <f aca="false">IF(G1068="","",G1068^2)</f>
        <v>4.05346269010583E-005</v>
      </c>
      <c r="I1068" s="25" t="n">
        <f aca="false">IF(G1068="","",C1068/C1067-1)</f>
        <v>0.00638699138954224</v>
      </c>
      <c r="J1068" s="17" t="n">
        <f aca="false">AVERAGE(C869:C1068)</f>
        <v>4412.403</v>
      </c>
      <c r="K1068" s="17" t="n">
        <f aca="false">MAX(K1067,C1068)</f>
        <v>11718.35</v>
      </c>
      <c r="L1068" s="25" t="n">
        <f aca="false">C1068/K1068-1</f>
        <v>0</v>
      </c>
      <c r="M1068" s="25" t="n">
        <f aca="false">IF(COUNT(G1039:G1068)&lt;20,"",_xlfn.STDEV.S(G1039:G1068)*SQRT($R$3))</f>
        <v>0.916029703982765</v>
      </c>
      <c r="N1068" s="25" t="n">
        <f aca="false">IF(A1068-7&lt;$R$2,"",C1068/INDEX(Clean_Data!$C$2:$C$4314,MATCH(A1068-7,Clean_Data!$A$2:$A$4314,1))-1)</f>
        <v>0.177841994170268</v>
      </c>
      <c r="O1068" s="25" t="n">
        <f aca="false">IF(A1068-30&lt;$R$2,"",C1068/INDEX(Clean_Data!$C$2:$C$4314,MATCH(A1068-30,Clean_Data!$A$2:$A$4314,1))-1)</f>
        <v>0.585274621212121</v>
      </c>
    </row>
    <row r="1069" customFormat="false" ht="15" hidden="false" customHeight="false" outlineLevel="0" collapsed="false">
      <c r="A1069" s="16" t="n">
        <v>43075</v>
      </c>
      <c r="B1069" s="23" t="n">
        <f aca="false">YEAR(A1069)</f>
        <v>2017</v>
      </c>
      <c r="C1069" s="17" t="n">
        <v>14090</v>
      </c>
      <c r="D1069" s="23" t="n">
        <f aca="false">A1069-A1068</f>
        <v>1</v>
      </c>
      <c r="E1069" s="24" t="n">
        <f aca="false">LN(C1069)</f>
        <v>9.55322060489273</v>
      </c>
      <c r="F1069" s="25" t="n">
        <f aca="false">LN(C1069/C1068)</f>
        <v>0.184309336655793</v>
      </c>
      <c r="G1069" s="25" t="n">
        <f aca="false">IF(AND(D1069=1,A1069&gt;=$R$2),F1069,"")</f>
        <v>0.184309336655793</v>
      </c>
      <c r="H1069" s="27" t="n">
        <f aca="false">IF(G1069="","",G1069^2)</f>
        <v>0.0339699315784986</v>
      </c>
      <c r="I1069" s="25" t="n">
        <f aca="false">IF(G1069="","",C1069/C1068-1)</f>
        <v>0.202387708167106</v>
      </c>
      <c r="J1069" s="17" t="n">
        <f aca="false">AVERAGE(C870:C1069)</f>
        <v>4472.55845</v>
      </c>
      <c r="K1069" s="17" t="n">
        <f aca="false">MAX(K1068,C1069)</f>
        <v>14090</v>
      </c>
      <c r="L1069" s="25" t="n">
        <f aca="false">C1069/K1069-1</f>
        <v>0</v>
      </c>
      <c r="M1069" s="25" t="n">
        <f aca="false">IF(COUNT(G1040:G1069)&lt;20,"",_xlfn.STDEV.S(G1040:G1069)*SQRT($R$3))</f>
        <v>1.05086903143875</v>
      </c>
      <c r="N1069" s="25" t="n">
        <f aca="false">IF(A1069-7&lt;$R$2,"",C1069/INDEX(Clean_Data!$C$2:$C$4314,MATCH(A1069-7,Clean_Data!$A$2:$A$4314,1))-1)</f>
        <v>0.418078538805432</v>
      </c>
      <c r="O1069" s="25" t="n">
        <f aca="false">IF(A1069-30&lt;$R$2,"",C1069/INDEX(Clean_Data!$C$2:$C$4314,MATCH(A1069-30,Clean_Data!$A$2:$A$4314,1))-1)</f>
        <v>1.02159041344322</v>
      </c>
    </row>
    <row r="1070" customFormat="false" ht="15" hidden="false" customHeight="false" outlineLevel="0" collapsed="false">
      <c r="A1070" s="16" t="n">
        <v>43076</v>
      </c>
      <c r="B1070" s="23" t="n">
        <f aca="false">YEAR(A1070)</f>
        <v>2017</v>
      </c>
      <c r="C1070" s="17" t="n">
        <v>17390.01</v>
      </c>
      <c r="D1070" s="23" t="n">
        <f aca="false">A1070-A1069</f>
        <v>1</v>
      </c>
      <c r="E1070" s="24" t="n">
        <f aca="false">LN(C1070)</f>
        <v>9.76365118239129</v>
      </c>
      <c r="F1070" s="25" t="n">
        <f aca="false">LN(C1070/C1069)</f>
        <v>0.210430577498566</v>
      </c>
      <c r="G1070" s="25" t="n">
        <f aca="false">IF(AND(D1070=1,A1070&gt;=$R$2),F1070,"")</f>
        <v>0.210430577498566</v>
      </c>
      <c r="H1070" s="27" t="n">
        <f aca="false">IF(G1070="","",G1070^2)</f>
        <v>0.0442810279463799</v>
      </c>
      <c r="I1070" s="25" t="n">
        <f aca="false">IF(G1070="","",C1070/C1069-1)</f>
        <v>0.234209368346345</v>
      </c>
      <c r="J1070" s="17" t="n">
        <f aca="false">AVERAGE(C871:C1070)</f>
        <v>4549.2235</v>
      </c>
      <c r="K1070" s="17" t="n">
        <f aca="false">MAX(K1069,C1070)</f>
        <v>17390.01</v>
      </c>
      <c r="L1070" s="25" t="n">
        <f aca="false">C1070/K1070-1</f>
        <v>0</v>
      </c>
      <c r="M1070" s="25" t="n">
        <f aca="false">IF(COUNT(G1041:G1070)&lt;20,"",_xlfn.STDEV.S(G1041:G1070)*SQRT($R$3))</f>
        <v>1.23670014322771</v>
      </c>
      <c r="N1070" s="25" t="n">
        <f aca="false">IF(A1070-7&lt;$R$2,"",C1070/INDEX(Clean_Data!$C$2:$C$4314,MATCH(A1070-7,Clean_Data!$A$2:$A$4314,1))-1)</f>
        <v>0.756034534989397</v>
      </c>
      <c r="O1070" s="25" t="n">
        <f aca="false">IF(A1070-30&lt;$R$2,"",C1070/INDEX(Clean_Data!$C$2:$C$4314,MATCH(A1070-30,Clean_Data!$A$2:$A$4314,1))-1)</f>
        <v>1.44014492123205</v>
      </c>
    </row>
    <row r="1071" customFormat="false" ht="15" hidden="false" customHeight="false" outlineLevel="0" collapsed="false">
      <c r="A1071" s="16" t="n">
        <v>43077</v>
      </c>
      <c r="B1071" s="23" t="n">
        <f aca="false">YEAR(A1071)</f>
        <v>2017</v>
      </c>
      <c r="C1071" s="17" t="n">
        <v>16367.03</v>
      </c>
      <c r="D1071" s="23" t="n">
        <f aca="false">A1071-A1070</f>
        <v>1</v>
      </c>
      <c r="E1071" s="24" t="n">
        <f aca="false">LN(C1071)</f>
        <v>9.70302422446076</v>
      </c>
      <c r="F1071" s="25" t="n">
        <f aca="false">LN(C1071/C1070)</f>
        <v>-0.0606269579305286</v>
      </c>
      <c r="G1071" s="25" t="n">
        <f aca="false">IF(AND(D1071=1,A1071&gt;=$R$2),F1071,"")</f>
        <v>-0.0606269579305286</v>
      </c>
      <c r="H1071" s="27" t="n">
        <f aca="false">IF(G1071="","",G1071^2)</f>
        <v>0.00367562802791008</v>
      </c>
      <c r="I1071" s="25" t="n">
        <f aca="false">IF(G1071="","",C1071/C1070-1)</f>
        <v>-0.0588257281048141</v>
      </c>
      <c r="J1071" s="17" t="n">
        <f aca="false">AVERAGE(C872:C1071)</f>
        <v>4620.4422</v>
      </c>
      <c r="K1071" s="17" t="n">
        <f aca="false">MAX(K1070,C1071)</f>
        <v>17390.01</v>
      </c>
      <c r="L1071" s="25" t="n">
        <f aca="false">C1071/K1071-1</f>
        <v>-0.0588257281048141</v>
      </c>
      <c r="M1071" s="25" t="n">
        <f aca="false">IF(COUNT(G1042:G1071)&lt;20,"",_xlfn.STDEV.S(G1042:G1071)*SQRT($R$3))</f>
        <v>1.27424466943389</v>
      </c>
      <c r="N1071" s="25" t="n">
        <f aca="false">IF(A1071-7&lt;$R$2,"",C1071/INDEX(Clean_Data!$C$2:$C$4314,MATCH(A1071-7,Clean_Data!$A$2:$A$4314,1))-1)</f>
        <v>0.505728695178586</v>
      </c>
      <c r="O1071" s="25" t="n">
        <f aca="false">IF(A1071-30&lt;$R$2,"",C1071/INDEX(Clean_Data!$C$2:$C$4314,MATCH(A1071-30,Clean_Data!$A$2:$A$4314,1))-1)</f>
        <v>1.19163332422777</v>
      </c>
    </row>
    <row r="1072" customFormat="false" ht="15" hidden="false" customHeight="false" outlineLevel="0" collapsed="false">
      <c r="A1072" s="16" t="n">
        <v>43078</v>
      </c>
      <c r="B1072" s="23" t="n">
        <f aca="false">YEAR(A1072)</f>
        <v>2017</v>
      </c>
      <c r="C1072" s="17" t="n">
        <v>15309.98</v>
      </c>
      <c r="D1072" s="23" t="n">
        <f aca="false">A1072-A1071</f>
        <v>1</v>
      </c>
      <c r="E1072" s="24" t="n">
        <f aca="false">LN(C1072)</f>
        <v>9.63626018231515</v>
      </c>
      <c r="F1072" s="25" t="n">
        <f aca="false">LN(C1072/C1071)</f>
        <v>-0.0667640421456151</v>
      </c>
      <c r="G1072" s="25" t="n">
        <f aca="false">IF(AND(D1072=1,A1072&gt;=$R$2),F1072,"")</f>
        <v>-0.0667640421456151</v>
      </c>
      <c r="H1072" s="27" t="n">
        <f aca="false">IF(G1072="","",G1072^2)</f>
        <v>0.00445743732362147</v>
      </c>
      <c r="I1072" s="25" t="n">
        <f aca="false">IF(G1072="","",C1072/C1071-1)</f>
        <v>-0.0645841059740222</v>
      </c>
      <c r="J1072" s="17" t="n">
        <f aca="false">AVERAGE(C873:C1072)</f>
        <v>4685.62835</v>
      </c>
      <c r="K1072" s="17" t="n">
        <f aca="false">MAX(K1071,C1072)</f>
        <v>17390.01</v>
      </c>
      <c r="L1072" s="25" t="n">
        <f aca="false">C1072/K1072-1</f>
        <v>-0.119610627020916</v>
      </c>
      <c r="M1072" s="25" t="n">
        <f aca="false">IF(COUNT(G1043:G1072)&lt;20,"",_xlfn.STDEV.S(G1043:G1072)*SQRT($R$3))</f>
        <v>1.2932532473696</v>
      </c>
      <c r="N1072" s="25" t="n">
        <f aca="false">IF(A1072-7&lt;$R$2,"",C1072/INDEX(Clean_Data!$C$2:$C$4314,MATCH(A1072-7,Clean_Data!$A$2:$A$4314,1))-1)</f>
        <v>0.400699344204702</v>
      </c>
      <c r="O1072" s="25" t="n">
        <f aca="false">IF(A1072-30&lt;$R$2,"",C1072/INDEX(Clean_Data!$C$2:$C$4314,MATCH(A1072-30,Clean_Data!$A$2:$A$4314,1))-1)</f>
        <v>1.13946059250978</v>
      </c>
    </row>
    <row r="1073" customFormat="false" ht="15" hidden="false" customHeight="false" outlineLevel="0" collapsed="false">
      <c r="A1073" s="16" t="n">
        <v>43079</v>
      </c>
      <c r="B1073" s="23" t="n">
        <f aca="false">YEAR(A1073)</f>
        <v>2017</v>
      </c>
      <c r="C1073" s="17" t="n">
        <v>15290.01</v>
      </c>
      <c r="D1073" s="23" t="n">
        <f aca="false">A1073-A1072</f>
        <v>1</v>
      </c>
      <c r="E1073" s="24" t="n">
        <f aca="false">LN(C1073)</f>
        <v>9.63495495294513</v>
      </c>
      <c r="F1073" s="25" t="n">
        <f aca="false">LN(C1073/C1072)</f>
        <v>-0.00130522937001703</v>
      </c>
      <c r="G1073" s="25" t="n">
        <f aca="false">IF(AND(D1073=1,A1073&gt;=$R$2),F1073,"")</f>
        <v>-0.00130522937001703</v>
      </c>
      <c r="H1073" s="27" t="n">
        <f aca="false">IF(G1073="","",G1073^2)</f>
        <v>1.70362370835506E-006</v>
      </c>
      <c r="I1073" s="25" t="n">
        <f aca="false">IF(G1073="","",C1073/C1072-1)</f>
        <v>-0.00130437792864524</v>
      </c>
      <c r="J1073" s="17" t="n">
        <f aca="false">AVERAGE(C874:C1073)</f>
        <v>4749.91355</v>
      </c>
      <c r="K1073" s="17" t="n">
        <f aca="false">MAX(K1072,C1073)</f>
        <v>17390.01</v>
      </c>
      <c r="L1073" s="25" t="n">
        <f aca="false">C1073/K1073-1</f>
        <v>-0.120758987487644</v>
      </c>
      <c r="M1073" s="25" t="n">
        <f aca="false">IF(COUNT(G1044:G1073)&lt;20,"",_xlfn.STDEV.S(G1044:G1073)*SQRT($R$3))</f>
        <v>1.23583538475168</v>
      </c>
      <c r="N1073" s="25" t="n">
        <f aca="false">IF(A1073-7&lt;$R$2,"",C1073/INDEX(Clean_Data!$C$2:$C$4314,MATCH(A1073-7,Clean_Data!$A$2:$A$4314,1))-1)</f>
        <v>0.354296722763508</v>
      </c>
      <c r="O1073" s="25" t="n">
        <f aca="false">IF(A1073-30&lt;$R$2,"",C1073/INDEX(Clean_Data!$C$2:$C$4314,MATCH(A1073-30,Clean_Data!$A$2:$A$4314,1))-1)</f>
        <v>1.32455052131318</v>
      </c>
    </row>
    <row r="1074" customFormat="false" ht="15" hidden="false" customHeight="false" outlineLevel="0" collapsed="false">
      <c r="A1074" s="16" t="n">
        <v>43080</v>
      </c>
      <c r="B1074" s="23" t="n">
        <f aca="false">YEAR(A1074)</f>
        <v>2017</v>
      </c>
      <c r="C1074" s="17" t="n">
        <v>16885.76</v>
      </c>
      <c r="D1074" s="23" t="n">
        <f aca="false">A1074-A1073</f>
        <v>1</v>
      </c>
      <c r="E1074" s="24" t="n">
        <f aca="false">LN(C1074)</f>
        <v>9.73422594217096</v>
      </c>
      <c r="F1074" s="25" t="n">
        <f aca="false">LN(C1074/C1073)</f>
        <v>0.0992709892258297</v>
      </c>
      <c r="G1074" s="25" t="n">
        <f aca="false">IF(AND(D1074=1,A1074&gt;=$R$2),F1074,"")</f>
        <v>0.0992709892258297</v>
      </c>
      <c r="H1074" s="27" t="n">
        <f aca="false">IF(G1074="","",G1074^2)</f>
        <v>0.0098547293018748</v>
      </c>
      <c r="I1074" s="25" t="n">
        <f aca="false">IF(G1074="","",C1074/C1073-1)</f>
        <v>0.104365530172969</v>
      </c>
      <c r="J1074" s="17" t="n">
        <f aca="false">AVERAGE(C875:C1074)</f>
        <v>4822.56735</v>
      </c>
      <c r="K1074" s="17" t="n">
        <f aca="false">MAX(K1073,C1074)</f>
        <v>17390.01</v>
      </c>
      <c r="L1074" s="25" t="n">
        <f aca="false">C1074/K1074-1</f>
        <v>-0.0289965330669735</v>
      </c>
      <c r="M1074" s="25" t="n">
        <f aca="false">IF(COUNT(G1045:G1074)&lt;20,"",_xlfn.STDEV.S(G1045:G1074)*SQRT($R$3))</f>
        <v>1.23775720918683</v>
      </c>
      <c r="N1074" s="25" t="n">
        <f aca="false">IF(A1074-7&lt;$R$2,"",C1074/INDEX(Clean_Data!$C$2:$C$4314,MATCH(A1074-7,Clean_Data!$A$2:$A$4314,1))-1)</f>
        <v>0.450170817881858</v>
      </c>
      <c r="O1074" s="25" t="n">
        <f aca="false">IF(A1074-30&lt;$R$2,"",C1074/INDEX(Clean_Data!$C$2:$C$4314,MATCH(A1074-30,Clean_Data!$A$2:$A$4314,1))-1)</f>
        <v>1.66055745505538</v>
      </c>
    </row>
    <row r="1075" customFormat="false" ht="15" hidden="false" customHeight="false" outlineLevel="0" collapsed="false">
      <c r="A1075" s="16" t="n">
        <v>43081</v>
      </c>
      <c r="B1075" s="23" t="n">
        <f aca="false">YEAR(A1075)</f>
        <v>2017</v>
      </c>
      <c r="C1075" s="17" t="n">
        <v>17730.12</v>
      </c>
      <c r="D1075" s="23" t="n">
        <f aca="false">A1075-A1074</f>
        <v>1</v>
      </c>
      <c r="E1075" s="24" t="n">
        <f aca="false">LN(C1075)</f>
        <v>9.78302016723486</v>
      </c>
      <c r="F1075" s="25" t="n">
        <f aca="false">LN(C1075/C1074)</f>
        <v>0.0487942250638983</v>
      </c>
      <c r="G1075" s="25" t="n">
        <f aca="false">IF(AND(D1075=1,A1075&gt;=$R$2),F1075,"")</f>
        <v>0.0487942250638983</v>
      </c>
      <c r="H1075" s="27" t="n">
        <f aca="false">IF(G1075="","",G1075^2)</f>
        <v>0.00238087639958636</v>
      </c>
      <c r="I1075" s="25" t="n">
        <f aca="false">IF(G1075="","",C1075/C1074-1)</f>
        <v>0.0500042639478473</v>
      </c>
      <c r="J1075" s="17" t="n">
        <f aca="false">AVERAGE(C876:C1075)</f>
        <v>4899.85445</v>
      </c>
      <c r="K1075" s="17" t="n">
        <f aca="false">MAX(K1074,C1075)</f>
        <v>17730.12</v>
      </c>
      <c r="L1075" s="25" t="n">
        <f aca="false">C1075/K1075-1</f>
        <v>0</v>
      </c>
      <c r="M1075" s="25" t="n">
        <f aca="false">IF(COUNT(G1046:G1075)&lt;20,"",_xlfn.STDEV.S(G1046:G1075)*SQRT($R$3))</f>
        <v>1.17571111133255</v>
      </c>
      <c r="N1075" s="25" t="n">
        <f aca="false">IF(A1075-7&lt;$R$2,"",C1075/INDEX(Clean_Data!$C$2:$C$4314,MATCH(A1075-7,Clean_Data!$A$2:$A$4314,1))-1)</f>
        <v>0.513021884480323</v>
      </c>
      <c r="O1075" s="25" t="n">
        <f aca="false">IF(A1075-30&lt;$R$2,"",C1075/INDEX(Clean_Data!$C$2:$C$4314,MATCH(A1075-30,Clean_Data!$A$2:$A$4314,1))-1)</f>
        <v>2.01207369592362</v>
      </c>
    </row>
    <row r="1076" customFormat="false" ht="15" hidden="false" customHeight="false" outlineLevel="0" collapsed="false">
      <c r="A1076" s="16" t="n">
        <v>43082</v>
      </c>
      <c r="B1076" s="23" t="n">
        <f aca="false">YEAR(A1076)</f>
        <v>2017</v>
      </c>
      <c r="C1076" s="17" t="n">
        <v>16689.61</v>
      </c>
      <c r="D1076" s="23" t="n">
        <f aca="false">A1076-A1075</f>
        <v>1</v>
      </c>
      <c r="E1076" s="24" t="n">
        <f aca="false">LN(C1076)</f>
        <v>9.72254164909706</v>
      </c>
      <c r="F1076" s="25" t="n">
        <f aca="false">LN(C1076/C1075)</f>
        <v>-0.0604785181377971</v>
      </c>
      <c r="G1076" s="25" t="n">
        <f aca="false">IF(AND(D1076=1,A1076&gt;=$R$2),F1076,"")</f>
        <v>-0.0604785181377971</v>
      </c>
      <c r="H1076" s="27" t="n">
        <f aca="false">IF(G1076="","",G1076^2)</f>
        <v>0.00365765115614385</v>
      </c>
      <c r="I1076" s="25" t="n">
        <f aca="false">IF(G1076="","",C1076/C1075-1)</f>
        <v>-0.0586860100213646</v>
      </c>
      <c r="J1076" s="17" t="n">
        <f aca="false">AVERAGE(C877:C1076)</f>
        <v>4972.80255</v>
      </c>
      <c r="K1076" s="17" t="n">
        <f aca="false">MAX(K1075,C1076)</f>
        <v>17730.12</v>
      </c>
      <c r="L1076" s="25" t="n">
        <f aca="false">C1076/K1076-1</f>
        <v>-0.0586860100213646</v>
      </c>
      <c r="M1076" s="25" t="n">
        <f aca="false">IF(COUNT(G1047:G1076)&lt;20,"",_xlfn.STDEV.S(G1047:G1076)*SQRT($R$3))</f>
        <v>1.19657577725236</v>
      </c>
      <c r="N1076" s="25" t="n">
        <f aca="false">IF(A1076-7&lt;$R$2,"",C1076/INDEX(Clean_Data!$C$2:$C$4314,MATCH(A1076-7,Clean_Data!$A$2:$A$4314,1))-1)</f>
        <v>0.184500354861604</v>
      </c>
      <c r="O1076" s="25" t="n">
        <f aca="false">IF(A1076-30&lt;$R$2,"",C1076/INDEX(Clean_Data!$C$2:$C$4314,MATCH(A1076-30,Clean_Data!$A$2:$A$4314,1))-1)</f>
        <v>1.55354069159882</v>
      </c>
    </row>
    <row r="1077" customFormat="false" ht="15" hidden="false" customHeight="false" outlineLevel="0" collapsed="false">
      <c r="A1077" s="16" t="n">
        <v>43083</v>
      </c>
      <c r="B1077" s="23" t="n">
        <f aca="false">YEAR(A1077)</f>
        <v>2017</v>
      </c>
      <c r="C1077" s="17" t="n">
        <v>16749.78</v>
      </c>
      <c r="D1077" s="23" t="n">
        <f aca="false">A1077-A1076</f>
        <v>1</v>
      </c>
      <c r="E1077" s="24" t="n">
        <f aca="false">LN(C1077)</f>
        <v>9.7261404028386</v>
      </c>
      <c r="F1077" s="25" t="n">
        <f aca="false">LN(C1077/C1076)</f>
        <v>0.00359875374153647</v>
      </c>
      <c r="G1077" s="25" t="n">
        <f aca="false">IF(AND(D1077=1,A1077&gt;=$R$2),F1077,"")</f>
        <v>0.00359875374153647</v>
      </c>
      <c r="H1077" s="27" t="n">
        <f aca="false">IF(G1077="","",G1077^2)</f>
        <v>1.29510284922227E-005</v>
      </c>
      <c r="I1077" s="25" t="n">
        <f aca="false">IF(G1077="","",C1077/C1076-1)</f>
        <v>0.00360523703070337</v>
      </c>
      <c r="J1077" s="17" t="n">
        <f aca="false">AVERAGE(C878:C1077)</f>
        <v>5045.38755</v>
      </c>
      <c r="K1077" s="17" t="n">
        <f aca="false">MAX(K1076,C1077)</f>
        <v>17730.12</v>
      </c>
      <c r="L1077" s="25" t="n">
        <f aca="false">C1077/K1077-1</f>
        <v>-0.0552923499671745</v>
      </c>
      <c r="M1077" s="25" t="n">
        <f aca="false">IF(COUNT(G1048:G1077)&lt;20,"",_xlfn.STDEV.S(G1048:G1077)*SQRT($R$3))</f>
        <v>1.19832747595475</v>
      </c>
      <c r="N1077" s="25" t="n">
        <f aca="false">IF(A1077-7&lt;$R$2,"",C1077/INDEX(Clean_Data!$C$2:$C$4314,MATCH(A1077-7,Clean_Data!$A$2:$A$4314,1))-1)</f>
        <v>-0.0368159650281972</v>
      </c>
      <c r="O1077" s="25" t="n">
        <f aca="false">IF(A1077-30&lt;$R$2,"",C1077/INDEX(Clean_Data!$C$2:$C$4314,MATCH(A1077-30,Clean_Data!$A$2:$A$4314,1))-1)</f>
        <v>1.5359242997729</v>
      </c>
    </row>
    <row r="1078" customFormat="false" ht="15" hidden="false" customHeight="false" outlineLevel="0" collapsed="false">
      <c r="A1078" s="16" t="n">
        <v>43084</v>
      </c>
      <c r="B1078" s="23" t="n">
        <f aca="false">YEAR(A1078)</f>
        <v>2017</v>
      </c>
      <c r="C1078" s="17" t="n">
        <v>17738.67</v>
      </c>
      <c r="D1078" s="23" t="n">
        <f aca="false">A1078-A1077</f>
        <v>1</v>
      </c>
      <c r="E1078" s="24" t="n">
        <f aca="false">LN(C1078)</f>
        <v>9.78350228123794</v>
      </c>
      <c r="F1078" s="25" t="n">
        <f aca="false">LN(C1078/C1077)</f>
        <v>0.0573618783993382</v>
      </c>
      <c r="G1078" s="25" t="n">
        <f aca="false">IF(AND(D1078=1,A1078&gt;=$R$2),F1078,"")</f>
        <v>0.0573618783993382</v>
      </c>
      <c r="H1078" s="27" t="n">
        <f aca="false">IF(G1078="","",G1078^2)</f>
        <v>0.00329038509350046</v>
      </c>
      <c r="I1078" s="25" t="n">
        <f aca="false">IF(G1078="","",C1078/C1077-1)</f>
        <v>0.0590389843926309</v>
      </c>
      <c r="J1078" s="17" t="n">
        <f aca="false">AVERAGE(C879:C1078)</f>
        <v>5122.6835</v>
      </c>
      <c r="K1078" s="17" t="n">
        <f aca="false">MAX(K1077,C1078)</f>
        <v>17738.67</v>
      </c>
      <c r="L1078" s="25" t="n">
        <f aca="false">C1078/K1078-1</f>
        <v>0</v>
      </c>
      <c r="M1078" s="25" t="n">
        <f aca="false">IF(COUNT(G1049:G1078)&lt;20,"",_xlfn.STDEV.S(G1049:G1078)*SQRT($R$3))</f>
        <v>1.17704511156394</v>
      </c>
      <c r="N1078" s="25" t="n">
        <f aca="false">IF(A1078-7&lt;$R$2,"",C1078/INDEX(Clean_Data!$C$2:$C$4314,MATCH(A1078-7,Clean_Data!$A$2:$A$4314,1))-1)</f>
        <v>0.0838050642052954</v>
      </c>
      <c r="O1078" s="25" t="n">
        <f aca="false">IF(A1078-30&lt;$R$2,"",C1078/INDEX(Clean_Data!$C$2:$C$4314,MATCH(A1078-30,Clean_Data!$A$2:$A$4314,1))-1)</f>
        <v>1.43195366054291</v>
      </c>
    </row>
    <row r="1079" customFormat="false" ht="15" hidden="false" customHeight="false" outlineLevel="0" collapsed="false">
      <c r="A1079" s="16" t="n">
        <v>43085</v>
      </c>
      <c r="B1079" s="23" t="n">
        <f aca="false">YEAR(A1079)</f>
        <v>2017</v>
      </c>
      <c r="C1079" s="17" t="n">
        <v>19650.01</v>
      </c>
      <c r="D1079" s="23" t="n">
        <f aca="false">A1079-A1078</f>
        <v>1</v>
      </c>
      <c r="E1079" s="24" t="n">
        <f aca="false">LN(C1079)</f>
        <v>9.88583312620313</v>
      </c>
      <c r="F1079" s="25" t="n">
        <f aca="false">LN(C1079/C1078)</f>
        <v>0.102330844965194</v>
      </c>
      <c r="G1079" s="25" t="n">
        <f aca="false">IF(AND(D1079=1,A1079&gt;=$R$2),F1079,"")</f>
        <v>0.102330844965194</v>
      </c>
      <c r="H1079" s="27" t="n">
        <f aca="false">IF(G1079="","",G1079^2)</f>
        <v>0.0104716018312905</v>
      </c>
      <c r="I1079" s="25" t="n">
        <f aca="false">IF(G1079="","",C1079/C1078-1)</f>
        <v>0.107749904586984</v>
      </c>
      <c r="J1079" s="17" t="n">
        <f aca="false">AVERAGE(C880:C1079)</f>
        <v>5209.97565</v>
      </c>
      <c r="K1079" s="17" t="n">
        <f aca="false">MAX(K1078,C1079)</f>
        <v>19650.01</v>
      </c>
      <c r="L1079" s="25" t="n">
        <f aca="false">C1079/K1079-1</f>
        <v>0</v>
      </c>
      <c r="M1079" s="25" t="n">
        <f aca="false">IF(COUNT(G1050:G1079)&lt;20,"",_xlfn.STDEV.S(G1050:G1079)*SQRT($R$3))</f>
        <v>1.19540101638132</v>
      </c>
      <c r="N1079" s="25" t="n">
        <f aca="false">IF(A1079-7&lt;$R$2,"",C1079/INDEX(Clean_Data!$C$2:$C$4314,MATCH(A1079-7,Clean_Data!$A$2:$A$4314,1))-1)</f>
        <v>0.283477182857195</v>
      </c>
      <c r="O1079" s="25" t="n">
        <f aca="false">IF(A1079-30&lt;$R$2,"",C1079/INDEX(Clean_Data!$C$2:$C$4314,MATCH(A1079-30,Clean_Data!$A$2:$A$4314,1))-1)</f>
        <v>1.50684886069199</v>
      </c>
    </row>
    <row r="1080" customFormat="false" ht="15" hidden="false" customHeight="false" outlineLevel="0" collapsed="false">
      <c r="A1080" s="16" t="n">
        <v>43086</v>
      </c>
      <c r="B1080" s="23" t="n">
        <f aca="false">YEAR(A1080)</f>
        <v>2017</v>
      </c>
      <c r="C1080" s="17" t="n">
        <v>19378.99</v>
      </c>
      <c r="D1080" s="23" t="n">
        <f aca="false">A1080-A1079</f>
        <v>1</v>
      </c>
      <c r="E1080" s="24" t="n">
        <f aca="false">LN(C1080)</f>
        <v>9.87194476850362</v>
      </c>
      <c r="F1080" s="25" t="n">
        <f aca="false">LN(C1080/C1079)</f>
        <v>-0.0138883576995123</v>
      </c>
      <c r="G1080" s="25" t="n">
        <f aca="false">IF(AND(D1080=1,A1080&gt;=$R$2),F1080,"")</f>
        <v>-0.0138883576995123</v>
      </c>
      <c r="H1080" s="27" t="n">
        <f aca="false">IF(G1080="","",G1080^2)</f>
        <v>0.000192886479589603</v>
      </c>
      <c r="I1080" s="25" t="n">
        <f aca="false">IF(G1080="","",C1080/C1079-1)</f>
        <v>-0.0137923593932011</v>
      </c>
      <c r="J1080" s="17" t="n">
        <f aca="false">AVERAGE(C881:C1080)</f>
        <v>5295.35415</v>
      </c>
      <c r="K1080" s="17" t="n">
        <f aca="false">MAX(K1079,C1080)</f>
        <v>19650.01</v>
      </c>
      <c r="L1080" s="25" t="n">
        <f aca="false">C1080/K1080-1</f>
        <v>-0.0137923593932011</v>
      </c>
      <c r="M1080" s="25" t="n">
        <f aca="false">IF(COUNT(G1051:G1080)&lt;20,"",_xlfn.STDEV.S(G1051:G1080)*SQRT($R$3))</f>
        <v>1.19442459894095</v>
      </c>
      <c r="N1080" s="25" t="n">
        <f aca="false">IF(A1080-7&lt;$R$2,"",C1080/INDEX(Clean_Data!$C$2:$C$4314,MATCH(A1080-7,Clean_Data!$A$2:$A$4314,1))-1)</f>
        <v>0.267428209661079</v>
      </c>
      <c r="O1080" s="25" t="n">
        <f aca="false">IF(A1080-30&lt;$R$2,"",C1080/INDEX(Clean_Data!$C$2:$C$4314,MATCH(A1080-30,Clean_Data!$A$2:$A$4314,1))-1)</f>
        <v>1.51195313887366</v>
      </c>
    </row>
    <row r="1081" customFormat="false" ht="15" hidden="false" customHeight="false" outlineLevel="0" collapsed="false">
      <c r="A1081" s="16" t="n">
        <v>43087</v>
      </c>
      <c r="B1081" s="23" t="n">
        <f aca="false">YEAR(A1081)</f>
        <v>2017</v>
      </c>
      <c r="C1081" s="17" t="n">
        <v>19039.01</v>
      </c>
      <c r="D1081" s="23" t="n">
        <f aca="false">A1081-A1080</f>
        <v>1</v>
      </c>
      <c r="E1081" s="24" t="n">
        <f aca="false">LN(C1081)</f>
        <v>9.85424531119521</v>
      </c>
      <c r="F1081" s="25" t="n">
        <f aca="false">LN(C1081/C1080)</f>
        <v>-0.0176994573084092</v>
      </c>
      <c r="G1081" s="25" t="n">
        <f aca="false">IF(AND(D1081=1,A1081&gt;=$R$2),F1081,"")</f>
        <v>-0.0176994573084092</v>
      </c>
      <c r="H1081" s="27" t="n">
        <f aca="false">IF(G1081="","",G1081^2)</f>
        <v>0.000313270789012201</v>
      </c>
      <c r="I1081" s="25" t="n">
        <f aca="false">IF(G1081="","",C1081/C1080-1)</f>
        <v>-0.0175437419597204</v>
      </c>
      <c r="J1081" s="17" t="n">
        <f aca="false">AVERAGE(C882:C1081)</f>
        <v>5378.44925</v>
      </c>
      <c r="K1081" s="17" t="n">
        <f aca="false">MAX(K1080,C1081)</f>
        <v>19650.01</v>
      </c>
      <c r="L1081" s="25" t="n">
        <f aca="false">C1081/K1081-1</f>
        <v>-0.0310941317587116</v>
      </c>
      <c r="M1081" s="25" t="n">
        <f aca="false">IF(COUNT(G1052:G1081)&lt;20,"",_xlfn.STDEV.S(G1052:G1081)*SQRT($R$3))</f>
        <v>1.20390852008747</v>
      </c>
      <c r="N1081" s="25" t="n">
        <f aca="false">IF(A1081-7&lt;$R$2,"",C1081/INDEX(Clean_Data!$C$2:$C$4314,MATCH(A1081-7,Clean_Data!$A$2:$A$4314,1))-1)</f>
        <v>0.12751869030473</v>
      </c>
      <c r="O1081" s="25" t="n">
        <f aca="false">IF(A1081-30&lt;$R$2,"",C1081/INDEX(Clean_Data!$C$2:$C$4314,MATCH(A1081-30,Clean_Data!$A$2:$A$4314,1))-1)</f>
        <v>1.4481143781479</v>
      </c>
    </row>
    <row r="1082" customFormat="false" ht="15" hidden="false" customHeight="false" outlineLevel="0" collapsed="false">
      <c r="A1082" s="16" t="n">
        <v>43088</v>
      </c>
      <c r="B1082" s="23" t="n">
        <f aca="false">YEAR(A1082)</f>
        <v>2017</v>
      </c>
      <c r="C1082" s="17" t="n">
        <v>17838.73</v>
      </c>
      <c r="D1082" s="23" t="n">
        <f aca="false">A1082-A1081</f>
        <v>1</v>
      </c>
      <c r="E1082" s="24" t="n">
        <f aca="false">LN(C1082)</f>
        <v>9.78912721525918</v>
      </c>
      <c r="F1082" s="25" t="n">
        <f aca="false">LN(C1082/C1081)</f>
        <v>-0.0651180959360255</v>
      </c>
      <c r="G1082" s="25" t="n">
        <f aca="false">IF(AND(D1082=1,A1082&gt;=$R$2),F1082,"")</f>
        <v>-0.0651180959360255</v>
      </c>
      <c r="H1082" s="27" t="n">
        <f aca="false">IF(G1082="","",G1082^2)</f>
        <v>0.00424036641833343</v>
      </c>
      <c r="I1082" s="25" t="n">
        <f aca="false">IF(G1082="","",C1082/C1081-1)</f>
        <v>-0.0630431939475844</v>
      </c>
      <c r="J1082" s="17" t="n">
        <f aca="false">AVERAGE(C883:C1082)</f>
        <v>5455.24795</v>
      </c>
      <c r="K1082" s="17" t="n">
        <f aca="false">MAX(K1081,C1082)</f>
        <v>19650.01</v>
      </c>
      <c r="L1082" s="25" t="n">
        <f aca="false">C1082/K1082-1</f>
        <v>-0.0921770523271998</v>
      </c>
      <c r="M1082" s="25" t="n">
        <f aca="false">IF(COUNT(G1053:G1082)&lt;20,"",_xlfn.STDEV.S(G1053:G1082)*SQRT($R$3))</f>
        <v>1.2485378107061</v>
      </c>
      <c r="N1082" s="25" t="n">
        <f aca="false">IF(A1082-7&lt;$R$2,"",C1082/INDEX(Clean_Data!$C$2:$C$4314,MATCH(A1082-7,Clean_Data!$A$2:$A$4314,1))-1)</f>
        <v>0.00612573406158568</v>
      </c>
      <c r="O1082" s="25" t="n">
        <f aca="false">IF(A1082-30&lt;$R$2,"",C1082/INDEX(Clean_Data!$C$2:$C$4314,MATCH(A1082-30,Clean_Data!$A$2:$A$4314,1))-1)</f>
        <v>1.22100719388632</v>
      </c>
    </row>
    <row r="1083" customFormat="false" ht="15" hidden="false" customHeight="false" outlineLevel="0" collapsed="false">
      <c r="A1083" s="16" t="n">
        <v>43089</v>
      </c>
      <c r="B1083" s="23" t="n">
        <f aca="false">YEAR(A1083)</f>
        <v>2017</v>
      </c>
      <c r="C1083" s="17" t="n">
        <v>16496.89</v>
      </c>
      <c r="D1083" s="23" t="n">
        <f aca="false">A1083-A1082</f>
        <v>1</v>
      </c>
      <c r="E1083" s="24" t="n">
        <f aca="false">LN(C1083)</f>
        <v>9.71092715727469</v>
      </c>
      <c r="F1083" s="25" t="n">
        <f aca="false">LN(C1083/C1082)</f>
        <v>-0.0782000579844974</v>
      </c>
      <c r="G1083" s="25" t="n">
        <f aca="false">IF(AND(D1083=1,A1083&gt;=$R$2),F1083,"")</f>
        <v>-0.0782000579844974</v>
      </c>
      <c r="H1083" s="27" t="n">
        <f aca="false">IF(G1083="","",G1083^2)</f>
        <v>0.00611524906877875</v>
      </c>
      <c r="I1083" s="25" t="n">
        <f aca="false">IF(G1083="","",C1083/C1082-1)</f>
        <v>-0.0752206014665843</v>
      </c>
      <c r="J1083" s="17" t="n">
        <f aca="false">AVERAGE(C884:C1083)</f>
        <v>5524.99215</v>
      </c>
      <c r="K1083" s="17" t="n">
        <f aca="false">MAX(K1082,C1083)</f>
        <v>19650.01</v>
      </c>
      <c r="L1083" s="25" t="n">
        <f aca="false">C1083/K1083-1</f>
        <v>-0.160464040476315</v>
      </c>
      <c r="M1083" s="25" t="n">
        <f aca="false">IF(COUNT(G1054:G1083)&lt;20,"",_xlfn.STDEV.S(G1054:G1083)*SQRT($R$3))</f>
        <v>1.30091400996817</v>
      </c>
      <c r="N1083" s="25" t="n">
        <f aca="false">IF(A1083-7&lt;$R$2,"",C1083/INDEX(Clean_Data!$C$2:$C$4314,MATCH(A1083-7,Clean_Data!$A$2:$A$4314,1))-1)</f>
        <v>-0.0115473039813394</v>
      </c>
      <c r="O1083" s="25" t="n">
        <f aca="false">IF(A1083-30&lt;$R$2,"",C1083/INDEX(Clean_Data!$C$2:$C$4314,MATCH(A1083-30,Clean_Data!$A$2:$A$4314,1))-1)</f>
        <v>0.998167395630577</v>
      </c>
    </row>
    <row r="1084" customFormat="false" ht="15" hidden="false" customHeight="false" outlineLevel="0" collapsed="false">
      <c r="A1084" s="16" t="n">
        <v>43090</v>
      </c>
      <c r="B1084" s="23" t="n">
        <f aca="false">YEAR(A1084)</f>
        <v>2017</v>
      </c>
      <c r="C1084" s="17" t="n">
        <v>15758.8</v>
      </c>
      <c r="D1084" s="23" t="n">
        <f aca="false">A1084-A1083</f>
        <v>1</v>
      </c>
      <c r="E1084" s="24" t="n">
        <f aca="false">LN(C1084)</f>
        <v>9.66515421838093</v>
      </c>
      <c r="F1084" s="25" t="n">
        <f aca="false">LN(C1084/C1083)</f>
        <v>-0.0457729388937546</v>
      </c>
      <c r="G1084" s="25" t="n">
        <f aca="false">IF(AND(D1084=1,A1084&gt;=$R$2),F1084,"")</f>
        <v>-0.0457729388937546</v>
      </c>
      <c r="H1084" s="27" t="n">
        <f aca="false">IF(G1084="","",G1084^2)</f>
        <v>0.00209516193497139</v>
      </c>
      <c r="I1084" s="25" t="n">
        <f aca="false">IF(G1084="","",C1084/C1083-1)</f>
        <v>-0.0447411603035481</v>
      </c>
      <c r="J1084" s="17" t="n">
        <f aca="false">AVERAGE(C885:C1084)</f>
        <v>5591.17935</v>
      </c>
      <c r="K1084" s="17" t="n">
        <f aca="false">MAX(K1083,C1084)</f>
        <v>19650.01</v>
      </c>
      <c r="L1084" s="25" t="n">
        <f aca="false">C1084/K1084-1</f>
        <v>-0.198025853421958</v>
      </c>
      <c r="M1084" s="25" t="n">
        <f aca="false">IF(COUNT(G1055:G1084)&lt;20,"",_xlfn.STDEV.S(G1055:G1084)*SQRT($R$3))</f>
        <v>1.3154888412477</v>
      </c>
      <c r="N1084" s="25" t="n">
        <f aca="false">IF(A1084-7&lt;$R$2,"",C1084/INDEX(Clean_Data!$C$2:$C$4314,MATCH(A1084-7,Clean_Data!$A$2:$A$4314,1))-1)</f>
        <v>-0.0591637621509058</v>
      </c>
      <c r="O1084" s="25" t="n">
        <f aca="false">IF(A1084-30&lt;$R$2,"",C1084/INDEX(Clean_Data!$C$2:$C$4314,MATCH(A1084-30,Clean_Data!$A$2:$A$4314,1))-1)</f>
        <v>0.943371562461463</v>
      </c>
    </row>
    <row r="1085" customFormat="false" ht="15" hidden="false" customHeight="false" outlineLevel="0" collapsed="false">
      <c r="A1085" s="16" t="n">
        <v>43091</v>
      </c>
      <c r="B1085" s="23" t="n">
        <f aca="false">YEAR(A1085)</f>
        <v>2017</v>
      </c>
      <c r="C1085" s="17" t="n">
        <v>14210.57</v>
      </c>
      <c r="D1085" s="23" t="n">
        <f aca="false">A1085-A1084</f>
        <v>1</v>
      </c>
      <c r="E1085" s="24" t="n">
        <f aca="false">LN(C1085)</f>
        <v>9.56174133288342</v>
      </c>
      <c r="F1085" s="25" t="n">
        <f aca="false">LN(C1085/C1084)</f>
        <v>-0.103412885497511</v>
      </c>
      <c r="G1085" s="25" t="n">
        <f aca="false">IF(AND(D1085=1,A1085&gt;=$R$2),F1085,"")</f>
        <v>-0.103412885497511</v>
      </c>
      <c r="H1085" s="27" t="n">
        <f aca="false">IF(G1085="","",G1085^2)</f>
        <v>0.0106942248869212</v>
      </c>
      <c r="I1085" s="25" t="n">
        <f aca="false">IF(G1085="","",C1085/C1084-1)</f>
        <v>-0.0982454247785364</v>
      </c>
      <c r="J1085" s="17" t="n">
        <f aca="false">AVERAGE(C886:C1085)</f>
        <v>5648.7422</v>
      </c>
      <c r="K1085" s="17" t="n">
        <f aca="false">MAX(K1084,C1085)</f>
        <v>19650.01</v>
      </c>
      <c r="L1085" s="25" t="n">
        <f aca="false">C1085/K1085-1</f>
        <v>-0.276816144113922</v>
      </c>
      <c r="M1085" s="25" t="n">
        <f aca="false">IF(COUNT(G1056:G1085)&lt;20,"",_xlfn.STDEV.S(G1056:G1085)*SQRT($R$3))</f>
        <v>1.38655223427806</v>
      </c>
      <c r="N1085" s="25" t="n">
        <f aca="false">IF(A1085-7&lt;$R$2,"",C1085/INDEX(Clean_Data!$C$2:$C$4314,MATCH(A1085-7,Clean_Data!$A$2:$A$4314,1))-1)</f>
        <v>-0.198893152643349</v>
      </c>
      <c r="O1085" s="25" t="n">
        <f aca="false">IF(A1085-30&lt;$R$2,"",C1085/INDEX(Clean_Data!$C$2:$C$4314,MATCH(A1085-30,Clean_Data!$A$2:$A$4314,1))-1)</f>
        <v>0.722493333333333</v>
      </c>
    </row>
    <row r="1086" customFormat="false" ht="15" hidden="false" customHeight="false" outlineLevel="0" collapsed="false">
      <c r="A1086" s="16" t="n">
        <v>43092</v>
      </c>
      <c r="B1086" s="23" t="n">
        <f aca="false">YEAR(A1086)</f>
        <v>2017</v>
      </c>
      <c r="C1086" s="17" t="n">
        <v>15075.89</v>
      </c>
      <c r="D1086" s="23" t="n">
        <f aca="false">A1086-A1085</f>
        <v>1</v>
      </c>
      <c r="E1086" s="24" t="n">
        <f aca="false">LN(C1086)</f>
        <v>9.62085205799532</v>
      </c>
      <c r="F1086" s="25" t="n">
        <f aca="false">LN(C1086/C1085)</f>
        <v>0.0591107251119033</v>
      </c>
      <c r="G1086" s="25" t="n">
        <f aca="false">IF(AND(D1086=1,A1086&gt;=$R$2),F1086,"")</f>
        <v>0.0591107251119033</v>
      </c>
      <c r="H1086" s="27" t="n">
        <f aca="false">IF(G1086="","",G1086^2)</f>
        <v>0.003494077823255</v>
      </c>
      <c r="I1086" s="25" t="n">
        <f aca="false">IF(G1086="","",C1086/C1085-1)</f>
        <v>0.0608927017002132</v>
      </c>
      <c r="J1086" s="17" t="n">
        <f aca="false">AVERAGE(C887:C1086)</f>
        <v>5709.7652</v>
      </c>
      <c r="K1086" s="17" t="n">
        <f aca="false">MAX(K1085,C1086)</f>
        <v>19650.01</v>
      </c>
      <c r="L1086" s="25" t="n">
        <f aca="false">C1086/K1086-1</f>
        <v>-0.232779525303041</v>
      </c>
      <c r="M1086" s="25" t="n">
        <f aca="false">IF(COUNT(G1057:G1086)&lt;20,"",_xlfn.STDEV.S(G1057:G1086)*SQRT($R$3))</f>
        <v>1.38385984070183</v>
      </c>
      <c r="N1086" s="25" t="n">
        <f aca="false">IF(A1086-7&lt;$R$2,"",C1086/INDEX(Clean_Data!$C$2:$C$4314,MATCH(A1086-7,Clean_Data!$A$2:$A$4314,1))-1)</f>
        <v>-0.232779525303041</v>
      </c>
      <c r="O1086" s="25" t="n">
        <f aca="false">IF(A1086-30&lt;$R$2,"",C1086/INDEX(Clean_Data!$C$2:$C$4314,MATCH(A1086-30,Clean_Data!$A$2:$A$4314,1))-1)</f>
        <v>0.877174654719866</v>
      </c>
    </row>
    <row r="1087" customFormat="false" ht="15" hidden="false" customHeight="false" outlineLevel="0" collapsed="false">
      <c r="A1087" s="16" t="n">
        <v>43093</v>
      </c>
      <c r="B1087" s="23" t="n">
        <f aca="false">YEAR(A1087)</f>
        <v>2017</v>
      </c>
      <c r="C1087" s="17" t="n">
        <v>14221.94</v>
      </c>
      <c r="D1087" s="23" t="n">
        <f aca="false">A1087-A1086</f>
        <v>1</v>
      </c>
      <c r="E1087" s="24" t="n">
        <f aca="false">LN(C1087)</f>
        <v>9.56254112161865</v>
      </c>
      <c r="F1087" s="25" t="n">
        <f aca="false">LN(C1087/C1086)</f>
        <v>-0.0583109363766788</v>
      </c>
      <c r="G1087" s="25" t="n">
        <f aca="false">IF(AND(D1087=1,A1087&gt;=$R$2),F1087,"")</f>
        <v>-0.0583109363766788</v>
      </c>
      <c r="H1087" s="27" t="n">
        <f aca="false">IF(G1087="","",G1087^2)</f>
        <v>0.00340016530112508</v>
      </c>
      <c r="I1087" s="25" t="n">
        <f aca="false">IF(G1087="","",C1087/C1086-1)</f>
        <v>-0.0566434220467249</v>
      </c>
      <c r="J1087" s="17" t="n">
        <f aca="false">AVERAGE(C888:C1087)</f>
        <v>5767.4467</v>
      </c>
      <c r="K1087" s="17" t="n">
        <f aca="false">MAX(K1086,C1087)</f>
        <v>19650.01</v>
      </c>
      <c r="L1087" s="25" t="n">
        <f aca="false">C1087/K1087-1</f>
        <v>-0.276237518454189</v>
      </c>
      <c r="M1087" s="25" t="n">
        <f aca="false">IF(COUNT(G1058:G1087)&lt;20,"",_xlfn.STDEV.S(G1058:G1087)*SQRT($R$3))</f>
        <v>1.41118386134584</v>
      </c>
      <c r="N1087" s="25" t="n">
        <f aca="false">IF(A1087-7&lt;$R$2,"",C1087/INDEX(Clean_Data!$C$2:$C$4314,MATCH(A1087-7,Clean_Data!$A$2:$A$4314,1))-1)</f>
        <v>-0.266115519952278</v>
      </c>
      <c r="O1087" s="25" t="n">
        <f aca="false">IF(A1087-30&lt;$R$2,"",C1087/INDEX(Clean_Data!$C$2:$C$4314,MATCH(A1087-30,Clean_Data!$A$2:$A$4314,1))-1)</f>
        <v>0.731213960786414</v>
      </c>
    </row>
    <row r="1088" customFormat="false" ht="15" hidden="false" customHeight="false" outlineLevel="0" collapsed="false">
      <c r="A1088" s="16" t="n">
        <v>43094</v>
      </c>
      <c r="B1088" s="23" t="n">
        <f aca="false">YEAR(A1088)</f>
        <v>2017</v>
      </c>
      <c r="C1088" s="17" t="n">
        <v>14171.98</v>
      </c>
      <c r="D1088" s="23" t="n">
        <f aca="false">A1088-A1087</f>
        <v>1</v>
      </c>
      <c r="E1088" s="24" t="n">
        <f aca="false">LN(C1088)</f>
        <v>9.55902205475095</v>
      </c>
      <c r="F1088" s="25" t="n">
        <f aca="false">LN(C1088/C1087)</f>
        <v>-0.00351906686769633</v>
      </c>
      <c r="G1088" s="25" t="n">
        <f aca="false">IF(AND(D1088=1,A1088&gt;=$R$2),F1088,"")</f>
        <v>-0.00351906686769633</v>
      </c>
      <c r="H1088" s="27" t="n">
        <f aca="false">IF(G1088="","",G1088^2)</f>
        <v>1.2383831619318E-005</v>
      </c>
      <c r="I1088" s="25" t="n">
        <f aca="false">IF(G1088="","",C1088/C1087-1)</f>
        <v>-0.00351288220875645</v>
      </c>
      <c r="J1088" s="17" t="n">
        <f aca="false">AVERAGE(C889:C1088)</f>
        <v>5824.30795</v>
      </c>
      <c r="K1088" s="17" t="n">
        <f aca="false">MAX(K1087,C1088)</f>
        <v>19650.01</v>
      </c>
      <c r="L1088" s="25" t="n">
        <f aca="false">C1088/K1088-1</f>
        <v>-0.278780010798977</v>
      </c>
      <c r="M1088" s="25" t="n">
        <f aca="false">IF(COUNT(G1059:G1088)&lt;20,"",_xlfn.STDEV.S(G1059:G1088)*SQRT($R$3))</f>
        <v>1.40136420920492</v>
      </c>
      <c r="N1088" s="25" t="n">
        <f aca="false">IF(A1088-7&lt;$R$2,"",C1088/INDEX(Clean_Data!$C$2:$C$4314,MATCH(A1088-7,Clean_Data!$A$2:$A$4314,1))-1)</f>
        <v>-0.25563461545532</v>
      </c>
      <c r="O1088" s="25" t="n">
        <f aca="false">IF(A1088-30&lt;$R$2,"",C1088/INDEX(Clean_Data!$C$2:$C$4314,MATCH(A1088-30,Clean_Data!$A$2:$A$4314,1))-1)</f>
        <v>0.611276220794724</v>
      </c>
    </row>
    <row r="1089" customFormat="false" ht="15" hidden="false" customHeight="false" outlineLevel="0" collapsed="false">
      <c r="A1089" s="16" t="n">
        <v>43095</v>
      </c>
      <c r="B1089" s="23" t="n">
        <f aca="false">YEAR(A1089)</f>
        <v>2017</v>
      </c>
      <c r="C1089" s="17" t="n">
        <v>15790.88</v>
      </c>
      <c r="D1089" s="23" t="n">
        <f aca="false">A1089-A1088</f>
        <v>1</v>
      </c>
      <c r="E1089" s="24" t="n">
        <f aca="false">LN(C1089)</f>
        <v>9.66718783717236</v>
      </c>
      <c r="F1089" s="25" t="n">
        <f aca="false">LN(C1089/C1088)</f>
        <v>0.108165782421415</v>
      </c>
      <c r="G1089" s="25" t="n">
        <f aca="false">IF(AND(D1089=1,A1089&gt;=$R$2),F1089,"")</f>
        <v>0.108165782421415</v>
      </c>
      <c r="H1089" s="27" t="n">
        <f aca="false">IF(G1089="","",G1089^2)</f>
        <v>0.011699836486837</v>
      </c>
      <c r="I1089" s="25" t="n">
        <f aca="false">IF(G1089="","",C1089/C1088-1)</f>
        <v>0.114232450229255</v>
      </c>
      <c r="J1089" s="17" t="n">
        <f aca="false">AVERAGE(C890:C1089)</f>
        <v>5889.2054</v>
      </c>
      <c r="K1089" s="17" t="n">
        <f aca="false">MAX(K1088,C1089)</f>
        <v>19650.01</v>
      </c>
      <c r="L1089" s="25" t="n">
        <f aca="false">C1089/K1089-1</f>
        <v>-0.196393284278227</v>
      </c>
      <c r="M1089" s="25" t="n">
        <f aca="false">IF(COUNT(G1060:G1089)&lt;20,"",_xlfn.STDEV.S(G1060:G1089)*SQRT($R$3))</f>
        <v>1.42755198877348</v>
      </c>
      <c r="N1089" s="25" t="n">
        <f aca="false">IF(A1089-7&lt;$R$2,"",C1089/INDEX(Clean_Data!$C$2:$C$4314,MATCH(A1089-7,Clean_Data!$A$2:$A$4314,1))-1)</f>
        <v>-0.114797970483325</v>
      </c>
      <c r="O1089" s="25" t="n">
        <f aca="false">IF(A1089-30&lt;$R$2,"",C1089/INDEX(Clean_Data!$C$2:$C$4314,MATCH(A1089-30,Clean_Data!$A$2:$A$4314,1))-1)</f>
        <v>0.679682505576469</v>
      </c>
    </row>
    <row r="1090" customFormat="false" ht="15" hidden="false" customHeight="false" outlineLevel="0" collapsed="false">
      <c r="A1090" s="16" t="n">
        <v>43096</v>
      </c>
      <c r="B1090" s="23" t="n">
        <f aca="false">YEAR(A1090)</f>
        <v>2017</v>
      </c>
      <c r="C1090" s="17" t="n">
        <v>15367.08</v>
      </c>
      <c r="D1090" s="23" t="n">
        <f aca="false">A1090-A1089</f>
        <v>1</v>
      </c>
      <c r="E1090" s="24" t="n">
        <f aca="false">LN(C1090)</f>
        <v>9.63998283800261</v>
      </c>
      <c r="F1090" s="25" t="n">
        <f aca="false">LN(C1090/C1089)</f>
        <v>-0.0272049991697577</v>
      </c>
      <c r="G1090" s="25" t="n">
        <f aca="false">IF(AND(D1090=1,A1090&gt;=$R$2),F1090,"")</f>
        <v>-0.0272049991697577</v>
      </c>
      <c r="H1090" s="27" t="n">
        <f aca="false">IF(G1090="","",G1090^2)</f>
        <v>0.000740111979826517</v>
      </c>
      <c r="I1090" s="25" t="n">
        <f aca="false">IF(G1090="","",C1090/C1089-1)</f>
        <v>-0.0268382762708601</v>
      </c>
      <c r="J1090" s="17" t="n">
        <f aca="false">AVERAGE(C891:C1090)</f>
        <v>5951.38505</v>
      </c>
      <c r="K1090" s="17" t="n">
        <f aca="false">MAX(K1089,C1090)</f>
        <v>19650.01</v>
      </c>
      <c r="L1090" s="25" t="n">
        <f aca="false">C1090/K1090-1</f>
        <v>-0.217960703327886</v>
      </c>
      <c r="M1090" s="25" t="n">
        <f aca="false">IF(COUNT(G1061:G1090)&lt;20,"",_xlfn.STDEV.S(G1061:G1090)*SQRT($R$3))</f>
        <v>1.43367658415888</v>
      </c>
      <c r="N1090" s="25" t="n">
        <f aca="false">IF(A1090-7&lt;$R$2,"",C1090/INDEX(Clean_Data!$C$2:$C$4314,MATCH(A1090-7,Clean_Data!$A$2:$A$4314,1))-1)</f>
        <v>-0.0684862419522709</v>
      </c>
      <c r="O1090" s="25" t="n">
        <f aca="false">IF(A1090-30&lt;$R$2,"",C1090/INDEX(Clean_Data!$C$2:$C$4314,MATCH(A1090-30,Clean_Data!$A$2:$A$4314,1))-1)</f>
        <v>0.573092045930323</v>
      </c>
    </row>
    <row r="1091" customFormat="false" ht="15" hidden="false" customHeight="false" outlineLevel="0" collapsed="false">
      <c r="A1091" s="16" t="n">
        <v>43097</v>
      </c>
      <c r="B1091" s="23" t="n">
        <f aca="false">YEAR(A1091)</f>
        <v>2017</v>
      </c>
      <c r="C1091" s="17" t="n">
        <v>14450.01</v>
      </c>
      <c r="D1091" s="23" t="n">
        <f aca="false">A1091-A1090</f>
        <v>1</v>
      </c>
      <c r="E1091" s="24" t="n">
        <f aca="false">LN(C1091)</f>
        <v>9.57845038558186</v>
      </c>
      <c r="F1091" s="25" t="n">
        <f aca="false">LN(C1091/C1090)</f>
        <v>-0.0615324524207453</v>
      </c>
      <c r="G1091" s="25" t="n">
        <f aca="false">IF(AND(D1091=1,A1091&gt;=$R$2),F1091,"")</f>
        <v>-0.0615324524207453</v>
      </c>
      <c r="H1091" s="27" t="n">
        <f aca="false">IF(G1091="","",G1091^2)</f>
        <v>0.00378624270091128</v>
      </c>
      <c r="I1091" s="25" t="n">
        <f aca="false">IF(G1091="","",C1091/C1090-1)</f>
        <v>-0.05967757049485</v>
      </c>
      <c r="J1091" s="17" t="n">
        <f aca="false">AVERAGE(C892:C1091)</f>
        <v>6008.6402</v>
      </c>
      <c r="K1091" s="17" t="n">
        <f aca="false">MAX(K1090,C1091)</f>
        <v>19650.01</v>
      </c>
      <c r="L1091" s="25" t="n">
        <f aca="false">C1091/K1091-1</f>
        <v>-0.264630908584779</v>
      </c>
      <c r="M1091" s="25" t="n">
        <f aca="false">IF(COUNT(G1062:G1091)&lt;20,"",_xlfn.STDEV.S(G1062:G1091)*SQRT($R$3))</f>
        <v>1.45826728293923</v>
      </c>
      <c r="N1091" s="25" t="n">
        <f aca="false">IF(A1091-7&lt;$R$2,"",C1091/INDEX(Clean_Data!$C$2:$C$4314,MATCH(A1091-7,Clean_Data!$A$2:$A$4314,1))-1)</f>
        <v>-0.0830513744701372</v>
      </c>
      <c r="O1091" s="25" t="n">
        <f aca="false">IF(A1091-30&lt;$R$2,"",C1091/INDEX(Clean_Data!$C$2:$C$4314,MATCH(A1091-30,Clean_Data!$A$2:$A$4314,1))-1)</f>
        <v>0.452408282239421</v>
      </c>
    </row>
    <row r="1092" customFormat="false" ht="15" hidden="false" customHeight="false" outlineLevel="0" collapsed="false">
      <c r="A1092" s="16" t="n">
        <v>43098</v>
      </c>
      <c r="B1092" s="23" t="n">
        <f aca="false">YEAR(A1092)</f>
        <v>2017</v>
      </c>
      <c r="C1092" s="17" t="n">
        <v>14565.05</v>
      </c>
      <c r="D1092" s="23" t="n">
        <f aca="false">A1092-A1091</f>
        <v>1</v>
      </c>
      <c r="E1092" s="24" t="n">
        <f aca="false">LN(C1092)</f>
        <v>9.5863801022747</v>
      </c>
      <c r="F1092" s="25" t="n">
        <f aca="false">LN(C1092/C1091)</f>
        <v>0.00792971669283927</v>
      </c>
      <c r="G1092" s="25" t="n">
        <f aca="false">IF(AND(D1092=1,A1092&gt;=$R$2),F1092,"")</f>
        <v>0.00792971669283927</v>
      </c>
      <c r="H1092" s="27" t="n">
        <f aca="false">IF(G1092="","",G1092^2)</f>
        <v>6.28804068286938E-005</v>
      </c>
      <c r="I1092" s="25" t="n">
        <f aca="false">IF(G1092="","",C1092/C1091-1)</f>
        <v>0.00796124016523159</v>
      </c>
      <c r="J1092" s="17" t="n">
        <f aca="false">AVERAGE(C893:C1092)</f>
        <v>6068.1869</v>
      </c>
      <c r="K1092" s="17" t="n">
        <f aca="false">MAX(K1091,C1092)</f>
        <v>19650.01</v>
      </c>
      <c r="L1092" s="25" t="n">
        <f aca="false">C1092/K1092-1</f>
        <v>-0.258776458637935</v>
      </c>
      <c r="M1092" s="25" t="n">
        <f aca="false">IF(COUNT(G1063:G1092)&lt;20,"",_xlfn.STDEV.S(G1063:G1092)*SQRT($R$3))</f>
        <v>1.45752670491538</v>
      </c>
      <c r="N1092" s="25" t="n">
        <f aca="false">IF(A1092-7&lt;$R$2,"",C1092/INDEX(Clean_Data!$C$2:$C$4314,MATCH(A1092-7,Clean_Data!$A$2:$A$4314,1))-1)</f>
        <v>0.0249448122066884</v>
      </c>
      <c r="O1092" s="25" t="n">
        <f aca="false">IF(A1092-30&lt;$R$2,"",C1092/INDEX(Clean_Data!$C$2:$C$4314,MATCH(A1092-30,Clean_Data!$A$2:$A$4314,1))-1)</f>
        <v>0.465889625381694</v>
      </c>
    </row>
    <row r="1093" customFormat="false" ht="15" hidden="false" customHeight="false" outlineLevel="0" collapsed="false">
      <c r="A1093" s="16" t="n">
        <v>43099</v>
      </c>
      <c r="B1093" s="23" t="n">
        <f aca="false">YEAR(A1093)</f>
        <v>2017</v>
      </c>
      <c r="C1093" s="17" t="n">
        <v>12839.99</v>
      </c>
      <c r="D1093" s="23" t="n">
        <f aca="false">A1093-A1092</f>
        <v>1</v>
      </c>
      <c r="E1093" s="24" t="n">
        <f aca="false">LN(C1093)</f>
        <v>9.46031979842745</v>
      </c>
      <c r="F1093" s="25" t="n">
        <f aca="false">LN(C1093/C1092)</f>
        <v>-0.126060303847251</v>
      </c>
      <c r="G1093" s="25" t="n">
        <f aca="false">IF(AND(D1093=1,A1093&gt;=$R$2),F1093,"")</f>
        <v>-0.126060303847251</v>
      </c>
      <c r="H1093" s="27" t="n">
        <f aca="false">IF(G1093="","",G1093^2)</f>
        <v>0.0158912002060613</v>
      </c>
      <c r="I1093" s="25" t="n">
        <f aca="false">IF(G1093="","",C1093/C1092-1)</f>
        <v>-0.118438316380651</v>
      </c>
      <c r="J1093" s="17" t="n">
        <f aca="false">AVERAGE(C894:C1093)</f>
        <v>6118.8418</v>
      </c>
      <c r="K1093" s="17" t="n">
        <f aca="false">MAX(K1092,C1093)</f>
        <v>19650.01</v>
      </c>
      <c r="L1093" s="25" t="n">
        <f aca="false">C1093/K1093-1</f>
        <v>-0.346565726938561</v>
      </c>
      <c r="M1093" s="25" t="n">
        <f aca="false">IF(COUNT(G1064:G1093)&lt;20,"",_xlfn.STDEV.S(G1064:G1093)*SQRT($R$3))</f>
        <v>1.53535755367479</v>
      </c>
      <c r="N1093" s="25" t="n">
        <f aca="false">IF(A1093-7&lt;$R$2,"",C1093/INDEX(Clean_Data!$C$2:$C$4314,MATCH(A1093-7,Clean_Data!$A$2:$A$4314,1))-1)</f>
        <v>-0.14830965203381</v>
      </c>
      <c r="O1093" s="25" t="n">
        <f aca="false">IF(A1093-30&lt;$R$2,"",C1093/INDEX(Clean_Data!$C$2:$C$4314,MATCH(A1093-30,Clean_Data!$A$2:$A$4314,1))-1)</f>
        <v>0.296575785115621</v>
      </c>
    </row>
    <row r="1094" customFormat="false" ht="15" hidden="false" customHeight="false" outlineLevel="0" collapsed="false">
      <c r="A1094" s="16" t="n">
        <v>43100</v>
      </c>
      <c r="B1094" s="23" t="n">
        <f aca="false">YEAR(A1094)</f>
        <v>2017</v>
      </c>
      <c r="C1094" s="17" t="n">
        <v>13863.13</v>
      </c>
      <c r="D1094" s="23" t="n">
        <f aca="false">A1094-A1093</f>
        <v>1</v>
      </c>
      <c r="E1094" s="24" t="n">
        <f aca="false">LN(C1094)</f>
        <v>9.53698807697403</v>
      </c>
      <c r="F1094" s="25" t="n">
        <f aca="false">LN(C1094/C1093)</f>
        <v>0.0766682785465802</v>
      </c>
      <c r="G1094" s="25" t="n">
        <f aca="false">IF(AND(D1094=1,A1094&gt;=$R$2),F1094,"")</f>
        <v>0.0766682785465802</v>
      </c>
      <c r="H1094" s="27" t="n">
        <f aca="false">IF(G1094="","",G1094^2)</f>
        <v>0.005878024935296</v>
      </c>
      <c r="I1094" s="25" t="n">
        <f aca="false">IF(G1094="","",C1094/C1093-1)</f>
        <v>0.0796838626821359</v>
      </c>
      <c r="J1094" s="17" t="n">
        <f aca="false">AVERAGE(C895:C1094)</f>
        <v>6175.9964</v>
      </c>
      <c r="K1094" s="17" t="n">
        <f aca="false">MAX(K1093,C1094)</f>
        <v>19650.01</v>
      </c>
      <c r="L1094" s="25" t="n">
        <f aca="false">C1094/K1094-1</f>
        <v>-0.294497560052132</v>
      </c>
      <c r="M1094" s="25" t="n">
        <f aca="false">IF(COUNT(G1065:G1094)&lt;20,"",_xlfn.STDEV.S(G1065:G1094)*SQRT($R$3))</f>
        <v>1.52498005196134</v>
      </c>
      <c r="N1094" s="25" t="n">
        <f aca="false">IF(A1094-7&lt;$R$2,"",C1094/INDEX(Clean_Data!$C$2:$C$4314,MATCH(A1094-7,Clean_Data!$A$2:$A$4314,1))-1)</f>
        <v>-0.0252293287694929</v>
      </c>
      <c r="O1094" s="25" t="n">
        <f aca="false">IF(A1094-30&lt;$R$2,"",C1094/INDEX(Clean_Data!$C$2:$C$4314,MATCH(A1094-30,Clean_Data!$A$2:$A$4314,1))-1)</f>
        <v>0.275375718501836</v>
      </c>
    </row>
    <row r="1095" customFormat="false" ht="15" hidden="false" customHeight="false" outlineLevel="0" collapsed="false">
      <c r="A1095" s="16" t="n">
        <v>43101</v>
      </c>
      <c r="B1095" s="23" t="n">
        <f aca="false">YEAR(A1095)</f>
        <v>2018</v>
      </c>
      <c r="C1095" s="17" t="n">
        <v>13480.01</v>
      </c>
      <c r="D1095" s="23" t="n">
        <f aca="false">A1095-A1094</f>
        <v>1</v>
      </c>
      <c r="E1095" s="24" t="n">
        <f aca="false">LN(C1095)</f>
        <v>9.50896312630579</v>
      </c>
      <c r="F1095" s="25" t="n">
        <f aca="false">LN(C1095/C1094)</f>
        <v>-0.0280249506682443</v>
      </c>
      <c r="G1095" s="25" t="n">
        <f aca="false">IF(AND(D1095=1,A1095&gt;=$R$2),F1095,"")</f>
        <v>-0.0280249506682443</v>
      </c>
      <c r="H1095" s="27" t="n">
        <f aca="false">IF(G1095="","",G1095^2)</f>
        <v>0.000785397859957527</v>
      </c>
      <c r="I1095" s="25" t="n">
        <f aca="false">IF(G1095="","",C1095/C1094-1)</f>
        <v>-0.027635894635627</v>
      </c>
      <c r="J1095" s="17" t="n">
        <f aca="false">AVERAGE(C896:C1095)</f>
        <v>6231.34655</v>
      </c>
      <c r="K1095" s="17" t="n">
        <f aca="false">MAX(K1094,C1095)</f>
        <v>19650.01</v>
      </c>
      <c r="L1095" s="25" t="n">
        <f aca="false">C1095/K1095-1</f>
        <v>-0.313994751147709</v>
      </c>
      <c r="M1095" s="25" t="n">
        <f aca="false">IF(COUNT(G1066:G1095)&lt;20,"",_xlfn.STDEV.S(G1066:G1095)*SQRT($R$3))</f>
        <v>1.53017678655046</v>
      </c>
      <c r="N1095" s="25" t="n">
        <f aca="false">IF(A1095-7&lt;$R$2,"",C1095/INDEX(Clean_Data!$C$2:$C$4314,MATCH(A1095-7,Clean_Data!$A$2:$A$4314,1))-1)</f>
        <v>-0.0488266283186964</v>
      </c>
      <c r="O1095" s="25" t="n">
        <f aca="false">IF(A1095-30&lt;$R$2,"",C1095/INDEX(Clean_Data!$C$2:$C$4314,MATCH(A1095-30,Clean_Data!$A$2:$A$4314,1))-1)</f>
        <v>0.233276670960564</v>
      </c>
    </row>
    <row r="1096" customFormat="false" ht="15" hidden="false" customHeight="false" outlineLevel="0" collapsed="false">
      <c r="A1096" s="16" t="n">
        <v>43102</v>
      </c>
      <c r="B1096" s="23" t="n">
        <f aca="false">YEAR(A1096)</f>
        <v>2018</v>
      </c>
      <c r="C1096" s="17" t="n">
        <v>14781.51</v>
      </c>
      <c r="D1096" s="23" t="n">
        <f aca="false">A1096-A1095</f>
        <v>1</v>
      </c>
      <c r="E1096" s="24" t="n">
        <f aca="false">LN(C1096)</f>
        <v>9.60113235437165</v>
      </c>
      <c r="F1096" s="25" t="n">
        <f aca="false">LN(C1096/C1095)</f>
        <v>0.0921692280658669</v>
      </c>
      <c r="G1096" s="25" t="n">
        <f aca="false">IF(AND(D1096=1,A1096&gt;=$R$2),F1096,"")</f>
        <v>0.0921692280658669</v>
      </c>
      <c r="H1096" s="27" t="n">
        <f aca="false">IF(G1096="","",G1096^2)</f>
        <v>0.00849516660225778</v>
      </c>
      <c r="I1096" s="25" t="n">
        <f aca="false">IF(G1096="","",C1096/C1095-1)</f>
        <v>0.0965503734789515</v>
      </c>
      <c r="J1096" s="17" t="n">
        <f aca="false">AVERAGE(C897:C1096)</f>
        <v>6292.85195</v>
      </c>
      <c r="K1096" s="17" t="n">
        <f aca="false">MAX(K1095,C1096)</f>
        <v>19650.01</v>
      </c>
      <c r="L1096" s="25" t="n">
        <f aca="false">C1096/K1096-1</f>
        <v>-0.2477606881625</v>
      </c>
      <c r="M1096" s="25" t="n">
        <f aca="false">IF(COUNT(G1067:G1096)&lt;20,"",_xlfn.STDEV.S(G1067:G1096)*SQRT($R$3))</f>
        <v>1.55664562623142</v>
      </c>
      <c r="N1096" s="25" t="n">
        <f aca="false">IF(A1096-7&lt;$R$2,"",C1096/INDEX(Clean_Data!$C$2:$C$4314,MATCH(A1096-7,Clean_Data!$A$2:$A$4314,1))-1)</f>
        <v>-0.0639210734297264</v>
      </c>
      <c r="O1096" s="25" t="n">
        <f aca="false">IF(A1096-30&lt;$R$2,"",C1096/INDEX(Clean_Data!$C$2:$C$4314,MATCH(A1096-30,Clean_Data!$A$2:$A$4314,1))-1)</f>
        <v>0.309256864481842</v>
      </c>
    </row>
    <row r="1097" customFormat="false" ht="15" hidden="false" customHeight="false" outlineLevel="0" collapsed="false">
      <c r="A1097" s="16" t="n">
        <v>43103</v>
      </c>
      <c r="B1097" s="23" t="n">
        <f aca="false">YEAR(A1097)</f>
        <v>2018</v>
      </c>
      <c r="C1097" s="17" t="n">
        <v>15098.14</v>
      </c>
      <c r="D1097" s="23" t="n">
        <f aca="false">A1097-A1096</f>
        <v>1</v>
      </c>
      <c r="E1097" s="24" t="n">
        <f aca="false">LN(C1097)</f>
        <v>9.62232683640794</v>
      </c>
      <c r="F1097" s="25" t="n">
        <f aca="false">LN(C1097/C1096)</f>
        <v>0.0211944820362839</v>
      </c>
      <c r="G1097" s="25" t="n">
        <f aca="false">IF(AND(D1097=1,A1097&gt;=$R$2),F1097,"")</f>
        <v>0.0211944820362839</v>
      </c>
      <c r="H1097" s="27" t="n">
        <f aca="false">IF(G1097="","",G1097^2)</f>
        <v>0.000449206068786363</v>
      </c>
      <c r="I1097" s="25" t="n">
        <f aca="false">IF(G1097="","",C1097/C1096-1)</f>
        <v>0.0214206802958561</v>
      </c>
      <c r="J1097" s="17" t="n">
        <f aca="false">AVERAGE(C898:C1097)</f>
        <v>6355.16795</v>
      </c>
      <c r="K1097" s="17" t="n">
        <f aca="false">MAX(K1096,C1097)</f>
        <v>19650.01</v>
      </c>
      <c r="L1097" s="25" t="n">
        <f aca="false">C1097/K1097-1</f>
        <v>-0.231647210357654</v>
      </c>
      <c r="M1097" s="25" t="n">
        <f aca="false">IF(COUNT(G1068:G1097)&lt;20,"",_xlfn.STDEV.S(G1068:G1097)*SQRT($R$3))</f>
        <v>1.55529822143708</v>
      </c>
      <c r="N1097" s="25" t="n">
        <f aca="false">IF(A1097-7&lt;$R$2,"",C1097/INDEX(Clean_Data!$C$2:$C$4314,MATCH(A1097-7,Clean_Data!$A$2:$A$4314,1))-1)</f>
        <v>-0.0175010476941618</v>
      </c>
      <c r="O1097" s="25" t="n">
        <f aca="false">IF(A1097-30&lt;$R$2,"",C1097/INDEX(Clean_Data!$C$2:$C$4314,MATCH(A1097-30,Clean_Data!$A$2:$A$4314,1))-1)</f>
        <v>0.296647709803693</v>
      </c>
    </row>
    <row r="1098" customFormat="false" ht="15" hidden="false" customHeight="false" outlineLevel="0" collapsed="false">
      <c r="A1098" s="16" t="n">
        <v>43104</v>
      </c>
      <c r="B1098" s="23" t="n">
        <f aca="false">YEAR(A1098)</f>
        <v>2018</v>
      </c>
      <c r="C1098" s="17" t="n">
        <v>15144.99</v>
      </c>
      <c r="D1098" s="23" t="n">
        <f aca="false">A1098-A1097</f>
        <v>1</v>
      </c>
      <c r="E1098" s="24" t="n">
        <f aca="false">LN(C1098)</f>
        <v>9.6254250631772</v>
      </c>
      <c r="F1098" s="25" t="n">
        <f aca="false">LN(C1098/C1097)</f>
        <v>0.00309822676926136</v>
      </c>
      <c r="G1098" s="25" t="n">
        <f aca="false">IF(AND(D1098=1,A1098&gt;=$R$2),F1098,"")</f>
        <v>0.00309822676926136</v>
      </c>
      <c r="H1098" s="27" t="n">
        <f aca="false">IF(G1098="","",G1098^2)</f>
        <v>9.59900911376766E-006</v>
      </c>
      <c r="I1098" s="25" t="n">
        <f aca="false">IF(G1098="","",C1098/C1097-1)</f>
        <v>0.00310303123431099</v>
      </c>
      <c r="J1098" s="17" t="n">
        <f aca="false">AVERAGE(C899:C1098)</f>
        <v>6418.31665</v>
      </c>
      <c r="K1098" s="17" t="n">
        <f aca="false">MAX(K1097,C1098)</f>
        <v>19650.01</v>
      </c>
      <c r="L1098" s="25" t="n">
        <f aca="false">C1098/K1098-1</f>
        <v>-0.229262987652424</v>
      </c>
      <c r="M1098" s="25" t="n">
        <f aca="false">IF(COUNT(G1069:G1098)&lt;20,"",_xlfn.STDEV.S(G1069:G1098)*SQRT($R$3))</f>
        <v>1.55540064467541</v>
      </c>
      <c r="N1098" s="25" t="n">
        <f aca="false">IF(A1098-7&lt;$R$2,"",C1098/INDEX(Clean_Data!$C$2:$C$4314,MATCH(A1098-7,Clean_Data!$A$2:$A$4314,1))-1)</f>
        <v>0.0480954684460426</v>
      </c>
      <c r="O1098" s="25" t="n">
        <f aca="false">IF(A1098-30&lt;$R$2,"",C1098/INDEX(Clean_Data!$C$2:$C$4314,MATCH(A1098-30,Clean_Data!$A$2:$A$4314,1))-1)</f>
        <v>0.292416594486425</v>
      </c>
    </row>
    <row r="1099" customFormat="false" ht="15" hidden="false" customHeight="false" outlineLevel="0" collapsed="false">
      <c r="A1099" s="16" t="n">
        <v>43105</v>
      </c>
      <c r="B1099" s="23" t="n">
        <f aca="false">YEAR(A1099)</f>
        <v>2018</v>
      </c>
      <c r="C1099" s="17" t="n">
        <v>16960.01</v>
      </c>
      <c r="D1099" s="23" t="n">
        <f aca="false">A1099-A1098</f>
        <v>1</v>
      </c>
      <c r="E1099" s="24" t="n">
        <f aca="false">LN(C1099)</f>
        <v>9.73861349896836</v>
      </c>
      <c r="F1099" s="25" t="n">
        <f aca="false">LN(C1099/C1098)</f>
        <v>0.113188435791164</v>
      </c>
      <c r="G1099" s="25" t="n">
        <f aca="false">IF(AND(D1099=1,A1099&gt;=$R$2),F1099,"")</f>
        <v>0.113188435791164</v>
      </c>
      <c r="H1099" s="27" t="n">
        <f aca="false">IF(G1099="","",G1099^2)</f>
        <v>0.0128116219968505</v>
      </c>
      <c r="I1099" s="25" t="n">
        <f aca="false">IF(G1099="","",C1099/C1098-1)</f>
        <v>0.119842931556904</v>
      </c>
      <c r="J1099" s="17" t="n">
        <f aca="false">AVERAGE(C900:C1099)</f>
        <v>6490.1318</v>
      </c>
      <c r="K1099" s="17" t="n">
        <f aca="false">MAX(K1098,C1099)</f>
        <v>19650.01</v>
      </c>
      <c r="L1099" s="25" t="n">
        <f aca="false">C1099/K1099-1</f>
        <v>-0.13689560463328</v>
      </c>
      <c r="M1099" s="25" t="n">
        <f aca="false">IF(COUNT(G1070:G1099)&lt;20,"",_xlfn.STDEV.S(G1070:G1099)*SQRT($R$3))</f>
        <v>1.47178597296676</v>
      </c>
      <c r="N1099" s="25" t="n">
        <f aca="false">IF(A1099-7&lt;$R$2,"",C1099/INDEX(Clean_Data!$C$2:$C$4314,MATCH(A1099-7,Clean_Data!$A$2:$A$4314,1))-1)</f>
        <v>0.164431979292896</v>
      </c>
      <c r="O1099" s="25" t="n">
        <f aca="false">IF(A1099-30&lt;$R$2,"",C1099/INDEX(Clean_Data!$C$2:$C$4314,MATCH(A1099-30,Clean_Data!$A$2:$A$4314,1))-1)</f>
        <v>0.203691270404542</v>
      </c>
    </row>
    <row r="1100" customFormat="false" ht="15" hidden="false" customHeight="false" outlineLevel="0" collapsed="false">
      <c r="A1100" s="16" t="n">
        <v>43106</v>
      </c>
      <c r="B1100" s="23" t="n">
        <f aca="false">YEAR(A1100)</f>
        <v>2018</v>
      </c>
      <c r="C1100" s="17" t="n">
        <v>17098.99</v>
      </c>
      <c r="D1100" s="23" t="n">
        <f aca="false">A1100-A1099</f>
        <v>1</v>
      </c>
      <c r="E1100" s="24" t="n">
        <f aca="false">LN(C1100)</f>
        <v>9.7467746764189</v>
      </c>
      <c r="F1100" s="25" t="n">
        <f aca="false">LN(C1100/C1099)</f>
        <v>0.00816117745053824</v>
      </c>
      <c r="G1100" s="25" t="n">
        <f aca="false">IF(AND(D1100=1,A1100&gt;=$R$2),F1100,"")</f>
        <v>0.00816117745053824</v>
      </c>
      <c r="H1100" s="27" t="n">
        <f aca="false">IF(G1100="","",G1100^2)</f>
        <v>6.66048173791738E-005</v>
      </c>
      <c r="I1100" s="25" t="n">
        <f aca="false">IF(G1100="","",C1100/C1099-1)</f>
        <v>0.00819457063999396</v>
      </c>
      <c r="J1100" s="17" t="n">
        <f aca="false">AVERAGE(C901:C1100)</f>
        <v>6562.00135</v>
      </c>
      <c r="K1100" s="17" t="n">
        <f aca="false">MAX(K1099,C1100)</f>
        <v>19650.01</v>
      </c>
      <c r="L1100" s="25" t="n">
        <f aca="false">C1100/K1100-1</f>
        <v>-0.129822834695758</v>
      </c>
      <c r="M1100" s="25" t="n">
        <f aca="false">IF(COUNT(G1071:G1100)&lt;20,"",_xlfn.STDEV.S(G1071:G1100)*SQRT($R$3))</f>
        <v>1.27434783280726</v>
      </c>
      <c r="N1100" s="25" t="n">
        <f aca="false">IF(A1100-7&lt;$R$2,"",C1100/INDEX(Clean_Data!$C$2:$C$4314,MATCH(A1100-7,Clean_Data!$A$2:$A$4314,1))-1)</f>
        <v>0.331698077646478</v>
      </c>
      <c r="O1100" s="25" t="n">
        <f aca="false">IF(A1100-30&lt;$R$2,"",C1100/INDEX(Clean_Data!$C$2:$C$4314,MATCH(A1100-30,Clean_Data!$A$2:$A$4314,1))-1)</f>
        <v>-0.0167348954945971</v>
      </c>
    </row>
    <row r="1101" customFormat="false" ht="15" hidden="false" customHeight="false" outlineLevel="0" collapsed="false">
      <c r="A1101" s="16" t="n">
        <v>43107</v>
      </c>
      <c r="B1101" s="23" t="n">
        <f aca="false">YEAR(A1101)</f>
        <v>2018</v>
      </c>
      <c r="C1101" s="17" t="n">
        <v>16174.22</v>
      </c>
      <c r="D1101" s="23" t="n">
        <f aca="false">A1101-A1100</f>
        <v>1</v>
      </c>
      <c r="E1101" s="24" t="n">
        <f aca="false">LN(C1101)</f>
        <v>9.69117389564067</v>
      </c>
      <c r="F1101" s="25" t="n">
        <f aca="false">LN(C1101/C1100)</f>
        <v>-0.0556007807782317</v>
      </c>
      <c r="G1101" s="25" t="n">
        <f aca="false">IF(AND(D1101=1,A1101&gt;=$R$2),F1101,"")</f>
        <v>-0.0556007807782317</v>
      </c>
      <c r="H1101" s="27" t="n">
        <f aca="false">IF(G1101="","",G1101^2)</f>
        <v>0.00309144682314898</v>
      </c>
      <c r="I1101" s="25" t="n">
        <f aca="false">IF(G1101="","",C1101/C1100-1)</f>
        <v>-0.0540833113534778</v>
      </c>
      <c r="J1101" s="17" t="n">
        <f aca="false">AVERAGE(C902:C1101)</f>
        <v>6629.6557</v>
      </c>
      <c r="K1101" s="17" t="n">
        <f aca="false">MAX(K1100,C1101)</f>
        <v>19650.01</v>
      </c>
      <c r="L1101" s="25" t="n">
        <f aca="false">C1101/K1101-1</f>
        <v>-0.176884897259594</v>
      </c>
      <c r="M1101" s="25" t="n">
        <f aca="false">IF(COUNT(G1072:G1101)&lt;20,"",_xlfn.STDEV.S(G1072:G1101)*SQRT($R$3))</f>
        <v>1.27148352300587</v>
      </c>
      <c r="N1101" s="25" t="n">
        <f aca="false">IF(A1101-7&lt;$R$2,"",C1101/INDEX(Clean_Data!$C$2:$C$4314,MATCH(A1101-7,Clean_Data!$A$2:$A$4314,1))-1)</f>
        <v>0.166707662699549</v>
      </c>
      <c r="O1101" s="25" t="n">
        <f aca="false">IF(A1101-30&lt;$R$2,"",C1101/INDEX(Clean_Data!$C$2:$C$4314,MATCH(A1101-30,Clean_Data!$A$2:$A$4314,1))-1)</f>
        <v>-0.0117803902112968</v>
      </c>
    </row>
    <row r="1102" customFormat="false" ht="15" hidden="false" customHeight="false" outlineLevel="0" collapsed="false">
      <c r="A1102" s="16" t="n">
        <v>43108</v>
      </c>
      <c r="B1102" s="23" t="n">
        <f aca="false">YEAR(A1102)</f>
        <v>2018</v>
      </c>
      <c r="C1102" s="17" t="n">
        <v>14993.74</v>
      </c>
      <c r="D1102" s="23" t="n">
        <f aca="false">A1102-A1101</f>
        <v>1</v>
      </c>
      <c r="E1102" s="24" t="n">
        <f aca="false">LN(C1102)</f>
        <v>9.61538805964322</v>
      </c>
      <c r="F1102" s="25" t="n">
        <f aca="false">LN(C1102/C1101)</f>
        <v>-0.0757858359974461</v>
      </c>
      <c r="G1102" s="25" t="n">
        <f aca="false">IF(AND(D1102=1,A1102&gt;=$R$2),F1102,"")</f>
        <v>-0.0757858359974461</v>
      </c>
      <c r="H1102" s="27" t="n">
        <f aca="false">IF(G1102="","",G1102^2)</f>
        <v>0.0057434929378318</v>
      </c>
      <c r="I1102" s="25" t="n">
        <f aca="false">IF(G1102="","",C1102/C1101-1)</f>
        <v>-0.0729852815158938</v>
      </c>
      <c r="J1102" s="17" t="n">
        <f aca="false">AVERAGE(C903:C1102)</f>
        <v>6691.22445</v>
      </c>
      <c r="K1102" s="17" t="n">
        <f aca="false">MAX(K1101,C1102)</f>
        <v>19650.01</v>
      </c>
      <c r="L1102" s="25" t="n">
        <f aca="false">C1102/K1102-1</f>
        <v>-0.236960184753087</v>
      </c>
      <c r="M1102" s="25" t="n">
        <f aca="false">IF(COUNT(G1073:G1102)&lt;20,"",_xlfn.STDEV.S(G1073:G1102)*SQRT($R$3))</f>
        <v>1.27778443278143</v>
      </c>
      <c r="N1102" s="25" t="n">
        <f aca="false">IF(A1102-7&lt;$R$2,"",C1102/INDEX(Clean_Data!$C$2:$C$4314,MATCH(A1102-7,Clean_Data!$A$2:$A$4314,1))-1)</f>
        <v>0.112294427081286</v>
      </c>
      <c r="O1102" s="25" t="n">
        <f aca="false">IF(A1102-30&lt;$R$2,"",C1102/INDEX(Clean_Data!$C$2:$C$4314,MATCH(A1102-30,Clean_Data!$A$2:$A$4314,1))-1)</f>
        <v>-0.020655807519017</v>
      </c>
    </row>
    <row r="1103" customFormat="false" ht="15" hidden="false" customHeight="false" outlineLevel="0" collapsed="false">
      <c r="A1103" s="16" t="n">
        <v>43109</v>
      </c>
      <c r="B1103" s="23" t="n">
        <f aca="false">YEAR(A1103)</f>
        <v>2018</v>
      </c>
      <c r="C1103" s="17" t="n">
        <v>14480.99</v>
      </c>
      <c r="D1103" s="23" t="n">
        <f aca="false">A1103-A1102</f>
        <v>1</v>
      </c>
      <c r="E1103" s="24" t="n">
        <f aca="false">LN(C1103)</f>
        <v>9.58059203376832</v>
      </c>
      <c r="F1103" s="25" t="n">
        <f aca="false">LN(C1103/C1102)</f>
        <v>-0.0347960258749021</v>
      </c>
      <c r="G1103" s="25" t="n">
        <f aca="false">IF(AND(D1103=1,A1103&gt;=$R$2),F1103,"")</f>
        <v>-0.0347960258749021</v>
      </c>
      <c r="H1103" s="27" t="n">
        <f aca="false">IF(G1103="","",G1103^2)</f>
        <v>0.00121076341668685</v>
      </c>
      <c r="I1103" s="25" t="n">
        <f aca="false">IF(G1103="","",C1103/C1102-1)</f>
        <v>-0.0341976051338758</v>
      </c>
      <c r="J1103" s="17" t="n">
        <f aca="false">AVERAGE(C904:C1103)</f>
        <v>6750.1756</v>
      </c>
      <c r="K1103" s="17" t="n">
        <f aca="false">MAX(K1102,C1103)</f>
        <v>19650.01</v>
      </c>
      <c r="L1103" s="25" t="n">
        <f aca="false">C1103/K1103-1</f>
        <v>-0.263054319056326</v>
      </c>
      <c r="M1103" s="25" t="n">
        <f aca="false">IF(COUNT(G1074:G1103)&lt;20,"",_xlfn.STDEV.S(G1074:G1103)*SQRT($R$3))</f>
        <v>1.2833134557143</v>
      </c>
      <c r="N1103" s="25" t="n">
        <f aca="false">IF(A1103-7&lt;$R$2,"",C1103/INDEX(Clean_Data!$C$2:$C$4314,MATCH(A1103-7,Clean_Data!$A$2:$A$4314,1))-1)</f>
        <v>-0.0203308051748434</v>
      </c>
      <c r="O1103" s="25" t="n">
        <f aca="false">IF(A1103-30&lt;$R$2,"",C1103/INDEX(Clean_Data!$C$2:$C$4314,MATCH(A1103-30,Clean_Data!$A$2:$A$4314,1))-1)</f>
        <v>-0.0529116723926276</v>
      </c>
    </row>
    <row r="1104" customFormat="false" ht="15" hidden="false" customHeight="false" outlineLevel="0" collapsed="false">
      <c r="A1104" s="16" t="n">
        <v>43110</v>
      </c>
      <c r="B1104" s="23" t="n">
        <f aca="false">YEAR(A1104)</f>
        <v>2018</v>
      </c>
      <c r="C1104" s="17" t="n">
        <v>14875.18</v>
      </c>
      <c r="D1104" s="23" t="n">
        <f aca="false">A1104-A1103</f>
        <v>1</v>
      </c>
      <c r="E1104" s="24" t="n">
        <f aca="false">LN(C1104)</f>
        <v>9.60744933118095</v>
      </c>
      <c r="F1104" s="25" t="n">
        <f aca="false">LN(C1104/C1103)</f>
        <v>0.0268572974126322</v>
      </c>
      <c r="G1104" s="25" t="n">
        <f aca="false">IF(AND(D1104=1,A1104&gt;=$R$2),F1104,"")</f>
        <v>0.0268572974126322</v>
      </c>
      <c r="H1104" s="27" t="n">
        <f aca="false">IF(G1104="","",G1104^2)</f>
        <v>0.000721314424310581</v>
      </c>
      <c r="I1104" s="25" t="n">
        <f aca="false">IF(G1104="","",C1104/C1103-1)</f>
        <v>0.0272212051800327</v>
      </c>
      <c r="J1104" s="17" t="n">
        <f aca="false">AVERAGE(C905:C1104)</f>
        <v>6811.6773</v>
      </c>
      <c r="K1104" s="17" t="n">
        <f aca="false">MAX(K1103,C1104)</f>
        <v>19650.01</v>
      </c>
      <c r="L1104" s="25" t="n">
        <f aca="false">C1104/K1104-1</f>
        <v>-0.24299376946882</v>
      </c>
      <c r="M1104" s="25" t="n">
        <f aca="false">IF(COUNT(G1075:G1104)&lt;20,"",_xlfn.STDEV.S(G1075:G1104)*SQRT($R$3))</f>
        <v>1.23548989255491</v>
      </c>
      <c r="N1104" s="25" t="n">
        <f aca="false">IF(A1104-7&lt;$R$2,"",C1104/INDEX(Clean_Data!$C$2:$C$4314,MATCH(A1104-7,Clean_Data!$A$2:$A$4314,1))-1)</f>
        <v>-0.0147673819424113</v>
      </c>
      <c r="O1104" s="25" t="n">
        <f aca="false">IF(A1104-30&lt;$R$2,"",C1104/INDEX(Clean_Data!$C$2:$C$4314,MATCH(A1104-30,Clean_Data!$A$2:$A$4314,1))-1)</f>
        <v>-0.119069559202547</v>
      </c>
    </row>
    <row r="1105" customFormat="false" ht="15" hidden="false" customHeight="false" outlineLevel="0" collapsed="false">
      <c r="A1105" s="16" t="n">
        <v>43111</v>
      </c>
      <c r="B1105" s="23" t="n">
        <f aca="false">YEAR(A1105)</f>
        <v>2018</v>
      </c>
      <c r="C1105" s="17" t="n">
        <v>13308.06</v>
      </c>
      <c r="D1105" s="23" t="n">
        <f aca="false">A1105-A1104</f>
        <v>1</v>
      </c>
      <c r="E1105" s="24" t="n">
        <f aca="false">LN(C1105)</f>
        <v>9.49612514569448</v>
      </c>
      <c r="F1105" s="25" t="n">
        <f aca="false">LN(C1105/C1104)</f>
        <v>-0.111324185486472</v>
      </c>
      <c r="G1105" s="25" t="n">
        <f aca="false">IF(AND(D1105=1,A1105&gt;=$R$2),F1105,"")</f>
        <v>-0.111324185486472</v>
      </c>
      <c r="H1105" s="27" t="n">
        <f aca="false">IF(G1105="","",G1105^2)</f>
        <v>0.0123930742742265</v>
      </c>
      <c r="I1105" s="25" t="n">
        <f aca="false">IF(G1105="","",C1105/C1104-1)</f>
        <v>-0.105351330202391</v>
      </c>
      <c r="J1105" s="17" t="n">
        <f aca="false">AVERAGE(C906:C1105)</f>
        <v>6865.68955</v>
      </c>
      <c r="K1105" s="17" t="n">
        <f aca="false">MAX(K1104,C1105)</f>
        <v>19650.01</v>
      </c>
      <c r="L1105" s="25" t="n">
        <f aca="false">C1105/K1105-1</f>
        <v>-0.322745382826777</v>
      </c>
      <c r="M1105" s="25" t="n">
        <f aca="false">IF(COUNT(G1076:G1105)&lt;20,"",_xlfn.STDEV.S(G1076:G1105)*SQRT($R$3))</f>
        <v>1.27462230306878</v>
      </c>
      <c r="N1105" s="25" t="n">
        <f aca="false">IF(A1105-7&lt;$R$2,"",C1105/INDEX(Clean_Data!$C$2:$C$4314,MATCH(A1105-7,Clean_Data!$A$2:$A$4314,1))-1)</f>
        <v>-0.121289614585417</v>
      </c>
      <c r="O1105" s="25" t="n">
        <f aca="false">IF(A1105-30&lt;$R$2,"",C1105/INDEX(Clean_Data!$C$2:$C$4314,MATCH(A1105-30,Clean_Data!$A$2:$A$4314,1))-1)</f>
        <v>-0.249409479462068</v>
      </c>
    </row>
    <row r="1106" customFormat="false" ht="15" hidden="false" customHeight="false" outlineLevel="0" collapsed="false">
      <c r="A1106" s="16" t="n">
        <v>43112</v>
      </c>
      <c r="B1106" s="23" t="n">
        <f aca="false">YEAR(A1106)</f>
        <v>2018</v>
      </c>
      <c r="C1106" s="17" t="n">
        <v>13820</v>
      </c>
      <c r="D1106" s="23" t="n">
        <f aca="false">A1106-A1105</f>
        <v>1</v>
      </c>
      <c r="E1106" s="24" t="n">
        <f aca="false">LN(C1106)</f>
        <v>9.53387209732166</v>
      </c>
      <c r="F1106" s="25" t="n">
        <f aca="false">LN(C1106/C1105)</f>
        <v>0.0377469516271812</v>
      </c>
      <c r="G1106" s="25" t="n">
        <f aca="false">IF(AND(D1106=1,A1106&gt;=$R$2),F1106,"")</f>
        <v>0.0377469516271812</v>
      </c>
      <c r="H1106" s="27" t="n">
        <f aca="false">IF(G1106="","",G1106^2)</f>
        <v>0.00142483235714475</v>
      </c>
      <c r="I1106" s="25" t="n">
        <f aca="false">IF(G1106="","",C1106/C1105-1)</f>
        <v>0.038468416884204</v>
      </c>
      <c r="J1106" s="17" t="n">
        <f aca="false">AVERAGE(C907:C1106)</f>
        <v>6922.75</v>
      </c>
      <c r="K1106" s="17" t="n">
        <f aca="false">MAX(K1105,C1106)</f>
        <v>19650.01</v>
      </c>
      <c r="L1106" s="25" t="n">
        <f aca="false">C1106/K1106-1</f>
        <v>-0.296692469876606</v>
      </c>
      <c r="M1106" s="25" t="n">
        <f aca="false">IF(COUNT(G1077:G1106)&lt;20,"",_xlfn.STDEV.S(G1077:G1106)*SQRT($R$3))</f>
        <v>1.27128167279988</v>
      </c>
      <c r="N1106" s="25" t="n">
        <f aca="false">IF(A1106-7&lt;$R$2,"",C1106/INDEX(Clean_Data!$C$2:$C$4314,MATCH(A1106-7,Clean_Data!$A$2:$A$4314,1))-1)</f>
        <v>-0.185141989892695</v>
      </c>
      <c r="O1106" s="25" t="n">
        <f aca="false">IF(A1106-30&lt;$R$2,"",C1106/INDEX(Clean_Data!$C$2:$C$4314,MATCH(A1106-30,Clean_Data!$A$2:$A$4314,1))-1)</f>
        <v>-0.171939907523303</v>
      </c>
    </row>
    <row r="1107" customFormat="false" ht="15" hidden="false" customHeight="false" outlineLevel="0" collapsed="false">
      <c r="A1107" s="16" t="n">
        <v>43113</v>
      </c>
      <c r="B1107" s="23" t="n">
        <f aca="false">YEAR(A1107)</f>
        <v>2018</v>
      </c>
      <c r="C1107" s="17" t="n">
        <v>14187.95</v>
      </c>
      <c r="D1107" s="23" t="n">
        <f aca="false">A1107-A1106</f>
        <v>1</v>
      </c>
      <c r="E1107" s="24" t="n">
        <f aca="false">LN(C1107)</f>
        <v>9.56014829178243</v>
      </c>
      <c r="F1107" s="25" t="n">
        <f aca="false">LN(C1107/C1106)</f>
        <v>0.0262761944607646</v>
      </c>
      <c r="G1107" s="25" t="n">
        <f aca="false">IF(AND(D1107=1,A1107&gt;=$R$2),F1107,"")</f>
        <v>0.0262761944607646</v>
      </c>
      <c r="H1107" s="27" t="n">
        <f aca="false">IF(G1107="","",G1107^2)</f>
        <v>0.000690438395339918</v>
      </c>
      <c r="I1107" s="25" t="n">
        <f aca="false">IF(G1107="","",C1107/C1106-1)</f>
        <v>0.026624457308249</v>
      </c>
      <c r="J1107" s="17" t="n">
        <f aca="false">AVERAGE(C908:C1107)</f>
        <v>6980.811</v>
      </c>
      <c r="K1107" s="17" t="n">
        <f aca="false">MAX(K1106,C1107)</f>
        <v>19650.01</v>
      </c>
      <c r="L1107" s="25" t="n">
        <f aca="false">C1107/K1107-1</f>
        <v>-0.277967288566265</v>
      </c>
      <c r="M1107" s="25" t="n">
        <f aca="false">IF(COUNT(G1078:G1107)&lt;20,"",_xlfn.STDEV.S(G1078:G1107)*SQRT($R$3))</f>
        <v>1.27595390740749</v>
      </c>
      <c r="N1107" s="25" t="n">
        <f aca="false">IF(A1107-7&lt;$R$2,"",C1107/INDEX(Clean_Data!$C$2:$C$4314,MATCH(A1107-7,Clean_Data!$A$2:$A$4314,1))-1)</f>
        <v>-0.170246312793914</v>
      </c>
      <c r="O1107" s="25" t="n">
        <f aca="false">IF(A1107-30&lt;$R$2,"",C1107/INDEX(Clean_Data!$C$2:$C$4314,MATCH(A1107-30,Clean_Data!$A$2:$A$4314,1))-1)</f>
        <v>-0.152947083484081</v>
      </c>
    </row>
    <row r="1108" customFormat="false" ht="15" hidden="false" customHeight="false" outlineLevel="0" collapsed="false">
      <c r="A1108" s="16" t="n">
        <v>43114</v>
      </c>
      <c r="B1108" s="23" t="n">
        <f aca="false">YEAR(A1108)</f>
        <v>2018</v>
      </c>
      <c r="C1108" s="17" t="n">
        <v>13656.23</v>
      </c>
      <c r="D1108" s="23" t="n">
        <f aca="false">A1108-A1107</f>
        <v>1</v>
      </c>
      <c r="E1108" s="24" t="n">
        <f aca="false">LN(C1108)</f>
        <v>9.52195110674604</v>
      </c>
      <c r="F1108" s="25" t="n">
        <f aca="false">LN(C1108/C1107)</f>
        <v>-0.0381971850363898</v>
      </c>
      <c r="G1108" s="25" t="n">
        <f aca="false">IF(AND(D1108=1,A1108&gt;=$R$2),F1108,"")</f>
        <v>-0.0381971850363898</v>
      </c>
      <c r="H1108" s="27" t="n">
        <f aca="false">IF(G1108="","",G1108^2)</f>
        <v>0.0014590249447042</v>
      </c>
      <c r="I1108" s="25" t="n">
        <f aca="false">IF(G1108="","",C1108/C1107-1)</f>
        <v>-0.0374768729802404</v>
      </c>
      <c r="J1108" s="17" t="n">
        <f aca="false">AVERAGE(C909:C1108)</f>
        <v>7036.32655</v>
      </c>
      <c r="K1108" s="17" t="n">
        <f aca="false">MAX(K1107,C1108)</f>
        <v>19650.01</v>
      </c>
      <c r="L1108" s="25" t="n">
        <f aca="false">C1108/K1108-1</f>
        <v>-0.305026816780246</v>
      </c>
      <c r="M1108" s="25" t="n">
        <f aca="false">IF(COUNT(G1079:G1108)&lt;20,"",_xlfn.STDEV.S(G1079:G1108)*SQRT($R$3))</f>
        <v>1.26010631027586</v>
      </c>
      <c r="N1108" s="25" t="n">
        <f aca="false">IF(A1108-7&lt;$R$2,"",C1108/INDEX(Clean_Data!$C$2:$C$4314,MATCH(A1108-7,Clean_Data!$A$2:$A$4314,1))-1)</f>
        <v>-0.155679222862061</v>
      </c>
      <c r="O1108" s="25" t="n">
        <f aca="false">IF(A1108-30&lt;$R$2,"",C1108/INDEX(Clean_Data!$C$2:$C$4314,MATCH(A1108-30,Clean_Data!$A$2:$A$4314,1))-1)</f>
        <v>-0.230143522597805</v>
      </c>
    </row>
    <row r="1109" customFormat="false" ht="15" hidden="false" customHeight="false" outlineLevel="0" collapsed="false">
      <c r="A1109" s="16" t="n">
        <v>43115</v>
      </c>
      <c r="B1109" s="23" t="n">
        <f aca="false">YEAR(A1109)</f>
        <v>2018</v>
      </c>
      <c r="C1109" s="17" t="n">
        <v>13590</v>
      </c>
      <c r="D1109" s="23" t="n">
        <f aca="false">A1109-A1108</f>
        <v>1</v>
      </c>
      <c r="E1109" s="24" t="n">
        <f aca="false">LN(C1109)</f>
        <v>9.51708950714519</v>
      </c>
      <c r="F1109" s="25" t="n">
        <f aca="false">LN(C1109/C1108)</f>
        <v>-0.00486159960084633</v>
      </c>
      <c r="G1109" s="25" t="n">
        <f aca="false">IF(AND(D1109=1,A1109&gt;=$R$2),F1109,"")</f>
        <v>-0.00486159960084633</v>
      </c>
      <c r="H1109" s="27" t="n">
        <f aca="false">IF(G1109="","",G1109^2)</f>
        <v>2.36351506789492E-005</v>
      </c>
      <c r="I1109" s="25" t="n">
        <f aca="false">IF(G1109="","",C1109/C1108-1)</f>
        <v>-0.0048498011530268</v>
      </c>
      <c r="J1109" s="17" t="n">
        <f aca="false">AVERAGE(C910:C1109)</f>
        <v>7091.62655</v>
      </c>
      <c r="K1109" s="17" t="n">
        <f aca="false">MAX(K1108,C1109)</f>
        <v>19650.01</v>
      </c>
      <c r="L1109" s="25" t="n">
        <f aca="false">C1109/K1109-1</f>
        <v>-0.308397298525548</v>
      </c>
      <c r="M1109" s="25" t="n">
        <f aca="false">IF(COUNT(G1080:G1109)&lt;20,"",_xlfn.STDEV.S(G1080:G1109)*SQRT($R$3))</f>
        <v>1.1949988759826</v>
      </c>
      <c r="N1109" s="25" t="n">
        <f aca="false">IF(A1109-7&lt;$R$2,"",C1109/INDEX(Clean_Data!$C$2:$C$4314,MATCH(A1109-7,Clean_Data!$A$2:$A$4314,1))-1)</f>
        <v>-0.0936217381387166</v>
      </c>
      <c r="O1109" s="25" t="n">
        <f aca="false">IF(A1109-30&lt;$R$2,"",C1109/INDEX(Clean_Data!$C$2:$C$4314,MATCH(A1109-30,Clean_Data!$A$2:$A$4314,1))-1)</f>
        <v>-0.308397298525548</v>
      </c>
    </row>
    <row r="1110" customFormat="false" ht="15" hidden="false" customHeight="false" outlineLevel="0" collapsed="false">
      <c r="A1110" s="16" t="n">
        <v>43116</v>
      </c>
      <c r="B1110" s="23" t="n">
        <f aca="false">YEAR(A1110)</f>
        <v>2018</v>
      </c>
      <c r="C1110" s="17" t="n">
        <v>11570.01</v>
      </c>
      <c r="D1110" s="23" t="n">
        <f aca="false">A1110-A1109</f>
        <v>1</v>
      </c>
      <c r="E1110" s="24" t="n">
        <f aca="false">LN(C1110)</f>
        <v>9.35617168449158</v>
      </c>
      <c r="F1110" s="25" t="n">
        <f aca="false">LN(C1110/C1109)</f>
        <v>-0.160917822653606</v>
      </c>
      <c r="G1110" s="25" t="n">
        <f aca="false">IF(AND(D1110=1,A1110&gt;=$R$2),F1110,"")</f>
        <v>-0.160917822653606</v>
      </c>
      <c r="H1110" s="27" t="n">
        <f aca="false">IF(G1110="","",G1110^2)</f>
        <v>0.0258945456475773</v>
      </c>
      <c r="I1110" s="25" t="n">
        <f aca="false">IF(G1110="","",C1110/C1109-1)</f>
        <v>-0.148637969094923</v>
      </c>
      <c r="J1110" s="17" t="n">
        <f aca="false">AVERAGE(C911:C1110)</f>
        <v>7137.20065</v>
      </c>
      <c r="K1110" s="17" t="n">
        <f aca="false">MAX(K1109,C1110)</f>
        <v>19650.01</v>
      </c>
      <c r="L1110" s="25" t="n">
        <f aca="false">C1110/K1110-1</f>
        <v>-0.411195719493273</v>
      </c>
      <c r="M1110" s="25" t="n">
        <f aca="false">IF(COUNT(G1081:G1110)&lt;20,"",_xlfn.STDEV.S(G1081:G1110)*SQRT($R$3))</f>
        <v>1.30266937447463</v>
      </c>
      <c r="N1110" s="25" t="n">
        <f aca="false">IF(A1110-7&lt;$R$2,"",C1110/INDEX(Clean_Data!$C$2:$C$4314,MATCH(A1110-7,Clean_Data!$A$2:$A$4314,1))-1)</f>
        <v>-0.201020786562245</v>
      </c>
      <c r="O1110" s="25" t="n">
        <f aca="false">IF(A1110-30&lt;$R$2,"",C1110/INDEX(Clean_Data!$C$2:$C$4314,MATCH(A1110-30,Clean_Data!$A$2:$A$4314,1))-1)</f>
        <v>-0.402961145033874</v>
      </c>
    </row>
    <row r="1111" customFormat="false" ht="15" hidden="false" customHeight="false" outlineLevel="0" collapsed="false">
      <c r="A1111" s="16" t="n">
        <v>43117</v>
      </c>
      <c r="B1111" s="23" t="n">
        <f aca="false">YEAR(A1111)</f>
        <v>2018</v>
      </c>
      <c r="C1111" s="17" t="n">
        <v>11200.01</v>
      </c>
      <c r="D1111" s="23" t="n">
        <f aca="false">A1111-A1110</f>
        <v>1</v>
      </c>
      <c r="E1111" s="24" t="n">
        <f aca="false">LN(C1111)</f>
        <v>9.32366995013993</v>
      </c>
      <c r="F1111" s="25" t="n">
        <f aca="false">LN(C1111/C1110)</f>
        <v>-0.0325017343516537</v>
      </c>
      <c r="G1111" s="25" t="n">
        <f aca="false">IF(AND(D1111=1,A1111&gt;=$R$2),F1111,"")</f>
        <v>-0.0325017343516537</v>
      </c>
      <c r="H1111" s="27" t="n">
        <f aca="false">IF(G1111="","",G1111^2)</f>
        <v>0.00105636273586547</v>
      </c>
      <c r="I1111" s="25" t="n">
        <f aca="false">IF(G1111="","",C1111/C1110-1)</f>
        <v>-0.0319792290585748</v>
      </c>
      <c r="J1111" s="17" t="n">
        <f aca="false">AVERAGE(C912:C1111)</f>
        <v>7181.08255</v>
      </c>
      <c r="K1111" s="17" t="n">
        <f aca="false">MAX(K1110,C1111)</f>
        <v>19650.01</v>
      </c>
      <c r="L1111" s="25" t="n">
        <f aca="false">C1111/K1111-1</f>
        <v>-0.430025226450266</v>
      </c>
      <c r="M1111" s="25" t="n">
        <f aca="false">IF(COUNT(G1082:G1111)&lt;20,"",_xlfn.STDEV.S(G1082:G1111)*SQRT($R$3))</f>
        <v>1.30376463621224</v>
      </c>
      <c r="N1111" s="25" t="n">
        <f aca="false">IF(A1111-7&lt;$R$2,"",C1111/INDEX(Clean_Data!$C$2:$C$4314,MATCH(A1111-7,Clean_Data!$A$2:$A$4314,1))-1)</f>
        <v>-0.247067262379346</v>
      </c>
      <c r="O1111" s="25" t="n">
        <f aca="false">IF(A1111-30&lt;$R$2,"",C1111/INDEX(Clean_Data!$C$2:$C$4314,MATCH(A1111-30,Clean_Data!$A$2:$A$4314,1))-1)</f>
        <v>-0.411733593290828</v>
      </c>
    </row>
    <row r="1112" customFormat="false" ht="15" hidden="false" customHeight="false" outlineLevel="0" collapsed="false">
      <c r="A1112" s="16" t="n">
        <v>43118</v>
      </c>
      <c r="B1112" s="23" t="n">
        <f aca="false">YEAR(A1112)</f>
        <v>2018</v>
      </c>
      <c r="C1112" s="17" t="n">
        <v>11305.53</v>
      </c>
      <c r="D1112" s="23" t="n">
        <f aca="false">A1112-A1111</f>
        <v>1</v>
      </c>
      <c r="E1112" s="24" t="n">
        <f aca="false">LN(C1112)</f>
        <v>9.33304726552381</v>
      </c>
      <c r="F1112" s="25" t="n">
        <f aca="false">LN(C1112/C1111)</f>
        <v>0.00937731538387658</v>
      </c>
      <c r="G1112" s="25" t="n">
        <f aca="false">IF(AND(D1112=1,A1112&gt;=$R$2),F1112,"")</f>
        <v>0.00937731538387658</v>
      </c>
      <c r="H1112" s="27" t="n">
        <f aca="false">IF(G1112="","",G1112^2)</f>
        <v>8.79340438086885E-005</v>
      </c>
      <c r="I1112" s="25" t="n">
        <f aca="false">IF(G1112="","",C1112/C1111-1)</f>
        <v>0.00942142015944625</v>
      </c>
      <c r="J1112" s="17" t="n">
        <f aca="false">AVERAGE(C913:C1112)</f>
        <v>7225.0269</v>
      </c>
      <c r="K1112" s="17" t="n">
        <f aca="false">MAX(K1111,C1112)</f>
        <v>19650.01</v>
      </c>
      <c r="L1112" s="25" t="n">
        <f aca="false">C1112/K1112-1</f>
        <v>-0.424655254628369</v>
      </c>
      <c r="M1112" s="25" t="n">
        <f aca="false">IF(COUNT(G1083:G1112)&lt;20,"",_xlfn.STDEV.S(G1083:G1112)*SQRT($R$3))</f>
        <v>1.29552136342763</v>
      </c>
      <c r="N1112" s="25" t="n">
        <f aca="false">IF(A1112-7&lt;$R$2,"",C1112/INDEX(Clean_Data!$C$2:$C$4314,MATCH(A1112-7,Clean_Data!$A$2:$A$4314,1))-1)</f>
        <v>-0.150474975315711</v>
      </c>
      <c r="O1112" s="25" t="n">
        <f aca="false">IF(A1112-30&lt;$R$2,"",C1112/INDEX(Clean_Data!$C$2:$C$4314,MATCH(A1112-30,Clean_Data!$A$2:$A$4314,1))-1)</f>
        <v>-0.366236834124402</v>
      </c>
    </row>
    <row r="1113" customFormat="false" ht="15" hidden="false" customHeight="false" outlineLevel="0" collapsed="false">
      <c r="A1113" s="16" t="n">
        <v>43119</v>
      </c>
      <c r="B1113" s="23" t="n">
        <f aca="false">YEAR(A1113)</f>
        <v>2018</v>
      </c>
      <c r="C1113" s="17" t="n">
        <v>11498.99</v>
      </c>
      <c r="D1113" s="23" t="n">
        <f aca="false">A1113-A1112</f>
        <v>1</v>
      </c>
      <c r="E1113" s="24" t="n">
        <f aca="false">LN(C1113)</f>
        <v>9.35001448440745</v>
      </c>
      <c r="F1113" s="25" t="n">
        <f aca="false">LN(C1113/C1112)</f>
        <v>0.0169672188836415</v>
      </c>
      <c r="G1113" s="25" t="n">
        <f aca="false">IF(AND(D1113=1,A1113&gt;=$R$2),F1113,"")</f>
        <v>0.0169672188836415</v>
      </c>
      <c r="H1113" s="27" t="n">
        <f aca="false">IF(G1113="","",G1113^2)</f>
        <v>0.000287886516645402</v>
      </c>
      <c r="I1113" s="25" t="n">
        <f aca="false">IF(G1113="","",C1113/C1112-1)</f>
        <v>0.0171119797125832</v>
      </c>
      <c r="J1113" s="17" t="n">
        <f aca="false">AVERAGE(C914:C1113)</f>
        <v>7269.8098</v>
      </c>
      <c r="K1113" s="17" t="n">
        <f aca="false">MAX(K1112,C1113)</f>
        <v>19650.01</v>
      </c>
      <c r="L1113" s="25" t="n">
        <f aca="false">C1113/K1113-1</f>
        <v>-0.414809967017828</v>
      </c>
      <c r="M1113" s="25" t="n">
        <f aca="false">IF(COUNT(G1084:G1113)&lt;20,"",_xlfn.STDEV.S(G1084:G1113)*SQRT($R$3))</f>
        <v>1.27970733736032</v>
      </c>
      <c r="N1113" s="25" t="n">
        <f aca="false">IF(A1113-7&lt;$R$2,"",C1113/INDEX(Clean_Data!$C$2:$C$4314,MATCH(A1113-7,Clean_Data!$A$2:$A$4314,1))-1)</f>
        <v>-0.167945730824892</v>
      </c>
      <c r="O1113" s="25" t="n">
        <f aca="false">IF(A1113-30&lt;$R$2,"",C1113/INDEX(Clean_Data!$C$2:$C$4314,MATCH(A1113-30,Clean_Data!$A$2:$A$4314,1))-1)</f>
        <v>-0.302960133697927</v>
      </c>
    </row>
    <row r="1114" customFormat="false" ht="15" hidden="false" customHeight="false" outlineLevel="0" collapsed="false">
      <c r="A1114" s="16" t="n">
        <v>43120</v>
      </c>
      <c r="B1114" s="23" t="n">
        <f aca="false">YEAR(A1114)</f>
        <v>2018</v>
      </c>
      <c r="C1114" s="17" t="n">
        <v>12762.8</v>
      </c>
      <c r="D1114" s="23" t="n">
        <f aca="false">A1114-A1113</f>
        <v>1</v>
      </c>
      <c r="E1114" s="24" t="n">
        <f aca="false">LN(C1114)</f>
        <v>9.45428996856296</v>
      </c>
      <c r="F1114" s="25" t="n">
        <f aca="false">LN(C1114/C1113)</f>
        <v>0.10427548415551</v>
      </c>
      <c r="G1114" s="25" t="n">
        <f aca="false">IF(AND(D1114=1,A1114&gt;=$R$2),F1114,"")</f>
        <v>0.10427548415551</v>
      </c>
      <c r="H1114" s="27" t="n">
        <f aca="false">IF(G1114="","",G1114^2)</f>
        <v>0.010873376595866</v>
      </c>
      <c r="I1114" s="25" t="n">
        <f aca="false">IF(G1114="","",C1114/C1113-1)</f>
        <v>0.109906174368358</v>
      </c>
      <c r="J1114" s="17" t="n">
        <f aca="false">AVERAGE(C915:C1114)</f>
        <v>7320.6138</v>
      </c>
      <c r="K1114" s="17" t="n">
        <f aca="false">MAX(K1113,C1114)</f>
        <v>19650.01</v>
      </c>
      <c r="L1114" s="25" t="n">
        <f aca="false">C1114/K1114-1</f>
        <v>-0.350493969214265</v>
      </c>
      <c r="M1114" s="25" t="n">
        <f aca="false">IF(COUNT(G1085:G1114)&lt;20,"",_xlfn.STDEV.S(G1085:G1114)*SQRT($R$3))</f>
        <v>1.33571307709511</v>
      </c>
      <c r="N1114" s="25" t="n">
        <f aca="false">IF(A1114-7&lt;$R$2,"",C1114/INDEX(Clean_Data!$C$2:$C$4314,MATCH(A1114-7,Clean_Data!$A$2:$A$4314,1))-1)</f>
        <v>-0.100447915308413</v>
      </c>
      <c r="O1114" s="25" t="n">
        <f aca="false">IF(A1114-30&lt;$R$2,"",C1114/INDEX(Clean_Data!$C$2:$C$4314,MATCH(A1114-30,Clean_Data!$A$2:$A$4314,1))-1)</f>
        <v>-0.190115998680103</v>
      </c>
    </row>
    <row r="1115" customFormat="false" ht="15" hidden="false" customHeight="false" outlineLevel="0" collapsed="false">
      <c r="A1115" s="16" t="n">
        <v>43121</v>
      </c>
      <c r="B1115" s="23" t="n">
        <f aca="false">YEAR(A1115)</f>
        <v>2018</v>
      </c>
      <c r="C1115" s="17" t="n">
        <v>11518.17</v>
      </c>
      <c r="D1115" s="23" t="n">
        <f aca="false">A1115-A1114</f>
        <v>1</v>
      </c>
      <c r="E1115" s="24" t="n">
        <f aca="false">LN(C1115)</f>
        <v>9.35168106746456</v>
      </c>
      <c r="F1115" s="25" t="n">
        <f aca="false">LN(C1115/C1114)</f>
        <v>-0.102608901098402</v>
      </c>
      <c r="G1115" s="25" t="n">
        <f aca="false">IF(AND(D1115=1,A1115&gt;=$R$2),F1115,"")</f>
        <v>-0.102608901098402</v>
      </c>
      <c r="H1115" s="27" t="n">
        <f aca="false">IF(G1115="","",G1115^2)</f>
        <v>0.0105285865846217</v>
      </c>
      <c r="I1115" s="25" t="n">
        <f aca="false">IF(G1115="","",C1115/C1114-1)</f>
        <v>-0.0975201366471307</v>
      </c>
      <c r="J1115" s="17" t="n">
        <f aca="false">AVERAGE(C916:C1115)</f>
        <v>7365.11985</v>
      </c>
      <c r="K1115" s="17" t="n">
        <f aca="false">MAX(K1114,C1115)</f>
        <v>19650.01</v>
      </c>
      <c r="L1115" s="25" t="n">
        <f aca="false">C1115/K1115-1</f>
        <v>-0.413833886089625</v>
      </c>
      <c r="M1115" s="25" t="n">
        <f aca="false">IF(COUNT(G1086:G1115)&lt;20,"",_xlfn.STDEV.S(G1086:G1115)*SQRT($R$3))</f>
        <v>1.33498563506073</v>
      </c>
      <c r="N1115" s="25" t="n">
        <f aca="false">IF(A1115-7&lt;$R$2,"",C1115/INDEX(Clean_Data!$C$2:$C$4314,MATCH(A1115-7,Clean_Data!$A$2:$A$4314,1))-1)</f>
        <v>-0.156562975286737</v>
      </c>
      <c r="O1115" s="25" t="n">
        <f aca="false">IF(A1115-30&lt;$R$2,"",C1115/INDEX(Clean_Data!$C$2:$C$4314,MATCH(A1115-30,Clean_Data!$A$2:$A$4314,1))-1)</f>
        <v>-0.189464602756962</v>
      </c>
    </row>
    <row r="1116" customFormat="false" ht="15" hidden="false" customHeight="false" outlineLevel="0" collapsed="false">
      <c r="A1116" s="16" t="n">
        <v>43122</v>
      </c>
      <c r="B1116" s="23" t="n">
        <f aca="false">YEAR(A1116)</f>
        <v>2018</v>
      </c>
      <c r="C1116" s="17" t="n">
        <v>10766.7</v>
      </c>
      <c r="D1116" s="23" t="n">
        <f aca="false">A1116-A1115</f>
        <v>1</v>
      </c>
      <c r="E1116" s="24" t="n">
        <f aca="false">LN(C1116)</f>
        <v>9.28421331651308</v>
      </c>
      <c r="F1116" s="25" t="n">
        <f aca="false">LN(C1116/C1115)</f>
        <v>-0.0674677509514782</v>
      </c>
      <c r="G1116" s="25" t="n">
        <f aca="false">IF(AND(D1116=1,A1116&gt;=$R$2),F1116,"")</f>
        <v>-0.0674677509514782</v>
      </c>
      <c r="H1116" s="27" t="n">
        <f aca="false">IF(G1116="","",G1116^2)</f>
        <v>0.00455189741845068</v>
      </c>
      <c r="I1116" s="25" t="n">
        <f aca="false">IF(G1116="","",C1116/C1115-1)</f>
        <v>-0.0652421348182914</v>
      </c>
      <c r="J1116" s="17" t="n">
        <f aca="false">AVERAGE(C917:C1116)</f>
        <v>7405.92915</v>
      </c>
      <c r="K1116" s="17" t="n">
        <f aca="false">MAX(K1115,C1116)</f>
        <v>19650.01</v>
      </c>
      <c r="L1116" s="25" t="n">
        <f aca="false">C1116/K1116-1</f>
        <v>-0.45207661471928</v>
      </c>
      <c r="M1116" s="25" t="n">
        <f aca="false">IF(COUNT(G1087:G1116)&lt;20,"",_xlfn.STDEV.S(G1087:G1116)*SQRT($R$3))</f>
        <v>1.32908549797915</v>
      </c>
      <c r="N1116" s="25" t="n">
        <f aca="false">IF(A1116-7&lt;$R$2,"",C1116/INDEX(Clean_Data!$C$2:$C$4314,MATCH(A1116-7,Clean_Data!$A$2:$A$4314,1))-1)</f>
        <v>-0.207748344370861</v>
      </c>
      <c r="O1116" s="25" t="n">
        <f aca="false">IF(A1116-30&lt;$R$2,"",C1116/INDEX(Clean_Data!$C$2:$C$4314,MATCH(A1116-30,Clean_Data!$A$2:$A$4314,1))-1)</f>
        <v>-0.285833207857048</v>
      </c>
    </row>
    <row r="1117" customFormat="false" ht="15" hidden="false" customHeight="false" outlineLevel="0" collapsed="false">
      <c r="A1117" s="16" t="n">
        <v>43123</v>
      </c>
      <c r="B1117" s="23" t="n">
        <f aca="false">YEAR(A1117)</f>
        <v>2018</v>
      </c>
      <c r="C1117" s="17" t="n">
        <v>10824.94</v>
      </c>
      <c r="D1117" s="23" t="n">
        <f aca="false">A1117-A1116</f>
        <v>1</v>
      </c>
      <c r="E1117" s="24" t="n">
        <f aca="false">LN(C1117)</f>
        <v>9.28960801013016</v>
      </c>
      <c r="F1117" s="25" t="n">
        <f aca="false">LN(C1117/C1116)</f>
        <v>0.00539469361707856</v>
      </c>
      <c r="G1117" s="25" t="n">
        <f aca="false">IF(AND(D1117=1,A1117&gt;=$R$2),F1117,"")</f>
        <v>0.00539469361707856</v>
      </c>
      <c r="H1117" s="27" t="n">
        <f aca="false">IF(G1117="","",G1117^2)</f>
        <v>2.91027192221482E-005</v>
      </c>
      <c r="I1117" s="25" t="n">
        <f aca="false">IF(G1117="","",C1117/C1116-1)</f>
        <v>0.00540927117872703</v>
      </c>
      <c r="J1117" s="17" t="n">
        <f aca="false">AVERAGE(C918:C1117)</f>
        <v>7447.5481</v>
      </c>
      <c r="K1117" s="17" t="n">
        <f aca="false">MAX(K1116,C1117)</f>
        <v>19650.01</v>
      </c>
      <c r="L1117" s="25" t="n">
        <f aca="false">C1117/K1117-1</f>
        <v>-0.44911274854313</v>
      </c>
      <c r="M1117" s="25" t="n">
        <f aca="false">IF(COUNT(G1088:G1117)&lt;20,"",_xlfn.STDEV.S(G1088:G1117)*SQRT($R$3))</f>
        <v>1.31921622270266</v>
      </c>
      <c r="N1117" s="25" t="n">
        <f aca="false">IF(A1117-7&lt;$R$2,"",C1117/INDEX(Clean_Data!$C$2:$C$4314,MATCH(A1117-7,Clean_Data!$A$2:$A$4314,1))-1)</f>
        <v>-0.0643966599856006</v>
      </c>
      <c r="O1117" s="25" t="n">
        <f aca="false">IF(A1117-30&lt;$R$2,"",C1117/INDEX(Clean_Data!$C$2:$C$4314,MATCH(A1117-30,Clean_Data!$A$2:$A$4314,1))-1)</f>
        <v>-0.238856302304749</v>
      </c>
    </row>
    <row r="1118" customFormat="false" ht="15" hidden="false" customHeight="false" outlineLevel="0" collapsed="false">
      <c r="A1118" s="16" t="n">
        <v>43124</v>
      </c>
      <c r="B1118" s="23" t="n">
        <f aca="false">YEAR(A1118)</f>
        <v>2018</v>
      </c>
      <c r="C1118" s="17" t="n">
        <v>11356.79</v>
      </c>
      <c r="D1118" s="23" t="n">
        <f aca="false">A1118-A1117</f>
        <v>1</v>
      </c>
      <c r="E1118" s="24" t="n">
        <f aca="false">LN(C1118)</f>
        <v>9.33757108192206</v>
      </c>
      <c r="F1118" s="25" t="n">
        <f aca="false">LN(C1118/C1117)</f>
        <v>0.0479630717919066</v>
      </c>
      <c r="G1118" s="25" t="n">
        <f aca="false">IF(AND(D1118=1,A1118&gt;=$R$2),F1118,"")</f>
        <v>0.0479630717919066</v>
      </c>
      <c r="H1118" s="27" t="n">
        <f aca="false">IF(G1118="","",G1118^2)</f>
        <v>0.00230045625571559</v>
      </c>
      <c r="I1118" s="25" t="n">
        <f aca="false">IF(G1118="","",C1118/C1117-1)</f>
        <v>0.0491319120475495</v>
      </c>
      <c r="J1118" s="17" t="n">
        <f aca="false">AVERAGE(C919:C1118)</f>
        <v>7491.5265</v>
      </c>
      <c r="K1118" s="17" t="n">
        <f aca="false">MAX(K1117,C1118)</f>
        <v>19650.01</v>
      </c>
      <c r="L1118" s="25" t="n">
        <f aca="false">C1118/K1118-1</f>
        <v>-0.422046604556435</v>
      </c>
      <c r="M1118" s="25" t="n">
        <f aca="false">IF(COUNT(G1089:G1118)&lt;20,"",_xlfn.STDEV.S(G1089:G1118)*SQRT($R$3))</f>
        <v>1.33409434153341</v>
      </c>
      <c r="N1118" s="25" t="n">
        <f aca="false">IF(A1118-7&lt;$R$2,"",C1118/INDEX(Clean_Data!$C$2:$C$4314,MATCH(A1118-7,Clean_Data!$A$2:$A$4314,1))-1)</f>
        <v>0.0139982017873199</v>
      </c>
      <c r="O1118" s="25" t="n">
        <f aca="false">IF(A1118-30&lt;$R$2,"",C1118/INDEX(Clean_Data!$C$2:$C$4314,MATCH(A1118-30,Clean_Data!$A$2:$A$4314,1))-1)</f>
        <v>-0.198644790636171</v>
      </c>
    </row>
    <row r="1119" customFormat="false" ht="15" hidden="false" customHeight="false" outlineLevel="0" collapsed="false">
      <c r="A1119" s="16" t="n">
        <v>43125</v>
      </c>
      <c r="B1119" s="23" t="n">
        <f aca="false">YEAR(A1119)</f>
        <v>2018</v>
      </c>
      <c r="C1119" s="17" t="n">
        <v>11118</v>
      </c>
      <c r="D1119" s="23" t="n">
        <f aca="false">A1119-A1118</f>
        <v>1</v>
      </c>
      <c r="E1119" s="24" t="n">
        <f aca="false">LN(C1119)</f>
        <v>9.31632069551342</v>
      </c>
      <c r="F1119" s="25" t="n">
        <f aca="false">LN(C1119/C1118)</f>
        <v>-0.0212503864086482</v>
      </c>
      <c r="G1119" s="25" t="n">
        <f aca="false">IF(AND(D1119=1,A1119&gt;=$R$2),F1119,"")</f>
        <v>-0.0212503864086482</v>
      </c>
      <c r="H1119" s="27" t="n">
        <f aca="false">IF(G1119="","",G1119^2)</f>
        <v>0.000451578922516862</v>
      </c>
      <c r="I1119" s="25" t="n">
        <f aca="false">IF(G1119="","",C1119/C1118-1)</f>
        <v>-0.0210261878576605</v>
      </c>
      <c r="J1119" s="17" t="n">
        <f aca="false">AVERAGE(C920:C1119)</f>
        <v>7534.57155</v>
      </c>
      <c r="K1119" s="17" t="n">
        <f aca="false">MAX(K1118,C1119)</f>
        <v>19650.01</v>
      </c>
      <c r="L1119" s="25" t="n">
        <f aca="false">C1119/K1119-1</f>
        <v>-0.434198761222004</v>
      </c>
      <c r="M1119" s="25" t="n">
        <f aca="false">IF(COUNT(G1090:G1119)&lt;20,"",_xlfn.STDEV.S(G1090:G1119)*SQRT($R$3))</f>
        <v>1.26773839479138</v>
      </c>
      <c r="N1119" s="25" t="n">
        <f aca="false">IF(A1119-7&lt;$R$2,"",C1119/INDEX(Clean_Data!$C$2:$C$4314,MATCH(A1119-7,Clean_Data!$A$2:$A$4314,1))-1)</f>
        <v>-0.0165874576424104</v>
      </c>
      <c r="O1119" s="25" t="n">
        <f aca="false">IF(A1119-30&lt;$R$2,"",C1119/INDEX(Clean_Data!$C$2:$C$4314,MATCH(A1119-30,Clean_Data!$A$2:$A$4314,1))-1)</f>
        <v>-0.295922709817312</v>
      </c>
    </row>
    <row r="1120" customFormat="false" ht="15" hidden="false" customHeight="false" outlineLevel="0" collapsed="false">
      <c r="A1120" s="16" t="n">
        <v>43126</v>
      </c>
      <c r="B1120" s="23" t="n">
        <f aca="false">YEAR(A1120)</f>
        <v>2018</v>
      </c>
      <c r="C1120" s="17" t="n">
        <v>11086.89</v>
      </c>
      <c r="D1120" s="23" t="n">
        <f aca="false">A1120-A1119</f>
        <v>1</v>
      </c>
      <c r="E1120" s="24" t="n">
        <f aca="false">LN(C1120)</f>
        <v>9.31351860819341</v>
      </c>
      <c r="F1120" s="25" t="n">
        <f aca="false">LN(C1120/C1119)</f>
        <v>-0.00280208732000144</v>
      </c>
      <c r="G1120" s="25" t="n">
        <f aca="false">IF(AND(D1120=1,A1120&gt;=$R$2),F1120,"")</f>
        <v>-0.00280208732000144</v>
      </c>
      <c r="H1120" s="27" t="n">
        <f aca="false">IF(G1120="","",G1120^2)</f>
        <v>7.85169334891285E-006</v>
      </c>
      <c r="I1120" s="25" t="n">
        <f aca="false">IF(G1120="","",C1120/C1119-1)</f>
        <v>-0.00279816513761477</v>
      </c>
      <c r="J1120" s="17" t="n">
        <f aca="false">AVERAGE(C921:C1120)</f>
        <v>7578.35075</v>
      </c>
      <c r="K1120" s="17" t="n">
        <f aca="false">MAX(K1119,C1120)</f>
        <v>19650.01</v>
      </c>
      <c r="L1120" s="25" t="n">
        <f aca="false">C1120/K1120-1</f>
        <v>-0.435781966523172</v>
      </c>
      <c r="M1120" s="25" t="n">
        <f aca="false">IF(COUNT(G1091:G1120)&lt;20,"",_xlfn.STDEV.S(G1091:G1120)*SQRT($R$3))</f>
        <v>1.26683810289282</v>
      </c>
      <c r="N1120" s="25" t="n">
        <f aca="false">IF(A1120-7&lt;$R$2,"",C1120/INDEX(Clean_Data!$C$2:$C$4314,MATCH(A1120-7,Clean_Data!$A$2:$A$4314,1))-1)</f>
        <v>-0.0358379301138622</v>
      </c>
      <c r="O1120" s="25" t="n">
        <f aca="false">IF(A1120-30&lt;$R$2,"",C1120/INDEX(Clean_Data!$C$2:$C$4314,MATCH(A1120-30,Clean_Data!$A$2:$A$4314,1))-1)</f>
        <v>-0.278529818286883</v>
      </c>
    </row>
    <row r="1121" customFormat="false" ht="15" hidden="false" customHeight="false" outlineLevel="0" collapsed="false">
      <c r="A1121" s="16" t="n">
        <v>43127</v>
      </c>
      <c r="B1121" s="23" t="n">
        <f aca="false">YEAR(A1121)</f>
        <v>2018</v>
      </c>
      <c r="C1121" s="17" t="n">
        <v>11319</v>
      </c>
      <c r="D1121" s="23" t="n">
        <f aca="false">A1121-A1120</f>
        <v>1</v>
      </c>
      <c r="E1121" s="24" t="n">
        <f aca="false">LN(C1121)</f>
        <v>9.33423800863242</v>
      </c>
      <c r="F1121" s="25" t="n">
        <f aca="false">LN(C1121/C1120)</f>
        <v>0.0207194004390069</v>
      </c>
      <c r="G1121" s="25" t="n">
        <f aca="false">IF(AND(D1121=1,A1121&gt;=$R$2),F1121,"")</f>
        <v>0.0207194004390069</v>
      </c>
      <c r="H1121" s="27" t="n">
        <f aca="false">IF(G1121="","",G1121^2)</f>
        <v>0.000429293554551918</v>
      </c>
      <c r="I1121" s="25" t="n">
        <f aca="false">IF(G1121="","",C1121/C1120-1)</f>
        <v>0.0209355373779303</v>
      </c>
      <c r="J1121" s="17" t="n">
        <f aca="false">AVERAGE(C922:C1121)</f>
        <v>7623.3957</v>
      </c>
      <c r="K1121" s="17" t="n">
        <f aca="false">MAX(K1120,C1121)</f>
        <v>19650.01</v>
      </c>
      <c r="L1121" s="25" t="n">
        <f aca="false">C1121/K1121-1</f>
        <v>-0.423969758794016</v>
      </c>
      <c r="M1121" s="25" t="n">
        <f aca="false">IF(COUNT(G1092:G1121)&lt;20,"",_xlfn.STDEV.S(G1092:G1121)*SQRT($R$3))</f>
        <v>1.25790317937441</v>
      </c>
      <c r="N1121" s="25" t="n">
        <f aca="false">IF(A1121-7&lt;$R$2,"",C1121/INDEX(Clean_Data!$C$2:$C$4314,MATCH(A1121-7,Clean_Data!$A$2:$A$4314,1))-1)</f>
        <v>-0.113125646409879</v>
      </c>
      <c r="O1121" s="25" t="n">
        <f aca="false">IF(A1121-30&lt;$R$2,"",C1121/INDEX(Clean_Data!$C$2:$C$4314,MATCH(A1121-30,Clean_Data!$A$2:$A$4314,1))-1)</f>
        <v>-0.216678742782877</v>
      </c>
    </row>
    <row r="1122" customFormat="false" ht="15" hidden="false" customHeight="false" outlineLevel="0" collapsed="false">
      <c r="A1122" s="16" t="n">
        <v>43128</v>
      </c>
      <c r="B1122" s="23" t="n">
        <f aca="false">YEAR(A1122)</f>
        <v>2018</v>
      </c>
      <c r="C1122" s="17" t="n">
        <v>11536</v>
      </c>
      <c r="D1122" s="23" t="n">
        <f aca="false">A1122-A1121</f>
        <v>1</v>
      </c>
      <c r="E1122" s="24" t="n">
        <f aca="false">LN(C1122)</f>
        <v>9.35322785952473</v>
      </c>
      <c r="F1122" s="25" t="n">
        <f aca="false">LN(C1122/C1121)</f>
        <v>0.0189898508923102</v>
      </c>
      <c r="G1122" s="25" t="n">
        <f aca="false">IF(AND(D1122=1,A1122&gt;=$R$2),F1122,"")</f>
        <v>0.0189898508923102</v>
      </c>
      <c r="H1122" s="27" t="n">
        <f aca="false">IF(G1122="","",G1122^2)</f>
        <v>0.000360614436912173</v>
      </c>
      <c r="I1122" s="25" t="n">
        <f aca="false">IF(G1122="","",C1122/C1121-1)</f>
        <v>0.0191713048855906</v>
      </c>
      <c r="J1122" s="17" t="n">
        <f aca="false">AVERAGE(C923:C1122)</f>
        <v>7669.1586</v>
      </c>
      <c r="K1122" s="17" t="n">
        <f aca="false">MAX(K1121,C1122)</f>
        <v>19650.01</v>
      </c>
      <c r="L1122" s="25" t="n">
        <f aca="false">C1122/K1122-1</f>
        <v>-0.412926507416536</v>
      </c>
      <c r="M1122" s="25" t="n">
        <f aca="false">IF(COUNT(G1093:G1122)&lt;20,"",_xlfn.STDEV.S(G1093:G1122)*SQRT($R$3))</f>
        <v>1.26027092498579</v>
      </c>
      <c r="N1122" s="25" t="n">
        <f aca="false">IF(A1122-7&lt;$R$2,"",C1122/INDEX(Clean_Data!$C$2:$C$4314,MATCH(A1122-7,Clean_Data!$A$2:$A$4314,1))-1)</f>
        <v>0.00154798896005182</v>
      </c>
      <c r="O1122" s="25" t="n">
        <f aca="false">IF(A1122-30&lt;$R$2,"",C1122/INDEX(Clean_Data!$C$2:$C$4314,MATCH(A1122-30,Clean_Data!$A$2:$A$4314,1))-1)</f>
        <v>-0.207967016934374</v>
      </c>
    </row>
    <row r="1123" customFormat="false" ht="15" hidden="false" customHeight="false" outlineLevel="0" collapsed="false">
      <c r="A1123" s="16" t="n">
        <v>43129</v>
      </c>
      <c r="B1123" s="23" t="n">
        <f aca="false">YEAR(A1123)</f>
        <v>2018</v>
      </c>
      <c r="C1123" s="17" t="n">
        <v>11123.01</v>
      </c>
      <c r="D1123" s="23" t="n">
        <f aca="false">A1123-A1122</f>
        <v>1</v>
      </c>
      <c r="E1123" s="24" t="n">
        <f aca="false">LN(C1123)</f>
        <v>9.31677121462965</v>
      </c>
      <c r="F1123" s="25" t="n">
        <f aca="false">LN(C1123/C1122)</f>
        <v>-0.0364566448950758</v>
      </c>
      <c r="G1123" s="25" t="n">
        <f aca="false">IF(AND(D1123=1,A1123&gt;=$R$2),F1123,"")</f>
        <v>-0.0364566448950758</v>
      </c>
      <c r="H1123" s="27" t="n">
        <f aca="false">IF(G1123="","",G1123^2)</f>
        <v>0.00132908695700566</v>
      </c>
      <c r="I1123" s="25" t="n">
        <f aca="false">IF(G1123="","",C1123/C1122-1)</f>
        <v>-0.0358001040221914</v>
      </c>
      <c r="J1123" s="17" t="n">
        <f aca="false">AVERAGE(C924:C1123)</f>
        <v>7713.07365</v>
      </c>
      <c r="K1123" s="17" t="n">
        <f aca="false">MAX(K1122,C1123)</f>
        <v>19650.01</v>
      </c>
      <c r="L1123" s="25" t="n">
        <f aca="false">C1123/K1123-1</f>
        <v>-0.433943799519695</v>
      </c>
      <c r="M1123" s="25" t="n">
        <f aca="false">IF(COUNT(G1094:G1123)&lt;20,"",_xlfn.STDEV.S(G1094:G1123)*SQRT($R$3))</f>
        <v>1.1912859016997</v>
      </c>
      <c r="N1123" s="25" t="n">
        <f aca="false">IF(A1123-7&lt;$R$2,"",C1123/INDEX(Clean_Data!$C$2:$C$4314,MATCH(A1123-7,Clean_Data!$A$2:$A$4314,1))-1)</f>
        <v>0.0330937055922427</v>
      </c>
      <c r="O1123" s="25" t="n">
        <f aca="false">IF(A1123-30&lt;$R$2,"",C1123/INDEX(Clean_Data!$C$2:$C$4314,MATCH(A1123-30,Clean_Data!$A$2:$A$4314,1))-1)</f>
        <v>-0.133721287944928</v>
      </c>
    </row>
    <row r="1124" customFormat="false" ht="15" hidden="false" customHeight="false" outlineLevel="0" collapsed="false">
      <c r="A1124" s="16" t="n">
        <v>43130</v>
      </c>
      <c r="B1124" s="23" t="n">
        <f aca="false">YEAR(A1124)</f>
        <v>2018</v>
      </c>
      <c r="C1124" s="17" t="n">
        <v>9995</v>
      </c>
      <c r="D1124" s="23" t="n">
        <f aca="false">A1124-A1123</f>
        <v>1</v>
      </c>
      <c r="E1124" s="24" t="n">
        <f aca="false">LN(C1124)</f>
        <v>9.2098402469345</v>
      </c>
      <c r="F1124" s="25" t="n">
        <f aca="false">LN(C1124/C1123)</f>
        <v>-0.106930967695154</v>
      </c>
      <c r="G1124" s="25" t="n">
        <f aca="false">IF(AND(D1124=1,A1124&gt;=$R$2),F1124,"")</f>
        <v>-0.106930967695154</v>
      </c>
      <c r="H1124" s="27" t="n">
        <f aca="false">IF(G1124="","",G1124^2)</f>
        <v>0.0114342318522221</v>
      </c>
      <c r="I1124" s="25" t="n">
        <f aca="false">IF(G1124="","",C1124/C1123-1)</f>
        <v>-0.101412297570532</v>
      </c>
      <c r="J1124" s="17" t="n">
        <f aca="false">AVERAGE(C925:C1124)</f>
        <v>7751.96245</v>
      </c>
      <c r="K1124" s="17" t="n">
        <f aca="false">MAX(K1123,C1124)</f>
        <v>19650.01</v>
      </c>
      <c r="L1124" s="25" t="n">
        <f aca="false">C1124/K1124-1</f>
        <v>-0.491348859364448</v>
      </c>
      <c r="M1124" s="25" t="n">
        <f aca="false">IF(COUNT(G1095:G1124)&lt;20,"",_xlfn.STDEV.S(G1095:G1124)*SQRT($R$3))</f>
        <v>1.20533696934096</v>
      </c>
      <c r="N1124" s="25" t="n">
        <f aca="false">IF(A1124-7&lt;$R$2,"",C1124/INDEX(Clean_Data!$C$2:$C$4314,MATCH(A1124-7,Clean_Data!$A$2:$A$4314,1))-1)</f>
        <v>-0.0766692471274668</v>
      </c>
      <c r="O1124" s="25" t="n">
        <f aca="false">IF(A1124-30&lt;$R$2,"",C1124/INDEX(Clean_Data!$C$2:$C$4314,MATCH(A1124-30,Clean_Data!$A$2:$A$4314,1))-1)</f>
        <v>-0.279022846932836</v>
      </c>
    </row>
    <row r="1125" customFormat="false" ht="15" hidden="false" customHeight="false" outlineLevel="0" collapsed="false">
      <c r="A1125" s="16" t="n">
        <v>43131</v>
      </c>
      <c r="B1125" s="23" t="n">
        <f aca="false">YEAR(A1125)</f>
        <v>2018</v>
      </c>
      <c r="C1125" s="17" t="n">
        <v>10099.99</v>
      </c>
      <c r="D1125" s="23" t="n">
        <f aca="false">A1125-A1124</f>
        <v>1</v>
      </c>
      <c r="E1125" s="24" t="n">
        <f aca="false">LN(C1125)</f>
        <v>9.22028971272985</v>
      </c>
      <c r="F1125" s="25" t="n">
        <f aca="false">LN(C1125/C1124)</f>
        <v>0.0104494657953503</v>
      </c>
      <c r="G1125" s="25" t="n">
        <f aca="false">IF(AND(D1125=1,A1125&gt;=$R$2),F1125,"")</f>
        <v>0.0104494657953503</v>
      </c>
      <c r="H1125" s="27" t="n">
        <f aca="false">IF(G1125="","",G1125^2)</f>
        <v>0.000109191335408196</v>
      </c>
      <c r="I1125" s="25" t="n">
        <f aca="false">IF(G1125="","",C1125/C1124-1)</f>
        <v>0.010504252126063</v>
      </c>
      <c r="J1125" s="17" t="n">
        <f aca="false">AVERAGE(C926:C1125)</f>
        <v>7792.64085</v>
      </c>
      <c r="K1125" s="17" t="n">
        <f aca="false">MAX(K1124,C1125)</f>
        <v>19650.01</v>
      </c>
      <c r="L1125" s="25" t="n">
        <f aca="false">C1125/K1125-1</f>
        <v>-0.486005859539003</v>
      </c>
      <c r="M1125" s="25" t="n">
        <f aca="false">IF(COUNT(G1096:G1125)&lt;20,"",_xlfn.STDEV.S(G1096:G1125)*SQRT($R$3))</f>
        <v>1.20592978792073</v>
      </c>
      <c r="N1125" s="25" t="n">
        <f aca="false">IF(A1125-7&lt;$R$2,"",C1125/INDEX(Clean_Data!$C$2:$C$4314,MATCH(A1125-7,Clean_Data!$A$2:$A$4314,1))-1)</f>
        <v>-0.110665073493478</v>
      </c>
      <c r="O1125" s="25" t="n">
        <f aca="false">IF(A1125-30&lt;$R$2,"",C1125/INDEX(Clean_Data!$C$2:$C$4314,MATCH(A1125-30,Clean_Data!$A$2:$A$4314,1))-1)</f>
        <v>-0.250743137430907</v>
      </c>
    </row>
    <row r="1126" customFormat="false" ht="15" hidden="false" customHeight="false" outlineLevel="0" collapsed="false">
      <c r="A1126" s="16" t="n">
        <v>43132</v>
      </c>
      <c r="B1126" s="23" t="n">
        <f aca="false">YEAR(A1126)</f>
        <v>2018</v>
      </c>
      <c r="C1126" s="17" t="n">
        <v>9014.23</v>
      </c>
      <c r="D1126" s="23" t="n">
        <f aca="false">A1126-A1125</f>
        <v>1</v>
      </c>
      <c r="E1126" s="24" t="n">
        <f aca="false">LN(C1126)</f>
        <v>9.10655971878928</v>
      </c>
      <c r="F1126" s="25" t="n">
        <f aca="false">LN(C1126/C1125)</f>
        <v>-0.11372999394057</v>
      </c>
      <c r="G1126" s="25" t="n">
        <f aca="false">IF(AND(D1126=1,A1126&gt;=$R$2),F1126,"")</f>
        <v>-0.11372999394057</v>
      </c>
      <c r="H1126" s="27" t="n">
        <f aca="false">IF(G1126="","",G1126^2)</f>
        <v>0.0129345115217221</v>
      </c>
      <c r="I1126" s="25" t="n">
        <f aca="false">IF(G1126="","",C1126/C1125-1)</f>
        <v>-0.107501096535739</v>
      </c>
      <c r="J1126" s="17" t="n">
        <f aca="false">AVERAGE(C927:C1126)</f>
        <v>7828.1531</v>
      </c>
      <c r="K1126" s="17" t="n">
        <f aca="false">MAX(K1125,C1126)</f>
        <v>19650.01</v>
      </c>
      <c r="L1126" s="25" t="n">
        <f aca="false">C1126/K1126-1</f>
        <v>-0.541260793251505</v>
      </c>
      <c r="M1126" s="25" t="n">
        <f aca="false">IF(COUNT(G1097:G1126)&lt;20,"",_xlfn.STDEV.S(G1097:G1126)*SQRT($R$3))</f>
        <v>1.20103372897717</v>
      </c>
      <c r="N1126" s="25" t="n">
        <f aca="false">IF(A1126-7&lt;$R$2,"",C1126/INDEX(Clean_Data!$C$2:$C$4314,MATCH(A1126-7,Clean_Data!$A$2:$A$4314,1))-1)</f>
        <v>-0.18922198237093</v>
      </c>
      <c r="O1126" s="25" t="n">
        <f aca="false">IF(A1126-30&lt;$R$2,"",C1126/INDEX(Clean_Data!$C$2:$C$4314,MATCH(A1126-30,Clean_Data!$A$2:$A$4314,1))-1)</f>
        <v>-0.39016852811384</v>
      </c>
    </row>
    <row r="1127" customFormat="false" ht="15" hidden="false" customHeight="false" outlineLevel="0" collapsed="false">
      <c r="A1127" s="16" t="n">
        <v>43133</v>
      </c>
      <c r="B1127" s="23" t="n">
        <f aca="false">YEAR(A1127)</f>
        <v>2018</v>
      </c>
      <c r="C1127" s="17" t="n">
        <v>8787.52</v>
      </c>
      <c r="D1127" s="23" t="n">
        <f aca="false">A1127-A1126</f>
        <v>1</v>
      </c>
      <c r="E1127" s="24" t="n">
        <f aca="false">LN(C1127)</f>
        <v>9.0810878120765</v>
      </c>
      <c r="F1127" s="25" t="n">
        <f aca="false">LN(C1127/C1126)</f>
        <v>-0.0254719067127795</v>
      </c>
      <c r="G1127" s="25" t="n">
        <f aca="false">IF(AND(D1127=1,A1127&gt;=$R$2),F1127,"")</f>
        <v>-0.0254719067127795</v>
      </c>
      <c r="H1127" s="27" t="n">
        <f aca="false">IF(G1127="","",G1127^2)</f>
        <v>0.000648818031584542</v>
      </c>
      <c r="I1127" s="25" t="n">
        <f aca="false">IF(G1127="","",C1127/C1126-1)</f>
        <v>-0.0251502346844932</v>
      </c>
      <c r="J1127" s="17" t="n">
        <f aca="false">AVERAGE(C928:C1127)</f>
        <v>7860.91475</v>
      </c>
      <c r="K1127" s="17" t="n">
        <f aca="false">MAX(K1126,C1127)</f>
        <v>19650.01</v>
      </c>
      <c r="L1127" s="25" t="n">
        <f aca="false">C1127/K1127-1</f>
        <v>-0.552798191960208</v>
      </c>
      <c r="M1127" s="25" t="n">
        <f aca="false">IF(COUNT(G1098:G1127)&lt;20,"",_xlfn.STDEV.S(G1098:G1127)*SQRT($R$3))</f>
        <v>1.19361418061028</v>
      </c>
      <c r="N1127" s="25" t="n">
        <f aca="false">IF(A1127-7&lt;$R$2,"",C1127/INDEX(Clean_Data!$C$2:$C$4314,MATCH(A1127-7,Clean_Data!$A$2:$A$4314,1))-1)</f>
        <v>-0.207395401235152</v>
      </c>
      <c r="O1127" s="25" t="n">
        <f aca="false">IF(A1127-30&lt;$R$2,"",C1127/INDEX(Clean_Data!$C$2:$C$4314,MATCH(A1127-30,Clean_Data!$A$2:$A$4314,1))-1)</f>
        <v>-0.417973339762381</v>
      </c>
    </row>
    <row r="1128" customFormat="false" ht="15" hidden="false" customHeight="false" outlineLevel="0" collapsed="false">
      <c r="A1128" s="16" t="n">
        <v>43134</v>
      </c>
      <c r="B1128" s="23" t="n">
        <f aca="false">YEAR(A1128)</f>
        <v>2018</v>
      </c>
      <c r="C1128" s="17" t="n">
        <v>9240</v>
      </c>
      <c r="D1128" s="23" t="n">
        <f aca="false">A1128-A1127</f>
        <v>1</v>
      </c>
      <c r="E1128" s="24" t="n">
        <f aca="false">LN(C1128)</f>
        <v>9.13129716463573</v>
      </c>
      <c r="F1128" s="25" t="n">
        <f aca="false">LN(C1128/C1127)</f>
        <v>0.0502093525592286</v>
      </c>
      <c r="G1128" s="25" t="n">
        <f aca="false">IF(AND(D1128=1,A1128&gt;=$R$2),F1128,"")</f>
        <v>0.0502093525592286</v>
      </c>
      <c r="H1128" s="27" t="n">
        <f aca="false">IF(G1128="","",G1128^2)</f>
        <v>0.00252097908441692</v>
      </c>
      <c r="I1128" s="25" t="n">
        <f aca="false">IF(G1128="","",C1128/C1127-1)</f>
        <v>0.0514912057099157</v>
      </c>
      <c r="J1128" s="17" t="n">
        <f aca="false">AVERAGE(C929:C1128)</f>
        <v>7895.574</v>
      </c>
      <c r="K1128" s="17" t="n">
        <f aca="false">MAX(K1127,C1128)</f>
        <v>19650.01</v>
      </c>
      <c r="L1128" s="25" t="n">
        <f aca="false">C1128/K1128-1</f>
        <v>-0.529771231668584</v>
      </c>
      <c r="M1128" s="25" t="n">
        <f aca="false">IF(COUNT(G1099:G1128)&lt;20,"",_xlfn.STDEV.S(G1099:G1128)*SQRT($R$3))</f>
        <v>1.21523150123583</v>
      </c>
      <c r="N1128" s="25" t="n">
        <f aca="false">IF(A1128-7&lt;$R$2,"",C1128/INDEX(Clean_Data!$C$2:$C$4314,MATCH(A1128-7,Clean_Data!$A$2:$A$4314,1))-1)</f>
        <v>-0.183673469387755</v>
      </c>
      <c r="O1128" s="25" t="n">
        <f aca="false">IF(A1128-30&lt;$R$2,"",C1128/INDEX(Clean_Data!$C$2:$C$4314,MATCH(A1128-30,Clean_Data!$A$2:$A$4314,1))-1)</f>
        <v>-0.389897253151042</v>
      </c>
    </row>
    <row r="1129" customFormat="false" ht="15" hidden="false" customHeight="false" outlineLevel="0" collapsed="false">
      <c r="A1129" s="16" t="n">
        <v>43135</v>
      </c>
      <c r="B1129" s="23" t="n">
        <f aca="false">YEAR(A1129)</f>
        <v>2018</v>
      </c>
      <c r="C1129" s="17" t="n">
        <v>8167.91</v>
      </c>
      <c r="D1129" s="23" t="n">
        <f aca="false">A1129-A1128</f>
        <v>1</v>
      </c>
      <c r="E1129" s="24" t="n">
        <f aca="false">LN(C1129)</f>
        <v>9.00796834117459</v>
      </c>
      <c r="F1129" s="25" t="n">
        <f aca="false">LN(C1129/C1128)</f>
        <v>-0.12332882346114</v>
      </c>
      <c r="G1129" s="25" t="n">
        <f aca="false">IF(AND(D1129=1,A1129&gt;=$R$2),F1129,"")</f>
        <v>-0.12332882346114</v>
      </c>
      <c r="H1129" s="27" t="n">
        <f aca="false">IF(G1129="","",G1129^2)</f>
        <v>0.0152099986963091</v>
      </c>
      <c r="I1129" s="25" t="n">
        <f aca="false">IF(G1129="","",C1129/C1128-1)</f>
        <v>-0.116027056277056</v>
      </c>
      <c r="J1129" s="17" t="n">
        <f aca="false">AVERAGE(C930:C1129)</f>
        <v>7925.1186</v>
      </c>
      <c r="K1129" s="17" t="n">
        <f aca="false">MAX(K1128,C1129)</f>
        <v>19650.01</v>
      </c>
      <c r="L1129" s="25" t="n">
        <f aca="false">C1129/K1129-1</f>
        <v>-0.584330491434864</v>
      </c>
      <c r="M1129" s="25" t="n">
        <f aca="false">IF(COUNT(G1100:G1129)&lt;20,"",_xlfn.STDEV.S(G1100:G1129)*SQRT($R$3))</f>
        <v>1.17704786105605</v>
      </c>
      <c r="N1129" s="25" t="n">
        <f aca="false">IF(A1129-7&lt;$R$2,"",C1129/INDEX(Clean_Data!$C$2:$C$4314,MATCH(A1129-7,Clean_Data!$A$2:$A$4314,1))-1)</f>
        <v>-0.291963418862691</v>
      </c>
      <c r="O1129" s="25" t="n">
        <f aca="false">IF(A1129-30&lt;$R$2,"",C1129/INDEX(Clean_Data!$C$2:$C$4314,MATCH(A1129-30,Clean_Data!$A$2:$A$4314,1))-1)</f>
        <v>-0.518401816980061</v>
      </c>
    </row>
    <row r="1130" customFormat="false" ht="15" hidden="false" customHeight="false" outlineLevel="0" collapsed="false">
      <c r="A1130" s="16" t="n">
        <v>43136</v>
      </c>
      <c r="B1130" s="23" t="n">
        <f aca="false">YEAR(A1130)</f>
        <v>2018</v>
      </c>
      <c r="C1130" s="17" t="n">
        <v>6905.19</v>
      </c>
      <c r="D1130" s="23" t="n">
        <f aca="false">A1130-A1129</f>
        <v>1</v>
      </c>
      <c r="E1130" s="24" t="n">
        <f aca="false">LN(C1130)</f>
        <v>8.84002858175737</v>
      </c>
      <c r="F1130" s="25" t="n">
        <f aca="false">LN(C1130/C1129)</f>
        <v>-0.167939759417222</v>
      </c>
      <c r="G1130" s="25" t="n">
        <f aca="false">IF(AND(D1130=1,A1130&gt;=$R$2),F1130,"")</f>
        <v>-0.167939759417222</v>
      </c>
      <c r="H1130" s="27" t="n">
        <f aca="false">IF(G1130="","",G1130^2)</f>
        <v>0.0282037627931143</v>
      </c>
      <c r="I1130" s="25" t="n">
        <f aca="false">IF(G1130="","",C1130/C1129-1)</f>
        <v>-0.154595239173791</v>
      </c>
      <c r="J1130" s="17" t="n">
        <f aca="false">AVERAGE(C931:C1130)</f>
        <v>7945.27715</v>
      </c>
      <c r="K1130" s="17" t="n">
        <f aca="false">MAX(K1129,C1130)</f>
        <v>19650.01</v>
      </c>
      <c r="L1130" s="25" t="n">
        <f aca="false">C1130/K1130-1</f>
        <v>-0.648591018528744</v>
      </c>
      <c r="M1130" s="25" t="n">
        <f aca="false">IF(COUNT(G1101:G1130)&lt;20,"",_xlfn.STDEV.S(G1101:G1130)*SQRT($R$3))</f>
        <v>1.27224563501434</v>
      </c>
      <c r="N1130" s="25" t="n">
        <f aca="false">IF(A1130-7&lt;$R$2,"",C1130/INDEX(Clean_Data!$C$2:$C$4314,MATCH(A1130-7,Clean_Data!$A$2:$A$4314,1))-1)</f>
        <v>-0.379197717164688</v>
      </c>
      <c r="O1130" s="25" t="n">
        <f aca="false">IF(A1130-30&lt;$R$2,"",C1130/INDEX(Clean_Data!$C$2:$C$4314,MATCH(A1130-30,Clean_Data!$A$2:$A$4314,1))-1)</f>
        <v>-0.596163866988635</v>
      </c>
    </row>
    <row r="1131" customFormat="false" ht="15" hidden="false" customHeight="false" outlineLevel="0" collapsed="false">
      <c r="A1131" s="16" t="n">
        <v>43137</v>
      </c>
      <c r="B1131" s="23" t="n">
        <f aca="false">YEAR(A1131)</f>
        <v>2018</v>
      </c>
      <c r="C1131" s="17" t="n">
        <v>7688.46</v>
      </c>
      <c r="D1131" s="23" t="n">
        <f aca="false">A1131-A1130</f>
        <v>1</v>
      </c>
      <c r="E1131" s="24" t="n">
        <f aca="false">LN(C1131)</f>
        <v>8.94747578236694</v>
      </c>
      <c r="F1131" s="25" t="n">
        <f aca="false">LN(C1131/C1130)</f>
        <v>0.107447200609572</v>
      </c>
      <c r="G1131" s="25" t="n">
        <f aca="false">IF(AND(D1131=1,A1131&gt;=$R$2),F1131,"")</f>
        <v>0.107447200609572</v>
      </c>
      <c r="H1131" s="27" t="n">
        <f aca="false">IF(G1131="","",G1131^2)</f>
        <v>0.0115449009188335</v>
      </c>
      <c r="I1131" s="25" t="n">
        <f aca="false">IF(G1131="","",C1131/C1130-1)</f>
        <v>0.113432070659895</v>
      </c>
      <c r="J1131" s="17" t="n">
        <f aca="false">AVERAGE(C932:C1131)</f>
        <v>7970.4322</v>
      </c>
      <c r="K1131" s="17" t="n">
        <f aca="false">MAX(K1130,C1131)</f>
        <v>19650.01</v>
      </c>
      <c r="L1131" s="25" t="n">
        <f aca="false">C1131/K1131-1</f>
        <v>-0.608729970111974</v>
      </c>
      <c r="M1131" s="25" t="n">
        <f aca="false">IF(COUNT(G1102:G1131)&lt;20,"",_xlfn.STDEV.S(G1102:G1131)*SQRT($R$3))</f>
        <v>1.35569348442361</v>
      </c>
      <c r="N1131" s="25" t="n">
        <f aca="false">IF(A1131-7&lt;$R$2,"",C1131/INDEX(Clean_Data!$C$2:$C$4314,MATCH(A1131-7,Clean_Data!$A$2:$A$4314,1))-1)</f>
        <v>-0.230769384692346</v>
      </c>
      <c r="O1131" s="25" t="n">
        <f aca="false">IF(A1131-30&lt;$R$2,"",C1131/INDEX(Clean_Data!$C$2:$C$4314,MATCH(A1131-30,Clean_Data!$A$2:$A$4314,1))-1)</f>
        <v>-0.524647247286113</v>
      </c>
    </row>
    <row r="1132" customFormat="false" ht="15" hidden="false" customHeight="false" outlineLevel="0" collapsed="false">
      <c r="A1132" s="16" t="n">
        <v>43138</v>
      </c>
      <c r="B1132" s="23" t="n">
        <f aca="false">YEAR(A1132)</f>
        <v>2018</v>
      </c>
      <c r="C1132" s="17" t="n">
        <v>7575.75</v>
      </c>
      <c r="D1132" s="23" t="n">
        <f aca="false">A1132-A1131</f>
        <v>1</v>
      </c>
      <c r="E1132" s="24" t="n">
        <f aca="false">LN(C1132)</f>
        <v>8.9327076353774</v>
      </c>
      <c r="F1132" s="25" t="n">
        <f aca="false">LN(C1132/C1131)</f>
        <v>-0.0147681469895361</v>
      </c>
      <c r="G1132" s="25" t="n">
        <f aca="false">IF(AND(D1132=1,A1132&gt;=$R$2),F1132,"")</f>
        <v>-0.0147681469895361</v>
      </c>
      <c r="H1132" s="27" t="n">
        <f aca="false">IF(G1132="","",G1132^2)</f>
        <v>0.000218098165504545</v>
      </c>
      <c r="I1132" s="25" t="n">
        <f aca="false">IF(G1132="","",C1132/C1131-1)</f>
        <v>-0.0146596327483007</v>
      </c>
      <c r="J1132" s="17" t="n">
        <f aca="false">AVERAGE(C933:C1132)</f>
        <v>7994.1846</v>
      </c>
      <c r="K1132" s="17" t="n">
        <f aca="false">MAX(K1131,C1132)</f>
        <v>19650.01</v>
      </c>
      <c r="L1132" s="25" t="n">
        <f aca="false">C1132/K1132-1</f>
        <v>-0.61446584505555</v>
      </c>
      <c r="M1132" s="25" t="n">
        <f aca="false">IF(COUNT(G1103:G1132)&lt;20,"",_xlfn.STDEV.S(G1103:G1132)*SQRT($R$3))</f>
        <v>1.34345653498111</v>
      </c>
      <c r="N1132" s="25" t="n">
        <f aca="false">IF(A1132-7&lt;$R$2,"",C1132/INDEX(Clean_Data!$C$2:$C$4314,MATCH(A1132-7,Clean_Data!$A$2:$A$4314,1))-1)</f>
        <v>-0.249924999925742</v>
      </c>
      <c r="O1132" s="25" t="n">
        <f aca="false">IF(A1132-30&lt;$R$2,"",C1132/INDEX(Clean_Data!$C$2:$C$4314,MATCH(A1132-30,Clean_Data!$A$2:$A$4314,1))-1)</f>
        <v>-0.494739137800175</v>
      </c>
    </row>
    <row r="1133" customFormat="false" ht="15" hidden="false" customHeight="false" outlineLevel="0" collapsed="false">
      <c r="A1133" s="16" t="n">
        <v>43139</v>
      </c>
      <c r="B1133" s="23" t="n">
        <f aca="false">YEAR(A1133)</f>
        <v>2018</v>
      </c>
      <c r="C1133" s="17" t="n">
        <v>8218.1</v>
      </c>
      <c r="D1133" s="23" t="n">
        <f aca="false">A1133-A1132</f>
        <v>1</v>
      </c>
      <c r="E1133" s="24" t="n">
        <f aca="false">LN(C1133)</f>
        <v>9.01409431778013</v>
      </c>
      <c r="F1133" s="25" t="n">
        <f aca="false">LN(C1133/C1132)</f>
        <v>0.0813866824027229</v>
      </c>
      <c r="G1133" s="25" t="n">
        <f aca="false">IF(AND(D1133=1,A1133&gt;=$R$2),F1133,"")</f>
        <v>0.0813866824027229</v>
      </c>
      <c r="H1133" s="27" t="n">
        <f aca="false">IF(G1133="","",G1133^2)</f>
        <v>0.00662379207252168</v>
      </c>
      <c r="I1133" s="25" t="n">
        <f aca="false">IF(G1133="","",C1133/C1132-1)</f>
        <v>0.0847902847902848</v>
      </c>
      <c r="J1133" s="17" t="n">
        <f aca="false">AVERAGE(C934:C1133)</f>
        <v>8021.5037</v>
      </c>
      <c r="K1133" s="17" t="n">
        <f aca="false">MAX(K1132,C1133)</f>
        <v>19650.01</v>
      </c>
      <c r="L1133" s="25" t="n">
        <f aca="false">C1133/K1133-1</f>
        <v>-0.581776294261428</v>
      </c>
      <c r="M1133" s="25" t="n">
        <f aca="false">IF(COUNT(G1104:G1133)&lt;20,"",_xlfn.STDEV.S(G1104:G1133)*SQRT($R$3))</f>
        <v>1.39064519198262</v>
      </c>
      <c r="N1133" s="25" t="n">
        <f aca="false">IF(A1133-7&lt;$R$2,"",C1133/INDEX(Clean_Data!$C$2:$C$4314,MATCH(A1133-7,Clean_Data!$A$2:$A$4314,1))-1)</f>
        <v>-0.0883192463471644</v>
      </c>
      <c r="O1133" s="25" t="n">
        <f aca="false">IF(A1133-30&lt;$R$2,"",C1133/INDEX(Clean_Data!$C$2:$C$4314,MATCH(A1133-30,Clean_Data!$A$2:$A$4314,1))-1)</f>
        <v>-0.43249045818</v>
      </c>
    </row>
    <row r="1134" customFormat="false" ht="15" hidden="false" customHeight="false" outlineLevel="0" collapsed="false">
      <c r="A1134" s="16" t="n">
        <v>43140</v>
      </c>
      <c r="B1134" s="23" t="n">
        <f aca="false">YEAR(A1134)</f>
        <v>2018</v>
      </c>
      <c r="C1134" s="17" t="n">
        <v>8671.01</v>
      </c>
      <c r="D1134" s="23" t="n">
        <f aca="false">A1134-A1133</f>
        <v>1</v>
      </c>
      <c r="E1134" s="24" t="n">
        <f aca="false">LN(C1134)</f>
        <v>9.06774055664602</v>
      </c>
      <c r="F1134" s="25" t="n">
        <f aca="false">LN(C1134/C1133)</f>
        <v>0.0536462388658884</v>
      </c>
      <c r="G1134" s="25" t="n">
        <f aca="false">IF(AND(D1134=1,A1134&gt;=$R$2),F1134,"")</f>
        <v>0.0536462388658884</v>
      </c>
      <c r="H1134" s="27" t="n">
        <f aca="false">IF(G1134="","",G1134^2)</f>
        <v>0.00287791894445596</v>
      </c>
      <c r="I1134" s="25" t="n">
        <f aca="false">IF(G1134="","",C1134/C1133-1)</f>
        <v>0.055111278762731</v>
      </c>
      <c r="J1134" s="17" t="n">
        <f aca="false">AVERAGE(C935:C1134)</f>
        <v>8051.04745</v>
      </c>
      <c r="K1134" s="17" t="n">
        <f aca="false">MAX(K1133,C1134)</f>
        <v>19650.01</v>
      </c>
      <c r="L1134" s="25" t="n">
        <f aca="false">C1134/K1134-1</f>
        <v>-0.558727451029287</v>
      </c>
      <c r="M1134" s="25" t="n">
        <f aca="false">IF(COUNT(G1105:G1134)&lt;20,"",_xlfn.STDEV.S(G1105:G1134)*SQRT($R$3))</f>
        <v>1.40480255487279</v>
      </c>
      <c r="N1134" s="25" t="n">
        <f aca="false">IF(A1134-7&lt;$R$2,"",C1134/INDEX(Clean_Data!$C$2:$C$4314,MATCH(A1134-7,Clean_Data!$A$2:$A$4314,1))-1)</f>
        <v>-0.0132585757984051</v>
      </c>
      <c r="O1134" s="25" t="n">
        <f aca="false">IF(A1134-30&lt;$R$2,"",C1134/INDEX(Clean_Data!$C$2:$C$4314,MATCH(A1134-30,Clean_Data!$A$2:$A$4314,1))-1)</f>
        <v>-0.417082011780698</v>
      </c>
    </row>
    <row r="1135" customFormat="false" ht="15" hidden="false" customHeight="false" outlineLevel="0" collapsed="false">
      <c r="A1135" s="16" t="n">
        <v>43141</v>
      </c>
      <c r="B1135" s="23" t="n">
        <f aca="false">YEAR(A1135)</f>
        <v>2018</v>
      </c>
      <c r="C1135" s="17" t="n">
        <v>8547.49</v>
      </c>
      <c r="D1135" s="23" t="n">
        <f aca="false">A1135-A1134</f>
        <v>1</v>
      </c>
      <c r="E1135" s="24" t="n">
        <f aca="false">LN(C1135)</f>
        <v>9.05339295158004</v>
      </c>
      <c r="F1135" s="25" t="n">
        <f aca="false">LN(C1135/C1134)</f>
        <v>-0.0143476050659715</v>
      </c>
      <c r="G1135" s="25" t="n">
        <f aca="false">IF(AND(D1135=1,A1135&gt;=$R$2),F1135,"")</f>
        <v>-0.0143476050659715</v>
      </c>
      <c r="H1135" s="27" t="n">
        <f aca="false">IF(G1135="","",G1135^2)</f>
        <v>0.00020585377112909</v>
      </c>
      <c r="I1135" s="25" t="n">
        <f aca="false">IF(G1135="","",C1135/C1134-1)</f>
        <v>-0.014245168671239</v>
      </c>
      <c r="J1135" s="17" t="n">
        <f aca="false">AVERAGE(C936:C1135)</f>
        <v>8080.9649</v>
      </c>
      <c r="K1135" s="17" t="n">
        <f aca="false">MAX(K1134,C1135)</f>
        <v>19650.01</v>
      </c>
      <c r="L1135" s="25" t="n">
        <f aca="false">C1135/K1135-1</f>
        <v>-0.565013452919362</v>
      </c>
      <c r="M1135" s="25" t="n">
        <f aca="false">IF(COUNT(G1106:G1135)&lt;20,"",_xlfn.STDEV.S(G1106:G1135)*SQRT($R$3))</f>
        <v>1.36383668998711</v>
      </c>
      <c r="N1135" s="25" t="n">
        <f aca="false">IF(A1135-7&lt;$R$2,"",C1135/INDEX(Clean_Data!$C$2:$C$4314,MATCH(A1135-7,Clean_Data!$A$2:$A$4314,1))-1)</f>
        <v>-0.0749469696969697</v>
      </c>
      <c r="O1135" s="25" t="n">
        <f aca="false">IF(A1135-30&lt;$R$2,"",C1135/INDEX(Clean_Data!$C$2:$C$4314,MATCH(A1135-30,Clean_Data!$A$2:$A$4314,1))-1)</f>
        <v>-0.357720809794966</v>
      </c>
    </row>
    <row r="1136" customFormat="false" ht="15" hidden="false" customHeight="false" outlineLevel="0" collapsed="false">
      <c r="A1136" s="16" t="n">
        <v>43142</v>
      </c>
      <c r="B1136" s="23" t="n">
        <f aca="false">YEAR(A1136)</f>
        <v>2018</v>
      </c>
      <c r="C1136" s="17" t="n">
        <v>8072.99</v>
      </c>
      <c r="D1136" s="23" t="n">
        <f aca="false">A1136-A1135</f>
        <v>1</v>
      </c>
      <c r="E1136" s="24" t="n">
        <f aca="false">LN(C1136)</f>
        <v>8.99627920069736</v>
      </c>
      <c r="F1136" s="25" t="n">
        <f aca="false">LN(C1136/C1135)</f>
        <v>-0.0571137508826857</v>
      </c>
      <c r="G1136" s="25" t="n">
        <f aca="false">IF(AND(D1136=1,A1136&gt;=$R$2),F1136,"")</f>
        <v>-0.0571137508826857</v>
      </c>
      <c r="H1136" s="27" t="n">
        <f aca="false">IF(G1136="","",G1136^2)</f>
        <v>0.00326198053988948</v>
      </c>
      <c r="I1136" s="25" t="n">
        <f aca="false">IF(G1136="","",C1136/C1135-1)</f>
        <v>-0.0555133729317028</v>
      </c>
      <c r="J1136" s="17" t="n">
        <f aca="false">AVERAGE(C937:C1136)</f>
        <v>8108.6999</v>
      </c>
      <c r="K1136" s="17" t="n">
        <f aca="false">MAX(K1135,C1136)</f>
        <v>19650.01</v>
      </c>
      <c r="L1136" s="25" t="n">
        <f aca="false">C1136/K1136-1</f>
        <v>-0.589161023327724</v>
      </c>
      <c r="M1136" s="25" t="n">
        <f aca="false">IF(COUNT(G1107:G1136)&lt;20,"",_xlfn.STDEV.S(G1107:G1136)*SQRT($R$3))</f>
        <v>1.35799793182496</v>
      </c>
      <c r="N1136" s="25" t="n">
        <f aca="false">IF(A1136-7&lt;$R$2,"",C1136/INDEX(Clean_Data!$C$2:$C$4314,MATCH(A1136-7,Clean_Data!$A$2:$A$4314,1))-1)</f>
        <v>-0.0116210878915169</v>
      </c>
      <c r="O1136" s="25" t="n">
        <f aca="false">IF(A1136-30&lt;$R$2,"",C1136/INDEX(Clean_Data!$C$2:$C$4314,MATCH(A1136-30,Clean_Data!$A$2:$A$4314,1))-1)</f>
        <v>-0.415847322720695</v>
      </c>
    </row>
    <row r="1137" customFormat="false" ht="15" hidden="false" customHeight="false" outlineLevel="0" collapsed="false">
      <c r="A1137" s="16" t="n">
        <v>43143</v>
      </c>
      <c r="B1137" s="23" t="n">
        <f aca="false">YEAR(A1137)</f>
        <v>2018</v>
      </c>
      <c r="C1137" s="17" t="n">
        <v>8872.28</v>
      </c>
      <c r="D1137" s="23" t="n">
        <f aca="false">A1137-A1136</f>
        <v>1</v>
      </c>
      <c r="E1137" s="24" t="n">
        <f aca="false">LN(C1137)</f>
        <v>9.09068708849613</v>
      </c>
      <c r="F1137" s="25" t="n">
        <f aca="false">LN(C1137/C1136)</f>
        <v>0.0944078877987718</v>
      </c>
      <c r="G1137" s="25" t="n">
        <f aca="false">IF(AND(D1137=1,A1137&gt;=$R$2),F1137,"")</f>
        <v>0.0944078877987718</v>
      </c>
      <c r="H1137" s="27" t="n">
        <f aca="false">IF(G1137="","",G1137^2)</f>
        <v>0.00891284927862549</v>
      </c>
      <c r="I1137" s="25" t="n">
        <f aca="false">IF(G1137="","",C1137/C1136-1)</f>
        <v>0.0990079264312231</v>
      </c>
      <c r="J1137" s="17" t="n">
        <f aca="false">AVERAGE(C938:C1137)</f>
        <v>8139.73635</v>
      </c>
      <c r="K1137" s="17" t="n">
        <f aca="false">MAX(K1136,C1137)</f>
        <v>19650.01</v>
      </c>
      <c r="L1137" s="25" t="n">
        <f aca="false">C1137/K1137-1</f>
        <v>-0.548484708150276</v>
      </c>
      <c r="M1137" s="25" t="n">
        <f aca="false">IF(COUNT(G1108:G1137)&lt;20,"",_xlfn.STDEV.S(G1108:G1137)*SQRT($R$3))</f>
        <v>1.40585666694259</v>
      </c>
      <c r="N1137" s="25" t="n">
        <f aca="false">IF(A1137-7&lt;$R$2,"",C1137/INDEX(Clean_Data!$C$2:$C$4314,MATCH(A1137-7,Clean_Data!$A$2:$A$4314,1))-1)</f>
        <v>0.284871234535183</v>
      </c>
      <c r="O1137" s="25" t="n">
        <f aca="false">IF(A1137-30&lt;$R$2,"",C1137/INDEX(Clean_Data!$C$2:$C$4314,MATCH(A1137-30,Clean_Data!$A$2:$A$4314,1))-1)</f>
        <v>-0.374660891813123</v>
      </c>
    </row>
    <row r="1138" customFormat="false" ht="15" hidden="false" customHeight="false" outlineLevel="0" collapsed="false">
      <c r="A1138" s="16" t="n">
        <v>43144</v>
      </c>
      <c r="B1138" s="23" t="n">
        <f aca="false">YEAR(A1138)</f>
        <v>2018</v>
      </c>
      <c r="C1138" s="17" t="n">
        <v>8520.01</v>
      </c>
      <c r="D1138" s="23" t="n">
        <f aca="false">A1138-A1137</f>
        <v>1</v>
      </c>
      <c r="E1138" s="24" t="n">
        <f aca="false">LN(C1138)</f>
        <v>9.05017279353159</v>
      </c>
      <c r="F1138" s="25" t="n">
        <f aca="false">LN(C1138/C1137)</f>
        <v>-0.0405142949645364</v>
      </c>
      <c r="G1138" s="25" t="n">
        <f aca="false">IF(AND(D1138=1,A1138&gt;=$R$2),F1138,"")</f>
        <v>-0.0405142949645364</v>
      </c>
      <c r="H1138" s="27" t="n">
        <f aca="false">IF(G1138="","",G1138^2)</f>
        <v>0.00164140809647346</v>
      </c>
      <c r="I1138" s="25" t="n">
        <f aca="false">IF(G1138="","",C1138/C1137-1)</f>
        <v>-0.0397045629759205</v>
      </c>
      <c r="J1138" s="17" t="n">
        <f aca="false">AVERAGE(C939:C1138)</f>
        <v>8168.40605</v>
      </c>
      <c r="K1138" s="17" t="n">
        <f aca="false">MAX(K1137,C1138)</f>
        <v>19650.01</v>
      </c>
      <c r="L1138" s="25" t="n">
        <f aca="false">C1138/K1138-1</f>
        <v>-0.566411925490114</v>
      </c>
      <c r="M1138" s="25" t="n">
        <f aca="false">IF(COUNT(G1109:G1138)&lt;20,"",_xlfn.STDEV.S(G1109:G1138)*SQRT($R$3))</f>
        <v>1.40634756782515</v>
      </c>
      <c r="N1138" s="25" t="n">
        <f aca="false">IF(A1138-7&lt;$R$2,"",C1138/INDEX(Clean_Data!$C$2:$C$4314,MATCH(A1138-7,Clean_Data!$A$2:$A$4314,1))-1)</f>
        <v>0.108155599430835</v>
      </c>
      <c r="O1138" s="25" t="n">
        <f aca="false">IF(A1138-30&lt;$R$2,"",C1138/INDEX(Clean_Data!$C$2:$C$4314,MATCH(A1138-30,Clean_Data!$A$2:$A$4314,1))-1)</f>
        <v>-0.376108193842664</v>
      </c>
    </row>
    <row r="1139" customFormat="false" ht="15" hidden="false" customHeight="false" outlineLevel="0" collapsed="false">
      <c r="A1139" s="16" t="n">
        <v>43145</v>
      </c>
      <c r="B1139" s="23" t="n">
        <f aca="false">YEAR(A1139)</f>
        <v>2018</v>
      </c>
      <c r="C1139" s="17" t="n">
        <v>9472.98</v>
      </c>
      <c r="D1139" s="23" t="n">
        <f aca="false">A1139-A1138</f>
        <v>1</v>
      </c>
      <c r="E1139" s="24" t="n">
        <f aca="false">LN(C1139)</f>
        <v>9.15619881460972</v>
      </c>
      <c r="F1139" s="25" t="n">
        <f aca="false">LN(C1139/C1138)</f>
        <v>0.106026021078122</v>
      </c>
      <c r="G1139" s="25" t="n">
        <f aca="false">IF(AND(D1139=1,A1139&gt;=$R$2),F1139,"")</f>
        <v>0.106026021078122</v>
      </c>
      <c r="H1139" s="27" t="n">
        <f aca="false">IF(G1139="","",G1139^2)</f>
        <v>0.0112415171456583</v>
      </c>
      <c r="I1139" s="25" t="n">
        <f aca="false">IF(G1139="","",C1139/C1138-1)</f>
        <v>0.111850807686845</v>
      </c>
      <c r="J1139" s="17" t="n">
        <f aca="false">AVERAGE(C940:C1139)</f>
        <v>8202.2699</v>
      </c>
      <c r="K1139" s="17" t="n">
        <f aca="false">MAX(K1138,C1139)</f>
        <v>19650.01</v>
      </c>
      <c r="L1139" s="25" t="n">
        <f aca="false">C1139/K1139-1</f>
        <v>-0.517914749152799</v>
      </c>
      <c r="M1139" s="25" t="n">
        <f aca="false">IF(COUNT(G1110:G1139)&lt;20,"",_xlfn.STDEV.S(G1110:G1139)*SQRT($R$3))</f>
        <v>1.46892523332197</v>
      </c>
      <c r="N1139" s="25" t="n">
        <f aca="false">IF(A1139-7&lt;$R$2,"",C1139/INDEX(Clean_Data!$C$2:$C$4314,MATCH(A1139-7,Clean_Data!$A$2:$A$4314,1))-1)</f>
        <v>0.25043461043461</v>
      </c>
      <c r="O1139" s="25" t="n">
        <f aca="false">IF(A1139-30&lt;$R$2,"",C1139/INDEX(Clean_Data!$C$2:$C$4314,MATCH(A1139-30,Clean_Data!$A$2:$A$4314,1))-1)</f>
        <v>-0.302944812362031</v>
      </c>
    </row>
    <row r="1140" customFormat="false" ht="15" hidden="false" customHeight="false" outlineLevel="0" collapsed="false">
      <c r="A1140" s="16" t="n">
        <v>43146</v>
      </c>
      <c r="B1140" s="23" t="n">
        <f aca="false">YEAR(A1140)</f>
        <v>2018</v>
      </c>
      <c r="C1140" s="17" t="n">
        <v>10031.23</v>
      </c>
      <c r="D1140" s="23" t="n">
        <f aca="false">A1140-A1139</f>
        <v>1</v>
      </c>
      <c r="E1140" s="24" t="n">
        <f aca="false">LN(C1140)</f>
        <v>9.21345850554097</v>
      </c>
      <c r="F1140" s="25" t="n">
        <f aca="false">LN(C1140/C1139)</f>
        <v>0.0572596909312539</v>
      </c>
      <c r="G1140" s="25" t="n">
        <f aca="false">IF(AND(D1140=1,A1140&gt;=$R$2),F1140,"")</f>
        <v>0.0572596909312539</v>
      </c>
      <c r="H1140" s="27" t="n">
        <f aca="false">IF(G1140="","",G1140^2)</f>
        <v>0.00327867220554272</v>
      </c>
      <c r="I1140" s="25" t="n">
        <f aca="false">IF(G1140="","",C1140/C1139-1)</f>
        <v>0.058930769409415</v>
      </c>
      <c r="J1140" s="17" t="n">
        <f aca="false">AVERAGE(C941:C1140)</f>
        <v>8238.8061</v>
      </c>
      <c r="K1140" s="17" t="n">
        <f aca="false">MAX(K1139,C1140)</f>
        <v>19650.01</v>
      </c>
      <c r="L1140" s="25" t="n">
        <f aca="false">C1140/K1140-1</f>
        <v>-0.489505094399443</v>
      </c>
      <c r="M1140" s="25" t="n">
        <f aca="false">IF(COUNT(G1111:G1140)&lt;20,"",_xlfn.STDEV.S(G1111:G1140)*SQRT($R$3))</f>
        <v>1.38534843218506</v>
      </c>
      <c r="N1140" s="25" t="n">
        <f aca="false">IF(A1140-7&lt;$R$2,"",C1140/INDEX(Clean_Data!$C$2:$C$4314,MATCH(A1140-7,Clean_Data!$A$2:$A$4314,1))-1)</f>
        <v>0.220626422165707</v>
      </c>
      <c r="O1140" s="25" t="n">
        <f aca="false">IF(A1140-30&lt;$R$2,"",C1140/INDEX(Clean_Data!$C$2:$C$4314,MATCH(A1140-30,Clean_Data!$A$2:$A$4314,1))-1)</f>
        <v>-0.132997292137172</v>
      </c>
    </row>
    <row r="1141" customFormat="false" ht="15" hidden="false" customHeight="false" outlineLevel="0" collapsed="false">
      <c r="A1141" s="16" t="n">
        <v>43147</v>
      </c>
      <c r="B1141" s="23" t="n">
        <f aca="false">YEAR(A1141)</f>
        <v>2018</v>
      </c>
      <c r="C1141" s="17" t="n">
        <v>10167.49</v>
      </c>
      <c r="D1141" s="23" t="n">
        <f aca="false">A1141-A1140</f>
        <v>1</v>
      </c>
      <c r="E1141" s="24" t="n">
        <f aca="false">LN(C1141)</f>
        <v>9.22695065425496</v>
      </c>
      <c r="F1141" s="25" t="n">
        <f aca="false">LN(C1141/C1140)</f>
        <v>0.013492148713987</v>
      </c>
      <c r="G1141" s="25" t="n">
        <f aca="false">IF(AND(D1141=1,A1141&gt;=$R$2),F1141,"")</f>
        <v>0.013492148713987</v>
      </c>
      <c r="H1141" s="27" t="n">
        <f aca="false">IF(G1141="","",G1141^2)</f>
        <v>0.00018203807692034</v>
      </c>
      <c r="I1141" s="25" t="n">
        <f aca="false">IF(G1141="","",C1141/C1140-1)</f>
        <v>0.0135835784843932</v>
      </c>
      <c r="J1141" s="17" t="n">
        <f aca="false">AVERAGE(C942:C1141)</f>
        <v>8275.35915</v>
      </c>
      <c r="K1141" s="17" t="n">
        <f aca="false">MAX(K1140,C1141)</f>
        <v>19650.01</v>
      </c>
      <c r="L1141" s="25" t="n">
        <f aca="false">C1141/K1141-1</f>
        <v>-0.482570746783335</v>
      </c>
      <c r="M1141" s="25" t="n">
        <f aca="false">IF(COUNT(G1112:G1141)&lt;20,"",_xlfn.STDEV.S(G1112:G1141)*SQRT($R$3))</f>
        <v>1.38304230036698</v>
      </c>
      <c r="N1141" s="25" t="n">
        <f aca="false">IF(A1141-7&lt;$R$2,"",C1141/INDEX(Clean_Data!$C$2:$C$4314,MATCH(A1141-7,Clean_Data!$A$2:$A$4314,1))-1)</f>
        <v>0.172584277956086</v>
      </c>
      <c r="O1141" s="25" t="n">
        <f aca="false">IF(A1141-30&lt;$R$2,"",C1141/INDEX(Clean_Data!$C$2:$C$4314,MATCH(A1141-30,Clean_Data!$A$2:$A$4314,1))-1)</f>
        <v>-0.092189203402497</v>
      </c>
    </row>
    <row r="1142" customFormat="false" ht="15" hidden="false" customHeight="false" outlineLevel="0" collapsed="false">
      <c r="A1142" s="16" t="n">
        <v>43148</v>
      </c>
      <c r="B1142" s="23" t="n">
        <f aca="false">YEAR(A1142)</f>
        <v>2018</v>
      </c>
      <c r="C1142" s="17" t="n">
        <v>11121.5</v>
      </c>
      <c r="D1142" s="23" t="n">
        <f aca="false">A1142-A1141</f>
        <v>1</v>
      </c>
      <c r="E1142" s="24" t="n">
        <f aca="false">LN(C1142)</f>
        <v>9.31663545079378</v>
      </c>
      <c r="F1142" s="25" t="n">
        <f aca="false">LN(C1142/C1141)</f>
        <v>0.0896847965388294</v>
      </c>
      <c r="G1142" s="25" t="n">
        <f aca="false">IF(AND(D1142=1,A1142&gt;=$R$2),F1142,"")</f>
        <v>0.0896847965388294</v>
      </c>
      <c r="H1142" s="27" t="n">
        <f aca="false">IF(G1142="","",G1142^2)</f>
        <v>0.00804336273021123</v>
      </c>
      <c r="I1142" s="25" t="n">
        <f aca="false">IF(G1142="","",C1142/C1141-1)</f>
        <v>0.0938294505330224</v>
      </c>
      <c r="J1142" s="17" t="n">
        <f aca="false">AVERAGE(C943:C1142)</f>
        <v>8317.3037</v>
      </c>
      <c r="K1142" s="17" t="n">
        <f aca="false">MAX(K1141,C1142)</f>
        <v>19650.01</v>
      </c>
      <c r="L1142" s="25" t="n">
        <f aca="false">C1142/K1142-1</f>
        <v>-0.434020644264303</v>
      </c>
      <c r="M1142" s="25" t="n">
        <f aca="false">IF(COUNT(G1113:G1142)&lt;20,"",_xlfn.STDEV.S(G1113:G1142)*SQRT($R$3))</f>
        <v>1.4201219363733</v>
      </c>
      <c r="N1142" s="25" t="n">
        <f aca="false">IF(A1142-7&lt;$R$2,"",C1142/INDEX(Clean_Data!$C$2:$C$4314,MATCH(A1142-7,Clean_Data!$A$2:$A$4314,1))-1)</f>
        <v>0.301142206659499</v>
      </c>
      <c r="O1142" s="25" t="n">
        <f aca="false">IF(A1142-30&lt;$R$2,"",C1142/INDEX(Clean_Data!$C$2:$C$4314,MATCH(A1142-30,Clean_Data!$A$2:$A$4314,1))-1)</f>
        <v>-0.0162778746330337</v>
      </c>
    </row>
    <row r="1143" customFormat="false" ht="15" hidden="false" customHeight="false" outlineLevel="0" collapsed="false">
      <c r="A1143" s="16" t="n">
        <v>43149</v>
      </c>
      <c r="B1143" s="23" t="n">
        <f aca="false">YEAR(A1143)</f>
        <v>2018</v>
      </c>
      <c r="C1143" s="17" t="n">
        <v>10380.04</v>
      </c>
      <c r="D1143" s="23" t="n">
        <f aca="false">A1143-A1142</f>
        <v>1</v>
      </c>
      <c r="E1143" s="24" t="n">
        <f aca="false">LN(C1143)</f>
        <v>9.247640010277</v>
      </c>
      <c r="F1143" s="25" t="n">
        <f aca="false">LN(C1143/C1142)</f>
        <v>-0.0689954405167829</v>
      </c>
      <c r="G1143" s="25" t="n">
        <f aca="false">IF(AND(D1143=1,A1143&gt;=$R$2),F1143,"")</f>
        <v>-0.0689954405167829</v>
      </c>
      <c r="H1143" s="27" t="n">
        <f aca="false">IF(G1143="","",G1143^2)</f>
        <v>0.00476037081210493</v>
      </c>
      <c r="I1143" s="25" t="n">
        <f aca="false">IF(G1143="","",C1143/C1142-1)</f>
        <v>-0.0666690644247627</v>
      </c>
      <c r="J1143" s="17" t="n">
        <f aca="false">AVERAGE(C944:C1143)</f>
        <v>8355.7044</v>
      </c>
      <c r="K1143" s="17" t="n">
        <f aca="false">MAX(K1142,C1143)</f>
        <v>19650.01</v>
      </c>
      <c r="L1143" s="25" t="n">
        <f aca="false">C1143/K1143-1</f>
        <v>-0.471753958394932</v>
      </c>
      <c r="M1143" s="25" t="n">
        <f aca="false">IF(COUNT(G1114:G1143)&lt;20,"",_xlfn.STDEV.S(G1114:G1143)*SQRT($R$3))</f>
        <v>1.43831635040022</v>
      </c>
      <c r="N1143" s="25" t="n">
        <f aca="false">IF(A1143-7&lt;$R$2,"",C1143/INDEX(Clean_Data!$C$2:$C$4314,MATCH(A1143-7,Clean_Data!$A$2:$A$4314,1))-1)</f>
        <v>0.285773920195615</v>
      </c>
      <c r="O1143" s="25" t="n">
        <f aca="false">IF(A1143-30&lt;$R$2,"",C1143/INDEX(Clean_Data!$C$2:$C$4314,MATCH(A1143-30,Clean_Data!$A$2:$A$4314,1))-1)</f>
        <v>-0.0973085462288427</v>
      </c>
    </row>
    <row r="1144" customFormat="false" ht="15" hidden="false" customHeight="false" outlineLevel="0" collapsed="false">
      <c r="A1144" s="16" t="n">
        <v>43150</v>
      </c>
      <c r="B1144" s="23" t="n">
        <f aca="false">YEAR(A1144)</f>
        <v>2018</v>
      </c>
      <c r="C1144" s="17" t="n">
        <v>11140</v>
      </c>
      <c r="D1144" s="23" t="n">
        <f aca="false">A1144-A1143</f>
        <v>1</v>
      </c>
      <c r="E1144" s="24" t="n">
        <f aca="false">LN(C1144)</f>
        <v>9.31829751348128</v>
      </c>
      <c r="F1144" s="25" t="n">
        <f aca="false">LN(C1144/C1143)</f>
        <v>0.070657503204273</v>
      </c>
      <c r="G1144" s="25" t="n">
        <f aca="false">IF(AND(D1144=1,A1144&gt;=$R$2),F1144,"")</f>
        <v>0.070657503204273</v>
      </c>
      <c r="H1144" s="27" t="n">
        <f aca="false">IF(G1144="","",G1144^2)</f>
        <v>0.00499248275906185</v>
      </c>
      <c r="I1144" s="25" t="n">
        <f aca="false">IF(G1144="","",C1144/C1143-1)</f>
        <v>0.0732135906990723</v>
      </c>
      <c r="J1144" s="17" t="n">
        <f aca="false">AVERAGE(C945:C1144)</f>
        <v>8397.4693</v>
      </c>
      <c r="K1144" s="17" t="n">
        <f aca="false">MAX(K1143,C1144)</f>
        <v>19650.01</v>
      </c>
      <c r="L1144" s="25" t="n">
        <f aca="false">C1144/K1144-1</f>
        <v>-0.433079168916454</v>
      </c>
      <c r="M1144" s="25" t="n">
        <f aca="false">IF(COUNT(G1115:G1144)&lt;20,"",_xlfn.STDEV.S(G1115:G1144)*SQRT($R$3))</f>
        <v>1.41116045414355</v>
      </c>
      <c r="N1144" s="25" t="n">
        <f aca="false">IF(A1144-7&lt;$R$2,"",C1144/INDEX(Clean_Data!$C$2:$C$4314,MATCH(A1144-7,Clean_Data!$A$2:$A$4314,1))-1)</f>
        <v>0.255596081277868</v>
      </c>
      <c r="O1144" s="25" t="n">
        <f aca="false">IF(A1144-30&lt;$R$2,"",C1144/INDEX(Clean_Data!$C$2:$C$4314,MATCH(A1144-30,Clean_Data!$A$2:$A$4314,1))-1)</f>
        <v>-0.127150781960071</v>
      </c>
    </row>
    <row r="1145" customFormat="false" ht="15" hidden="false" customHeight="false" outlineLevel="0" collapsed="false">
      <c r="A1145" s="16" t="n">
        <v>43151</v>
      </c>
      <c r="B1145" s="23" t="n">
        <f aca="false">YEAR(A1145)</f>
        <v>2018</v>
      </c>
      <c r="C1145" s="17" t="n">
        <v>11235.57</v>
      </c>
      <c r="D1145" s="23" t="n">
        <f aca="false">A1145-A1144</f>
        <v>1</v>
      </c>
      <c r="E1145" s="24" t="n">
        <f aca="false">LN(C1145)</f>
        <v>9.3268399176449</v>
      </c>
      <c r="F1145" s="25" t="n">
        <f aca="false">LN(C1145/C1144)</f>
        <v>0.00854240416362937</v>
      </c>
      <c r="G1145" s="25" t="n">
        <f aca="false">IF(AND(D1145=1,A1145&gt;=$R$2),F1145,"")</f>
        <v>0.00854240416362937</v>
      </c>
      <c r="H1145" s="27" t="n">
        <f aca="false">IF(G1145="","",G1145^2)</f>
        <v>7.29726688947924E-005</v>
      </c>
      <c r="I1145" s="25" t="n">
        <f aca="false">IF(G1145="","",C1145/C1144-1)</f>
        <v>0.00857899461400358</v>
      </c>
      <c r="J1145" s="17" t="n">
        <f aca="false">AVERAGE(C946:C1145)</f>
        <v>8439.36045</v>
      </c>
      <c r="K1145" s="17" t="n">
        <f aca="false">MAX(K1144,C1145)</f>
        <v>19650.01</v>
      </c>
      <c r="L1145" s="25" t="n">
        <f aca="false">C1145/K1145-1</f>
        <v>-0.428215558160021</v>
      </c>
      <c r="M1145" s="25" t="n">
        <f aca="false">IF(COUNT(G1116:G1145)&lt;20,"",_xlfn.STDEV.S(G1116:G1145)*SQRT($R$3))</f>
        <v>1.36648357892245</v>
      </c>
      <c r="N1145" s="25" t="n">
        <f aca="false">IF(A1145-7&lt;$R$2,"",C1145/INDEX(Clean_Data!$C$2:$C$4314,MATCH(A1145-7,Clean_Data!$A$2:$A$4314,1))-1)</f>
        <v>0.318727325437411</v>
      </c>
      <c r="O1145" s="25" t="n">
        <f aca="false">IF(A1145-30&lt;$R$2,"",C1145/INDEX(Clean_Data!$C$2:$C$4314,MATCH(A1145-30,Clean_Data!$A$2:$A$4314,1))-1)</f>
        <v>-0.0245351475104119</v>
      </c>
    </row>
    <row r="1146" customFormat="false" ht="15" hidden="false" customHeight="false" outlineLevel="0" collapsed="false">
      <c r="A1146" s="16" t="n">
        <v>43152</v>
      </c>
      <c r="B1146" s="23" t="n">
        <f aca="false">YEAR(A1146)</f>
        <v>2018</v>
      </c>
      <c r="C1146" s="17" t="n">
        <v>10454.27</v>
      </c>
      <c r="D1146" s="23" t="n">
        <f aca="false">A1146-A1145</f>
        <v>1</v>
      </c>
      <c r="E1146" s="24" t="n">
        <f aca="false">LN(C1146)</f>
        <v>9.25476578637382</v>
      </c>
      <c r="F1146" s="25" t="n">
        <f aca="false">LN(C1146/C1145)</f>
        <v>-0.0720741312710848</v>
      </c>
      <c r="G1146" s="25" t="n">
        <f aca="false">IF(AND(D1146=1,A1146&gt;=$R$2),F1146,"")</f>
        <v>-0.0720741312710848</v>
      </c>
      <c r="H1146" s="27" t="n">
        <f aca="false">IF(G1146="","",G1146^2)</f>
        <v>0.00519468039848157</v>
      </c>
      <c r="I1146" s="25" t="n">
        <f aca="false">IF(G1146="","",C1146/C1145-1)</f>
        <v>-0.0695380830701068</v>
      </c>
      <c r="J1146" s="17" t="n">
        <f aca="false">AVERAGE(C947:C1146)</f>
        <v>8475.41435</v>
      </c>
      <c r="K1146" s="17" t="n">
        <f aca="false">MAX(K1145,C1146)</f>
        <v>19650.01</v>
      </c>
      <c r="L1146" s="25" t="n">
        <f aca="false">C1146/K1146-1</f>
        <v>-0.467976352174884</v>
      </c>
      <c r="M1146" s="25" t="n">
        <f aca="false">IF(COUNT(G1117:G1146)&lt;20,"",_xlfn.STDEV.S(G1117:G1146)*SQRT($R$3))</f>
        <v>1.36940229838012</v>
      </c>
      <c r="N1146" s="25" t="n">
        <f aca="false">IF(A1146-7&lt;$R$2,"",C1146/INDEX(Clean_Data!$C$2:$C$4314,MATCH(A1146-7,Clean_Data!$A$2:$A$4314,1))-1)</f>
        <v>0.103588311175575</v>
      </c>
      <c r="O1146" s="25" t="n">
        <f aca="false">IF(A1146-30&lt;$R$2,"",C1146/INDEX(Clean_Data!$C$2:$C$4314,MATCH(A1146-30,Clean_Data!$A$2:$A$4314,1))-1)</f>
        <v>-0.0290181764143145</v>
      </c>
    </row>
    <row r="1147" customFormat="false" ht="15" hidden="false" customHeight="false" outlineLevel="0" collapsed="false">
      <c r="A1147" s="16" t="n">
        <v>43153</v>
      </c>
      <c r="B1147" s="23" t="n">
        <f aca="false">YEAR(A1147)</f>
        <v>2018</v>
      </c>
      <c r="C1147" s="17" t="n">
        <v>9830</v>
      </c>
      <c r="D1147" s="23" t="n">
        <f aca="false">A1147-A1146</f>
        <v>1</v>
      </c>
      <c r="E1147" s="24" t="n">
        <f aca="false">LN(C1147)</f>
        <v>9.19319421314121</v>
      </c>
      <c r="F1147" s="25" t="n">
        <f aca="false">LN(C1147/C1146)</f>
        <v>-0.0615715732326074</v>
      </c>
      <c r="G1147" s="25" t="n">
        <f aca="false">IF(AND(D1147=1,A1147&gt;=$R$2),F1147,"")</f>
        <v>-0.0615715732326074</v>
      </c>
      <c r="H1147" s="27" t="n">
        <f aca="false">IF(G1147="","",G1147^2)</f>
        <v>0.00379105863033833</v>
      </c>
      <c r="I1147" s="25" t="n">
        <f aca="false">IF(G1147="","",C1147/C1146-1)</f>
        <v>-0.0597143559521612</v>
      </c>
      <c r="J1147" s="17" t="n">
        <f aca="false">AVERAGE(C948:C1147)</f>
        <v>8508.45325</v>
      </c>
      <c r="K1147" s="17" t="n">
        <f aca="false">MAX(K1146,C1147)</f>
        <v>19650.01</v>
      </c>
      <c r="L1147" s="25" t="n">
        <f aca="false">C1147/K1147-1</f>
        <v>-0.499745801656081</v>
      </c>
      <c r="M1147" s="25" t="n">
        <f aca="false">IF(COUNT(G1118:G1147)&lt;20,"",_xlfn.STDEV.S(G1118:G1147)*SQRT($R$3))</f>
        <v>1.38530694463194</v>
      </c>
      <c r="N1147" s="25" t="n">
        <f aca="false">IF(A1147-7&lt;$R$2,"",C1147/INDEX(Clean_Data!$C$2:$C$4314,MATCH(A1147-7,Clean_Data!$A$2:$A$4314,1))-1)</f>
        <v>-0.0200603515221961</v>
      </c>
      <c r="O1147" s="25" t="n">
        <f aca="false">IF(A1147-30&lt;$R$2,"",C1147/INDEX(Clean_Data!$C$2:$C$4314,MATCH(A1147-30,Clean_Data!$A$2:$A$4314,1))-1)</f>
        <v>-0.0919118258392195</v>
      </c>
    </row>
    <row r="1148" customFormat="false" ht="15" hidden="false" customHeight="false" outlineLevel="0" collapsed="false">
      <c r="A1148" s="16" t="n">
        <v>43154</v>
      </c>
      <c r="B1148" s="23" t="n">
        <f aca="false">YEAR(A1148)</f>
        <v>2018</v>
      </c>
      <c r="C1148" s="17" t="n">
        <v>10144.99</v>
      </c>
      <c r="D1148" s="23" t="n">
        <f aca="false">A1148-A1147</f>
        <v>1</v>
      </c>
      <c r="E1148" s="24" t="n">
        <f aca="false">LN(C1148)</f>
        <v>9.22473526655218</v>
      </c>
      <c r="F1148" s="25" t="n">
        <f aca="false">LN(C1148/C1147)</f>
        <v>0.0315410534109721</v>
      </c>
      <c r="G1148" s="25" t="n">
        <f aca="false">IF(AND(D1148=1,A1148&gt;=$R$2),F1148,"")</f>
        <v>0.0315410534109721</v>
      </c>
      <c r="H1148" s="27" t="n">
        <f aca="false">IF(G1148="","",G1148^2)</f>
        <v>0.000994838050273798</v>
      </c>
      <c r="I1148" s="25" t="n">
        <f aca="false">IF(G1148="","",C1148/C1147-1)</f>
        <v>0.0320437436419125</v>
      </c>
      <c r="J1148" s="17" t="n">
        <f aca="false">AVERAGE(C949:C1148)</f>
        <v>8542.18705</v>
      </c>
      <c r="K1148" s="17" t="n">
        <f aca="false">MAX(K1147,C1148)</f>
        <v>19650.01</v>
      </c>
      <c r="L1148" s="25" t="n">
        <f aca="false">C1148/K1148-1</f>
        <v>-0.483715784368558</v>
      </c>
      <c r="M1148" s="25" t="n">
        <f aca="false">IF(COUNT(G1119:G1148)&lt;20,"",_xlfn.STDEV.S(G1119:G1148)*SQRT($R$3))</f>
        <v>1.37884041262237</v>
      </c>
      <c r="N1148" s="25" t="n">
        <f aca="false">IF(A1148-7&lt;$R$2,"",C1148/INDEX(Clean_Data!$C$2:$C$4314,MATCH(A1148-7,Clean_Data!$A$2:$A$4314,1))-1)</f>
        <v>-0.00221293554259705</v>
      </c>
      <c r="O1148" s="25" t="n">
        <f aca="false">IF(A1148-30&lt;$R$2,"",C1148/INDEX(Clean_Data!$C$2:$C$4314,MATCH(A1148-30,Clean_Data!$A$2:$A$4314,1))-1)</f>
        <v>-0.106702686234403</v>
      </c>
    </row>
    <row r="1149" customFormat="false" ht="15" hidden="false" customHeight="false" outlineLevel="0" collapsed="false">
      <c r="A1149" s="16" t="n">
        <v>43155</v>
      </c>
      <c r="B1149" s="23" t="n">
        <f aca="false">YEAR(A1149)</f>
        <v>2018</v>
      </c>
      <c r="C1149" s="17" t="n">
        <v>9688.62</v>
      </c>
      <c r="D1149" s="23" t="n">
        <f aca="false">A1149-A1148</f>
        <v>1</v>
      </c>
      <c r="E1149" s="24" t="n">
        <f aca="false">LN(C1149)</f>
        <v>9.17870727988217</v>
      </c>
      <c r="F1149" s="25" t="n">
        <f aca="false">LN(C1149/C1148)</f>
        <v>-0.0460279866700126</v>
      </c>
      <c r="G1149" s="25" t="n">
        <f aca="false">IF(AND(D1149=1,A1149&gt;=$R$2),F1149,"")</f>
        <v>-0.0460279866700126</v>
      </c>
      <c r="H1149" s="27" t="n">
        <f aca="false">IF(G1149="","",G1149^2)</f>
        <v>0.00211857555689486</v>
      </c>
      <c r="I1149" s="25" t="n">
        <f aca="false">IF(G1149="","",C1149/C1148-1)</f>
        <v>-0.0449847658795128</v>
      </c>
      <c r="J1149" s="17" t="n">
        <f aca="false">AVERAGE(C950:C1149)</f>
        <v>8573.518</v>
      </c>
      <c r="K1149" s="17" t="n">
        <f aca="false">MAX(K1148,C1149)</f>
        <v>19650.01</v>
      </c>
      <c r="L1149" s="25" t="n">
        <f aca="false">C1149/K1149-1</f>
        <v>-0.506940708936026</v>
      </c>
      <c r="M1149" s="25" t="n">
        <f aca="false">IF(COUNT(G1120:G1149)&lt;20,"",_xlfn.STDEV.S(G1120:G1149)*SQRT($R$3))</f>
        <v>1.3854885701958</v>
      </c>
      <c r="N1149" s="25" t="n">
        <f aca="false">IF(A1149-7&lt;$R$2,"",C1149/INDEX(Clean_Data!$C$2:$C$4314,MATCH(A1149-7,Clean_Data!$A$2:$A$4314,1))-1)</f>
        <v>-0.128838735782044</v>
      </c>
      <c r="O1149" s="25" t="n">
        <f aca="false">IF(A1149-30&lt;$R$2,"",C1149/INDEX(Clean_Data!$C$2:$C$4314,MATCH(A1149-30,Clean_Data!$A$2:$A$4314,1))-1)</f>
        <v>-0.12856449001619</v>
      </c>
    </row>
    <row r="1150" customFormat="false" ht="15" hidden="false" customHeight="false" outlineLevel="0" collapsed="false">
      <c r="A1150" s="16" t="n">
        <v>43156</v>
      </c>
      <c r="B1150" s="23" t="n">
        <f aca="false">YEAR(A1150)</f>
        <v>2018</v>
      </c>
      <c r="C1150" s="17" t="n">
        <v>9597.99</v>
      </c>
      <c r="D1150" s="23" t="n">
        <f aca="false">A1150-A1149</f>
        <v>1</v>
      </c>
      <c r="E1150" s="24" t="n">
        <f aca="false">LN(C1150)</f>
        <v>9.16930898053392</v>
      </c>
      <c r="F1150" s="25" t="n">
        <f aca="false">LN(C1150/C1149)</f>
        <v>-0.00939829934824944</v>
      </c>
      <c r="G1150" s="25" t="n">
        <f aca="false">IF(AND(D1150=1,A1150&gt;=$R$2),F1150,"")</f>
        <v>-0.00939829934824944</v>
      </c>
      <c r="H1150" s="27" t="n">
        <f aca="false">IF(G1150="","",G1150^2)</f>
        <v>8.83280306393059E-005</v>
      </c>
      <c r="I1150" s="25" t="n">
        <f aca="false">IF(G1150="","",C1150/C1149-1)</f>
        <v>-0.00935427336400863</v>
      </c>
      <c r="J1150" s="17" t="n">
        <f aca="false">AVERAGE(C951:C1150)</f>
        <v>8604.79395</v>
      </c>
      <c r="K1150" s="17" t="n">
        <f aca="false">MAX(K1149,C1150)</f>
        <v>19650.01</v>
      </c>
      <c r="L1150" s="25" t="n">
        <f aca="false">C1150/K1150-1</f>
        <v>-0.511552920329303</v>
      </c>
      <c r="M1150" s="25" t="n">
        <f aca="false">IF(COUNT(G1121:G1150)&lt;20,"",_xlfn.STDEV.S(G1121:G1150)*SQRT($R$3))</f>
        <v>1.38557264680016</v>
      </c>
      <c r="N1150" s="25" t="n">
        <f aca="false">IF(A1150-7&lt;$R$2,"",C1150/INDEX(Clean_Data!$C$2:$C$4314,MATCH(A1150-7,Clean_Data!$A$2:$A$4314,1))-1)</f>
        <v>-0.0753417135194086</v>
      </c>
      <c r="O1150" s="25" t="n">
        <f aca="false">IF(A1150-30&lt;$R$2,"",C1150/INDEX(Clean_Data!$C$2:$C$4314,MATCH(A1150-30,Clean_Data!$A$2:$A$4314,1))-1)</f>
        <v>-0.134293746938952</v>
      </c>
    </row>
    <row r="1151" customFormat="false" ht="15" hidden="false" customHeight="false" outlineLevel="0" collapsed="false">
      <c r="A1151" s="16" t="n">
        <v>43157</v>
      </c>
      <c r="B1151" s="23" t="n">
        <f aca="false">YEAR(A1151)</f>
        <v>2018</v>
      </c>
      <c r="C1151" s="17" t="n">
        <v>10300</v>
      </c>
      <c r="D1151" s="23" t="n">
        <f aca="false">A1151-A1150</f>
        <v>1</v>
      </c>
      <c r="E1151" s="24" t="n">
        <f aca="false">LN(C1151)</f>
        <v>9.23989917421773</v>
      </c>
      <c r="F1151" s="25" t="n">
        <f aca="false">LN(C1151/C1150)</f>
        <v>0.0705901936838049</v>
      </c>
      <c r="G1151" s="25" t="n">
        <f aca="false">IF(AND(D1151=1,A1151&gt;=$R$2),F1151,"")</f>
        <v>0.0705901936838049</v>
      </c>
      <c r="H1151" s="27" t="n">
        <f aca="false">IF(G1151="","",G1151^2)</f>
        <v>0.00498297544431708</v>
      </c>
      <c r="I1151" s="25" t="n">
        <f aca="false">IF(G1151="","",C1151/C1150-1)</f>
        <v>0.0731413556380034</v>
      </c>
      <c r="J1151" s="17" t="n">
        <f aca="false">AVERAGE(C952:C1151)</f>
        <v>8639.06905</v>
      </c>
      <c r="K1151" s="17" t="n">
        <f aca="false">MAX(K1150,C1151)</f>
        <v>19650.01</v>
      </c>
      <c r="L1151" s="25" t="n">
        <f aca="false">C1151/K1151-1</f>
        <v>-0.475827238764764</v>
      </c>
      <c r="M1151" s="25" t="n">
        <f aca="false">IF(COUNT(G1122:G1151)&lt;20,"",_xlfn.STDEV.S(G1122:G1151)*SQRT($R$3))</f>
        <v>1.40787650193398</v>
      </c>
      <c r="N1151" s="25" t="n">
        <f aca="false">IF(A1151-7&lt;$R$2,"",C1151/INDEX(Clean_Data!$C$2:$C$4314,MATCH(A1151-7,Clean_Data!$A$2:$A$4314,1))-1)</f>
        <v>-0.0754039497307002</v>
      </c>
      <c r="O1151" s="25" t="n">
        <f aca="false">IF(A1151-30&lt;$R$2,"",C1151/INDEX(Clean_Data!$C$2:$C$4314,MATCH(A1151-30,Clean_Data!$A$2:$A$4314,1))-1)</f>
        <v>-0.0900256206378656</v>
      </c>
    </row>
    <row r="1152" customFormat="false" ht="15" hidden="false" customHeight="false" outlineLevel="0" collapsed="false">
      <c r="A1152" s="16" t="n">
        <v>43158</v>
      </c>
      <c r="B1152" s="23" t="n">
        <f aca="false">YEAR(A1152)</f>
        <v>2018</v>
      </c>
      <c r="C1152" s="17" t="n">
        <v>10566.57</v>
      </c>
      <c r="D1152" s="23" t="n">
        <f aca="false">A1152-A1151</f>
        <v>1</v>
      </c>
      <c r="E1152" s="24" t="n">
        <f aca="false">LN(C1152)</f>
        <v>9.26545052289043</v>
      </c>
      <c r="F1152" s="25" t="n">
        <f aca="false">LN(C1152/C1151)</f>
        <v>0.0255513486727053</v>
      </c>
      <c r="G1152" s="25" t="n">
        <f aca="false">IF(AND(D1152=1,A1152&gt;=$R$2),F1152,"")</f>
        <v>0.0255513486727053</v>
      </c>
      <c r="H1152" s="27" t="n">
        <f aca="false">IF(G1152="","",G1152^2)</f>
        <v>0.000652871418994158</v>
      </c>
      <c r="I1152" s="25" t="n">
        <f aca="false">IF(G1152="","",C1152/C1151-1)</f>
        <v>0.0258805825242718</v>
      </c>
      <c r="J1152" s="17" t="n">
        <f aca="false">AVERAGE(C953:C1152)</f>
        <v>8673.62115</v>
      </c>
      <c r="K1152" s="17" t="n">
        <f aca="false">MAX(K1151,C1152)</f>
        <v>19650.01</v>
      </c>
      <c r="L1152" s="25" t="n">
        <f aca="false">C1152/K1152-1</f>
        <v>-0.46226134236064</v>
      </c>
      <c r="M1152" s="25" t="n">
        <f aca="false">IF(COUNT(G1123:G1152)&lt;20,"",_xlfn.STDEV.S(G1123:G1152)*SQRT($R$3))</f>
        <v>1.40936013253343</v>
      </c>
      <c r="N1152" s="25" t="n">
        <f aca="false">IF(A1152-7&lt;$R$2,"",C1152/INDEX(Clean_Data!$C$2:$C$4314,MATCH(A1152-7,Clean_Data!$A$2:$A$4314,1))-1)</f>
        <v>-0.0595430405399993</v>
      </c>
      <c r="O1152" s="25" t="n">
        <f aca="false">IF(A1152-30&lt;$R$2,"",C1152/INDEX(Clean_Data!$C$2:$C$4314,MATCH(A1152-30,Clean_Data!$A$2:$A$4314,1))-1)</f>
        <v>-0.0840351941747574</v>
      </c>
    </row>
    <row r="1153" customFormat="false" ht="15" hidden="false" customHeight="false" outlineLevel="0" collapsed="false">
      <c r="A1153" s="16" t="n">
        <v>43159</v>
      </c>
      <c r="B1153" s="23" t="n">
        <f aca="false">YEAR(A1153)</f>
        <v>2018</v>
      </c>
      <c r="C1153" s="17" t="n">
        <v>10307.27</v>
      </c>
      <c r="D1153" s="23" t="n">
        <f aca="false">A1153-A1152</f>
        <v>1</v>
      </c>
      <c r="E1153" s="24" t="n">
        <f aca="false">LN(C1153)</f>
        <v>9.24060475048296</v>
      </c>
      <c r="F1153" s="25" t="n">
        <f aca="false">LN(C1153/C1152)</f>
        <v>-0.0248457724074739</v>
      </c>
      <c r="G1153" s="25" t="n">
        <f aca="false">IF(AND(D1153=1,A1153&gt;=$R$2),F1153,"")</f>
        <v>-0.0248457724074739</v>
      </c>
      <c r="H1153" s="27" t="n">
        <f aca="false">IF(G1153="","",G1153^2)</f>
        <v>0.00061731240652399</v>
      </c>
      <c r="I1153" s="25" t="n">
        <f aca="false">IF(G1153="","",C1153/C1152-1)</f>
        <v>-0.0245396566719379</v>
      </c>
      <c r="J1153" s="17" t="n">
        <f aca="false">AVERAGE(C954:C1153)</f>
        <v>8705.7875</v>
      </c>
      <c r="K1153" s="17" t="n">
        <f aca="false">MAX(K1152,C1153)</f>
        <v>19650.01</v>
      </c>
      <c r="L1153" s="25" t="n">
        <f aca="false">C1153/K1153-1</f>
        <v>-0.475457264398339</v>
      </c>
      <c r="M1153" s="25" t="n">
        <f aca="false">IF(COUNT(G1124:G1153)&lt;20,"",_xlfn.STDEV.S(G1124:G1153)*SQRT($R$3))</f>
        <v>1.40646224587432</v>
      </c>
      <c r="N1153" s="25" t="n">
        <f aca="false">IF(A1153-7&lt;$R$2,"",C1153/INDEX(Clean_Data!$C$2:$C$4314,MATCH(A1153-7,Clean_Data!$A$2:$A$4314,1))-1)</f>
        <v>-0.0140612400483248</v>
      </c>
      <c r="O1153" s="25" t="n">
        <f aca="false">IF(A1153-30&lt;$R$2,"",C1153/INDEX(Clean_Data!$C$2:$C$4314,MATCH(A1153-30,Clean_Data!$A$2:$A$4314,1))-1)</f>
        <v>-0.073338062269116</v>
      </c>
    </row>
    <row r="1154" customFormat="false" ht="15" hidden="false" customHeight="false" outlineLevel="0" collapsed="false">
      <c r="A1154" s="16" t="n">
        <v>43160</v>
      </c>
      <c r="B1154" s="23" t="n">
        <f aca="false">YEAR(A1154)</f>
        <v>2018</v>
      </c>
      <c r="C1154" s="17" t="n">
        <v>10895.92</v>
      </c>
      <c r="D1154" s="23" t="n">
        <f aca="false">A1154-A1153</f>
        <v>1</v>
      </c>
      <c r="E1154" s="24" t="n">
        <f aca="false">LN(C1154)</f>
        <v>9.29614368621843</v>
      </c>
      <c r="F1154" s="25" t="n">
        <f aca="false">LN(C1154/C1153)</f>
        <v>0.0555389357354753</v>
      </c>
      <c r="G1154" s="25" t="n">
        <f aca="false">IF(AND(D1154=1,A1154&gt;=$R$2),F1154,"")</f>
        <v>0.0555389357354753</v>
      </c>
      <c r="H1154" s="27" t="n">
        <f aca="false">IF(G1154="","",G1154^2)</f>
        <v>0.00308457338262926</v>
      </c>
      <c r="I1154" s="25" t="n">
        <f aca="false">IF(G1154="","",C1154/C1153-1)</f>
        <v>0.057110175633315</v>
      </c>
      <c r="J1154" s="17" t="n">
        <f aca="false">AVERAGE(C955:C1154)</f>
        <v>8739.96475</v>
      </c>
      <c r="K1154" s="17" t="n">
        <f aca="false">MAX(K1153,C1154)</f>
        <v>19650.01</v>
      </c>
      <c r="L1154" s="25" t="n">
        <f aca="false">C1154/K1154-1</f>
        <v>-0.445500536640948</v>
      </c>
      <c r="M1154" s="25" t="n">
        <f aca="false">IF(COUNT(G1125:G1154)&lt;20,"",_xlfn.STDEV.S(G1125:G1154)*SQRT($R$3))</f>
        <v>1.36834007354161</v>
      </c>
      <c r="N1154" s="25" t="n">
        <f aca="false">IF(A1154-7&lt;$R$2,"",C1154/INDEX(Clean_Data!$C$2:$C$4314,MATCH(A1154-7,Clean_Data!$A$2:$A$4314,1))-1)</f>
        <v>0.108435401831129</v>
      </c>
      <c r="O1154" s="25" t="n">
        <f aca="false">IF(A1154-30&lt;$R$2,"",C1154/INDEX(Clean_Data!$C$2:$C$4314,MATCH(A1154-30,Clean_Data!$A$2:$A$4314,1))-1)</f>
        <v>0.0901370685342671</v>
      </c>
    </row>
    <row r="1155" customFormat="false" ht="15" hidden="false" customHeight="false" outlineLevel="0" collapsed="false">
      <c r="A1155" s="16" t="n">
        <v>43161</v>
      </c>
      <c r="B1155" s="23" t="n">
        <f aca="false">YEAR(A1155)</f>
        <v>2018</v>
      </c>
      <c r="C1155" s="17" t="n">
        <v>11000</v>
      </c>
      <c r="D1155" s="23" t="n">
        <f aca="false">A1155-A1154</f>
        <v>1</v>
      </c>
      <c r="E1155" s="24" t="n">
        <f aca="false">LN(C1155)</f>
        <v>9.30565055178051</v>
      </c>
      <c r="F1155" s="25" t="n">
        <f aca="false">LN(C1155/C1154)</f>
        <v>0.00950686556207377</v>
      </c>
      <c r="G1155" s="25" t="n">
        <f aca="false">IF(AND(D1155=1,A1155&gt;=$R$2),F1155,"")</f>
        <v>0.00950686556207377</v>
      </c>
      <c r="H1155" s="27" t="n">
        <f aca="false">IF(G1155="","",G1155^2)</f>
        <v>9.03804928153442E-005</v>
      </c>
      <c r="I1155" s="25" t="n">
        <f aca="false">IF(G1155="","",C1155/C1154-1)</f>
        <v>0.00955219935535512</v>
      </c>
      <c r="J1155" s="17" t="n">
        <f aca="false">AVERAGE(C956:C1155)</f>
        <v>8773.36175</v>
      </c>
      <c r="K1155" s="17" t="n">
        <f aca="false">MAX(K1154,C1155)</f>
        <v>19650.01</v>
      </c>
      <c r="L1155" s="25" t="n">
        <f aca="false">C1155/K1155-1</f>
        <v>-0.440203847224505</v>
      </c>
      <c r="M1155" s="25" t="n">
        <f aca="false">IF(COUNT(G1126:G1155)&lt;20,"",_xlfn.STDEV.S(G1126:G1155)*SQRT($R$3))</f>
        <v>1.36827836562544</v>
      </c>
      <c r="N1155" s="25" t="n">
        <f aca="false">IF(A1155-7&lt;$R$2,"",C1155/INDEX(Clean_Data!$C$2:$C$4314,MATCH(A1155-7,Clean_Data!$A$2:$A$4314,1))-1)</f>
        <v>0.0842790382247789</v>
      </c>
      <c r="O1155" s="25" t="n">
        <f aca="false">IF(A1155-30&lt;$R$2,"",C1155/INDEX(Clean_Data!$C$2:$C$4314,MATCH(A1155-30,Clean_Data!$A$2:$A$4314,1))-1)</f>
        <v>0.0891099892178111</v>
      </c>
    </row>
    <row r="1156" customFormat="false" ht="15" hidden="false" customHeight="false" outlineLevel="0" collapsed="false">
      <c r="A1156" s="16" t="n">
        <v>43162</v>
      </c>
      <c r="B1156" s="23" t="n">
        <f aca="false">YEAR(A1156)</f>
        <v>2018</v>
      </c>
      <c r="C1156" s="17" t="n">
        <v>11432.5</v>
      </c>
      <c r="D1156" s="23" t="n">
        <f aca="false">A1156-A1155</f>
        <v>1</v>
      </c>
      <c r="E1156" s="24" t="n">
        <f aca="false">LN(C1156)</f>
        <v>9.34421545553221</v>
      </c>
      <c r="F1156" s="25" t="n">
        <f aca="false">LN(C1156/C1155)</f>
        <v>0.0385649037517026</v>
      </c>
      <c r="G1156" s="25" t="n">
        <f aca="false">IF(AND(D1156=1,A1156&gt;=$R$2),F1156,"")</f>
        <v>0.0385649037517026</v>
      </c>
      <c r="H1156" s="27" t="n">
        <f aca="false">IF(G1156="","",G1156^2)</f>
        <v>0.00148725180137809</v>
      </c>
      <c r="I1156" s="25" t="n">
        <f aca="false">IF(G1156="","",C1156/C1155-1)</f>
        <v>0.0393181818181818</v>
      </c>
      <c r="J1156" s="17" t="n">
        <f aca="false">AVERAGE(C957:C1156)</f>
        <v>8809.7246</v>
      </c>
      <c r="K1156" s="17" t="n">
        <f aca="false">MAX(K1155,C1156)</f>
        <v>19650.01</v>
      </c>
      <c r="L1156" s="25" t="n">
        <f aca="false">C1156/K1156-1</f>
        <v>-0.41819368030856</v>
      </c>
      <c r="M1156" s="25" t="n">
        <f aca="false">IF(COUNT(G1127:G1156)&lt;20,"",_xlfn.STDEV.S(G1127:G1156)*SQRT($R$3))</f>
        <v>1.30670170213228</v>
      </c>
      <c r="N1156" s="25" t="n">
        <f aca="false">IF(A1156-7&lt;$R$2,"",C1156/INDEX(Clean_Data!$C$2:$C$4314,MATCH(A1156-7,Clean_Data!$A$2:$A$4314,1))-1)</f>
        <v>0.17999260988665</v>
      </c>
      <c r="O1156" s="25" t="n">
        <f aca="false">IF(A1156-30&lt;$R$2,"",C1156/INDEX(Clean_Data!$C$2:$C$4314,MATCH(A1156-30,Clean_Data!$A$2:$A$4314,1))-1)</f>
        <v>0.268272498039212</v>
      </c>
    </row>
    <row r="1157" customFormat="false" ht="15" hidden="false" customHeight="false" outlineLevel="0" collapsed="false">
      <c r="A1157" s="16" t="n">
        <v>43163</v>
      </c>
      <c r="B1157" s="23" t="n">
        <f aca="false">YEAR(A1157)</f>
        <v>2018</v>
      </c>
      <c r="C1157" s="17" t="n">
        <v>11469.9</v>
      </c>
      <c r="D1157" s="23" t="n">
        <f aca="false">A1157-A1156</f>
        <v>1</v>
      </c>
      <c r="E1157" s="24" t="n">
        <f aca="false">LN(C1157)</f>
        <v>9.3474814916896</v>
      </c>
      <c r="F1157" s="25" t="n">
        <f aca="false">LN(C1157/C1156)</f>
        <v>0.00326603615738554</v>
      </c>
      <c r="G1157" s="25" t="n">
        <f aca="false">IF(AND(D1157=1,A1157&gt;=$R$2),F1157,"")</f>
        <v>0.00326603615738554</v>
      </c>
      <c r="H1157" s="27" t="n">
        <f aca="false">IF(G1157="","",G1157^2)</f>
        <v>1.06669921813497E-005</v>
      </c>
      <c r="I1157" s="25" t="n">
        <f aca="false">IF(G1157="","",C1157/C1156-1)</f>
        <v>0.00327137546468403</v>
      </c>
      <c r="J1157" s="17" t="n">
        <f aca="false">AVERAGE(C958:C1157)</f>
        <v>8845.22405</v>
      </c>
      <c r="K1157" s="17" t="n">
        <f aca="false">MAX(K1156,C1157)</f>
        <v>19650.01</v>
      </c>
      <c r="L1157" s="25" t="n">
        <f aca="false">C1157/K1157-1</f>
        <v>-0.416290373389123</v>
      </c>
      <c r="M1157" s="25" t="n">
        <f aca="false">IF(COUNT(G1128:G1157)&lt;20,"",_xlfn.STDEV.S(G1128:G1157)*SQRT($R$3))</f>
        <v>1.30129176323805</v>
      </c>
      <c r="N1157" s="25" t="n">
        <f aca="false">IF(A1157-7&lt;$R$2,"",C1157/INDEX(Clean_Data!$C$2:$C$4314,MATCH(A1157-7,Clean_Data!$A$2:$A$4314,1))-1)</f>
        <v>0.195031459711877</v>
      </c>
      <c r="O1157" s="25" t="n">
        <f aca="false">IF(A1157-30&lt;$R$2,"",C1157/INDEX(Clean_Data!$C$2:$C$4314,MATCH(A1157-30,Clean_Data!$A$2:$A$4314,1))-1)</f>
        <v>0.305248807399585</v>
      </c>
    </row>
    <row r="1158" customFormat="false" ht="15" hidden="false" customHeight="false" outlineLevel="0" collapsed="false">
      <c r="A1158" s="16" t="n">
        <v>43164</v>
      </c>
      <c r="B1158" s="23" t="n">
        <f aca="false">YEAR(A1158)</f>
        <v>2018</v>
      </c>
      <c r="C1158" s="17" t="n">
        <v>11377.54</v>
      </c>
      <c r="D1158" s="23" t="n">
        <f aca="false">A1158-A1157</f>
        <v>1</v>
      </c>
      <c r="E1158" s="24" t="n">
        <f aca="false">LN(C1158)</f>
        <v>9.33939651559545</v>
      </c>
      <c r="F1158" s="25" t="n">
        <f aca="false">LN(C1158/C1157)</f>
        <v>-0.00808497609414595</v>
      </c>
      <c r="G1158" s="25" t="n">
        <f aca="false">IF(AND(D1158=1,A1158&gt;=$R$2),F1158,"")</f>
        <v>-0.00808497609414595</v>
      </c>
      <c r="H1158" s="27" t="n">
        <f aca="false">IF(G1158="","",G1158^2)</f>
        <v>6.53668384429115E-005</v>
      </c>
      <c r="I1158" s="25" t="n">
        <f aca="false">IF(G1158="","",C1158/C1157-1)</f>
        <v>-0.00805238057873203</v>
      </c>
      <c r="J1158" s="17" t="n">
        <f aca="false">AVERAGE(C959:C1158)</f>
        <v>8880.7117</v>
      </c>
      <c r="K1158" s="17" t="n">
        <f aca="false">MAX(K1157,C1158)</f>
        <v>19650.01</v>
      </c>
      <c r="L1158" s="25" t="n">
        <f aca="false">C1158/K1158-1</f>
        <v>-0.420990625450063</v>
      </c>
      <c r="M1158" s="25" t="n">
        <f aca="false">IF(COUNT(G1129:G1158)&lt;20,"",_xlfn.STDEV.S(G1129:G1158)*SQRT($R$3))</f>
        <v>1.29385393226926</v>
      </c>
      <c r="N1158" s="25" t="n">
        <f aca="false">IF(A1158-7&lt;$R$2,"",C1158/INDEX(Clean_Data!$C$2:$C$4314,MATCH(A1158-7,Clean_Data!$A$2:$A$4314,1))-1)</f>
        <v>0.104615533980583</v>
      </c>
      <c r="O1158" s="25" t="n">
        <f aca="false">IF(A1158-30&lt;$R$2,"",C1158/INDEX(Clean_Data!$C$2:$C$4314,MATCH(A1158-30,Clean_Data!$A$2:$A$4314,1))-1)</f>
        <v>0.231335497835498</v>
      </c>
    </row>
    <row r="1159" customFormat="false" ht="15" hidden="false" customHeight="false" outlineLevel="0" collapsed="false">
      <c r="A1159" s="16" t="n">
        <v>43165</v>
      </c>
      <c r="B1159" s="23" t="n">
        <f aca="false">YEAR(A1159)</f>
        <v>2018</v>
      </c>
      <c r="C1159" s="17" t="n">
        <v>10700</v>
      </c>
      <c r="D1159" s="23" t="n">
        <f aca="false">A1159-A1158</f>
        <v>1</v>
      </c>
      <c r="E1159" s="24" t="n">
        <f aca="false">LN(C1159)</f>
        <v>9.27799902045</v>
      </c>
      <c r="F1159" s="25" t="n">
        <f aca="false">LN(C1159/C1158)</f>
        <v>-0.0613974951454522</v>
      </c>
      <c r="G1159" s="25" t="n">
        <f aca="false">IF(AND(D1159=1,A1159&gt;=$R$2),F1159,"")</f>
        <v>-0.0613974951454522</v>
      </c>
      <c r="H1159" s="27" t="n">
        <f aca="false">IF(G1159="","",G1159^2)</f>
        <v>0.00376965241013582</v>
      </c>
      <c r="I1159" s="25" t="n">
        <f aca="false">IF(G1159="","",C1159/C1158-1)</f>
        <v>-0.0595506585782164</v>
      </c>
      <c r="J1159" s="17" t="n">
        <f aca="false">AVERAGE(C960:C1159)</f>
        <v>8913.7031</v>
      </c>
      <c r="K1159" s="17" t="n">
        <f aca="false">MAX(K1158,C1159)</f>
        <v>19650.01</v>
      </c>
      <c r="L1159" s="25" t="n">
        <f aca="false">C1159/K1159-1</f>
        <v>-0.455471015027473</v>
      </c>
      <c r="M1159" s="25" t="n">
        <f aca="false">IF(COUNT(G1130:G1159)&lt;20,"",_xlfn.STDEV.S(G1130:G1159)*SQRT($R$3))</f>
        <v>1.23192708037882</v>
      </c>
      <c r="N1159" s="25" t="n">
        <f aca="false">IF(A1159-7&lt;$R$2,"",C1159/INDEX(Clean_Data!$C$2:$C$4314,MATCH(A1159-7,Clean_Data!$A$2:$A$4314,1))-1)</f>
        <v>0.0126275603152206</v>
      </c>
      <c r="O1159" s="25" t="n">
        <f aca="false">IF(A1159-30&lt;$R$2,"",C1159/INDEX(Clean_Data!$C$2:$C$4314,MATCH(A1159-30,Clean_Data!$A$2:$A$4314,1))-1)</f>
        <v>0.310004640109894</v>
      </c>
    </row>
    <row r="1160" customFormat="false" ht="15" hidden="false" customHeight="false" outlineLevel="0" collapsed="false">
      <c r="A1160" s="16" t="n">
        <v>43166</v>
      </c>
      <c r="B1160" s="23" t="n">
        <f aca="false">YEAR(A1160)</f>
        <v>2018</v>
      </c>
      <c r="C1160" s="17" t="n">
        <v>9920</v>
      </c>
      <c r="D1160" s="23" t="n">
        <f aca="false">A1160-A1159</f>
        <v>1</v>
      </c>
      <c r="E1160" s="24" t="n">
        <f aca="false">LN(C1160)</f>
        <v>9.20230820027892</v>
      </c>
      <c r="F1160" s="25" t="n">
        <f aca="false">LN(C1160/C1159)</f>
        <v>-0.0756908201710791</v>
      </c>
      <c r="G1160" s="25" t="n">
        <f aca="false">IF(AND(D1160=1,A1160&gt;=$R$2),F1160,"")</f>
        <v>-0.0756908201710791</v>
      </c>
      <c r="H1160" s="27" t="n">
        <f aca="false">IF(G1160="","",G1160^2)</f>
        <v>0.00572910025817063</v>
      </c>
      <c r="I1160" s="25" t="n">
        <f aca="false">IF(G1160="","",C1160/C1159-1)</f>
        <v>-0.0728971962616822</v>
      </c>
      <c r="J1160" s="17" t="n">
        <f aca="false">AVERAGE(C961:C1160)</f>
        <v>8942.51605</v>
      </c>
      <c r="K1160" s="17" t="n">
        <f aca="false">MAX(K1159,C1160)</f>
        <v>19650.01</v>
      </c>
      <c r="L1160" s="25" t="n">
        <f aca="false">C1160/K1160-1</f>
        <v>-0.49516565131519</v>
      </c>
      <c r="M1160" s="25" t="n">
        <f aca="false">IF(COUNT(G1131:G1160)&lt;20,"",_xlfn.STDEV.S(G1131:G1160)*SQRT($R$3))</f>
        <v>1.1001371807016</v>
      </c>
      <c r="N1160" s="25" t="n">
        <f aca="false">IF(A1160-7&lt;$R$2,"",C1160/INDEX(Clean_Data!$C$2:$C$4314,MATCH(A1160-7,Clean_Data!$A$2:$A$4314,1))-1)</f>
        <v>-0.0375725095005759</v>
      </c>
      <c r="O1160" s="25" t="n">
        <f aca="false">IF(A1160-30&lt;$R$2,"",C1160/INDEX(Clean_Data!$C$2:$C$4314,MATCH(A1160-30,Clean_Data!$A$2:$A$4314,1))-1)</f>
        <v>0.436600585936086</v>
      </c>
    </row>
    <row r="1161" customFormat="false" ht="15" hidden="false" customHeight="false" outlineLevel="0" collapsed="false">
      <c r="A1161" s="16" t="n">
        <v>43167</v>
      </c>
      <c r="B1161" s="23" t="n">
        <f aca="false">YEAR(A1161)</f>
        <v>2018</v>
      </c>
      <c r="C1161" s="17" t="n">
        <v>9304.9</v>
      </c>
      <c r="D1161" s="23" t="n">
        <f aca="false">A1161-A1160</f>
        <v>1</v>
      </c>
      <c r="E1161" s="24" t="n">
        <f aca="false">LN(C1161)</f>
        <v>9.13829642210834</v>
      </c>
      <c r="F1161" s="25" t="n">
        <f aca="false">LN(C1161/C1160)</f>
        <v>-0.0640117781705791</v>
      </c>
      <c r="G1161" s="25" t="n">
        <f aca="false">IF(AND(D1161=1,A1161&gt;=$R$2),F1161,"")</f>
        <v>-0.0640117781705791</v>
      </c>
      <c r="H1161" s="27" t="n">
        <f aca="false">IF(G1161="","",G1161^2)</f>
        <v>0.00409750774455943</v>
      </c>
      <c r="I1161" s="25" t="n">
        <f aca="false">IF(G1161="","",C1161/C1160-1)</f>
        <v>-0.0620060483870968</v>
      </c>
      <c r="J1161" s="17" t="n">
        <f aca="false">AVERAGE(C962:C1161)</f>
        <v>8968.7856</v>
      </c>
      <c r="K1161" s="17" t="n">
        <f aca="false">MAX(K1160,C1161)</f>
        <v>19650.01</v>
      </c>
      <c r="L1161" s="25" t="n">
        <f aca="false">C1161/K1161-1</f>
        <v>-0.526468434367209</v>
      </c>
      <c r="M1161" s="25" t="n">
        <f aca="false">IF(COUNT(G1132:G1161)&lt;20,"",_xlfn.STDEV.S(G1132:G1161)*SQRT($R$3))</f>
        <v>1.07533904675498</v>
      </c>
      <c r="N1161" s="25" t="n">
        <f aca="false">IF(A1161-7&lt;$R$2,"",C1161/INDEX(Clean_Data!$C$2:$C$4314,MATCH(A1161-7,Clean_Data!$A$2:$A$4314,1))-1)</f>
        <v>-0.146019794565305</v>
      </c>
      <c r="O1161" s="25" t="n">
        <f aca="false">IF(A1161-30&lt;$R$2,"",C1161/INDEX(Clean_Data!$C$2:$C$4314,MATCH(A1161-30,Clean_Data!$A$2:$A$4314,1))-1)</f>
        <v>0.210242363230088</v>
      </c>
    </row>
    <row r="1162" customFormat="false" ht="15" hidden="false" customHeight="false" outlineLevel="0" collapsed="false">
      <c r="A1162" s="16" t="n">
        <v>43168</v>
      </c>
      <c r="B1162" s="23" t="n">
        <f aca="false">YEAR(A1162)</f>
        <v>2018</v>
      </c>
      <c r="C1162" s="17" t="n">
        <v>9255</v>
      </c>
      <c r="D1162" s="23" t="n">
        <f aca="false">A1162-A1161</f>
        <v>1</v>
      </c>
      <c r="E1162" s="24" t="n">
        <f aca="false">LN(C1162)</f>
        <v>9.1329192250076</v>
      </c>
      <c r="F1162" s="25" t="n">
        <f aca="false">LN(C1162/C1161)</f>
        <v>-0.0053771971007415</v>
      </c>
      <c r="G1162" s="25" t="n">
        <f aca="false">IF(AND(D1162=1,A1162&gt;=$R$2),F1162,"")</f>
        <v>-0.0053771971007415</v>
      </c>
      <c r="H1162" s="27" t="n">
        <f aca="false">IF(G1162="","",G1162^2)</f>
        <v>2.89142486602228E-005</v>
      </c>
      <c r="I1162" s="25" t="n">
        <f aca="false">IF(G1162="","",C1162/C1161-1)</f>
        <v>-0.00536276585454976</v>
      </c>
      <c r="J1162" s="17" t="n">
        <f aca="false">AVERAGE(C963:C1162)</f>
        <v>8995.0506</v>
      </c>
      <c r="K1162" s="17" t="n">
        <f aca="false">MAX(K1161,C1162)</f>
        <v>19650.01</v>
      </c>
      <c r="L1162" s="25" t="n">
        <f aca="false">C1162/K1162-1</f>
        <v>-0.529007873278436</v>
      </c>
      <c r="M1162" s="25" t="n">
        <f aca="false">IF(COUNT(G1133:G1162)&lt;20,"",_xlfn.STDEV.S(G1133:G1162)*SQRT($R$3))</f>
        <v>1.07351401341507</v>
      </c>
      <c r="N1162" s="25" t="n">
        <f aca="false">IF(A1162-7&lt;$R$2,"",C1162/INDEX(Clean_Data!$C$2:$C$4314,MATCH(A1162-7,Clean_Data!$A$2:$A$4314,1))-1)</f>
        <v>-0.158636363636364</v>
      </c>
      <c r="O1162" s="25" t="n">
        <f aca="false">IF(A1162-30&lt;$R$2,"",C1162/INDEX(Clean_Data!$C$2:$C$4314,MATCH(A1162-30,Clean_Data!$A$2:$A$4314,1))-1)</f>
        <v>0.221661221661222</v>
      </c>
    </row>
    <row r="1163" customFormat="false" ht="15" hidden="false" customHeight="false" outlineLevel="0" collapsed="false">
      <c r="A1163" s="16" t="n">
        <v>43169</v>
      </c>
      <c r="B1163" s="23" t="n">
        <f aca="false">YEAR(A1163)</f>
        <v>2018</v>
      </c>
      <c r="C1163" s="17" t="n">
        <v>8795.44</v>
      </c>
      <c r="D1163" s="23" t="n">
        <f aca="false">A1163-A1162</f>
        <v>1</v>
      </c>
      <c r="E1163" s="24" t="n">
        <f aca="false">LN(C1163)</f>
        <v>9.08198868434552</v>
      </c>
      <c r="F1163" s="25" t="n">
        <f aca="false">LN(C1163/C1162)</f>
        <v>-0.0509305406620776</v>
      </c>
      <c r="G1163" s="25" t="n">
        <f aca="false">IF(AND(D1163=1,A1163&gt;=$R$2),F1163,"")</f>
        <v>-0.0509305406620776</v>
      </c>
      <c r="H1163" s="27" t="n">
        <f aca="false">IF(G1163="","",G1163^2)</f>
        <v>0.00259391997213154</v>
      </c>
      <c r="I1163" s="25" t="n">
        <f aca="false">IF(G1163="","",C1163/C1162-1)</f>
        <v>-0.049655321447866</v>
      </c>
      <c r="J1163" s="17" t="n">
        <f aca="false">AVERAGE(C964:C1163)</f>
        <v>9018.5678</v>
      </c>
      <c r="K1163" s="17" t="n">
        <f aca="false">MAX(K1162,C1163)</f>
        <v>19650.01</v>
      </c>
      <c r="L1163" s="25" t="n">
        <f aca="false">C1163/K1163-1</f>
        <v>-0.552395138730209</v>
      </c>
      <c r="M1163" s="25" t="n">
        <f aca="false">IF(COUNT(G1134:G1163)&lt;20,"",_xlfn.STDEV.S(G1134:G1163)*SQRT($R$3))</f>
        <v>1.05669046440846</v>
      </c>
      <c r="N1163" s="25" t="n">
        <f aca="false">IF(A1163-7&lt;$R$2,"",C1163/INDEX(Clean_Data!$C$2:$C$4314,MATCH(A1163-7,Clean_Data!$A$2:$A$4314,1))-1)</f>
        <v>-0.230663459435819</v>
      </c>
      <c r="O1163" s="25" t="n">
        <f aca="false">IF(A1163-30&lt;$R$2,"",C1163/INDEX(Clean_Data!$C$2:$C$4314,MATCH(A1163-30,Clean_Data!$A$2:$A$4314,1))-1)</f>
        <v>0.0702522480865406</v>
      </c>
    </row>
    <row r="1164" customFormat="false" ht="15" hidden="false" customHeight="false" outlineLevel="0" collapsed="false">
      <c r="A1164" s="16" t="n">
        <v>43170</v>
      </c>
      <c r="B1164" s="23" t="n">
        <f aca="false">YEAR(A1164)</f>
        <v>2018</v>
      </c>
      <c r="C1164" s="17" t="n">
        <v>9533.88</v>
      </c>
      <c r="D1164" s="23" t="n">
        <f aca="false">A1164-A1163</f>
        <v>1</v>
      </c>
      <c r="E1164" s="24" t="n">
        <f aca="false">LN(C1164)</f>
        <v>9.16260704915315</v>
      </c>
      <c r="F1164" s="25" t="n">
        <f aca="false">LN(C1164/C1163)</f>
        <v>0.0806183648076292</v>
      </c>
      <c r="G1164" s="25" t="n">
        <f aca="false">IF(AND(D1164=1,A1164&gt;=$R$2),F1164,"")</f>
        <v>0.0806183648076292</v>
      </c>
      <c r="H1164" s="27" t="n">
        <f aca="false">IF(G1164="","",G1164^2)</f>
        <v>0.00649932074425599</v>
      </c>
      <c r="I1164" s="25" t="n">
        <f aca="false">IF(G1164="","",C1164/C1163-1)</f>
        <v>0.0839571414278306</v>
      </c>
      <c r="J1164" s="17" t="n">
        <f aca="false">AVERAGE(C965:C1164)</f>
        <v>9045.51975</v>
      </c>
      <c r="K1164" s="17" t="n">
        <f aca="false">MAX(K1163,C1164)</f>
        <v>19650.01</v>
      </c>
      <c r="L1164" s="25" t="n">
        <f aca="false">C1164/K1164-1</f>
        <v>-0.514815514088797</v>
      </c>
      <c r="M1164" s="25" t="n">
        <f aca="false">IF(COUNT(G1135:G1164)&lt;20,"",_xlfn.STDEV.S(G1135:G1164)*SQRT($R$3))</f>
        <v>1.07718738647917</v>
      </c>
      <c r="N1164" s="25" t="n">
        <f aca="false">IF(A1164-7&lt;$R$2,"",C1164/INDEX(Clean_Data!$C$2:$C$4314,MATCH(A1164-7,Clean_Data!$A$2:$A$4314,1))-1)</f>
        <v>-0.168791358250726</v>
      </c>
      <c r="O1164" s="25" t="n">
        <f aca="false">IF(A1164-30&lt;$R$2,"",C1164/INDEX(Clean_Data!$C$2:$C$4314,MATCH(A1164-30,Clean_Data!$A$2:$A$4314,1))-1)</f>
        <v>0.0995120522292097</v>
      </c>
    </row>
    <row r="1165" customFormat="false" ht="15" hidden="false" customHeight="false" outlineLevel="0" collapsed="false">
      <c r="A1165" s="16" t="n">
        <v>43171</v>
      </c>
      <c r="B1165" s="23" t="n">
        <f aca="false">YEAR(A1165)</f>
        <v>2018</v>
      </c>
      <c r="C1165" s="17" t="n">
        <v>9120</v>
      </c>
      <c r="D1165" s="23" t="n">
        <f aca="false">A1165-A1164</f>
        <v>1</v>
      </c>
      <c r="E1165" s="24" t="n">
        <f aca="false">LN(C1165)</f>
        <v>9.11822508306838</v>
      </c>
      <c r="F1165" s="25" t="n">
        <f aca="false">LN(C1165/C1164)</f>
        <v>-0.0443819660847725</v>
      </c>
      <c r="G1165" s="25" t="n">
        <f aca="false">IF(AND(D1165=1,A1165&gt;=$R$2),F1165,"")</f>
        <v>-0.0443819660847725</v>
      </c>
      <c r="H1165" s="27" t="n">
        <f aca="false">IF(G1165="","",G1165^2)</f>
        <v>0.0019697589135499</v>
      </c>
      <c r="I1165" s="25" t="n">
        <f aca="false">IF(G1165="","",C1165/C1164-1)</f>
        <v>-0.0434114966834069</v>
      </c>
      <c r="J1165" s="17" t="n">
        <f aca="false">AVERAGE(C966:C1165)</f>
        <v>9069.5596</v>
      </c>
      <c r="K1165" s="17" t="n">
        <f aca="false">MAX(K1164,C1165)</f>
        <v>19650.01</v>
      </c>
      <c r="L1165" s="25" t="n">
        <f aca="false">C1165/K1165-1</f>
        <v>-0.535878098789772</v>
      </c>
      <c r="M1165" s="25" t="n">
        <f aca="false">IF(COUNT(G1136:G1165)&lt;20,"",_xlfn.STDEV.S(G1136:G1165)*SQRT($R$3))</f>
        <v>1.08836843153828</v>
      </c>
      <c r="N1165" s="25" t="n">
        <f aca="false">IF(A1165-7&lt;$R$2,"",C1165/INDEX(Clean_Data!$C$2:$C$4314,MATCH(A1165-7,Clean_Data!$A$2:$A$4314,1))-1)</f>
        <v>-0.198420748246106</v>
      </c>
      <c r="O1165" s="25" t="n">
        <f aca="false">IF(A1165-30&lt;$R$2,"",C1165/INDEX(Clean_Data!$C$2:$C$4314,MATCH(A1165-30,Clean_Data!$A$2:$A$4314,1))-1)</f>
        <v>0.0669798970224007</v>
      </c>
    </row>
    <row r="1166" customFormat="false" ht="15" hidden="false" customHeight="false" outlineLevel="0" collapsed="false">
      <c r="A1166" s="16" t="n">
        <v>43172</v>
      </c>
      <c r="B1166" s="23" t="n">
        <f aca="false">YEAR(A1166)</f>
        <v>2018</v>
      </c>
      <c r="C1166" s="17" t="n">
        <v>9145.41</v>
      </c>
      <c r="D1166" s="23" t="n">
        <f aca="false">A1166-A1165</f>
        <v>1</v>
      </c>
      <c r="E1166" s="24" t="n">
        <f aca="false">LN(C1166)</f>
        <v>9.1210073930622</v>
      </c>
      <c r="F1166" s="25" t="n">
        <f aca="false">LN(C1166/C1165)</f>
        <v>0.00278230999381812</v>
      </c>
      <c r="G1166" s="25" t="n">
        <f aca="false">IF(AND(D1166=1,A1166&gt;=$R$2),F1166,"")</f>
        <v>0.00278230999381812</v>
      </c>
      <c r="H1166" s="27" t="n">
        <f aca="false">IF(G1166="","",G1166^2)</f>
        <v>7.74124890170017E-006</v>
      </c>
      <c r="I1166" s="25" t="n">
        <f aca="false">IF(G1166="","",C1166/C1165-1)</f>
        <v>0.00278618421052634</v>
      </c>
      <c r="J1166" s="17" t="n">
        <f aca="false">AVERAGE(C967:C1166)</f>
        <v>9093.48665</v>
      </c>
      <c r="K1166" s="17" t="n">
        <f aca="false">MAX(K1165,C1166)</f>
        <v>19650.01</v>
      </c>
      <c r="L1166" s="25" t="n">
        <f aca="false">C1166/K1166-1</f>
        <v>-0.53458496967686</v>
      </c>
      <c r="M1166" s="25" t="n">
        <f aca="false">IF(COUNT(G1137:G1166)&lt;20,"",_xlfn.STDEV.S(G1137:G1166)*SQRT($R$3))</f>
        <v>1.06715691861158</v>
      </c>
      <c r="N1166" s="25" t="n">
        <f aca="false">IF(A1166-7&lt;$R$2,"",C1166/INDEX(Clean_Data!$C$2:$C$4314,MATCH(A1166-7,Clean_Data!$A$2:$A$4314,1))-1)</f>
        <v>-0.145288785046729</v>
      </c>
      <c r="O1166" s="25" t="n">
        <f aca="false">IF(A1166-30&lt;$R$2,"",C1166/INDEX(Clean_Data!$C$2:$C$4314,MATCH(A1166-30,Clean_Data!$A$2:$A$4314,1))-1)</f>
        <v>0.132840496519877</v>
      </c>
    </row>
    <row r="1167" customFormat="false" ht="15" hidden="false" customHeight="false" outlineLevel="0" collapsed="false">
      <c r="A1167" s="16" t="n">
        <v>43173</v>
      </c>
      <c r="B1167" s="23" t="n">
        <f aca="false">YEAR(A1167)</f>
        <v>2018</v>
      </c>
      <c r="C1167" s="17" t="n">
        <v>8207.03</v>
      </c>
      <c r="D1167" s="23" t="n">
        <f aca="false">A1167-A1166</f>
        <v>1</v>
      </c>
      <c r="E1167" s="24" t="n">
        <f aca="false">LN(C1167)</f>
        <v>9.01274638303914</v>
      </c>
      <c r="F1167" s="25" t="n">
        <f aca="false">LN(C1167/C1166)</f>
        <v>-0.108261010023056</v>
      </c>
      <c r="G1167" s="25" t="n">
        <f aca="false">IF(AND(D1167=1,A1167&gt;=$R$2),F1167,"")</f>
        <v>-0.108261010023056</v>
      </c>
      <c r="H1167" s="27" t="n">
        <f aca="false">IF(G1167="","",G1167^2)</f>
        <v>0.0117204462912123</v>
      </c>
      <c r="I1167" s="25" t="n">
        <f aca="false">IF(G1167="","",C1167/C1166-1)</f>
        <v>-0.102606662795872</v>
      </c>
      <c r="J1167" s="17" t="n">
        <f aca="false">AVERAGE(C968:C1167)</f>
        <v>9112.8002</v>
      </c>
      <c r="K1167" s="17" t="n">
        <f aca="false">MAX(K1166,C1167)</f>
        <v>19650.01</v>
      </c>
      <c r="L1167" s="25" t="n">
        <f aca="false">C1167/K1167-1</f>
        <v>-0.582339652753357</v>
      </c>
      <c r="M1167" s="25" t="n">
        <f aca="false">IF(COUNT(G1138:G1167)&lt;20,"",_xlfn.STDEV.S(G1138:G1167)*SQRT($R$3))</f>
        <v>1.08542117210002</v>
      </c>
      <c r="N1167" s="25" t="n">
        <f aca="false">IF(A1167-7&lt;$R$2,"",C1167/INDEX(Clean_Data!$C$2:$C$4314,MATCH(A1167-7,Clean_Data!$A$2:$A$4314,1))-1)</f>
        <v>-0.172678427419355</v>
      </c>
      <c r="O1167" s="25" t="n">
        <f aca="false">IF(A1167-30&lt;$R$2,"",C1167/INDEX(Clean_Data!$C$2:$C$4314,MATCH(A1167-30,Clean_Data!$A$2:$A$4314,1))-1)</f>
        <v>-0.0749807264874418</v>
      </c>
    </row>
    <row r="1168" customFormat="false" ht="15" hidden="false" customHeight="false" outlineLevel="0" collapsed="false">
      <c r="A1168" s="16" t="n">
        <v>43174</v>
      </c>
      <c r="B1168" s="23" t="n">
        <f aca="false">YEAR(A1168)</f>
        <v>2018</v>
      </c>
      <c r="C1168" s="17" t="n">
        <v>8259.99</v>
      </c>
      <c r="D1168" s="23" t="n">
        <f aca="false">A1168-A1167</f>
        <v>1</v>
      </c>
      <c r="E1168" s="24" t="n">
        <f aca="false">LN(C1168)</f>
        <v>9.01917865586054</v>
      </c>
      <c r="F1168" s="25" t="n">
        <f aca="false">LN(C1168/C1167)</f>
        <v>0.00643227282139895</v>
      </c>
      <c r="G1168" s="25" t="n">
        <f aca="false">IF(AND(D1168=1,A1168&gt;=$R$2),F1168,"")</f>
        <v>0.00643227282139895</v>
      </c>
      <c r="H1168" s="27" t="n">
        <f aca="false">IF(G1168="","",G1168^2)</f>
        <v>4.13741336489076E-005</v>
      </c>
      <c r="I1168" s="25" t="n">
        <f aca="false">IF(G1168="","",C1168/C1167-1)</f>
        <v>0.00645300431459361</v>
      </c>
      <c r="J1168" s="17" t="n">
        <f aca="false">AVERAGE(C969:C1168)</f>
        <v>9132.3996</v>
      </c>
      <c r="K1168" s="17" t="n">
        <f aca="false">MAX(K1167,C1168)</f>
        <v>19650.01</v>
      </c>
      <c r="L1168" s="25" t="n">
        <f aca="false">C1168/K1168-1</f>
        <v>-0.57964448873054</v>
      </c>
      <c r="M1168" s="25" t="n">
        <f aca="false">IF(COUNT(G1139:G1168)&lt;20,"",_xlfn.STDEV.S(G1139:G1168)*SQRT($R$3))</f>
        <v>1.07710089600093</v>
      </c>
      <c r="N1168" s="25" t="n">
        <f aca="false">IF(A1168-7&lt;$R$2,"",C1168/INDEX(Clean_Data!$C$2:$C$4314,MATCH(A1168-7,Clean_Data!$A$2:$A$4314,1))-1)</f>
        <v>-0.112296746875302</v>
      </c>
      <c r="O1168" s="25" t="n">
        <f aca="false">IF(A1168-30&lt;$R$2,"",C1168/INDEX(Clean_Data!$C$2:$C$4314,MATCH(A1168-30,Clean_Data!$A$2:$A$4314,1))-1)</f>
        <v>-0.0305187435226015</v>
      </c>
    </row>
    <row r="1169" customFormat="false" ht="15" hidden="false" customHeight="false" outlineLevel="0" collapsed="false">
      <c r="A1169" s="16" t="n">
        <v>43175</v>
      </c>
      <c r="B1169" s="23" t="n">
        <f aca="false">YEAR(A1169)</f>
        <v>2018</v>
      </c>
      <c r="C1169" s="17" t="n">
        <v>8275</v>
      </c>
      <c r="D1169" s="23" t="n">
        <f aca="false">A1169-A1168</f>
        <v>1</v>
      </c>
      <c r="E1169" s="24" t="n">
        <f aca="false">LN(C1169)</f>
        <v>9.02099420024526</v>
      </c>
      <c r="F1169" s="25" t="n">
        <f aca="false">LN(C1169/C1168)</f>
        <v>0.00181554438472581</v>
      </c>
      <c r="G1169" s="25" t="n">
        <f aca="false">IF(AND(D1169=1,A1169&gt;=$R$2),F1169,"")</f>
        <v>0.00181554438472581</v>
      </c>
      <c r="H1169" s="27" t="n">
        <f aca="false">IF(G1169="","",G1169^2)</f>
        <v>3.29620141290942E-006</v>
      </c>
      <c r="I1169" s="25" t="n">
        <f aca="false">IF(G1169="","",C1169/C1168-1)</f>
        <v>0.00181719348328513</v>
      </c>
      <c r="J1169" s="17" t="n">
        <f aca="false">AVERAGE(C970:C1169)</f>
        <v>9151.84965</v>
      </c>
      <c r="K1169" s="17" t="n">
        <f aca="false">MAX(K1168,C1169)</f>
        <v>19650.01</v>
      </c>
      <c r="L1169" s="25" t="n">
        <f aca="false">C1169/K1169-1</f>
        <v>-0.578880621434798</v>
      </c>
      <c r="M1169" s="25" t="n">
        <f aca="false">IF(COUNT(G1140:G1169)&lt;20,"",_xlfn.STDEV.S(G1140:G1169)*SQRT($R$3))</f>
        <v>1.00570049009478</v>
      </c>
      <c r="N1169" s="25" t="n">
        <f aca="false">IF(A1169-7&lt;$R$2,"",C1169/INDEX(Clean_Data!$C$2:$C$4314,MATCH(A1169-7,Clean_Data!$A$2:$A$4314,1))-1)</f>
        <v>-0.105888708806051</v>
      </c>
      <c r="O1169" s="25" t="n">
        <f aca="false">IF(A1169-30&lt;$R$2,"",C1169/INDEX(Clean_Data!$C$2:$C$4314,MATCH(A1169-30,Clean_Data!$A$2:$A$4314,1))-1)</f>
        <v>-0.126462844849245</v>
      </c>
    </row>
    <row r="1170" customFormat="false" ht="15" hidden="false" customHeight="false" outlineLevel="0" collapsed="false">
      <c r="A1170" s="16" t="n">
        <v>43176</v>
      </c>
      <c r="B1170" s="23" t="n">
        <f aca="false">YEAR(A1170)</f>
        <v>2018</v>
      </c>
      <c r="C1170" s="17" t="n">
        <v>7865.02</v>
      </c>
      <c r="D1170" s="23" t="n">
        <f aca="false">A1170-A1169</f>
        <v>1</v>
      </c>
      <c r="E1170" s="24" t="n">
        <f aca="false">LN(C1170)</f>
        <v>8.97018035840078</v>
      </c>
      <c r="F1170" s="25" t="n">
        <f aca="false">LN(C1170/C1169)</f>
        <v>-0.0508138418444848</v>
      </c>
      <c r="G1170" s="25" t="n">
        <f aca="false">IF(AND(D1170=1,A1170&gt;=$R$2),F1170,"")</f>
        <v>-0.0508138418444848</v>
      </c>
      <c r="H1170" s="27" t="n">
        <f aca="false">IF(G1170="","",G1170^2)</f>
        <v>0.00258204652299632</v>
      </c>
      <c r="I1170" s="25" t="n">
        <f aca="false">IF(G1170="","",C1170/C1169-1)</f>
        <v>-0.0495444108761329</v>
      </c>
      <c r="J1170" s="17" t="n">
        <f aca="false">AVERAGE(C971:C1170)</f>
        <v>9168.17975</v>
      </c>
      <c r="K1170" s="17" t="n">
        <f aca="false">MAX(K1169,C1170)</f>
        <v>19650.01</v>
      </c>
      <c r="L1170" s="25" t="n">
        <f aca="false">C1170/K1170-1</f>
        <v>-0.599744732954334</v>
      </c>
      <c r="M1170" s="25" t="n">
        <f aca="false">IF(COUNT(G1141:G1170)&lt;20,"",_xlfn.STDEV.S(G1141:G1170)*SQRT($R$3))</f>
        <v>0.992725913933282</v>
      </c>
      <c r="N1170" s="25" t="n">
        <f aca="false">IF(A1170-7&lt;$R$2,"",C1170/INDEX(Clean_Data!$C$2:$C$4314,MATCH(A1170-7,Clean_Data!$A$2:$A$4314,1))-1)</f>
        <v>-0.105784360987057</v>
      </c>
      <c r="O1170" s="25" t="n">
        <f aca="false">IF(A1170-30&lt;$R$2,"",C1170/INDEX(Clean_Data!$C$2:$C$4314,MATCH(A1170-30,Clean_Data!$A$2:$A$4314,1))-1)</f>
        <v>-0.215946598772035</v>
      </c>
    </row>
    <row r="1171" customFormat="false" ht="15" hidden="false" customHeight="false" outlineLevel="0" collapsed="false">
      <c r="A1171" s="16" t="n">
        <v>43177</v>
      </c>
      <c r="B1171" s="23" t="n">
        <f aca="false">YEAR(A1171)</f>
        <v>2018</v>
      </c>
      <c r="C1171" s="17" t="n">
        <v>8192</v>
      </c>
      <c r="D1171" s="23" t="n">
        <f aca="false">A1171-A1170</f>
        <v>1</v>
      </c>
      <c r="E1171" s="24" t="n">
        <f aca="false">LN(C1171)</f>
        <v>9.01091334727929</v>
      </c>
      <c r="F1171" s="25" t="n">
        <f aca="false">LN(C1171/C1170)</f>
        <v>0.0407329888785102</v>
      </c>
      <c r="G1171" s="25" t="n">
        <f aca="false">IF(AND(D1171=1,A1171&gt;=$R$2),F1171,"")</f>
        <v>0.0407329888785102</v>
      </c>
      <c r="H1171" s="27" t="n">
        <f aca="false">IF(G1171="","",G1171^2)</f>
        <v>0.00165917638297683</v>
      </c>
      <c r="I1171" s="25" t="n">
        <f aca="false">IF(G1171="","",C1171/C1170-1)</f>
        <v>0.0415739565824371</v>
      </c>
      <c r="J1171" s="17" t="n">
        <f aca="false">AVERAGE(C972:C1171)</f>
        <v>9186.22985</v>
      </c>
      <c r="K1171" s="17" t="n">
        <f aca="false">MAX(K1170,C1171)</f>
        <v>19650.01</v>
      </c>
      <c r="L1171" s="25" t="n">
        <f aca="false">C1171/K1171-1</f>
        <v>-0.583104537860286</v>
      </c>
      <c r="M1171" s="25" t="n">
        <f aca="false">IF(COUNT(G1142:G1171)&lt;20,"",_xlfn.STDEV.S(G1142:G1171)*SQRT($R$3))</f>
        <v>1.00466196013767</v>
      </c>
      <c r="N1171" s="25" t="n">
        <f aca="false">IF(A1171-7&lt;$R$2,"",C1171/INDEX(Clean_Data!$C$2:$C$4314,MATCH(A1171-7,Clean_Data!$A$2:$A$4314,1))-1)</f>
        <v>-0.140748572459481</v>
      </c>
      <c r="O1171" s="25" t="n">
        <f aca="false">IF(A1171-30&lt;$R$2,"",C1171/INDEX(Clean_Data!$C$2:$C$4314,MATCH(A1171-30,Clean_Data!$A$2:$A$4314,1))-1)</f>
        <v>-0.194294757113113</v>
      </c>
    </row>
    <row r="1172" customFormat="false" ht="15" hidden="false" customHeight="false" outlineLevel="0" collapsed="false">
      <c r="A1172" s="16" t="n">
        <v>43178</v>
      </c>
      <c r="B1172" s="23" t="n">
        <f aca="false">YEAR(A1172)</f>
        <v>2018</v>
      </c>
      <c r="C1172" s="17" t="n">
        <v>8589</v>
      </c>
      <c r="D1172" s="23" t="n">
        <f aca="false">A1172-A1171</f>
        <v>1</v>
      </c>
      <c r="E1172" s="24" t="n">
        <f aca="false">LN(C1172)</f>
        <v>9.05823759376623</v>
      </c>
      <c r="F1172" s="25" t="n">
        <f aca="false">LN(C1172/C1171)</f>
        <v>0.0473242464869357</v>
      </c>
      <c r="G1172" s="25" t="n">
        <f aca="false">IF(AND(D1172=1,A1172&gt;=$R$2),F1172,"")</f>
        <v>0.0473242464869357</v>
      </c>
      <c r="H1172" s="27" t="n">
        <f aca="false">IF(G1172="","",G1172^2)</f>
        <v>0.00223958430555625</v>
      </c>
      <c r="I1172" s="25" t="n">
        <f aca="false">IF(G1172="","",C1172/C1171-1)</f>
        <v>0.0484619140625</v>
      </c>
      <c r="J1172" s="17" t="n">
        <f aca="false">AVERAGE(C973:C1172)</f>
        <v>9205.45515</v>
      </c>
      <c r="K1172" s="17" t="n">
        <f aca="false">MAX(K1171,C1172)</f>
        <v>19650.01</v>
      </c>
      <c r="L1172" s="25" t="n">
        <f aca="false">C1172/K1172-1</f>
        <v>-0.562900985801025</v>
      </c>
      <c r="M1172" s="25" t="n">
        <f aca="false">IF(COUNT(G1143:G1172)&lt;20,"",_xlfn.STDEV.S(G1143:G1172)*SQRT($R$3))</f>
        <v>0.963258250819759</v>
      </c>
      <c r="N1172" s="25" t="n">
        <f aca="false">IF(A1172-7&lt;$R$2,"",C1172/INDEX(Clean_Data!$C$2:$C$4314,MATCH(A1172-7,Clean_Data!$A$2:$A$4314,1))-1)</f>
        <v>-0.0582236842105263</v>
      </c>
      <c r="O1172" s="25" t="n">
        <f aca="false">IF(A1172-30&lt;$R$2,"",C1172/INDEX(Clean_Data!$C$2:$C$4314,MATCH(A1172-30,Clean_Data!$A$2:$A$4314,1))-1)</f>
        <v>-0.227712089196601</v>
      </c>
    </row>
    <row r="1173" customFormat="false" ht="15" hidden="false" customHeight="false" outlineLevel="0" collapsed="false">
      <c r="A1173" s="16" t="n">
        <v>43179</v>
      </c>
      <c r="B1173" s="23" t="n">
        <f aca="false">YEAR(A1173)</f>
        <v>2018</v>
      </c>
      <c r="C1173" s="17" t="n">
        <v>8900</v>
      </c>
      <c r="D1173" s="23" t="n">
        <f aca="false">A1173-A1172</f>
        <v>1</v>
      </c>
      <c r="E1173" s="24" t="n">
        <f aca="false">LN(C1173)</f>
        <v>9.09380655572023</v>
      </c>
      <c r="F1173" s="25" t="n">
        <f aca="false">LN(C1173/C1172)</f>
        <v>0.0355689619540064</v>
      </c>
      <c r="G1173" s="25" t="n">
        <f aca="false">IF(AND(D1173=1,A1173&gt;=$R$2),F1173,"")</f>
        <v>0.0355689619540064</v>
      </c>
      <c r="H1173" s="27" t="n">
        <f aca="false">IF(G1173="","",G1173^2)</f>
        <v>0.00126515105448555</v>
      </c>
      <c r="I1173" s="25" t="n">
        <f aca="false">IF(G1173="","",C1173/C1172-1)</f>
        <v>0.0362091046687623</v>
      </c>
      <c r="J1173" s="17" t="n">
        <f aca="false">AVERAGE(C974:C1173)</f>
        <v>9225.2152</v>
      </c>
      <c r="K1173" s="17" t="n">
        <f aca="false">MAX(K1172,C1173)</f>
        <v>19650.01</v>
      </c>
      <c r="L1173" s="25" t="n">
        <f aca="false">C1173/K1173-1</f>
        <v>-0.547074021845281</v>
      </c>
      <c r="M1173" s="25" t="n">
        <f aca="false">IF(COUNT(G1144:G1173)&lt;20,"",_xlfn.STDEV.S(G1144:G1173)*SQRT($R$3))</f>
        <v>0.949715253756273</v>
      </c>
      <c r="N1173" s="25" t="n">
        <f aca="false">IF(A1173-7&lt;$R$2,"",C1173/INDEX(Clean_Data!$C$2:$C$4314,MATCH(A1173-7,Clean_Data!$A$2:$A$4314,1))-1)</f>
        <v>-0.0268342261309225</v>
      </c>
      <c r="O1173" s="25" t="n">
        <f aca="false">IF(A1173-30&lt;$R$2,"",C1173/INDEX(Clean_Data!$C$2:$C$4314,MATCH(A1173-30,Clean_Data!$A$2:$A$4314,1))-1)</f>
        <v>-0.142585192349933</v>
      </c>
    </row>
    <row r="1174" customFormat="false" ht="15" hidden="false" customHeight="false" outlineLevel="0" collapsed="false">
      <c r="A1174" s="16" t="n">
        <v>43180</v>
      </c>
      <c r="B1174" s="23" t="n">
        <f aca="false">YEAR(A1174)</f>
        <v>2018</v>
      </c>
      <c r="C1174" s="17" t="n">
        <v>8891.81</v>
      </c>
      <c r="D1174" s="23" t="n">
        <f aca="false">A1174-A1173</f>
        <v>1</v>
      </c>
      <c r="E1174" s="24" t="n">
        <f aca="false">LN(C1174)</f>
        <v>9.09288590733443</v>
      </c>
      <c r="F1174" s="25" t="n">
        <f aca="false">LN(C1174/C1173)</f>
        <v>-0.00092064838580028</v>
      </c>
      <c r="G1174" s="25" t="n">
        <f aca="false">IF(AND(D1174=1,A1174&gt;=$R$2),F1174,"")</f>
        <v>-0.00092064838580028</v>
      </c>
      <c r="H1174" s="27" t="n">
        <f aca="false">IF(G1174="","",G1174^2)</f>
        <v>8.47593450276661E-007</v>
      </c>
      <c r="I1174" s="25" t="n">
        <f aca="false">IF(G1174="","",C1174/C1173-1)</f>
        <v>-0.000920224719101137</v>
      </c>
      <c r="J1174" s="17" t="n">
        <f aca="false">AVERAGE(C975:C1174)</f>
        <v>9246.4243</v>
      </c>
      <c r="K1174" s="17" t="n">
        <f aca="false">MAX(K1173,C1174)</f>
        <v>19650.01</v>
      </c>
      <c r="L1174" s="25" t="n">
        <f aca="false">C1174/K1174-1</f>
        <v>-0.547490815526303</v>
      </c>
      <c r="M1174" s="25" t="n">
        <f aca="false">IF(COUNT(G1145:G1174)&lt;20,"",_xlfn.STDEV.S(G1145:G1174)*SQRT($R$3))</f>
        <v>0.909804711818666</v>
      </c>
      <c r="N1174" s="25" t="n">
        <f aca="false">IF(A1174-7&lt;$R$2,"",C1174/INDEX(Clean_Data!$C$2:$C$4314,MATCH(A1174-7,Clean_Data!$A$2:$A$4314,1))-1)</f>
        <v>0.0834382230843556</v>
      </c>
      <c r="O1174" s="25" t="n">
        <f aca="false">IF(A1174-30&lt;$R$2,"",C1174/INDEX(Clean_Data!$C$2:$C$4314,MATCH(A1174-30,Clean_Data!$A$2:$A$4314,1))-1)</f>
        <v>-0.201812387791742</v>
      </c>
    </row>
    <row r="1175" customFormat="false" ht="15" hidden="false" customHeight="false" outlineLevel="0" collapsed="false">
      <c r="A1175" s="16" t="n">
        <v>43181</v>
      </c>
      <c r="B1175" s="23" t="n">
        <f aca="false">YEAR(A1175)</f>
        <v>2018</v>
      </c>
      <c r="C1175" s="17" t="n">
        <v>8715.09</v>
      </c>
      <c r="D1175" s="23" t="n">
        <f aca="false">A1175-A1174</f>
        <v>1</v>
      </c>
      <c r="E1175" s="24" t="n">
        <f aca="false">LN(C1175)</f>
        <v>9.07281128492317</v>
      </c>
      <c r="F1175" s="25" t="n">
        <f aca="false">LN(C1175/C1174)</f>
        <v>-0.0200746224112577</v>
      </c>
      <c r="G1175" s="25" t="n">
        <f aca="false">IF(AND(D1175=1,A1175&gt;=$R$2),F1175,"")</f>
        <v>-0.0200746224112577</v>
      </c>
      <c r="H1175" s="27" t="n">
        <f aca="false">IF(G1175="","",G1175^2)</f>
        <v>0.000402990464954568</v>
      </c>
      <c r="I1175" s="25" t="n">
        <f aca="false">IF(G1175="","",C1175/C1174-1)</f>
        <v>-0.019874468752706</v>
      </c>
      <c r="J1175" s="17" t="n">
        <f aca="false">AVERAGE(C976:C1175)</f>
        <v>9266.8695</v>
      </c>
      <c r="K1175" s="17" t="n">
        <f aca="false">MAX(K1174,C1175)</f>
        <v>19650.01</v>
      </c>
      <c r="L1175" s="25" t="n">
        <f aca="false">C1175/K1175-1</f>
        <v>-0.556484195173438</v>
      </c>
      <c r="M1175" s="25" t="n">
        <f aca="false">IF(COUNT(G1146:G1175)&lt;20,"",_xlfn.STDEV.S(G1146:G1175)*SQRT($R$3))</f>
        <v>0.908923610278202</v>
      </c>
      <c r="N1175" s="25" t="n">
        <f aca="false">IF(A1175-7&lt;$R$2,"",C1175/INDEX(Clean_Data!$C$2:$C$4314,MATCH(A1175-7,Clean_Data!$A$2:$A$4314,1))-1)</f>
        <v>0.055096919003534</v>
      </c>
      <c r="O1175" s="25" t="n">
        <f aca="false">IF(A1175-30&lt;$R$2,"",C1175/INDEX(Clean_Data!$C$2:$C$4314,MATCH(A1175-30,Clean_Data!$A$2:$A$4314,1))-1)</f>
        <v>-0.224330407803075</v>
      </c>
    </row>
    <row r="1176" customFormat="false" ht="15" hidden="false" customHeight="false" outlineLevel="0" collapsed="false">
      <c r="A1176" s="16" t="n">
        <v>43182</v>
      </c>
      <c r="B1176" s="23" t="n">
        <f aca="false">YEAR(A1176)</f>
        <v>2018</v>
      </c>
      <c r="C1176" s="17" t="n">
        <v>8927.1</v>
      </c>
      <c r="D1176" s="23" t="n">
        <f aca="false">A1176-A1175</f>
        <v>1</v>
      </c>
      <c r="E1176" s="24" t="n">
        <f aca="false">LN(C1176)</f>
        <v>9.09684687308817</v>
      </c>
      <c r="F1176" s="25" t="n">
        <f aca="false">LN(C1176/C1175)</f>
        <v>0.0240355881649942</v>
      </c>
      <c r="G1176" s="25" t="n">
        <f aca="false">IF(AND(D1176=1,A1176&gt;=$R$2),F1176,"")</f>
        <v>0.0240355881649942</v>
      </c>
      <c r="H1176" s="27" t="n">
        <f aca="false">IF(G1176="","",G1176^2)</f>
        <v>0.000577709498437212</v>
      </c>
      <c r="I1176" s="25" t="n">
        <f aca="false">IF(G1176="","",C1176/C1175-1)</f>
        <v>0.0243267711521051</v>
      </c>
      <c r="J1176" s="17" t="n">
        <f aca="false">AVERAGE(C977:C1176)</f>
        <v>9289.01375</v>
      </c>
      <c r="K1176" s="17" t="n">
        <f aca="false">MAX(K1175,C1176)</f>
        <v>19650.01</v>
      </c>
      <c r="L1176" s="25" t="n">
        <f aca="false">C1176/K1176-1</f>
        <v>-0.54569488768708</v>
      </c>
      <c r="M1176" s="25" t="n">
        <f aca="false">IF(COUNT(G1147:G1176)&lt;20,"",_xlfn.STDEV.S(G1147:G1176)*SQRT($R$3))</f>
        <v>0.885800476142073</v>
      </c>
      <c r="N1176" s="25" t="n">
        <f aca="false">IF(A1176-7&lt;$R$2,"",C1176/INDEX(Clean_Data!$C$2:$C$4314,MATCH(A1176-7,Clean_Data!$A$2:$A$4314,1))-1)</f>
        <v>0.0788036253776436</v>
      </c>
      <c r="O1176" s="25" t="n">
        <f aca="false">IF(A1176-30&lt;$R$2,"",C1176/INDEX(Clean_Data!$C$2:$C$4314,MATCH(A1176-30,Clean_Data!$A$2:$A$4314,1))-1)</f>
        <v>-0.146080979351021</v>
      </c>
    </row>
    <row r="1177" customFormat="false" ht="15" hidden="false" customHeight="false" outlineLevel="0" collapsed="false">
      <c r="A1177" s="16" t="n">
        <v>43183</v>
      </c>
      <c r="B1177" s="23" t="n">
        <f aca="false">YEAR(A1177)</f>
        <v>2018</v>
      </c>
      <c r="C1177" s="17" t="n">
        <v>8531.34</v>
      </c>
      <c r="D1177" s="23" t="n">
        <f aca="false">A1177-A1176</f>
        <v>1</v>
      </c>
      <c r="E1177" s="24" t="n">
        <f aca="false">LN(C1177)</f>
        <v>9.05150172076228</v>
      </c>
      <c r="F1177" s="25" t="n">
        <f aca="false">LN(C1177/C1176)</f>
        <v>-0.0453451523258929</v>
      </c>
      <c r="G1177" s="25" t="n">
        <f aca="false">IF(AND(D1177=1,A1177&gt;=$R$2),F1177,"")</f>
        <v>-0.0453451523258929</v>
      </c>
      <c r="H1177" s="27" t="n">
        <f aca="false">IF(G1177="","",G1177^2)</f>
        <v>0.00205618283945843</v>
      </c>
      <c r="I1177" s="25" t="n">
        <f aca="false">IF(G1177="","",C1177/C1176-1)</f>
        <v>-0.0443324259838022</v>
      </c>
      <c r="J1177" s="17" t="n">
        <f aca="false">AVERAGE(C978:C1177)</f>
        <v>9309.5079</v>
      </c>
      <c r="K1177" s="17" t="n">
        <f aca="false">MAX(K1176,C1177)</f>
        <v>19650.01</v>
      </c>
      <c r="L1177" s="25" t="n">
        <f aca="false">C1177/K1177-1</f>
        <v>-0.565835335452755</v>
      </c>
      <c r="M1177" s="25" t="n">
        <f aca="false">IF(COUNT(G1148:G1177)&lt;20,"",_xlfn.STDEV.S(G1148:G1177)*SQRT($R$3))</f>
        <v>0.874555100258404</v>
      </c>
      <c r="N1177" s="25" t="n">
        <f aca="false">IF(A1177-7&lt;$R$2,"",C1177/INDEX(Clean_Data!$C$2:$C$4314,MATCH(A1177-7,Clean_Data!$A$2:$A$4314,1))-1)</f>
        <v>0.0847194285583508</v>
      </c>
      <c r="O1177" s="25" t="n">
        <f aca="false">IF(A1177-30&lt;$R$2,"",C1177/INDEX(Clean_Data!$C$2:$C$4314,MATCH(A1177-30,Clean_Data!$A$2:$A$4314,1))-1)</f>
        <v>-0.132111902339776</v>
      </c>
    </row>
    <row r="1178" customFormat="false" ht="15" hidden="false" customHeight="false" outlineLevel="0" collapsed="false">
      <c r="A1178" s="16" t="n">
        <v>43184</v>
      </c>
      <c r="B1178" s="23" t="n">
        <f aca="false">YEAR(A1178)</f>
        <v>2018</v>
      </c>
      <c r="C1178" s="17" t="n">
        <v>8453</v>
      </c>
      <c r="D1178" s="23" t="n">
        <f aca="false">A1178-A1177</f>
        <v>1</v>
      </c>
      <c r="E1178" s="24" t="n">
        <f aca="false">LN(C1178)</f>
        <v>9.04227668692893</v>
      </c>
      <c r="F1178" s="25" t="n">
        <f aca="false">LN(C1178/C1177)</f>
        <v>-0.00922503383334692</v>
      </c>
      <c r="G1178" s="25" t="n">
        <f aca="false">IF(AND(D1178=1,A1178&gt;=$R$2),F1178,"")</f>
        <v>-0.00922503383334692</v>
      </c>
      <c r="H1178" s="27" t="n">
        <f aca="false">IF(G1178="","",G1178^2)</f>
        <v>8.51012492263954E-005</v>
      </c>
      <c r="I1178" s="25" t="n">
        <f aca="false">IF(G1178="","",C1178/C1177-1)</f>
        <v>-0.0091826137511809</v>
      </c>
      <c r="J1178" s="17" t="n">
        <f aca="false">AVERAGE(C979:C1178)</f>
        <v>9328.692</v>
      </c>
      <c r="K1178" s="17" t="n">
        <f aca="false">MAX(K1177,C1178)</f>
        <v>19650.01</v>
      </c>
      <c r="L1178" s="25" t="n">
        <f aca="false">C1178/K1178-1</f>
        <v>-0.569822101871704</v>
      </c>
      <c r="M1178" s="25" t="n">
        <f aca="false">IF(COUNT(G1149:G1178)&lt;20,"",_xlfn.STDEV.S(G1149:G1178)*SQRT($R$3))</f>
        <v>0.864784671228135</v>
      </c>
      <c r="N1178" s="25" t="n">
        <f aca="false">IF(A1178-7&lt;$R$2,"",C1178/INDEX(Clean_Data!$C$2:$C$4314,MATCH(A1178-7,Clean_Data!$A$2:$A$4314,1))-1)</f>
        <v>0.0318603515625</v>
      </c>
      <c r="O1178" s="25" t="n">
        <f aca="false">IF(A1178-30&lt;$R$2,"",C1178/INDEX(Clean_Data!$C$2:$C$4314,MATCH(A1178-30,Clean_Data!$A$2:$A$4314,1))-1)</f>
        <v>-0.166780844535086</v>
      </c>
    </row>
    <row r="1179" customFormat="false" ht="15" hidden="false" customHeight="false" outlineLevel="0" collapsed="false">
      <c r="A1179" s="16" t="n">
        <v>43185</v>
      </c>
      <c r="B1179" s="23" t="n">
        <f aca="false">YEAR(A1179)</f>
        <v>2018</v>
      </c>
      <c r="C1179" s="17" t="n">
        <v>8145</v>
      </c>
      <c r="D1179" s="23" t="n">
        <f aca="false">A1179-A1178</f>
        <v>1</v>
      </c>
      <c r="E1179" s="24" t="n">
        <f aca="false">LN(C1179)</f>
        <v>9.00515952103615</v>
      </c>
      <c r="F1179" s="25" t="n">
        <f aca="false">LN(C1179/C1178)</f>
        <v>-0.0371171658927821</v>
      </c>
      <c r="G1179" s="25" t="n">
        <f aca="false">IF(AND(D1179=1,A1179&gt;=$R$2),F1179,"")</f>
        <v>-0.0371171658927821</v>
      </c>
      <c r="H1179" s="27" t="n">
        <f aca="false">IF(G1179="","",G1179^2)</f>
        <v>0.00137768400391231</v>
      </c>
      <c r="I1179" s="25" t="n">
        <f aca="false">IF(G1179="","",C1179/C1178-1)</f>
        <v>-0.0364367680113569</v>
      </c>
      <c r="J1179" s="17" t="n">
        <f aca="false">AVERAGE(C980:C1179)</f>
        <v>9346.2961</v>
      </c>
      <c r="K1179" s="17" t="n">
        <f aca="false">MAX(K1178,C1179)</f>
        <v>19650.01</v>
      </c>
      <c r="L1179" s="25" t="n">
        <f aca="false">C1179/K1179-1</f>
        <v>-0.585496394149418</v>
      </c>
      <c r="M1179" s="25" t="n">
        <f aca="false">IF(COUNT(G1150:G1179)&lt;20,"",_xlfn.STDEV.S(G1150:G1179)*SQRT($R$3))</f>
        <v>0.860150233580912</v>
      </c>
      <c r="N1179" s="25" t="n">
        <f aca="false">IF(A1179-7&lt;$R$2,"",C1179/INDEX(Clean_Data!$C$2:$C$4314,MATCH(A1179-7,Clean_Data!$A$2:$A$4314,1))-1)</f>
        <v>-0.0516940272441495</v>
      </c>
      <c r="O1179" s="25" t="n">
        <f aca="false">IF(A1179-30&lt;$R$2,"",C1179/INDEX(Clean_Data!$C$2:$C$4314,MATCH(A1179-30,Clean_Data!$A$2:$A$4314,1))-1)</f>
        <v>-0.159322999560309</v>
      </c>
    </row>
    <row r="1180" customFormat="false" ht="15" hidden="false" customHeight="false" outlineLevel="0" collapsed="false">
      <c r="A1180" s="16" t="n">
        <v>43186</v>
      </c>
      <c r="B1180" s="23" t="n">
        <f aca="false">YEAR(A1180)</f>
        <v>2018</v>
      </c>
      <c r="C1180" s="17" t="n">
        <v>7793.61</v>
      </c>
      <c r="D1180" s="23" t="n">
        <f aca="false">A1180-A1179</f>
        <v>1</v>
      </c>
      <c r="E1180" s="24" t="n">
        <f aca="false">LN(C1180)</f>
        <v>8.96105944615554</v>
      </c>
      <c r="F1180" s="25" t="n">
        <f aca="false">LN(C1180/C1179)</f>
        <v>-0.0441000748806052</v>
      </c>
      <c r="G1180" s="25" t="n">
        <f aca="false">IF(AND(D1180=1,A1180&gt;=$R$2),F1180,"")</f>
        <v>-0.0441000748806052</v>
      </c>
      <c r="H1180" s="27" t="n">
        <f aca="false">IF(G1180="","",G1180^2)</f>
        <v>0.00194481660447498</v>
      </c>
      <c r="I1180" s="25" t="n">
        <f aca="false">IF(G1180="","",C1180/C1179-1)</f>
        <v>-0.0431418047882137</v>
      </c>
      <c r="J1180" s="17" t="n">
        <f aca="false">AVERAGE(C981:C1180)</f>
        <v>9363.51415</v>
      </c>
      <c r="K1180" s="17" t="n">
        <f aca="false">MAX(K1179,C1180)</f>
        <v>19650.01</v>
      </c>
      <c r="L1180" s="25" t="n">
        <f aca="false">C1180/K1180-1</f>
        <v>-0.603378827797034</v>
      </c>
      <c r="M1180" s="25" t="n">
        <f aca="false">IF(COUNT(G1151:G1180)&lt;20,"",_xlfn.STDEV.S(G1151:G1180)*SQRT($R$3))</f>
        <v>0.870440156856544</v>
      </c>
      <c r="N1180" s="25" t="n">
        <f aca="false">IF(A1180-7&lt;$R$2,"",C1180/INDEX(Clean_Data!$C$2:$C$4314,MATCH(A1180-7,Clean_Data!$A$2:$A$4314,1))-1)</f>
        <v>-0.124313483146068</v>
      </c>
      <c r="O1180" s="25" t="n">
        <f aca="false">IF(A1180-30&lt;$R$2,"",C1180/INDEX(Clean_Data!$C$2:$C$4314,MATCH(A1180-30,Clean_Data!$A$2:$A$4314,1))-1)</f>
        <v>-0.187995611581175</v>
      </c>
    </row>
    <row r="1181" customFormat="false" ht="15" hidden="false" customHeight="false" outlineLevel="0" collapsed="false">
      <c r="A1181" s="16" t="n">
        <v>43187</v>
      </c>
      <c r="B1181" s="23" t="n">
        <f aca="false">YEAR(A1181)</f>
        <v>2018</v>
      </c>
      <c r="C1181" s="17" t="n">
        <v>7942.72</v>
      </c>
      <c r="D1181" s="23" t="n">
        <f aca="false">A1181-A1180</f>
        <v>1</v>
      </c>
      <c r="E1181" s="24" t="n">
        <f aca="false">LN(C1181)</f>
        <v>8.98001106484725</v>
      </c>
      <c r="F1181" s="25" t="n">
        <f aca="false">LN(C1181/C1180)</f>
        <v>0.0189516186917074</v>
      </c>
      <c r="G1181" s="25" t="n">
        <f aca="false">IF(AND(D1181=1,A1181&gt;=$R$2),F1181,"")</f>
        <v>0.0189516186917074</v>
      </c>
      <c r="H1181" s="27" t="n">
        <f aca="false">IF(G1181="","",G1181^2)</f>
        <v>0.000359163851035873</v>
      </c>
      <c r="I1181" s="25" t="n">
        <f aca="false">IF(G1181="","",C1181/C1180-1)</f>
        <v>0.0191323404686661</v>
      </c>
      <c r="J1181" s="17" t="n">
        <f aca="false">AVERAGE(C982:C1181)</f>
        <v>9381.55595</v>
      </c>
      <c r="K1181" s="17" t="n">
        <f aca="false">MAX(K1180,C1181)</f>
        <v>19650.01</v>
      </c>
      <c r="L1181" s="25" t="n">
        <f aca="false">C1181/K1181-1</f>
        <v>-0.595790536493366</v>
      </c>
      <c r="M1181" s="25" t="n">
        <f aca="false">IF(COUNT(G1152:G1181)&lt;20,"",_xlfn.STDEV.S(G1152:G1181)*SQRT($R$3))</f>
        <v>0.830257711932671</v>
      </c>
      <c r="N1181" s="25" t="n">
        <f aca="false">IF(A1181-7&lt;$R$2,"",C1181/INDEX(Clean_Data!$C$2:$C$4314,MATCH(A1181-7,Clean_Data!$A$2:$A$4314,1))-1)</f>
        <v>-0.106737548373166</v>
      </c>
      <c r="O1181" s="25" t="n">
        <f aca="false">IF(A1181-30&lt;$R$2,"",C1181/INDEX(Clean_Data!$C$2:$C$4314,MATCH(A1181-30,Clean_Data!$A$2:$A$4314,1))-1)</f>
        <v>-0.22886213592233</v>
      </c>
    </row>
    <row r="1182" customFormat="false" ht="15" hidden="false" customHeight="false" outlineLevel="0" collapsed="false">
      <c r="A1182" s="16" t="n">
        <v>43188</v>
      </c>
      <c r="B1182" s="23" t="n">
        <f aca="false">YEAR(A1182)</f>
        <v>2018</v>
      </c>
      <c r="C1182" s="17" t="n">
        <v>7079.99</v>
      </c>
      <c r="D1182" s="23" t="n">
        <f aca="false">A1182-A1181</f>
        <v>1</v>
      </c>
      <c r="E1182" s="24" t="n">
        <f aca="false">LN(C1182)</f>
        <v>8.86502777425739</v>
      </c>
      <c r="F1182" s="25" t="n">
        <f aca="false">LN(C1182/C1181)</f>
        <v>-0.114983290589858</v>
      </c>
      <c r="G1182" s="25" t="n">
        <f aca="false">IF(AND(D1182=1,A1182&gt;=$R$2),F1182,"")</f>
        <v>-0.114983290589858</v>
      </c>
      <c r="H1182" s="27" t="n">
        <f aca="false">IF(G1182="","",G1182^2)</f>
        <v>0.0132211571148718</v>
      </c>
      <c r="I1182" s="25" t="n">
        <f aca="false">IF(G1182="","",C1182/C1181-1)</f>
        <v>-0.108618961766246</v>
      </c>
      <c r="J1182" s="17" t="n">
        <f aca="false">AVERAGE(C983:C1182)</f>
        <v>9395.6991</v>
      </c>
      <c r="K1182" s="17" t="n">
        <f aca="false">MAX(K1181,C1182)</f>
        <v>19650.01</v>
      </c>
      <c r="L1182" s="25" t="n">
        <f aca="false">C1182/K1182-1</f>
        <v>-0.639695348755548</v>
      </c>
      <c r="M1182" s="25" t="n">
        <f aca="false">IF(COUNT(G1153:G1182)&lt;20,"",_xlfn.STDEV.S(G1153:G1182)*SQRT($R$3))</f>
        <v>0.899212448284454</v>
      </c>
      <c r="N1182" s="25" t="n">
        <f aca="false">IF(A1182-7&lt;$R$2,"",C1182/INDEX(Clean_Data!$C$2:$C$4314,MATCH(A1182-7,Clean_Data!$A$2:$A$4314,1))-1)</f>
        <v>-0.187617110092954</v>
      </c>
      <c r="O1182" s="25" t="n">
        <f aca="false">IF(A1182-30&lt;$R$2,"",C1182/INDEX(Clean_Data!$C$2:$C$4314,MATCH(A1182-30,Clean_Data!$A$2:$A$4314,1))-1)</f>
        <v>-0.329963270957368</v>
      </c>
    </row>
    <row r="1183" customFormat="false" ht="15" hidden="false" customHeight="false" outlineLevel="0" collapsed="false">
      <c r="A1183" s="16" t="n">
        <v>43189</v>
      </c>
      <c r="B1183" s="23" t="n">
        <f aca="false">YEAR(A1183)</f>
        <v>2018</v>
      </c>
      <c r="C1183" s="17" t="n">
        <v>6848.01</v>
      </c>
      <c r="D1183" s="23" t="n">
        <f aca="false">A1183-A1182</f>
        <v>1</v>
      </c>
      <c r="E1183" s="24" t="n">
        <f aca="false">LN(C1183)</f>
        <v>8.83171337810089</v>
      </c>
      <c r="F1183" s="25" t="n">
        <f aca="false">LN(C1183/C1182)</f>
        <v>-0.0333143961565038</v>
      </c>
      <c r="G1183" s="25" t="n">
        <f aca="false">IF(AND(D1183=1,A1183&gt;=$R$2),F1183,"")</f>
        <v>-0.0333143961565038</v>
      </c>
      <c r="H1183" s="27" t="n">
        <f aca="false">IF(G1183="","",G1183^2)</f>
        <v>0.00110984899127247</v>
      </c>
      <c r="I1183" s="25" t="n">
        <f aca="false">IF(G1183="","",C1183/C1182-1)</f>
        <v>-0.0327655830022359</v>
      </c>
      <c r="J1183" s="17" t="n">
        <f aca="false">AVERAGE(C984:C1183)</f>
        <v>9408.88555</v>
      </c>
      <c r="K1183" s="17" t="n">
        <f aca="false">MAX(K1182,C1183)</f>
        <v>19650.01</v>
      </c>
      <c r="L1183" s="25" t="n">
        <f aca="false">C1183/K1183-1</f>
        <v>-0.651500940711989</v>
      </c>
      <c r="M1183" s="25" t="n">
        <f aca="false">IF(COUNT(G1154:G1183)&lt;20,"",_xlfn.STDEV.S(G1154:G1183)*SQRT($R$3))</f>
        <v>0.90105868811152</v>
      </c>
      <c r="N1183" s="25" t="n">
        <f aca="false">IF(A1183-7&lt;$R$2,"",C1183/INDEX(Clean_Data!$C$2:$C$4314,MATCH(A1183-7,Clean_Data!$A$2:$A$4314,1))-1)</f>
        <v>-0.232896461336828</v>
      </c>
      <c r="O1183" s="25" t="n">
        <f aca="false">IF(A1183-30&lt;$R$2,"",C1183/INDEX(Clean_Data!$C$2:$C$4314,MATCH(A1183-30,Clean_Data!$A$2:$A$4314,1))-1)</f>
        <v>-0.335613600885589</v>
      </c>
    </row>
    <row r="1184" customFormat="false" ht="15" hidden="false" customHeight="false" outlineLevel="0" collapsed="false">
      <c r="A1184" s="16" t="n">
        <v>43190</v>
      </c>
      <c r="B1184" s="23" t="n">
        <f aca="false">YEAR(A1184)</f>
        <v>2018</v>
      </c>
      <c r="C1184" s="17" t="n">
        <v>6928.5</v>
      </c>
      <c r="D1184" s="23" t="n">
        <f aca="false">A1184-A1183</f>
        <v>1</v>
      </c>
      <c r="E1184" s="24" t="n">
        <f aca="false">LN(C1184)</f>
        <v>8.84339861853877</v>
      </c>
      <c r="F1184" s="25" t="n">
        <f aca="false">LN(C1184/C1183)</f>
        <v>0.0116852404378841</v>
      </c>
      <c r="G1184" s="25" t="n">
        <f aca="false">IF(AND(D1184=1,A1184&gt;=$R$2),F1184,"")</f>
        <v>0.0116852404378841</v>
      </c>
      <c r="H1184" s="27" t="n">
        <f aca="false">IF(G1184="","",G1184^2)</f>
        <v>0.000136544844091162</v>
      </c>
      <c r="I1184" s="25" t="n">
        <f aca="false">IF(G1184="","",C1184/C1183-1)</f>
        <v>0.0117537795651583</v>
      </c>
      <c r="J1184" s="17" t="n">
        <f aca="false">AVERAGE(C985:C1184)</f>
        <v>9422.70545</v>
      </c>
      <c r="K1184" s="17" t="n">
        <f aca="false">MAX(K1183,C1184)</f>
        <v>19650.01</v>
      </c>
      <c r="L1184" s="25" t="n">
        <f aca="false">C1184/K1184-1</f>
        <v>-0.647404759590453</v>
      </c>
      <c r="M1184" s="25" t="n">
        <f aca="false">IF(COUNT(G1155:G1184)&lt;20,"",_xlfn.STDEV.S(G1155:G1184)*SQRT($R$3))</f>
        <v>0.871177099990135</v>
      </c>
      <c r="N1184" s="25" t="n">
        <f aca="false">IF(A1184-7&lt;$R$2,"",C1184/INDEX(Clean_Data!$C$2:$C$4314,MATCH(A1184-7,Clean_Data!$A$2:$A$4314,1))-1)</f>
        <v>-0.187876699322732</v>
      </c>
      <c r="O1184" s="25" t="n">
        <f aca="false">IF(A1184-30&lt;$R$2,"",C1184/INDEX(Clean_Data!$C$2:$C$4314,MATCH(A1184-30,Clean_Data!$A$2:$A$4314,1))-1)</f>
        <v>-0.364119780615129</v>
      </c>
    </row>
    <row r="1185" customFormat="false" ht="15" hidden="false" customHeight="false" outlineLevel="0" collapsed="false">
      <c r="A1185" s="16" t="n">
        <v>43191</v>
      </c>
      <c r="B1185" s="23" t="n">
        <f aca="false">YEAR(A1185)</f>
        <v>2018</v>
      </c>
      <c r="C1185" s="17" t="n">
        <v>6816.01</v>
      </c>
      <c r="D1185" s="23" t="n">
        <f aca="false">A1185-A1184</f>
        <v>1</v>
      </c>
      <c r="E1185" s="24" t="n">
        <f aca="false">LN(C1185)</f>
        <v>8.82702953564423</v>
      </c>
      <c r="F1185" s="25" t="n">
        <f aca="false">LN(C1185/C1184)</f>
        <v>-0.0163690828945441</v>
      </c>
      <c r="G1185" s="25" t="n">
        <f aca="false">IF(AND(D1185=1,A1185&gt;=$R$2),F1185,"")</f>
        <v>-0.0163690828945441</v>
      </c>
      <c r="H1185" s="27" t="n">
        <f aca="false">IF(G1185="","",G1185^2)</f>
        <v>0.000267946874808456</v>
      </c>
      <c r="I1185" s="25" t="n">
        <f aca="false">IF(G1185="","",C1185/C1184-1)</f>
        <v>-0.0162358374828606</v>
      </c>
      <c r="J1185" s="17" t="n">
        <f aca="false">AVERAGE(C986:C1185)</f>
        <v>9437.5089</v>
      </c>
      <c r="K1185" s="17" t="n">
        <f aca="false">MAX(K1184,C1185)</f>
        <v>19650.01</v>
      </c>
      <c r="L1185" s="25" t="n">
        <f aca="false">C1185/K1185-1</f>
        <v>-0.653129438610973</v>
      </c>
      <c r="M1185" s="25" t="n">
        <f aca="false">IF(COUNT(G1156:G1185)&lt;20,"",_xlfn.STDEV.S(G1156:G1185)*SQRT($R$3))</f>
        <v>0.866644976499942</v>
      </c>
      <c r="N1185" s="25" t="n">
        <f aca="false">IF(A1185-7&lt;$R$2,"",C1185/INDEX(Clean_Data!$C$2:$C$4314,MATCH(A1185-7,Clean_Data!$A$2:$A$4314,1))-1)</f>
        <v>-0.193657872944517</v>
      </c>
      <c r="O1185" s="25" t="n">
        <f aca="false">IF(A1185-30&lt;$R$2,"",C1185/INDEX(Clean_Data!$C$2:$C$4314,MATCH(A1185-30,Clean_Data!$A$2:$A$4314,1))-1)</f>
        <v>-0.380362727272727</v>
      </c>
    </row>
    <row r="1186" customFormat="false" ht="15" hidden="false" customHeight="false" outlineLevel="0" collapsed="false">
      <c r="A1186" s="16" t="n">
        <v>43192</v>
      </c>
      <c r="B1186" s="23" t="n">
        <f aca="false">YEAR(A1186)</f>
        <v>2018</v>
      </c>
      <c r="C1186" s="17" t="n">
        <v>7045.01</v>
      </c>
      <c r="D1186" s="23" t="n">
        <f aca="false">A1186-A1185</f>
        <v>1</v>
      </c>
      <c r="E1186" s="24" t="n">
        <f aca="false">LN(C1186)</f>
        <v>8.86007484377819</v>
      </c>
      <c r="F1186" s="25" t="n">
        <f aca="false">LN(C1186/C1185)</f>
        <v>0.0330453081339634</v>
      </c>
      <c r="G1186" s="25" t="n">
        <f aca="false">IF(AND(D1186=1,A1186&gt;=$R$2),F1186,"")</f>
        <v>0.0330453081339634</v>
      </c>
      <c r="H1186" s="27" t="n">
        <f aca="false">IF(G1186="","",G1186^2)</f>
        <v>0.00109199238966859</v>
      </c>
      <c r="I1186" s="25" t="n">
        <f aca="false">IF(G1186="","",C1186/C1185-1)</f>
        <v>0.0335973685484616</v>
      </c>
      <c r="J1186" s="17" t="n">
        <f aca="false">AVERAGE(C987:C1186)</f>
        <v>9456.48195</v>
      </c>
      <c r="K1186" s="17" t="n">
        <f aca="false">MAX(K1185,C1186)</f>
        <v>19650.01</v>
      </c>
      <c r="L1186" s="25" t="n">
        <f aca="false">C1186/K1186-1</f>
        <v>-0.641475500521374</v>
      </c>
      <c r="M1186" s="25" t="n">
        <f aca="false">IF(COUNT(G1157:G1186)&lt;20,"",_xlfn.STDEV.S(G1157:G1186)*SQRT($R$3))</f>
        <v>0.862478543942096</v>
      </c>
      <c r="N1186" s="25" t="n">
        <f aca="false">IF(A1186-7&lt;$R$2,"",C1186/INDEX(Clean_Data!$C$2:$C$4314,MATCH(A1186-7,Clean_Data!$A$2:$A$4314,1))-1)</f>
        <v>-0.13505095150399</v>
      </c>
      <c r="O1186" s="25" t="n">
        <f aca="false">IF(A1186-30&lt;$R$2,"",C1186/INDEX(Clean_Data!$C$2:$C$4314,MATCH(A1186-30,Clean_Data!$A$2:$A$4314,1))-1)</f>
        <v>-0.383773452875574</v>
      </c>
    </row>
    <row r="1187" customFormat="false" ht="15" hidden="false" customHeight="false" outlineLevel="0" collapsed="false">
      <c r="A1187" s="16" t="n">
        <v>43193</v>
      </c>
      <c r="B1187" s="23" t="n">
        <f aca="false">YEAR(A1187)</f>
        <v>2018</v>
      </c>
      <c r="C1187" s="17" t="n">
        <v>7424.9</v>
      </c>
      <c r="D1187" s="23" t="n">
        <f aca="false">A1187-A1186</f>
        <v>1</v>
      </c>
      <c r="E1187" s="24" t="n">
        <f aca="false">LN(C1187)</f>
        <v>8.91259449556674</v>
      </c>
      <c r="F1187" s="25" t="n">
        <f aca="false">LN(C1187/C1186)</f>
        <v>0.0525196517885486</v>
      </c>
      <c r="G1187" s="25" t="n">
        <f aca="false">IF(AND(D1187=1,A1187&gt;=$R$2),F1187,"")</f>
        <v>0.0525196517885486</v>
      </c>
      <c r="H1187" s="27" t="n">
        <f aca="false">IF(G1187="","",G1187^2)</f>
        <v>0.0027583138239904</v>
      </c>
      <c r="I1187" s="25" t="n">
        <f aca="false">IF(G1187="","",C1187/C1186-1)</f>
        <v>0.0539232733523443</v>
      </c>
      <c r="J1187" s="17" t="n">
        <f aca="false">AVERAGE(C988:C1187)</f>
        <v>9474.90635</v>
      </c>
      <c r="K1187" s="17" t="n">
        <f aca="false">MAX(K1186,C1187)</f>
        <v>19650.01</v>
      </c>
      <c r="L1187" s="25" t="n">
        <f aca="false">C1187/K1187-1</f>
        <v>-0.622142685932475</v>
      </c>
      <c r="M1187" s="25" t="n">
        <f aca="false">IF(COUNT(G1158:G1187)&lt;20,"",_xlfn.STDEV.S(G1158:G1187)*SQRT($R$3))</f>
        <v>0.892996282323352</v>
      </c>
      <c r="N1187" s="25" t="n">
        <f aca="false">IF(A1187-7&lt;$R$2,"",C1187/INDEX(Clean_Data!$C$2:$C$4314,MATCH(A1187-7,Clean_Data!$A$2:$A$4314,1))-1)</f>
        <v>-0.0473092700301914</v>
      </c>
      <c r="O1187" s="25" t="n">
        <f aca="false">IF(A1187-30&lt;$R$2,"",C1187/INDEX(Clean_Data!$C$2:$C$4314,MATCH(A1187-30,Clean_Data!$A$2:$A$4314,1))-1)</f>
        <v>-0.352662185372148</v>
      </c>
    </row>
    <row r="1188" customFormat="false" ht="15" hidden="false" customHeight="false" outlineLevel="0" collapsed="false">
      <c r="A1188" s="16" t="n">
        <v>43194</v>
      </c>
      <c r="B1188" s="23" t="n">
        <f aca="false">YEAR(A1188)</f>
        <v>2018</v>
      </c>
      <c r="C1188" s="17" t="n">
        <v>6791.68</v>
      </c>
      <c r="D1188" s="23" t="n">
        <f aca="false">A1188-A1187</f>
        <v>1</v>
      </c>
      <c r="E1188" s="24" t="n">
        <f aca="false">LN(C1188)</f>
        <v>8.82345361262921</v>
      </c>
      <c r="F1188" s="25" t="n">
        <f aca="false">LN(C1188/C1187)</f>
        <v>-0.089140882937527</v>
      </c>
      <c r="G1188" s="25" t="n">
        <f aca="false">IF(AND(D1188=1,A1188&gt;=$R$2),F1188,"")</f>
        <v>-0.089140882937527</v>
      </c>
      <c r="H1188" s="27" t="n">
        <f aca="false">IF(G1188="","",G1188^2)</f>
        <v>0.00794609701088189</v>
      </c>
      <c r="I1188" s="25" t="n">
        <f aca="false">IF(G1188="","",C1188/C1187-1)</f>
        <v>-0.0852833034788346</v>
      </c>
      <c r="J1188" s="17" t="n">
        <f aca="false">AVERAGE(C989:C1188)</f>
        <v>9490.2322</v>
      </c>
      <c r="K1188" s="17" t="n">
        <f aca="false">MAX(K1187,C1188)</f>
        <v>19650.01</v>
      </c>
      <c r="L1188" s="25" t="n">
        <f aca="false">C1188/K1188-1</f>
        <v>-0.654367605919793</v>
      </c>
      <c r="M1188" s="25" t="n">
        <f aca="false">IF(COUNT(G1159:G1188)&lt;20,"",_xlfn.STDEV.S(G1159:G1188)*SQRT($R$3))</f>
        <v>0.929675607866858</v>
      </c>
      <c r="N1188" s="25" t="n">
        <f aca="false">IF(A1188-7&lt;$R$2,"",C1188/INDEX(Clean_Data!$C$2:$C$4314,MATCH(A1188-7,Clean_Data!$A$2:$A$4314,1))-1)</f>
        <v>-0.144917610088232</v>
      </c>
      <c r="O1188" s="25" t="n">
        <f aca="false">IF(A1188-30&lt;$R$2,"",C1188/INDEX(Clean_Data!$C$2:$C$4314,MATCH(A1188-30,Clean_Data!$A$2:$A$4314,1))-1)</f>
        <v>-0.403062524939486</v>
      </c>
    </row>
    <row r="1189" customFormat="false" ht="15" hidden="false" customHeight="false" outlineLevel="0" collapsed="false">
      <c r="A1189" s="16" t="n">
        <v>43195</v>
      </c>
      <c r="B1189" s="23" t="n">
        <f aca="false">YEAR(A1189)</f>
        <v>2018</v>
      </c>
      <c r="C1189" s="17" t="n">
        <v>6785.85</v>
      </c>
      <c r="D1189" s="23" t="n">
        <f aca="false">A1189-A1188</f>
        <v>1</v>
      </c>
      <c r="E1189" s="24" t="n">
        <f aca="false">LN(C1189)</f>
        <v>8.82259484076742</v>
      </c>
      <c r="F1189" s="25" t="n">
        <f aca="false">LN(C1189/C1188)</f>
        <v>-0.000858771861788788</v>
      </c>
      <c r="G1189" s="25" t="n">
        <f aca="false">IF(AND(D1189=1,A1189&gt;=$R$2),F1189,"")</f>
        <v>-0.000858771861788788</v>
      </c>
      <c r="H1189" s="27" t="n">
        <f aca="false">IF(G1189="","",G1189^2)</f>
        <v>7.37489110600182E-007</v>
      </c>
      <c r="I1189" s="25" t="n">
        <f aca="false">IF(G1189="","",C1189/C1188-1)</f>
        <v>-0.000858403222766646</v>
      </c>
      <c r="J1189" s="17" t="n">
        <f aca="false">AVERAGE(C990:C1189)</f>
        <v>9505.5616</v>
      </c>
      <c r="K1189" s="17" t="n">
        <f aca="false">MAX(K1188,C1189)</f>
        <v>19650.01</v>
      </c>
      <c r="L1189" s="25" t="n">
        <f aca="false">C1189/K1189-1</f>
        <v>-0.654664297880764</v>
      </c>
      <c r="M1189" s="25" t="n">
        <f aca="false">IF(COUNT(G1160:G1189)&lt;20,"",_xlfn.STDEV.S(G1160:G1189)*SQRT($R$3))</f>
        <v>0.917350033336329</v>
      </c>
      <c r="N1189" s="25" t="n">
        <f aca="false">IF(A1189-7&lt;$R$2,"",C1189/INDEX(Clean_Data!$C$2:$C$4314,MATCH(A1189-7,Clean_Data!$A$2:$A$4314,1))-1)</f>
        <v>-0.0415452564198536</v>
      </c>
      <c r="O1189" s="25" t="n">
        <f aca="false">IF(A1189-30&lt;$R$2,"",C1189/INDEX(Clean_Data!$C$2:$C$4314,MATCH(A1189-30,Clean_Data!$A$2:$A$4314,1))-1)</f>
        <v>-0.365808411214953</v>
      </c>
    </row>
    <row r="1190" customFormat="false" ht="15" hidden="false" customHeight="false" outlineLevel="0" collapsed="false">
      <c r="A1190" s="16" t="n">
        <v>43196</v>
      </c>
      <c r="B1190" s="23" t="n">
        <f aca="false">YEAR(A1190)</f>
        <v>2018</v>
      </c>
      <c r="C1190" s="17" t="n">
        <v>6619.01</v>
      </c>
      <c r="D1190" s="23" t="n">
        <f aca="false">A1190-A1189</f>
        <v>1</v>
      </c>
      <c r="E1190" s="24" t="n">
        <f aca="false">LN(C1190)</f>
        <v>8.79770109092002</v>
      </c>
      <c r="F1190" s="25" t="n">
        <f aca="false">LN(C1190/C1189)</f>
        <v>-0.0248937498474044</v>
      </c>
      <c r="G1190" s="25" t="n">
        <f aca="false">IF(AND(D1190=1,A1190&gt;=$R$2),F1190,"")</f>
        <v>-0.0248937498474044</v>
      </c>
      <c r="H1190" s="27" t="n">
        <f aca="false">IF(G1190="","",G1190^2)</f>
        <v>0.000619698781465148</v>
      </c>
      <c r="I1190" s="25" t="n">
        <f aca="false">IF(G1190="","",C1190/C1189-1)</f>
        <v>-0.0245864556393083</v>
      </c>
      <c r="J1190" s="17" t="n">
        <f aca="false">AVERAGE(C991:C1190)</f>
        <v>9518.15665</v>
      </c>
      <c r="K1190" s="17" t="n">
        <f aca="false">MAX(K1189,C1190)</f>
        <v>19650.01</v>
      </c>
      <c r="L1190" s="25" t="n">
        <f aca="false">C1190/K1190-1</f>
        <v>-0.663154878801588</v>
      </c>
      <c r="M1190" s="25" t="n">
        <f aca="false">IF(COUNT(G1161:G1190)&lt;20,"",_xlfn.STDEV.S(G1161:G1190)*SQRT($R$3))</f>
        <v>0.891936744767686</v>
      </c>
      <c r="N1190" s="25" t="n">
        <f aca="false">IF(A1190-7&lt;$R$2,"",C1190/INDEX(Clean_Data!$C$2:$C$4314,MATCH(A1190-7,Clean_Data!$A$2:$A$4314,1))-1)</f>
        <v>-0.0334403717284292</v>
      </c>
      <c r="O1190" s="25" t="n">
        <f aca="false">IF(A1190-30&lt;$R$2,"",C1190/INDEX(Clean_Data!$C$2:$C$4314,MATCH(A1190-30,Clean_Data!$A$2:$A$4314,1))-1)</f>
        <v>-0.332761088709677</v>
      </c>
    </row>
    <row r="1191" customFormat="false" ht="15" hidden="false" customHeight="false" outlineLevel="0" collapsed="false">
      <c r="A1191" s="16" t="n">
        <v>43197</v>
      </c>
      <c r="B1191" s="23" t="n">
        <f aca="false">YEAR(A1191)</f>
        <v>2018</v>
      </c>
      <c r="C1191" s="17" t="n">
        <v>6894.01</v>
      </c>
      <c r="D1191" s="23" t="n">
        <f aca="false">A1191-A1190</f>
        <v>1</v>
      </c>
      <c r="E1191" s="24" t="n">
        <f aca="false">LN(C1191)</f>
        <v>8.83840819761246</v>
      </c>
      <c r="F1191" s="25" t="n">
        <f aca="false">LN(C1191/C1190)</f>
        <v>0.0407071066924398</v>
      </c>
      <c r="G1191" s="25" t="n">
        <f aca="false">IF(AND(D1191=1,A1191&gt;=$R$2),F1191,"")</f>
        <v>0.0407071066924398</v>
      </c>
      <c r="H1191" s="27" t="n">
        <f aca="false">IF(G1191="","",G1191^2)</f>
        <v>0.00165706853526968</v>
      </c>
      <c r="I1191" s="25" t="n">
        <f aca="false">IF(G1191="","",C1191/C1190-1)</f>
        <v>0.0415469987203525</v>
      </c>
      <c r="J1191" s="17" t="n">
        <f aca="false">AVERAGE(C992:C1191)</f>
        <v>9533.07615</v>
      </c>
      <c r="K1191" s="17" t="n">
        <f aca="false">MAX(K1190,C1191)</f>
        <v>19650.01</v>
      </c>
      <c r="L1191" s="25" t="n">
        <f aca="false">C1191/K1191-1</f>
        <v>-0.649159974982201</v>
      </c>
      <c r="M1191" s="25" t="n">
        <f aca="false">IF(COUNT(G1162:G1191)&lt;20,"",_xlfn.STDEV.S(G1162:G1191)*SQRT($R$3))</f>
        <v>0.892068624272552</v>
      </c>
      <c r="N1191" s="25" t="n">
        <f aca="false">IF(A1191-7&lt;$R$2,"",C1191/INDEX(Clean_Data!$C$2:$C$4314,MATCH(A1191-7,Clean_Data!$A$2:$A$4314,1))-1)</f>
        <v>-0.0049779894638089</v>
      </c>
      <c r="O1191" s="25" t="n">
        <f aca="false">IF(A1191-30&lt;$R$2,"",C1191/INDEX(Clean_Data!$C$2:$C$4314,MATCH(A1191-30,Clean_Data!$A$2:$A$4314,1))-1)</f>
        <v>-0.259098969360229</v>
      </c>
    </row>
    <row r="1192" customFormat="false" ht="15" hidden="false" customHeight="false" outlineLevel="0" collapsed="false">
      <c r="A1192" s="16" t="n">
        <v>43198</v>
      </c>
      <c r="B1192" s="23" t="n">
        <f aca="false">YEAR(A1192)</f>
        <v>2018</v>
      </c>
      <c r="C1192" s="17" t="n">
        <v>7020.01</v>
      </c>
      <c r="D1192" s="23" t="n">
        <f aca="false">A1192-A1191</f>
        <v>1</v>
      </c>
      <c r="E1192" s="24" t="n">
        <f aca="false">LN(C1192)</f>
        <v>8.85651992152027</v>
      </c>
      <c r="F1192" s="25" t="n">
        <f aca="false">LN(C1192/C1191)</f>
        <v>0.0181117239078094</v>
      </c>
      <c r="G1192" s="25" t="n">
        <f aca="false">IF(AND(D1192=1,A1192&gt;=$R$2),F1192,"")</f>
        <v>0.0181117239078094</v>
      </c>
      <c r="H1192" s="27" t="n">
        <f aca="false">IF(G1192="","",G1192^2)</f>
        <v>0.000328034542912714</v>
      </c>
      <c r="I1192" s="25" t="n">
        <f aca="false">IF(G1192="","",C1192/C1191-1)</f>
        <v>0.0182767358910125</v>
      </c>
      <c r="J1192" s="17" t="n">
        <f aca="false">AVERAGE(C993:C1192)</f>
        <v>9548.8159</v>
      </c>
      <c r="K1192" s="17" t="n">
        <f aca="false">MAX(K1191,C1192)</f>
        <v>19650.01</v>
      </c>
      <c r="L1192" s="25" t="n">
        <f aca="false">C1192/K1192-1</f>
        <v>-0.642747764504954</v>
      </c>
      <c r="M1192" s="25" t="n">
        <f aca="false">IF(COUNT(G1163:G1192)&lt;20,"",_xlfn.STDEV.S(G1163:G1192)*SQRT($R$3))</f>
        <v>0.89734623921661</v>
      </c>
      <c r="N1192" s="25" t="n">
        <f aca="false">IF(A1192-7&lt;$R$2,"",C1192/INDEX(Clean_Data!$C$2:$C$4314,MATCH(A1192-7,Clean_Data!$A$2:$A$4314,1))-1)</f>
        <v>0.0299295335540881</v>
      </c>
      <c r="O1192" s="25" t="n">
        <f aca="false">IF(A1192-30&lt;$R$2,"",C1192/INDEX(Clean_Data!$C$2:$C$4314,MATCH(A1192-30,Clean_Data!$A$2:$A$4314,1))-1)</f>
        <v>-0.241490005402485</v>
      </c>
    </row>
    <row r="1193" customFormat="false" ht="15" hidden="false" customHeight="false" outlineLevel="0" collapsed="false">
      <c r="A1193" s="16" t="n">
        <v>43199</v>
      </c>
      <c r="B1193" s="23" t="n">
        <f aca="false">YEAR(A1193)</f>
        <v>2018</v>
      </c>
      <c r="C1193" s="17" t="n">
        <v>6771.13</v>
      </c>
      <c r="D1193" s="23" t="n">
        <f aca="false">A1193-A1192</f>
        <v>1</v>
      </c>
      <c r="E1193" s="24" t="n">
        <f aca="false">LN(C1193)</f>
        <v>8.82042326482873</v>
      </c>
      <c r="F1193" s="25" t="n">
        <f aca="false">LN(C1193/C1192)</f>
        <v>-0.0360966566915336</v>
      </c>
      <c r="G1193" s="25" t="n">
        <f aca="false">IF(AND(D1193=1,A1193&gt;=$R$2),F1193,"")</f>
        <v>-0.0360966566915336</v>
      </c>
      <c r="H1193" s="27" t="n">
        <f aca="false">IF(G1193="","",G1193^2)</f>
        <v>0.00130296862430644</v>
      </c>
      <c r="I1193" s="25" t="n">
        <f aca="false">IF(G1193="","",C1193/C1192-1)</f>
        <v>-0.0354529409502266</v>
      </c>
      <c r="J1193" s="17" t="n">
        <f aca="false">AVERAGE(C994:C1193)</f>
        <v>9564.5842</v>
      </c>
      <c r="K1193" s="17" t="n">
        <f aca="false">MAX(K1192,C1193)</f>
        <v>19650.01</v>
      </c>
      <c r="L1193" s="25" t="n">
        <f aca="false">C1193/K1193-1</f>
        <v>-0.655413406914297</v>
      </c>
      <c r="M1193" s="25" t="n">
        <f aca="false">IF(COUNT(G1164:G1193)&lt;20,"",_xlfn.STDEV.S(G1164:G1193)*SQRT($R$3))</f>
        <v>0.89012924224679</v>
      </c>
      <c r="N1193" s="25" t="n">
        <f aca="false">IF(A1193-7&lt;$R$2,"",C1193/INDEX(Clean_Data!$C$2:$C$4314,MATCH(A1193-7,Clean_Data!$A$2:$A$4314,1))-1)</f>
        <v>-0.0388757432565745</v>
      </c>
      <c r="O1193" s="25" t="n">
        <f aca="false">IF(A1193-30&lt;$R$2,"",C1193/INDEX(Clean_Data!$C$2:$C$4314,MATCH(A1193-30,Clean_Data!$A$2:$A$4314,1))-1)</f>
        <v>-0.230154489144375</v>
      </c>
    </row>
    <row r="1194" customFormat="false" ht="15" hidden="false" customHeight="false" outlineLevel="0" collapsed="false">
      <c r="A1194" s="16" t="n">
        <v>43200</v>
      </c>
      <c r="B1194" s="23" t="n">
        <f aca="false">YEAR(A1194)</f>
        <v>2018</v>
      </c>
      <c r="C1194" s="17" t="n">
        <v>6824.99</v>
      </c>
      <c r="D1194" s="23" t="n">
        <f aca="false">A1194-A1193</f>
        <v>1</v>
      </c>
      <c r="E1194" s="24" t="n">
        <f aca="false">LN(C1194)</f>
        <v>8.82834615485062</v>
      </c>
      <c r="F1194" s="25" t="n">
        <f aca="false">LN(C1194/C1193)</f>
        <v>0.0079228900218887</v>
      </c>
      <c r="G1194" s="25" t="n">
        <f aca="false">IF(AND(D1194=1,A1194&gt;=$R$2),F1194,"")</f>
        <v>0.0079228900218887</v>
      </c>
      <c r="H1194" s="27" t="n">
        <f aca="false">IF(G1194="","",G1194^2)</f>
        <v>6.27721862989435E-005</v>
      </c>
      <c r="I1194" s="25" t="n">
        <f aca="false">IF(G1194="","",C1194/C1193-1)</f>
        <v>0.00795435916900122</v>
      </c>
      <c r="J1194" s="17" t="n">
        <f aca="false">AVERAGE(C995:C1194)</f>
        <v>9580.6141</v>
      </c>
      <c r="K1194" s="17" t="n">
        <f aca="false">MAX(K1193,C1194)</f>
        <v>19650.01</v>
      </c>
      <c r="L1194" s="25" t="n">
        <f aca="false">C1194/K1194-1</f>
        <v>-0.652672441388071</v>
      </c>
      <c r="M1194" s="25" t="n">
        <f aca="false">IF(COUNT(G1165:G1194)&lt;20,"",_xlfn.STDEV.S(G1165:G1194)*SQRT($R$3))</f>
        <v>0.83255415573653</v>
      </c>
      <c r="N1194" s="25" t="n">
        <f aca="false">IF(A1194-7&lt;$R$2,"",C1194/INDEX(Clean_Data!$C$2:$C$4314,MATCH(A1194-7,Clean_Data!$A$2:$A$4314,1))-1)</f>
        <v>-0.0807970477716872</v>
      </c>
      <c r="O1194" s="25" t="n">
        <f aca="false">IF(A1194-30&lt;$R$2,"",C1194/INDEX(Clean_Data!$C$2:$C$4314,MATCH(A1194-30,Clean_Data!$A$2:$A$4314,1))-1)</f>
        <v>-0.284133007757597</v>
      </c>
    </row>
    <row r="1195" customFormat="false" ht="15" hidden="false" customHeight="false" outlineLevel="0" collapsed="false">
      <c r="A1195" s="16" t="n">
        <v>43201</v>
      </c>
      <c r="B1195" s="23" t="n">
        <f aca="false">YEAR(A1195)</f>
        <v>2018</v>
      </c>
      <c r="C1195" s="17" t="n">
        <v>6942.99</v>
      </c>
      <c r="D1195" s="23" t="n">
        <f aca="false">A1195-A1194</f>
        <v>1</v>
      </c>
      <c r="E1195" s="24" t="n">
        <f aca="false">LN(C1195)</f>
        <v>8.84548779645265</v>
      </c>
      <c r="F1195" s="25" t="n">
        <f aca="false">LN(C1195/C1194)</f>
        <v>0.0171416416020319</v>
      </c>
      <c r="G1195" s="25" t="n">
        <f aca="false">IF(AND(D1195=1,A1195&gt;=$R$2),F1195,"")</f>
        <v>0.0171416416020319</v>
      </c>
      <c r="H1195" s="27" t="n">
        <f aca="false">IF(G1195="","",G1195^2)</f>
        <v>0.000293835876812512</v>
      </c>
      <c r="I1195" s="25" t="n">
        <f aca="false">IF(G1195="","",C1195/C1194-1)</f>
        <v>0.0172894026218353</v>
      </c>
      <c r="J1195" s="17" t="n">
        <f aca="false">AVERAGE(C996:C1195)</f>
        <v>9596.3924</v>
      </c>
      <c r="K1195" s="17" t="n">
        <f aca="false">MAX(K1194,C1195)</f>
        <v>19650.01</v>
      </c>
      <c r="L1195" s="25" t="n">
        <f aca="false">C1195/K1195-1</f>
        <v>-0.64666735538557</v>
      </c>
      <c r="M1195" s="25" t="n">
        <f aca="false">IF(COUNT(G1166:G1195)&lt;20,"",_xlfn.STDEV.S(G1166:G1195)*SQRT($R$3))</f>
        <v>0.829289165312428</v>
      </c>
      <c r="N1195" s="25" t="n">
        <f aca="false">IF(A1195-7&lt;$R$2,"",C1195/INDEX(Clean_Data!$C$2:$C$4314,MATCH(A1195-7,Clean_Data!$A$2:$A$4314,1))-1)</f>
        <v>0.0222787292687523</v>
      </c>
      <c r="O1195" s="25" t="n">
        <f aca="false">IF(A1195-30&lt;$R$2,"",C1195/INDEX(Clean_Data!$C$2:$C$4314,MATCH(A1195-30,Clean_Data!$A$2:$A$4314,1))-1)</f>
        <v>-0.238707236842105</v>
      </c>
    </row>
    <row r="1196" customFormat="false" ht="15" hidden="false" customHeight="false" outlineLevel="0" collapsed="false">
      <c r="A1196" s="16" t="n">
        <v>43202</v>
      </c>
      <c r="B1196" s="23" t="n">
        <f aca="false">YEAR(A1196)</f>
        <v>2018</v>
      </c>
      <c r="C1196" s="17" t="n">
        <v>7916</v>
      </c>
      <c r="D1196" s="23" t="n">
        <f aca="false">A1196-A1195</f>
        <v>1</v>
      </c>
      <c r="E1196" s="24" t="n">
        <f aca="false">LN(C1196)</f>
        <v>8.97664130672246</v>
      </c>
      <c r="F1196" s="25" t="n">
        <f aca="false">LN(C1196/C1195)</f>
        <v>0.131153510269803</v>
      </c>
      <c r="G1196" s="25" t="n">
        <f aca="false">IF(AND(D1196=1,A1196&gt;=$R$2),F1196,"")</f>
        <v>0.131153510269803</v>
      </c>
      <c r="H1196" s="27" t="n">
        <f aca="false">IF(G1196="","",G1196^2)</f>
        <v>0.0172012432560912</v>
      </c>
      <c r="I1196" s="25" t="n">
        <f aca="false">IF(G1196="","",C1196/C1195-1)</f>
        <v>0.140142791506253</v>
      </c>
      <c r="J1196" s="17" t="n">
        <f aca="false">AVERAGE(C997:C1196)</f>
        <v>9617.62735</v>
      </c>
      <c r="K1196" s="17" t="n">
        <f aca="false">MAX(K1195,C1196)</f>
        <v>19650.01</v>
      </c>
      <c r="L1196" s="25" t="n">
        <f aca="false">C1196/K1196-1</f>
        <v>-0.597150332239017</v>
      </c>
      <c r="M1196" s="25" t="n">
        <f aca="false">IF(COUNT(G1167:G1196)&lt;20,"",_xlfn.STDEV.S(G1167:G1196)*SQRT($R$3))</f>
        <v>0.962593050435713</v>
      </c>
      <c r="N1196" s="25" t="n">
        <f aca="false">IF(A1196-7&lt;$R$2,"",C1196/INDEX(Clean_Data!$C$2:$C$4314,MATCH(A1196-7,Clean_Data!$A$2:$A$4314,1))-1)</f>
        <v>0.166545090150829</v>
      </c>
      <c r="O1196" s="25" t="n">
        <f aca="false">IF(A1196-30&lt;$R$2,"",C1196/INDEX(Clean_Data!$C$2:$C$4314,MATCH(A1196-30,Clean_Data!$A$2:$A$4314,1))-1)</f>
        <v>-0.134429183601391</v>
      </c>
    </row>
    <row r="1197" customFormat="false" ht="15" hidden="false" customHeight="false" outlineLevel="0" collapsed="false">
      <c r="A1197" s="16" t="n">
        <v>43203</v>
      </c>
      <c r="B1197" s="23" t="n">
        <f aca="false">YEAR(A1197)</f>
        <v>2018</v>
      </c>
      <c r="C1197" s="17" t="n">
        <v>7893.19</v>
      </c>
      <c r="D1197" s="23" t="n">
        <f aca="false">A1197-A1196</f>
        <v>1</v>
      </c>
      <c r="E1197" s="24" t="n">
        <f aca="false">LN(C1197)</f>
        <v>8.97375564138118</v>
      </c>
      <c r="F1197" s="25" t="n">
        <f aca="false">LN(C1197/C1196)</f>
        <v>-0.00288566534128064</v>
      </c>
      <c r="G1197" s="25" t="n">
        <f aca="false">IF(AND(D1197=1,A1197&gt;=$R$2),F1197,"")</f>
        <v>-0.00288566534128064</v>
      </c>
      <c r="H1197" s="27" t="n">
        <f aca="false">IF(G1197="","",G1197^2)</f>
        <v>8.32706446186833E-006</v>
      </c>
      <c r="I1197" s="25" t="n">
        <f aca="false">IF(G1197="","",C1197/C1196-1)</f>
        <v>-0.00288150581101576</v>
      </c>
      <c r="J1197" s="17" t="n">
        <f aca="false">AVERAGE(C998:C1197)</f>
        <v>9637.4944</v>
      </c>
      <c r="K1197" s="17" t="n">
        <f aca="false">MAX(K1196,C1197)</f>
        <v>19650.01</v>
      </c>
      <c r="L1197" s="25" t="n">
        <f aca="false">C1197/K1197-1</f>
        <v>-0.598311145897636</v>
      </c>
      <c r="M1197" s="25" t="n">
        <f aca="false">IF(COUNT(G1168:G1197)&lt;20,"",_xlfn.STDEV.S(G1168:G1197)*SQRT($R$3))</f>
        <v>0.887288162306887</v>
      </c>
      <c r="N1197" s="25" t="n">
        <f aca="false">IF(A1197-7&lt;$R$2,"",C1197/INDEX(Clean_Data!$C$2:$C$4314,MATCH(A1197-7,Clean_Data!$A$2:$A$4314,1))-1)</f>
        <v>0.192503108470904</v>
      </c>
      <c r="O1197" s="25" t="n">
        <f aca="false">IF(A1197-30&lt;$R$2,"",C1197/INDEX(Clean_Data!$C$2:$C$4314,MATCH(A1197-30,Clean_Data!$A$2:$A$4314,1))-1)</f>
        <v>-0.0382403865953945</v>
      </c>
    </row>
    <row r="1198" customFormat="false" ht="15" hidden="false" customHeight="false" outlineLevel="0" collapsed="false">
      <c r="A1198" s="16" t="n">
        <v>43204</v>
      </c>
      <c r="B1198" s="23" t="n">
        <f aca="false">YEAR(A1198)</f>
        <v>2018</v>
      </c>
      <c r="C1198" s="17" t="n">
        <v>8003.11</v>
      </c>
      <c r="D1198" s="23" t="n">
        <f aca="false">A1198-A1197</f>
        <v>1</v>
      </c>
      <c r="E1198" s="24" t="n">
        <f aca="false">LN(C1198)</f>
        <v>8.98758549511827</v>
      </c>
      <c r="F1198" s="25" t="n">
        <f aca="false">LN(C1198/C1197)</f>
        <v>0.0138298537370937</v>
      </c>
      <c r="G1198" s="25" t="n">
        <f aca="false">IF(AND(D1198=1,A1198&gt;=$R$2),F1198,"")</f>
        <v>0.0138298537370937</v>
      </c>
      <c r="H1198" s="27" t="n">
        <f aca="false">IF(G1198="","",G1198^2)</f>
        <v>0.000191264854389406</v>
      </c>
      <c r="I1198" s="25" t="n">
        <f aca="false">IF(G1198="","",C1198/C1197-1)</f>
        <v>0.0139259285536013</v>
      </c>
      <c r="J1198" s="17" t="n">
        <f aca="false">AVERAGE(C999:C1198)</f>
        <v>9658.0845</v>
      </c>
      <c r="K1198" s="17" t="n">
        <f aca="false">MAX(K1197,C1198)</f>
        <v>19650.01</v>
      </c>
      <c r="L1198" s="25" t="n">
        <f aca="false">C1198/K1198-1</f>
        <v>-0.592717255614628</v>
      </c>
      <c r="M1198" s="25" t="n">
        <f aca="false">IF(COUNT(G1169:G1198)&lt;20,"",_xlfn.STDEV.S(G1169:G1198)*SQRT($R$3))</f>
        <v>0.888473917218929</v>
      </c>
      <c r="N1198" s="25" t="n">
        <f aca="false">IF(A1198-7&lt;$R$2,"",C1198/INDEX(Clean_Data!$C$2:$C$4314,MATCH(A1198-7,Clean_Data!$A$2:$A$4314,1))-1)</f>
        <v>0.160878791878747</v>
      </c>
      <c r="O1198" s="25" t="n">
        <f aca="false">IF(A1198-30&lt;$R$2,"",C1198/INDEX(Clean_Data!$C$2:$C$4314,MATCH(A1198-30,Clean_Data!$A$2:$A$4314,1))-1)</f>
        <v>-0.0310993112582461</v>
      </c>
    </row>
    <row r="1199" customFormat="false" ht="15" hidden="false" customHeight="false" outlineLevel="0" collapsed="false">
      <c r="A1199" s="16" t="n">
        <v>43205</v>
      </c>
      <c r="B1199" s="23" t="n">
        <f aca="false">YEAR(A1199)</f>
        <v>2018</v>
      </c>
      <c r="C1199" s="17" t="n">
        <v>8355.25</v>
      </c>
      <c r="D1199" s="23" t="n">
        <f aca="false">A1199-A1198</f>
        <v>1</v>
      </c>
      <c r="E1199" s="24" t="n">
        <f aca="false">LN(C1199)</f>
        <v>9.03064536278411</v>
      </c>
      <c r="F1199" s="25" t="n">
        <f aca="false">LN(C1199/C1198)</f>
        <v>0.0430598676658386</v>
      </c>
      <c r="G1199" s="25" t="n">
        <f aca="false">IF(AND(D1199=1,A1199&gt;=$R$2),F1199,"")</f>
        <v>0.0430598676658386</v>
      </c>
      <c r="H1199" s="27" t="n">
        <f aca="false">IF(G1199="","",G1199^2)</f>
        <v>0.00185415220339953</v>
      </c>
      <c r="I1199" s="25" t="n">
        <f aca="false">IF(G1199="","",C1199/C1198-1)</f>
        <v>0.0440003948465035</v>
      </c>
      <c r="J1199" s="17" t="n">
        <f aca="false">AVERAGE(C1000:C1199)</f>
        <v>9678.86075</v>
      </c>
      <c r="K1199" s="17" t="n">
        <f aca="false">MAX(K1198,C1199)</f>
        <v>19650.01</v>
      </c>
      <c r="L1199" s="25" t="n">
        <f aca="false">C1199/K1199-1</f>
        <v>-0.574796654047504</v>
      </c>
      <c r="M1199" s="25" t="n">
        <f aca="false">IF(COUNT(G1170:G1199)&lt;20,"",_xlfn.STDEV.S(G1170:G1199)*SQRT($R$3))</f>
        <v>0.901698860415871</v>
      </c>
      <c r="N1199" s="25" t="n">
        <f aca="false">IF(A1199-7&lt;$R$2,"",C1199/INDEX(Clean_Data!$C$2:$C$4314,MATCH(A1199-7,Clean_Data!$A$2:$A$4314,1))-1)</f>
        <v>0.190204857258038</v>
      </c>
      <c r="O1199" s="25" t="n">
        <f aca="false">IF(A1199-30&lt;$R$2,"",C1199/INDEX(Clean_Data!$C$2:$C$4314,MATCH(A1199-30,Clean_Data!$A$2:$A$4314,1))-1)</f>
        <v>0.00969788519637471</v>
      </c>
    </row>
    <row r="1200" customFormat="false" ht="15" hidden="false" customHeight="false" outlineLevel="0" collapsed="false">
      <c r="A1200" s="16" t="n">
        <v>43206</v>
      </c>
      <c r="B1200" s="23" t="n">
        <f aca="false">YEAR(A1200)</f>
        <v>2018</v>
      </c>
      <c r="C1200" s="17" t="n">
        <v>8048.93</v>
      </c>
      <c r="D1200" s="23" t="n">
        <f aca="false">A1200-A1199</f>
        <v>1</v>
      </c>
      <c r="E1200" s="24" t="n">
        <f aca="false">LN(C1200)</f>
        <v>8.9932944423234</v>
      </c>
      <c r="F1200" s="25" t="n">
        <f aca="false">LN(C1200/C1199)</f>
        <v>-0.0373509204607043</v>
      </c>
      <c r="G1200" s="25" t="n">
        <f aca="false">IF(AND(D1200=1,A1200&gt;=$R$2),F1200,"")</f>
        <v>-0.0373509204607043</v>
      </c>
      <c r="H1200" s="27" t="n">
        <f aca="false">IF(G1200="","",G1200^2)</f>
        <v>0.00139509125926186</v>
      </c>
      <c r="I1200" s="25" t="n">
        <f aca="false">IF(G1200="","",C1200/C1199-1)</f>
        <v>-0.0366619789952425</v>
      </c>
      <c r="J1200" s="17" t="n">
        <f aca="false">AVERAGE(C1001:C1200)</f>
        <v>9698.1583</v>
      </c>
      <c r="K1200" s="17" t="n">
        <f aca="false">MAX(K1199,C1200)</f>
        <v>19650.01</v>
      </c>
      <c r="L1200" s="25" t="n">
        <f aca="false">C1200/K1200-1</f>
        <v>-0.590385450185522</v>
      </c>
      <c r="M1200" s="25" t="n">
        <f aca="false">IF(COUNT(G1171:G1200)&lt;20,"",_xlfn.STDEV.S(G1171:G1200)*SQRT($R$3))</f>
        <v>0.89327291712402</v>
      </c>
      <c r="N1200" s="25" t="n">
        <f aca="false">IF(A1200-7&lt;$R$2,"",C1200/INDEX(Clean_Data!$C$2:$C$4314,MATCH(A1200-7,Clean_Data!$A$2:$A$4314,1))-1)</f>
        <v>0.188712962238208</v>
      </c>
      <c r="O1200" s="25" t="n">
        <f aca="false">IF(A1200-30&lt;$R$2,"",C1200/INDEX(Clean_Data!$C$2:$C$4314,MATCH(A1200-30,Clean_Data!$A$2:$A$4314,1))-1)</f>
        <v>0.0233832844671724</v>
      </c>
    </row>
    <row r="1201" customFormat="false" ht="15" hidden="false" customHeight="false" outlineLevel="0" collapsed="false">
      <c r="A1201" s="16" t="n">
        <v>43207</v>
      </c>
      <c r="B1201" s="23" t="n">
        <f aca="false">YEAR(A1201)</f>
        <v>2018</v>
      </c>
      <c r="C1201" s="17" t="n">
        <v>7892.1</v>
      </c>
      <c r="D1201" s="23" t="n">
        <f aca="false">A1201-A1200</f>
        <v>1</v>
      </c>
      <c r="E1201" s="24" t="n">
        <f aca="false">LN(C1201)</f>
        <v>8.97361753812153</v>
      </c>
      <c r="F1201" s="25" t="n">
        <f aca="false">LN(C1201/C1200)</f>
        <v>-0.0196769042018743</v>
      </c>
      <c r="G1201" s="25" t="n">
        <f aca="false">IF(AND(D1201=1,A1201&gt;=$R$2),F1201,"")</f>
        <v>-0.0196769042018743</v>
      </c>
      <c r="H1201" s="27" t="n">
        <f aca="false">IF(G1201="","",G1201^2)</f>
        <v>0.000387180558969739</v>
      </c>
      <c r="I1201" s="25" t="n">
        <f aca="false">IF(G1201="","",C1201/C1200-1)</f>
        <v>-0.0194845774531521</v>
      </c>
      <c r="J1201" s="17" t="n">
        <f aca="false">AVERAGE(C1002:C1201)</f>
        <v>9716.83385</v>
      </c>
      <c r="K1201" s="17" t="n">
        <f aca="false">MAX(K1200,C1201)</f>
        <v>19650.01</v>
      </c>
      <c r="L1201" s="25" t="n">
        <f aca="false">C1201/K1201-1</f>
        <v>-0.59836661660732</v>
      </c>
      <c r="M1201" s="25" t="n">
        <f aca="false">IF(COUNT(G1172:G1201)&lt;20,"",_xlfn.STDEV.S(G1172:G1201)*SQRT($R$3))</f>
        <v>0.884063049117673</v>
      </c>
      <c r="N1201" s="25" t="n">
        <f aca="false">IF(A1201-7&lt;$R$2,"",C1201/INDEX(Clean_Data!$C$2:$C$4314,MATCH(A1201-7,Clean_Data!$A$2:$A$4314,1))-1)</f>
        <v>0.15635334264226</v>
      </c>
      <c r="O1201" s="25" t="n">
        <f aca="false">IF(A1201-30&lt;$R$2,"",C1201/INDEX(Clean_Data!$C$2:$C$4314,MATCH(A1201-30,Clean_Data!$A$2:$A$4314,1))-1)</f>
        <v>-0.03660888671875</v>
      </c>
    </row>
    <row r="1202" customFormat="false" ht="15" hidden="false" customHeight="false" outlineLevel="0" collapsed="false">
      <c r="A1202" s="16" t="n">
        <v>43208</v>
      </c>
      <c r="B1202" s="23" t="n">
        <f aca="false">YEAR(A1202)</f>
        <v>2018</v>
      </c>
      <c r="C1202" s="17" t="n">
        <v>8152.05</v>
      </c>
      <c r="D1202" s="23" t="n">
        <f aca="false">A1202-A1201</f>
        <v>1</v>
      </c>
      <c r="E1202" s="24" t="n">
        <f aca="false">LN(C1202)</f>
        <v>9.00602470834793</v>
      </c>
      <c r="F1202" s="25" t="n">
        <f aca="false">LN(C1202/C1201)</f>
        <v>0.0324071702264023</v>
      </c>
      <c r="G1202" s="25" t="n">
        <f aca="false">IF(AND(D1202=1,A1202&gt;=$R$2),F1202,"")</f>
        <v>0.0324071702264023</v>
      </c>
      <c r="H1202" s="27" t="n">
        <f aca="false">IF(G1202="","",G1202^2)</f>
        <v>0.00105022468208302</v>
      </c>
      <c r="I1202" s="25" t="n">
        <f aca="false">IF(G1202="","",C1202/C1201-1)</f>
        <v>0.0329380012924316</v>
      </c>
      <c r="J1202" s="17" t="n">
        <f aca="false">AVERAGE(C1003:C1202)</f>
        <v>9735.8991</v>
      </c>
      <c r="K1202" s="17" t="n">
        <f aca="false">MAX(K1201,C1202)</f>
        <v>19650.01</v>
      </c>
      <c r="L1202" s="25" t="n">
        <f aca="false">C1202/K1202-1</f>
        <v>-0.585137615706048</v>
      </c>
      <c r="M1202" s="25" t="n">
        <f aca="false">IF(COUNT(G1173:G1202)&lt;20,"",_xlfn.STDEV.S(G1173:G1202)*SQRT($R$3))</f>
        <v>0.875235839667741</v>
      </c>
      <c r="N1202" s="25" t="n">
        <f aca="false">IF(A1202-7&lt;$R$2,"",C1202/INDEX(Clean_Data!$C$2:$C$4314,MATCH(A1202-7,Clean_Data!$A$2:$A$4314,1))-1)</f>
        <v>0.174141112114521</v>
      </c>
      <c r="O1202" s="25" t="n">
        <f aca="false">IF(A1202-30&lt;$R$2,"",C1202/INDEX(Clean_Data!$C$2:$C$4314,MATCH(A1202-30,Clean_Data!$A$2:$A$4314,1))-1)</f>
        <v>-0.0508732099196647</v>
      </c>
    </row>
    <row r="1203" customFormat="false" ht="15" hidden="false" customHeight="false" outlineLevel="0" collapsed="false">
      <c r="A1203" s="16" t="n">
        <v>43209</v>
      </c>
      <c r="B1203" s="23" t="n">
        <f aca="false">YEAR(A1203)</f>
        <v>2018</v>
      </c>
      <c r="C1203" s="17" t="n">
        <v>8274</v>
      </c>
      <c r="D1203" s="23" t="n">
        <f aca="false">A1203-A1202</f>
        <v>1</v>
      </c>
      <c r="E1203" s="24" t="n">
        <f aca="false">LN(C1203)</f>
        <v>9.02087334702136</v>
      </c>
      <c r="F1203" s="25" t="n">
        <f aca="false">LN(C1203/C1202)</f>
        <v>0.0148486386734251</v>
      </c>
      <c r="G1203" s="25" t="n">
        <f aca="false">IF(AND(D1203=1,A1203&gt;=$R$2),F1203,"")</f>
        <v>0.0148486386734251</v>
      </c>
      <c r="H1203" s="27" t="n">
        <f aca="false">IF(G1203="","",G1203^2)</f>
        <v>0.000220482070453937</v>
      </c>
      <c r="I1203" s="25" t="n">
        <f aca="false">IF(G1203="","",C1203/C1202-1)</f>
        <v>0.0149594273832963</v>
      </c>
      <c r="J1203" s="17" t="n">
        <f aca="false">AVERAGE(C1004:C1203)</f>
        <v>9755.29505</v>
      </c>
      <c r="K1203" s="17" t="n">
        <f aca="false">MAX(K1202,C1203)</f>
        <v>19650.01</v>
      </c>
      <c r="L1203" s="25" t="n">
        <f aca="false">C1203/K1203-1</f>
        <v>-0.578931511994141</v>
      </c>
      <c r="M1203" s="25" t="n">
        <f aca="false">IF(COUNT(G1174:G1203)&lt;20,"",_xlfn.STDEV.S(G1174:G1203)*SQRT($R$3))</f>
        <v>0.86706485277683</v>
      </c>
      <c r="N1203" s="25" t="n">
        <f aca="false">IF(A1203-7&lt;$R$2,"",C1203/INDEX(Clean_Data!$C$2:$C$4314,MATCH(A1203-7,Clean_Data!$A$2:$A$4314,1))-1)</f>
        <v>0.0452248610409298</v>
      </c>
      <c r="O1203" s="25" t="n">
        <f aca="false">IF(A1203-30&lt;$R$2,"",C1203/INDEX(Clean_Data!$C$2:$C$4314,MATCH(A1203-30,Clean_Data!$A$2:$A$4314,1))-1)</f>
        <v>-0.0703370786516854</v>
      </c>
    </row>
    <row r="1204" customFormat="false" ht="15" hidden="false" customHeight="false" outlineLevel="0" collapsed="false">
      <c r="A1204" s="16" t="n">
        <v>43210</v>
      </c>
      <c r="B1204" s="23" t="n">
        <f aca="false">YEAR(A1204)</f>
        <v>2018</v>
      </c>
      <c r="C1204" s="17" t="n">
        <v>8866.27</v>
      </c>
      <c r="D1204" s="23" t="n">
        <f aca="false">A1204-A1203</f>
        <v>1</v>
      </c>
      <c r="E1204" s="24" t="n">
        <f aca="false">LN(C1204)</f>
        <v>9.09000946825885</v>
      </c>
      <c r="F1204" s="25" t="n">
        <f aca="false">LN(C1204/C1203)</f>
        <v>0.0691361212374964</v>
      </c>
      <c r="G1204" s="25" t="n">
        <f aca="false">IF(AND(D1204=1,A1204&gt;=$R$2),F1204,"")</f>
        <v>0.0691361212374964</v>
      </c>
      <c r="H1204" s="27" t="n">
        <f aca="false">IF(G1204="","",G1204^2)</f>
        <v>0.0047798032597658</v>
      </c>
      <c r="I1204" s="25" t="n">
        <f aca="false">IF(G1204="","",C1204/C1203-1)</f>
        <v>0.0715820642978005</v>
      </c>
      <c r="J1204" s="17" t="n">
        <f aca="false">AVERAGE(C1005:C1204)</f>
        <v>9777.66285</v>
      </c>
      <c r="K1204" s="17" t="n">
        <f aca="false">MAX(K1203,C1204)</f>
        <v>19650.01</v>
      </c>
      <c r="L1204" s="25" t="n">
        <f aca="false">C1204/K1204-1</f>
        <v>-0.548790560411929</v>
      </c>
      <c r="M1204" s="25" t="n">
        <f aca="false">IF(COUNT(G1175:G1204)&lt;20,"",_xlfn.STDEV.S(G1175:G1204)*SQRT($R$3))</f>
        <v>0.902318432178736</v>
      </c>
      <c r="N1204" s="25" t="n">
        <f aca="false">IF(A1204-7&lt;$R$2,"",C1204/INDEX(Clean_Data!$C$2:$C$4314,MATCH(A1204-7,Clean_Data!$A$2:$A$4314,1))-1)</f>
        <v>0.12328095484842</v>
      </c>
      <c r="O1204" s="25" t="n">
        <f aca="false">IF(A1204-30&lt;$R$2,"",C1204/INDEX(Clean_Data!$C$2:$C$4314,MATCH(A1204-30,Clean_Data!$A$2:$A$4314,1))-1)</f>
        <v>-0.0028723060884116</v>
      </c>
    </row>
    <row r="1205" customFormat="false" ht="15" hidden="false" customHeight="false" outlineLevel="0" collapsed="false">
      <c r="A1205" s="16" t="n">
        <v>43211</v>
      </c>
      <c r="B1205" s="23" t="n">
        <f aca="false">YEAR(A1205)</f>
        <v>2018</v>
      </c>
      <c r="C1205" s="17" t="n">
        <v>8915.42</v>
      </c>
      <c r="D1205" s="23" t="n">
        <f aca="false">A1205-A1204</f>
        <v>1</v>
      </c>
      <c r="E1205" s="24" t="n">
        <f aca="false">LN(C1205)</f>
        <v>9.09553764079717</v>
      </c>
      <c r="F1205" s="25" t="n">
        <f aca="false">LN(C1205/C1204)</f>
        <v>0.0055281725383173</v>
      </c>
      <c r="G1205" s="25" t="n">
        <f aca="false">IF(AND(D1205=1,A1205&gt;=$R$2),F1205,"")</f>
        <v>0.0055281725383173</v>
      </c>
      <c r="H1205" s="27" t="n">
        <f aca="false">IF(G1205="","",G1205^2)</f>
        <v>3.05606916134056E-005</v>
      </c>
      <c r="I1205" s="25" t="n">
        <f aca="false">IF(G1205="","",C1205/C1204-1)</f>
        <v>0.00554348108054459</v>
      </c>
      <c r="J1205" s="17" t="n">
        <f aca="false">AVERAGE(C1006:C1205)</f>
        <v>9800.7</v>
      </c>
      <c r="K1205" s="17" t="n">
        <f aca="false">MAX(K1204,C1205)</f>
        <v>19650.01</v>
      </c>
      <c r="L1205" s="25" t="n">
        <f aca="false">C1205/K1205-1</f>
        <v>-0.546289289420209</v>
      </c>
      <c r="M1205" s="25" t="n">
        <f aca="false">IF(COUNT(G1176:G1205)&lt;20,"",_xlfn.STDEV.S(G1176:G1205)*SQRT($R$3))</f>
        <v>0.899598721054161</v>
      </c>
      <c r="N1205" s="25" t="n">
        <f aca="false">IF(A1205-7&lt;$R$2,"",C1205/INDEX(Clean_Data!$C$2:$C$4314,MATCH(A1205-7,Clean_Data!$A$2:$A$4314,1))-1)</f>
        <v>0.113994434663525</v>
      </c>
      <c r="O1205" s="25" t="n">
        <f aca="false">IF(A1205-30&lt;$R$2,"",C1205/INDEX(Clean_Data!$C$2:$C$4314,MATCH(A1205-30,Clean_Data!$A$2:$A$4314,1))-1)</f>
        <v>0.0229865669775069</v>
      </c>
    </row>
    <row r="1206" customFormat="false" ht="15" hidden="false" customHeight="false" outlineLevel="0" collapsed="false">
      <c r="A1206" s="16" t="n">
        <v>43212</v>
      </c>
      <c r="B1206" s="23" t="n">
        <f aca="false">YEAR(A1206)</f>
        <v>2018</v>
      </c>
      <c r="C1206" s="17" t="n">
        <v>8795.01</v>
      </c>
      <c r="D1206" s="23" t="n">
        <f aca="false">A1206-A1205</f>
        <v>1</v>
      </c>
      <c r="E1206" s="24" t="n">
        <f aca="false">LN(C1206)</f>
        <v>9.08193979418068</v>
      </c>
      <c r="F1206" s="25" t="n">
        <f aca="false">LN(C1206/C1205)</f>
        <v>-0.0135978466164937</v>
      </c>
      <c r="G1206" s="25" t="n">
        <f aca="false">IF(AND(D1206=1,A1206&gt;=$R$2),F1206,"")</f>
        <v>-0.0135978466164937</v>
      </c>
      <c r="H1206" s="27" t="n">
        <f aca="false">IF(G1206="","",G1206^2)</f>
        <v>0.00018490143260569</v>
      </c>
      <c r="I1206" s="25" t="n">
        <f aca="false">IF(G1206="","",C1206/C1205-1)</f>
        <v>-0.013505813523087</v>
      </c>
      <c r="J1206" s="17" t="n">
        <f aca="false">AVERAGE(C1007:C1206)</f>
        <v>9823.60085</v>
      </c>
      <c r="K1206" s="17" t="n">
        <f aca="false">MAX(K1205,C1206)</f>
        <v>19650.01</v>
      </c>
      <c r="L1206" s="25" t="n">
        <f aca="false">C1206/K1206-1</f>
        <v>-0.552417021670727</v>
      </c>
      <c r="M1206" s="25" t="n">
        <f aca="false">IF(COUNT(G1177:G1206)&lt;20,"",_xlfn.STDEV.S(G1177:G1206)*SQRT($R$3))</f>
        <v>0.896915465283748</v>
      </c>
      <c r="N1206" s="25" t="n">
        <f aca="false">IF(A1206-7&lt;$R$2,"",C1206/INDEX(Clean_Data!$C$2:$C$4314,MATCH(A1206-7,Clean_Data!$A$2:$A$4314,1))-1)</f>
        <v>0.052632775799647</v>
      </c>
      <c r="O1206" s="25" t="n">
        <f aca="false">IF(A1206-30&lt;$R$2,"",C1206/INDEX(Clean_Data!$C$2:$C$4314,MATCH(A1206-30,Clean_Data!$A$2:$A$4314,1))-1)</f>
        <v>-0.0147965184662433</v>
      </c>
    </row>
    <row r="1207" customFormat="false" ht="15" hidden="false" customHeight="false" outlineLevel="0" collapsed="false">
      <c r="A1207" s="16" t="n">
        <v>43213</v>
      </c>
      <c r="B1207" s="23" t="n">
        <f aca="false">YEAR(A1207)</f>
        <v>2018</v>
      </c>
      <c r="C1207" s="17" t="n">
        <v>8931.3</v>
      </c>
      <c r="D1207" s="23" t="n">
        <f aca="false">A1207-A1206</f>
        <v>1</v>
      </c>
      <c r="E1207" s="24" t="n">
        <f aca="false">LN(C1207)</f>
        <v>9.09731723998301</v>
      </c>
      <c r="F1207" s="25" t="n">
        <f aca="false">LN(C1207/C1206)</f>
        <v>0.0153774458023339</v>
      </c>
      <c r="G1207" s="25" t="n">
        <f aca="false">IF(AND(D1207=1,A1207&gt;=$R$2),F1207,"")</f>
        <v>0.0153774458023339</v>
      </c>
      <c r="H1207" s="27" t="n">
        <f aca="false">IF(G1207="","",G1207^2)</f>
        <v>0.000236465839403718</v>
      </c>
      <c r="I1207" s="25" t="n">
        <f aca="false">IF(G1207="","",C1207/C1206-1)</f>
        <v>0.0154962870991617</v>
      </c>
      <c r="J1207" s="17" t="n">
        <f aca="false">AVERAGE(C1008:C1207)</f>
        <v>9846.65715</v>
      </c>
      <c r="K1207" s="17" t="n">
        <f aca="false">MAX(K1206,C1207)</f>
        <v>19650.01</v>
      </c>
      <c r="L1207" s="25" t="n">
        <f aca="false">C1207/K1207-1</f>
        <v>-0.545481147337839</v>
      </c>
      <c r="M1207" s="25" t="n">
        <f aca="false">IF(COUNT(G1178:G1207)&lt;20,"",_xlfn.STDEV.S(G1178:G1207)*SQRT($R$3))</f>
        <v>0.883609985790478</v>
      </c>
      <c r="N1207" s="25" t="n">
        <f aca="false">IF(A1207-7&lt;$R$2,"",C1207/INDEX(Clean_Data!$C$2:$C$4314,MATCH(A1207-7,Clean_Data!$A$2:$A$4314,1))-1)</f>
        <v>0.109625751497404</v>
      </c>
      <c r="O1207" s="25" t="n">
        <f aca="false">IF(A1207-30&lt;$R$2,"",C1207/INDEX(Clean_Data!$C$2:$C$4314,MATCH(A1207-30,Clean_Data!$A$2:$A$4314,1))-1)</f>
        <v>0.0468812636701854</v>
      </c>
    </row>
    <row r="1208" customFormat="false" ht="15" hidden="false" customHeight="false" outlineLevel="0" collapsed="false">
      <c r="A1208" s="16" t="n">
        <v>43214</v>
      </c>
      <c r="B1208" s="23" t="n">
        <f aca="false">YEAR(A1208)</f>
        <v>2018</v>
      </c>
      <c r="C1208" s="17" t="n">
        <v>9650</v>
      </c>
      <c r="D1208" s="23" t="n">
        <f aca="false">A1208-A1207</f>
        <v>1</v>
      </c>
      <c r="E1208" s="24" t="n">
        <f aca="false">LN(C1208)</f>
        <v>9.17471319433303</v>
      </c>
      <c r="F1208" s="25" t="n">
        <f aca="false">LN(C1208/C1207)</f>
        <v>0.0773959543500209</v>
      </c>
      <c r="G1208" s="25" t="n">
        <f aca="false">IF(AND(D1208=1,A1208&gt;=$R$2),F1208,"")</f>
        <v>0.0773959543500209</v>
      </c>
      <c r="H1208" s="27" t="n">
        <f aca="false">IF(G1208="","",G1208^2)</f>
        <v>0.00599013374975051</v>
      </c>
      <c r="I1208" s="25" t="n">
        <f aca="false">IF(G1208="","",C1208/C1207-1)</f>
        <v>0.0804698084265449</v>
      </c>
      <c r="J1208" s="17" t="n">
        <f aca="false">AVERAGE(C1009:C1208)</f>
        <v>9873.0922</v>
      </c>
      <c r="K1208" s="17" t="n">
        <f aca="false">MAX(K1207,C1208)</f>
        <v>19650.01</v>
      </c>
      <c r="L1208" s="25" t="n">
        <f aca="false">C1208/K1208-1</f>
        <v>-0.508906102337861</v>
      </c>
      <c r="M1208" s="25" t="n">
        <f aca="false">IF(COUNT(G1179:G1208)&lt;20,"",_xlfn.STDEV.S(G1179:G1208)*SQRT($R$3))</f>
        <v>0.921200690826741</v>
      </c>
      <c r="N1208" s="25" t="n">
        <f aca="false">IF(A1208-7&lt;$R$2,"",C1208/INDEX(Clean_Data!$C$2:$C$4314,MATCH(A1208-7,Clean_Data!$A$2:$A$4314,1))-1)</f>
        <v>0.222741729070843</v>
      </c>
      <c r="O1208" s="25" t="n">
        <f aca="false">IF(A1208-30&lt;$R$2,"",C1208/INDEX(Clean_Data!$C$2:$C$4314,MATCH(A1208-30,Clean_Data!$A$2:$A$4314,1))-1)</f>
        <v>0.141606530225955</v>
      </c>
    </row>
    <row r="1209" customFormat="false" ht="15" hidden="false" customHeight="false" outlineLevel="0" collapsed="false">
      <c r="A1209" s="16" t="n">
        <v>43215</v>
      </c>
      <c r="B1209" s="23" t="n">
        <f aca="false">YEAR(A1209)</f>
        <v>2018</v>
      </c>
      <c r="C1209" s="17" t="n">
        <v>8865.98</v>
      </c>
      <c r="D1209" s="23" t="n">
        <f aca="false">A1209-A1208</f>
        <v>1</v>
      </c>
      <c r="E1209" s="24" t="n">
        <f aca="false">LN(C1209)</f>
        <v>9.08997675949375</v>
      </c>
      <c r="F1209" s="25" t="n">
        <f aca="false">LN(C1209/C1208)</f>
        <v>-0.0847364348392846</v>
      </c>
      <c r="G1209" s="25" t="n">
        <f aca="false">IF(AND(D1209=1,A1209&gt;=$R$2),F1209,"")</f>
        <v>-0.0847364348392846</v>
      </c>
      <c r="H1209" s="27" t="n">
        <f aca="false">IF(G1209="","",G1209^2)</f>
        <v>0.00718026338927232</v>
      </c>
      <c r="I1209" s="25" t="n">
        <f aca="false">IF(G1209="","",C1209/C1208-1)</f>
        <v>-0.0812455958549223</v>
      </c>
      <c r="J1209" s="17" t="n">
        <f aca="false">AVERAGE(C1010:C1209)</f>
        <v>9895.2971</v>
      </c>
      <c r="K1209" s="17" t="n">
        <f aca="false">MAX(K1208,C1209)</f>
        <v>19650.01</v>
      </c>
      <c r="L1209" s="25" t="n">
        <f aca="false">C1209/K1209-1</f>
        <v>-0.548805318674138</v>
      </c>
      <c r="M1209" s="25" t="n">
        <f aca="false">IF(COUNT(G1180:G1209)&lt;20,"",_xlfn.STDEV.S(G1180:G1209)*SQRT($R$3))</f>
        <v>0.962280372882379</v>
      </c>
      <c r="N1209" s="25" t="n">
        <f aca="false">IF(A1209-7&lt;$R$2,"",C1209/INDEX(Clean_Data!$C$2:$C$4314,MATCH(A1209-7,Clean_Data!$A$2:$A$4314,1))-1)</f>
        <v>0.0875767444998497</v>
      </c>
      <c r="O1209" s="25" t="n">
        <f aca="false">IF(A1209-30&lt;$R$2,"",C1209/INDEX(Clean_Data!$C$2:$C$4314,MATCH(A1209-30,Clean_Data!$A$2:$A$4314,1))-1)</f>
        <v>0.0885181092694904</v>
      </c>
    </row>
    <row r="1210" customFormat="false" ht="15" hidden="false" customHeight="false" outlineLevel="0" collapsed="false">
      <c r="A1210" s="16" t="n">
        <v>43216</v>
      </c>
      <c r="B1210" s="23" t="n">
        <f aca="false">YEAR(A1210)</f>
        <v>2018</v>
      </c>
      <c r="C1210" s="17" t="n">
        <v>9272.11</v>
      </c>
      <c r="D1210" s="23" t="n">
        <f aca="false">A1210-A1209</f>
        <v>1</v>
      </c>
      <c r="E1210" s="24" t="n">
        <f aca="false">LN(C1210)</f>
        <v>9.1347662486248</v>
      </c>
      <c r="F1210" s="25" t="n">
        <f aca="false">LN(C1210/C1209)</f>
        <v>0.0447894891310502</v>
      </c>
      <c r="G1210" s="25" t="n">
        <f aca="false">IF(AND(D1210=1,A1210&gt;=$R$2),F1210,"")</f>
        <v>0.0447894891310502</v>
      </c>
      <c r="H1210" s="27" t="n">
        <f aca="false">IF(G1210="","",G1210^2)</f>
        <v>0.00200609833662046</v>
      </c>
      <c r="I1210" s="25" t="n">
        <f aca="false">IF(G1210="","",C1210/C1209-1)</f>
        <v>0.0458076828506269</v>
      </c>
      <c r="J1210" s="17" t="n">
        <f aca="false">AVERAGE(C1011:C1210)</f>
        <v>9918.6402</v>
      </c>
      <c r="K1210" s="17" t="n">
        <f aca="false">MAX(K1209,C1210)</f>
        <v>19650.01</v>
      </c>
      <c r="L1210" s="25" t="n">
        <f aca="false">C1210/K1210-1</f>
        <v>-0.528137135808073</v>
      </c>
      <c r="M1210" s="25" t="n">
        <f aca="false">IF(COUNT(G1181:G1210)&lt;20,"",_xlfn.STDEV.S(G1181:G1210)*SQRT($R$3))</f>
        <v>0.957660560247318</v>
      </c>
      <c r="N1210" s="25" t="n">
        <f aca="false">IF(A1210-7&lt;$R$2,"",C1210/INDEX(Clean_Data!$C$2:$C$4314,MATCH(A1210-7,Clean_Data!$A$2:$A$4314,1))-1)</f>
        <v>0.120632100555959</v>
      </c>
      <c r="O1210" s="25" t="n">
        <f aca="false">IF(A1210-30&lt;$R$2,"",C1210/INDEX(Clean_Data!$C$2:$C$4314,MATCH(A1210-30,Clean_Data!$A$2:$A$4314,1))-1)</f>
        <v>0.189706695613458</v>
      </c>
    </row>
    <row r="1211" customFormat="false" ht="15" hidden="false" customHeight="false" outlineLevel="0" collapsed="false">
      <c r="A1211" s="16" t="n">
        <v>43217</v>
      </c>
      <c r="B1211" s="23" t="n">
        <f aca="false">YEAR(A1211)</f>
        <v>2018</v>
      </c>
      <c r="C1211" s="17" t="n">
        <v>8922.55</v>
      </c>
      <c r="D1211" s="23" t="n">
        <f aca="false">A1211-A1210</f>
        <v>1</v>
      </c>
      <c r="E1211" s="24" t="n">
        <f aca="false">LN(C1211)</f>
        <v>9.09633705915921</v>
      </c>
      <c r="F1211" s="25" t="n">
        <f aca="false">LN(C1211/C1210)</f>
        <v>-0.038429189465592</v>
      </c>
      <c r="G1211" s="25" t="n">
        <f aca="false">IF(AND(D1211=1,A1211&gt;=$R$2),F1211,"")</f>
        <v>-0.038429189465592</v>
      </c>
      <c r="H1211" s="27" t="n">
        <f aca="false">IF(G1211="","",G1211^2)</f>
        <v>0.00147680260298237</v>
      </c>
      <c r="I1211" s="25" t="n">
        <f aca="false">IF(G1211="","",C1211/C1210-1)</f>
        <v>-0.0377001567065103</v>
      </c>
      <c r="J1211" s="17" t="n">
        <f aca="false">AVERAGE(C1012:C1211)</f>
        <v>9939.4052</v>
      </c>
      <c r="K1211" s="17" t="n">
        <f aca="false">MAX(K1210,C1211)</f>
        <v>19650.01</v>
      </c>
      <c r="L1211" s="25" t="n">
        <f aca="false">C1211/K1211-1</f>
        <v>-0.545926439732092</v>
      </c>
      <c r="M1211" s="25" t="n">
        <f aca="false">IF(COUNT(G1182:G1211)&lt;20,"",_xlfn.STDEV.S(G1182:G1211)*SQRT($R$3))</f>
        <v>0.96858799415187</v>
      </c>
      <c r="N1211" s="25" t="n">
        <f aca="false">IF(A1211-7&lt;$R$2,"",C1211/INDEX(Clean_Data!$C$2:$C$4314,MATCH(A1211-7,Clean_Data!$A$2:$A$4314,1))-1)</f>
        <v>0.00634765239497548</v>
      </c>
      <c r="O1211" s="25" t="n">
        <f aca="false">IF(A1211-30&lt;$R$2,"",C1211/INDEX(Clean_Data!$C$2:$C$4314,MATCH(A1211-30,Clean_Data!$A$2:$A$4314,1))-1)</f>
        <v>0.123362022078079</v>
      </c>
    </row>
    <row r="1212" customFormat="false" ht="15" hidden="false" customHeight="false" outlineLevel="0" collapsed="false">
      <c r="A1212" s="16" t="n">
        <v>43218</v>
      </c>
      <c r="B1212" s="23" t="n">
        <f aca="false">YEAR(A1212)</f>
        <v>2018</v>
      </c>
      <c r="C1212" s="17" t="n">
        <v>9329.99</v>
      </c>
      <c r="D1212" s="23" t="n">
        <f aca="false">A1212-A1211</f>
        <v>1</v>
      </c>
      <c r="E1212" s="24" t="n">
        <f aca="false">LN(C1212)</f>
        <v>9.14098922202945</v>
      </c>
      <c r="F1212" s="25" t="n">
        <f aca="false">LN(C1212/C1211)</f>
        <v>0.0446521628702486</v>
      </c>
      <c r="G1212" s="25" t="n">
        <f aca="false">IF(AND(D1212=1,A1212&gt;=$R$2),F1212,"")</f>
        <v>0.0446521628702486</v>
      </c>
      <c r="H1212" s="27" t="n">
        <f aca="false">IF(G1212="","",G1212^2)</f>
        <v>0.00199381564899121</v>
      </c>
      <c r="I1212" s="25" t="n">
        <f aca="false">IF(G1212="","",C1212/C1211-1)</f>
        <v>0.0456640758527551</v>
      </c>
      <c r="J1212" s="17" t="n">
        <f aca="false">AVERAGE(C1013:C1212)</f>
        <v>9962.30515</v>
      </c>
      <c r="K1212" s="17" t="n">
        <f aca="false">MAX(K1211,C1212)</f>
        <v>19650.01</v>
      </c>
      <c r="L1212" s="25" t="n">
        <f aca="false">C1212/K1212-1</f>
        <v>-0.525191590233287</v>
      </c>
      <c r="M1212" s="25" t="n">
        <f aca="false">IF(COUNT(G1183:G1212)&lt;20,"",_xlfn.STDEV.S(G1183:G1212)*SQRT($R$3))</f>
        <v>0.877826975461657</v>
      </c>
      <c r="N1212" s="25" t="n">
        <f aca="false">IF(A1212-7&lt;$R$2,"",C1212/INDEX(Clean_Data!$C$2:$C$4314,MATCH(A1212-7,Clean_Data!$A$2:$A$4314,1))-1)</f>
        <v>0.0465003331306881</v>
      </c>
      <c r="O1212" s="25" t="n">
        <f aca="false">IF(A1212-30&lt;$R$2,"",C1212/INDEX(Clean_Data!$C$2:$C$4314,MATCH(A1212-30,Clean_Data!$A$2:$A$4314,1))-1)</f>
        <v>0.317797059035394</v>
      </c>
    </row>
    <row r="1213" customFormat="false" ht="15" hidden="false" customHeight="false" outlineLevel="0" collapsed="false">
      <c r="A1213" s="16" t="n">
        <v>43219</v>
      </c>
      <c r="B1213" s="23" t="n">
        <f aca="false">YEAR(A1213)</f>
        <v>2018</v>
      </c>
      <c r="C1213" s="17" t="n">
        <v>9389.01</v>
      </c>
      <c r="D1213" s="23" t="n">
        <f aca="false">A1213-A1212</f>
        <v>1</v>
      </c>
      <c r="E1213" s="24" t="n">
        <f aca="false">LN(C1213)</f>
        <v>9.14729513533413</v>
      </c>
      <c r="F1213" s="25" t="n">
        <f aca="false">LN(C1213/C1212)</f>
        <v>0.00630591330467939</v>
      </c>
      <c r="G1213" s="25" t="n">
        <f aca="false">IF(AND(D1213=1,A1213&gt;=$R$2),F1213,"")</f>
        <v>0.00630591330467939</v>
      </c>
      <c r="H1213" s="27" t="n">
        <f aca="false">IF(G1213="","",G1213^2)</f>
        <v>3.97645426061325E-005</v>
      </c>
      <c r="I1213" s="25" t="n">
        <f aca="false">IF(G1213="","",C1213/C1212-1)</f>
        <v>0.00632583743390947</v>
      </c>
      <c r="J1213" s="17" t="n">
        <f aca="false">AVERAGE(C1014:C1213)</f>
        <v>9985.17525</v>
      </c>
      <c r="K1213" s="17" t="n">
        <f aca="false">MAX(K1212,C1213)</f>
        <v>19650.01</v>
      </c>
      <c r="L1213" s="25" t="n">
        <f aca="false">C1213/K1213-1</f>
        <v>-0.52218802942085</v>
      </c>
      <c r="M1213" s="25" t="n">
        <f aca="false">IF(COUNT(G1184:G1213)&lt;20,"",_xlfn.STDEV.S(G1184:G1213)*SQRT($R$3))</f>
        <v>0.864453051262137</v>
      </c>
      <c r="N1213" s="25" t="n">
        <f aca="false">IF(A1213-7&lt;$R$2,"",C1213/INDEX(Clean_Data!$C$2:$C$4314,MATCH(A1213-7,Clean_Data!$A$2:$A$4314,1))-1)</f>
        <v>0.0675382972844829</v>
      </c>
      <c r="O1213" s="25" t="n">
        <f aca="false">IF(A1213-30&lt;$R$2,"",C1213/INDEX(Clean_Data!$C$2:$C$4314,MATCH(A1213-30,Clean_Data!$A$2:$A$4314,1))-1)</f>
        <v>0.371056701143836</v>
      </c>
    </row>
    <row r="1214" customFormat="false" ht="15" hidden="false" customHeight="false" outlineLevel="0" collapsed="false">
      <c r="A1214" s="16" t="n">
        <v>43220</v>
      </c>
      <c r="B1214" s="23" t="n">
        <f aca="false">YEAR(A1214)</f>
        <v>2018</v>
      </c>
      <c r="C1214" s="17" t="n">
        <v>9243.82</v>
      </c>
      <c r="D1214" s="23" t="n">
        <f aca="false">A1214-A1213</f>
        <v>1</v>
      </c>
      <c r="E1214" s="24" t="n">
        <f aca="false">LN(C1214)</f>
        <v>9.13171049911468</v>
      </c>
      <c r="F1214" s="25" t="n">
        <f aca="false">LN(C1214/C1213)</f>
        <v>-0.0155846362194499</v>
      </c>
      <c r="G1214" s="25" t="n">
        <f aca="false">IF(AND(D1214=1,A1214&gt;=$R$2),F1214,"")</f>
        <v>-0.0155846362194499</v>
      </c>
      <c r="H1214" s="27" t="n">
        <f aca="false">IF(G1214="","",G1214^2)</f>
        <v>0.00024288088609259</v>
      </c>
      <c r="I1214" s="25" t="n">
        <f aca="false">IF(G1214="","",C1214/C1213-1)</f>
        <v>-0.0154638241944572</v>
      </c>
      <c r="J1214" s="17" t="n">
        <f aca="false">AVERAGE(C1015:C1214)</f>
        <v>10004.19435</v>
      </c>
      <c r="K1214" s="17" t="n">
        <f aca="false">MAX(K1213,C1214)</f>
        <v>19650.01</v>
      </c>
      <c r="L1214" s="25" t="n">
        <f aca="false">C1214/K1214-1</f>
        <v>-0.529576829731893</v>
      </c>
      <c r="M1214" s="25" t="n">
        <f aca="false">IF(COUNT(G1185:G1214)&lt;20,"",_xlfn.STDEV.S(G1185:G1214)*SQRT($R$3))</f>
        <v>0.8692102609992</v>
      </c>
      <c r="N1214" s="25" t="n">
        <f aca="false">IF(A1214-7&lt;$R$2,"",C1214/INDEX(Clean_Data!$C$2:$C$4314,MATCH(A1214-7,Clean_Data!$A$2:$A$4314,1))-1)</f>
        <v>0.0349915465833641</v>
      </c>
      <c r="O1214" s="25" t="n">
        <f aca="false">IF(A1214-30&lt;$R$2,"",C1214/INDEX(Clean_Data!$C$2:$C$4314,MATCH(A1214-30,Clean_Data!$A$2:$A$4314,1))-1)</f>
        <v>0.334173341993216</v>
      </c>
    </row>
    <row r="1215" customFormat="false" ht="15" hidden="false" customHeight="false" outlineLevel="0" collapsed="false">
      <c r="A1215" s="16" t="n">
        <v>43221</v>
      </c>
      <c r="B1215" s="23" t="n">
        <f aca="false">YEAR(A1215)</f>
        <v>2018</v>
      </c>
      <c r="C1215" s="17" t="n">
        <v>9072.29</v>
      </c>
      <c r="D1215" s="23" t="n">
        <f aca="false">A1215-A1214</f>
        <v>1</v>
      </c>
      <c r="E1215" s="24" t="n">
        <f aca="false">LN(C1215)</f>
        <v>9.11297999194692</v>
      </c>
      <c r="F1215" s="25" t="n">
        <f aca="false">LN(C1215/C1214)</f>
        <v>-0.0187305071677675</v>
      </c>
      <c r="G1215" s="25" t="n">
        <f aca="false">IF(AND(D1215=1,A1215&gt;=$R$2),F1215,"")</f>
        <v>-0.0187305071677675</v>
      </c>
      <c r="H1215" s="27" t="n">
        <f aca="false">IF(G1215="","",G1215^2)</f>
        <v>0.000350831898761791</v>
      </c>
      <c r="I1215" s="25" t="n">
        <f aca="false">IF(G1215="","",C1215/C1214-1)</f>
        <v>-0.0185561813189784</v>
      </c>
      <c r="J1215" s="17" t="n">
        <f aca="false">AVERAGE(C1016:C1215)</f>
        <v>10021.4318</v>
      </c>
      <c r="K1215" s="17" t="n">
        <f aca="false">MAX(K1214,C1215)</f>
        <v>19650.01</v>
      </c>
      <c r="L1215" s="25" t="n">
        <f aca="false">C1215/K1215-1</f>
        <v>-0.538306087376037</v>
      </c>
      <c r="M1215" s="25" t="n">
        <f aca="false">IF(COUNT(G1186:G1215)&lt;20,"",_xlfn.STDEV.S(G1186:G1215)*SQRT($R$3))</f>
        <v>0.870137124108461</v>
      </c>
      <c r="N1215" s="25" t="n">
        <f aca="false">IF(A1215-7&lt;$R$2,"",C1215/INDEX(Clean_Data!$C$2:$C$4314,MATCH(A1215-7,Clean_Data!$A$2:$A$4314,1))-1)</f>
        <v>-0.0598663212435232</v>
      </c>
      <c r="O1215" s="25" t="n">
        <f aca="false">IF(A1215-30&lt;$R$2,"",C1215/INDEX(Clean_Data!$C$2:$C$4314,MATCH(A1215-30,Clean_Data!$A$2:$A$4314,1))-1)</f>
        <v>0.331026509644205</v>
      </c>
    </row>
    <row r="1216" customFormat="false" ht="15" hidden="false" customHeight="false" outlineLevel="0" collapsed="false">
      <c r="A1216" s="16" t="n">
        <v>43222</v>
      </c>
      <c r="B1216" s="23" t="n">
        <f aca="false">YEAR(A1216)</f>
        <v>2018</v>
      </c>
      <c r="C1216" s="17" t="n">
        <v>9190.48</v>
      </c>
      <c r="D1216" s="23" t="n">
        <f aca="false">A1216-A1215</f>
        <v>1</v>
      </c>
      <c r="E1216" s="24" t="n">
        <f aca="false">LN(C1216)</f>
        <v>9.12592344467129</v>
      </c>
      <c r="F1216" s="25" t="n">
        <f aca="false">LN(C1216/C1215)</f>
        <v>0.0129434527243698</v>
      </c>
      <c r="G1216" s="25" t="n">
        <f aca="false">IF(AND(D1216=1,A1216&gt;=$R$2),F1216,"")</f>
        <v>0.0129434527243698</v>
      </c>
      <c r="H1216" s="27" t="n">
        <f aca="false">IF(G1216="","",G1216^2)</f>
        <v>0.000167532968427997</v>
      </c>
      <c r="I1216" s="25" t="n">
        <f aca="false">IF(G1216="","",C1216/C1215-1)</f>
        <v>0.0130275817902645</v>
      </c>
      <c r="J1216" s="17" t="n">
        <f aca="false">AVERAGE(C1017:C1216)</f>
        <v>10038.28855</v>
      </c>
      <c r="K1216" s="17" t="n">
        <f aca="false">MAX(K1215,C1216)</f>
        <v>19650.01</v>
      </c>
      <c r="L1216" s="25" t="n">
        <f aca="false">C1216/K1216-1</f>
        <v>-0.532291332167261</v>
      </c>
      <c r="M1216" s="25" t="n">
        <f aca="false">IF(COUNT(G1187:G1216)&lt;20,"",_xlfn.STDEV.S(G1187:G1216)*SQRT($R$3))</f>
        <v>0.866115924686674</v>
      </c>
      <c r="N1216" s="25" t="n">
        <f aca="false">IF(A1216-7&lt;$R$2,"",C1216/INDEX(Clean_Data!$C$2:$C$4314,MATCH(A1216-7,Clean_Data!$A$2:$A$4314,1))-1)</f>
        <v>0.03660057884182</v>
      </c>
      <c r="O1216" s="25" t="n">
        <f aca="false">IF(A1216-30&lt;$R$2,"",C1216/INDEX(Clean_Data!$C$2:$C$4314,MATCH(A1216-30,Clean_Data!$A$2:$A$4314,1))-1)</f>
        <v>0.304537537916908</v>
      </c>
    </row>
    <row r="1217" customFormat="false" ht="15" hidden="false" customHeight="false" outlineLevel="0" collapsed="false">
      <c r="A1217" s="16" t="n">
        <v>43223</v>
      </c>
      <c r="B1217" s="23" t="n">
        <f aca="false">YEAR(A1217)</f>
        <v>2018</v>
      </c>
      <c r="C1217" s="17" t="n">
        <v>9725.74</v>
      </c>
      <c r="D1217" s="23" t="n">
        <f aca="false">A1217-A1216</f>
        <v>1</v>
      </c>
      <c r="E1217" s="24" t="n">
        <f aca="false">LN(C1217)</f>
        <v>9.18253125813674</v>
      </c>
      <c r="F1217" s="25" t="n">
        <f aca="false">LN(C1217/C1216)</f>
        <v>0.0566078134654577</v>
      </c>
      <c r="G1217" s="25" t="n">
        <f aca="false">IF(AND(D1217=1,A1217&gt;=$R$2),F1217,"")</f>
        <v>0.0566078134654577</v>
      </c>
      <c r="H1217" s="27" t="n">
        <f aca="false">IF(G1217="","",G1217^2)</f>
        <v>0.00320444454534005</v>
      </c>
      <c r="I1217" s="25" t="n">
        <f aca="false">IF(G1217="","",C1217/C1216-1)</f>
        <v>0.0582407012473778</v>
      </c>
      <c r="J1217" s="17" t="n">
        <f aca="false">AVERAGE(C1018:C1217)</f>
        <v>10058.44875</v>
      </c>
      <c r="K1217" s="17" t="n">
        <f aca="false">MAX(K1216,C1217)</f>
        <v>19650.01</v>
      </c>
      <c r="L1217" s="25" t="n">
        <f aca="false">C1217/K1217-1</f>
        <v>-0.505051651373205</v>
      </c>
      <c r="M1217" s="25" t="n">
        <f aca="false">IF(COUNT(G1188:G1217)&lt;20,"",_xlfn.STDEV.S(G1188:G1217)*SQRT($R$3))</f>
        <v>0.868822730600355</v>
      </c>
      <c r="N1217" s="25" t="n">
        <f aca="false">IF(A1217-7&lt;$R$2,"",C1217/INDEX(Clean_Data!$C$2:$C$4314,MATCH(A1217-7,Clean_Data!$A$2:$A$4314,1))-1)</f>
        <v>0.0489241391657347</v>
      </c>
      <c r="O1217" s="25" t="n">
        <f aca="false">IF(A1217-30&lt;$R$2,"",C1217/INDEX(Clean_Data!$C$2:$C$4314,MATCH(A1217-30,Clean_Data!$A$2:$A$4314,1))-1)</f>
        <v>0.3098816145672</v>
      </c>
    </row>
    <row r="1218" customFormat="false" ht="15" hidden="false" customHeight="false" outlineLevel="0" collapsed="false">
      <c r="A1218" s="16" t="n">
        <v>43224</v>
      </c>
      <c r="B1218" s="23" t="n">
        <f aca="false">YEAR(A1218)</f>
        <v>2018</v>
      </c>
      <c r="C1218" s="17" t="n">
        <v>9685</v>
      </c>
      <c r="D1218" s="23" t="n">
        <f aca="false">A1218-A1217</f>
        <v>1</v>
      </c>
      <c r="E1218" s="24" t="n">
        <f aca="false">LN(C1218)</f>
        <v>9.1783335758411</v>
      </c>
      <c r="F1218" s="25" t="n">
        <f aca="false">LN(C1218/C1217)</f>
        <v>-0.00419768229564705</v>
      </c>
      <c r="G1218" s="25" t="n">
        <f aca="false">IF(AND(D1218=1,A1218&gt;=$R$2),F1218,"")</f>
        <v>-0.00419768229564705</v>
      </c>
      <c r="H1218" s="27" t="n">
        <f aca="false">IF(G1218="","",G1218^2)</f>
        <v>1.76205366551887E-005</v>
      </c>
      <c r="I1218" s="25" t="n">
        <f aca="false">IF(G1218="","",C1218/C1217-1)</f>
        <v>-0.00418888434196263</v>
      </c>
      <c r="J1218" s="17" t="n">
        <f aca="false">AVERAGE(C1019:C1218)</f>
        <v>10078.09925</v>
      </c>
      <c r="K1218" s="17" t="n">
        <f aca="false">MAX(K1217,C1218)</f>
        <v>19650.01</v>
      </c>
      <c r="L1218" s="25" t="n">
        <f aca="false">C1218/K1218-1</f>
        <v>-0.507124932760849</v>
      </c>
      <c r="M1218" s="25" t="n">
        <f aca="false">IF(COUNT(G1189:G1218)&lt;20,"",_xlfn.STDEV.S(G1189:G1218)*SQRT($R$3))</f>
        <v>0.795485287158597</v>
      </c>
      <c r="N1218" s="25" t="n">
        <f aca="false">IF(A1218-7&lt;$R$2,"",C1218/INDEX(Clean_Data!$C$2:$C$4314,MATCH(A1218-7,Clean_Data!$A$2:$A$4314,1))-1)</f>
        <v>0.0854520288482554</v>
      </c>
      <c r="O1218" s="25" t="n">
        <f aca="false">IF(A1218-30&lt;$R$2,"",C1218/INDEX(Clean_Data!$C$2:$C$4314,MATCH(A1218-30,Clean_Data!$A$2:$A$4314,1))-1)</f>
        <v>0.426009470410856</v>
      </c>
    </row>
    <row r="1219" customFormat="false" ht="15" hidden="false" customHeight="false" outlineLevel="0" collapsed="false">
      <c r="A1219" s="16" t="n">
        <v>43225</v>
      </c>
      <c r="B1219" s="23" t="n">
        <f aca="false">YEAR(A1219)</f>
        <v>2018</v>
      </c>
      <c r="C1219" s="17" t="n">
        <v>9800</v>
      </c>
      <c r="D1219" s="23" t="n">
        <f aca="false">A1219-A1218</f>
        <v>1</v>
      </c>
      <c r="E1219" s="24" t="n">
        <f aca="false">LN(C1219)</f>
        <v>9.19013766465866</v>
      </c>
      <c r="F1219" s="25" t="n">
        <f aca="false">LN(C1219/C1218)</f>
        <v>0.011804088817567</v>
      </c>
      <c r="G1219" s="25" t="n">
        <f aca="false">IF(AND(D1219=1,A1219&gt;=$R$2),F1219,"")</f>
        <v>0.011804088817567</v>
      </c>
      <c r="H1219" s="27" t="n">
        <f aca="false">IF(G1219="","",G1219^2)</f>
        <v>0.000139336512813011</v>
      </c>
      <c r="I1219" s="25" t="n">
        <f aca="false">IF(G1219="","",C1219/C1218-1)</f>
        <v>0.0118740320082602</v>
      </c>
      <c r="J1219" s="17" t="n">
        <f aca="false">AVERAGE(C1020:C1219)</f>
        <v>10099.12925</v>
      </c>
      <c r="K1219" s="17" t="n">
        <f aca="false">MAX(K1218,C1219)</f>
        <v>19650.01</v>
      </c>
      <c r="L1219" s="25" t="n">
        <f aca="false">C1219/K1219-1</f>
        <v>-0.501272518436377</v>
      </c>
      <c r="M1219" s="25" t="n">
        <f aca="false">IF(COUNT(G1190:G1219)&lt;20,"",_xlfn.STDEV.S(G1190:G1219)*SQRT($R$3))</f>
        <v>0.794168338325586</v>
      </c>
      <c r="N1219" s="25" t="n">
        <f aca="false">IF(A1219-7&lt;$R$2,"",C1219/INDEX(Clean_Data!$C$2:$C$4314,MATCH(A1219-7,Clean_Data!$A$2:$A$4314,1))-1)</f>
        <v>0.0503762597816289</v>
      </c>
      <c r="O1219" s="25" t="n">
        <f aca="false">IF(A1219-30&lt;$R$2,"",C1219/INDEX(Clean_Data!$C$2:$C$4314,MATCH(A1219-30,Clean_Data!$A$2:$A$4314,1))-1)</f>
        <v>0.444181642682936</v>
      </c>
    </row>
    <row r="1220" customFormat="false" ht="15" hidden="false" customHeight="false" outlineLevel="0" collapsed="false">
      <c r="A1220" s="16" t="n">
        <v>43226</v>
      </c>
      <c r="B1220" s="23" t="n">
        <f aca="false">YEAR(A1220)</f>
        <v>2018</v>
      </c>
      <c r="C1220" s="17" t="n">
        <v>9600</v>
      </c>
      <c r="D1220" s="23" t="n">
        <f aca="false">A1220-A1219</f>
        <v>1</v>
      </c>
      <c r="E1220" s="24" t="n">
        <f aca="false">LN(C1220)</f>
        <v>9.16951837745593</v>
      </c>
      <c r="F1220" s="25" t="n">
        <f aca="false">LN(C1220/C1219)</f>
        <v>-0.0206192872027357</v>
      </c>
      <c r="G1220" s="25" t="n">
        <f aca="false">IF(AND(D1220=1,A1220&gt;=$R$2),F1220,"")</f>
        <v>-0.0206192872027357</v>
      </c>
      <c r="H1220" s="27" t="n">
        <f aca="false">IF(G1220="","",G1220^2)</f>
        <v>0.0004251550047489</v>
      </c>
      <c r="I1220" s="25" t="n">
        <f aca="false">IF(G1220="","",C1220/C1219-1)</f>
        <v>-0.0204081632653061</v>
      </c>
      <c r="J1220" s="17" t="n">
        <f aca="false">AVERAGE(C1021:C1220)</f>
        <v>10119.25705</v>
      </c>
      <c r="K1220" s="17" t="n">
        <f aca="false">MAX(K1219,C1220)</f>
        <v>19650.01</v>
      </c>
      <c r="L1220" s="25" t="n">
        <f aca="false">C1220/K1220-1</f>
        <v>-0.511450630305023</v>
      </c>
      <c r="M1220" s="25" t="n">
        <f aca="false">IF(COUNT(G1191:G1220)&lt;20,"",_xlfn.STDEV.S(G1191:G1220)*SQRT($R$3))</f>
        <v>0.791788406207342</v>
      </c>
      <c r="N1220" s="25" t="n">
        <f aca="false">IF(A1220-7&lt;$R$2,"",C1220/INDEX(Clean_Data!$C$2:$C$4314,MATCH(A1220-7,Clean_Data!$A$2:$A$4314,1))-1)</f>
        <v>0.0224720178165749</v>
      </c>
      <c r="O1220" s="25" t="n">
        <f aca="false">IF(A1220-30&lt;$R$2,"",C1220/INDEX(Clean_Data!$C$2:$C$4314,MATCH(A1220-30,Clean_Data!$A$2:$A$4314,1))-1)</f>
        <v>0.450367955328667</v>
      </c>
    </row>
    <row r="1221" customFormat="false" ht="15" hidden="false" customHeight="false" outlineLevel="0" collapsed="false">
      <c r="A1221" s="16" t="n">
        <v>43227</v>
      </c>
      <c r="B1221" s="23" t="n">
        <f aca="false">YEAR(A1221)</f>
        <v>2018</v>
      </c>
      <c r="C1221" s="17" t="n">
        <v>9356.25</v>
      </c>
      <c r="D1221" s="23" t="n">
        <f aca="false">A1221-A1220</f>
        <v>1</v>
      </c>
      <c r="E1221" s="24" t="n">
        <f aca="false">LN(C1221)</f>
        <v>9.14379984816794</v>
      </c>
      <c r="F1221" s="25" t="n">
        <f aca="false">LN(C1221/C1220)</f>
        <v>-0.0257185292879891</v>
      </c>
      <c r="G1221" s="25" t="n">
        <f aca="false">IF(AND(D1221=1,A1221&gt;=$R$2),F1221,"")</f>
        <v>-0.0257185292879891</v>
      </c>
      <c r="H1221" s="27" t="n">
        <f aca="false">IF(G1221="","",G1221^2)</f>
        <v>0.000661442748737154</v>
      </c>
      <c r="I1221" s="25" t="n">
        <f aca="false">IF(G1221="","",C1221/C1220-1)</f>
        <v>-0.025390625</v>
      </c>
      <c r="J1221" s="17" t="n">
        <f aca="false">AVERAGE(C1022:C1221)</f>
        <v>10137.51825</v>
      </c>
      <c r="K1221" s="17" t="n">
        <f aca="false">MAX(K1220,C1221)</f>
        <v>19650.01</v>
      </c>
      <c r="L1221" s="25" t="n">
        <f aca="false">C1221/K1221-1</f>
        <v>-0.523855204144934</v>
      </c>
      <c r="M1221" s="25" t="n">
        <f aca="false">IF(COUNT(G1192:G1221)&lt;20,"",_xlfn.STDEV.S(G1192:G1221)*SQRT($R$3))</f>
        <v>0.795782847371576</v>
      </c>
      <c r="N1221" s="25" t="n">
        <f aca="false">IF(A1221-7&lt;$R$2,"",C1221/INDEX(Clean_Data!$C$2:$C$4314,MATCH(A1221-7,Clean_Data!$A$2:$A$4314,1))-1)</f>
        <v>0.0121627206068486</v>
      </c>
      <c r="O1221" s="25" t="n">
        <f aca="false">IF(A1221-30&lt;$R$2,"",C1221/INDEX(Clean_Data!$C$2:$C$4314,MATCH(A1221-30,Clean_Data!$A$2:$A$4314,1))-1)</f>
        <v>0.357156430002277</v>
      </c>
    </row>
    <row r="1222" customFormat="false" ht="15" hidden="false" customHeight="false" outlineLevel="0" collapsed="false">
      <c r="A1222" s="16" t="n">
        <v>43228</v>
      </c>
      <c r="B1222" s="23" t="n">
        <f aca="false">YEAR(A1222)</f>
        <v>2018</v>
      </c>
      <c r="C1222" s="17" t="n">
        <v>9177.81</v>
      </c>
      <c r="D1222" s="23" t="n">
        <f aca="false">A1222-A1221</f>
        <v>1</v>
      </c>
      <c r="E1222" s="24" t="n">
        <f aca="false">LN(C1222)</f>
        <v>9.12454389306257</v>
      </c>
      <c r="F1222" s="25" t="n">
        <f aca="false">LN(C1222/C1221)</f>
        <v>-0.0192559551053679</v>
      </c>
      <c r="G1222" s="25" t="n">
        <f aca="false">IF(AND(D1222=1,A1222&gt;=$R$2),F1222,"")</f>
        <v>-0.0192559551053679</v>
      </c>
      <c r="H1222" s="27" t="n">
        <f aca="false">IF(G1222="","",G1222^2)</f>
        <v>0.000370791807019946</v>
      </c>
      <c r="I1222" s="25" t="n">
        <f aca="false">IF(G1222="","",C1222/C1221-1)</f>
        <v>-0.019071743486974</v>
      </c>
      <c r="J1222" s="17" t="n">
        <f aca="false">AVERAGE(C1023:C1222)</f>
        <v>10153.4618</v>
      </c>
      <c r="K1222" s="17" t="n">
        <f aca="false">MAX(K1221,C1222)</f>
        <v>19650.01</v>
      </c>
      <c r="L1222" s="25" t="n">
        <f aca="false">C1222/K1222-1</f>
        <v>-0.53293611555414</v>
      </c>
      <c r="M1222" s="25" t="n">
        <f aca="false">IF(COUNT(G1193:G1222)&lt;20,"",_xlfn.STDEV.S(G1193:G1222)*SQRT($R$3))</f>
        <v>0.801746885826946</v>
      </c>
      <c r="N1222" s="25" t="n">
        <f aca="false">IF(A1222-7&lt;$R$2,"",C1222/INDEX(Clean_Data!$C$2:$C$4314,MATCH(A1222-7,Clean_Data!$A$2:$A$4314,1))-1)</f>
        <v>0.0116310214951241</v>
      </c>
      <c r="O1222" s="25" t="n">
        <f aca="false">IF(A1222-30&lt;$R$2,"",C1222/INDEX(Clean_Data!$C$2:$C$4314,MATCH(A1222-30,Clean_Data!$A$2:$A$4314,1))-1)</f>
        <v>0.307378479517835</v>
      </c>
    </row>
    <row r="1223" customFormat="false" ht="15" hidden="false" customHeight="false" outlineLevel="0" collapsed="false">
      <c r="A1223" s="16" t="n">
        <v>43229</v>
      </c>
      <c r="B1223" s="23" t="n">
        <f aca="false">YEAR(A1223)</f>
        <v>2018</v>
      </c>
      <c r="C1223" s="17" t="n">
        <v>9300.08</v>
      </c>
      <c r="D1223" s="23" t="n">
        <f aca="false">A1223-A1222</f>
        <v>1</v>
      </c>
      <c r="E1223" s="24" t="n">
        <f aca="false">LN(C1223)</f>
        <v>9.13777828125489</v>
      </c>
      <c r="F1223" s="25" t="n">
        <f aca="false">LN(C1223/C1222)</f>
        <v>0.0132343881923161</v>
      </c>
      <c r="G1223" s="25" t="n">
        <f aca="false">IF(AND(D1223=1,A1223&gt;=$R$2),F1223,"")</f>
        <v>0.0132343881923161</v>
      </c>
      <c r="H1223" s="27" t="n">
        <f aca="false">IF(G1223="","",G1223^2)</f>
        <v>0.000175149030824917</v>
      </c>
      <c r="I1223" s="25" t="n">
        <f aca="false">IF(G1223="","",C1223/C1222-1)</f>
        <v>0.0133223503210462</v>
      </c>
      <c r="J1223" s="17" t="n">
        <f aca="false">AVERAGE(C1024:C1223)</f>
        <v>10169.8379</v>
      </c>
      <c r="K1223" s="17" t="n">
        <f aca="false">MAX(K1222,C1223)</f>
        <v>19650.01</v>
      </c>
      <c r="L1223" s="25" t="n">
        <f aca="false">C1223/K1223-1</f>
        <v>-0.526713726863243</v>
      </c>
      <c r="M1223" s="25" t="n">
        <f aca="false">IF(COUNT(G1194:G1223)&lt;20,"",_xlfn.STDEV.S(G1194:G1223)*SQRT($R$3))</f>
        <v>0.785167424909531</v>
      </c>
      <c r="N1223" s="25" t="n">
        <f aca="false">IF(A1223-7&lt;$R$2,"",C1223/INDEX(Clean_Data!$C$2:$C$4314,MATCH(A1223-7,Clean_Data!$A$2:$A$4314,1))-1)</f>
        <v>0.0119253836578721</v>
      </c>
      <c r="O1223" s="25" t="n">
        <f aca="false">IF(A1223-30&lt;$R$2,"",C1223/INDEX(Clean_Data!$C$2:$C$4314,MATCH(A1223-30,Clean_Data!$A$2:$A$4314,1))-1)</f>
        <v>0.373490096926215</v>
      </c>
    </row>
    <row r="1224" customFormat="false" ht="15" hidden="false" customHeight="false" outlineLevel="0" collapsed="false">
      <c r="A1224" s="16" t="n">
        <v>43230</v>
      </c>
      <c r="B1224" s="23" t="n">
        <f aca="false">YEAR(A1224)</f>
        <v>2018</v>
      </c>
      <c r="C1224" s="17" t="n">
        <v>9010.51</v>
      </c>
      <c r="D1224" s="23" t="n">
        <f aca="false">A1224-A1223</f>
        <v>1</v>
      </c>
      <c r="E1224" s="24" t="n">
        <f aca="false">LN(C1224)</f>
        <v>9.10614695277404</v>
      </c>
      <c r="F1224" s="25" t="n">
        <f aca="false">LN(C1224/C1223)</f>
        <v>-0.0316313284808512</v>
      </c>
      <c r="G1224" s="25" t="n">
        <f aca="false">IF(AND(D1224=1,A1224&gt;=$R$2),F1224,"")</f>
        <v>-0.0316313284808512</v>
      </c>
      <c r="H1224" s="27" t="n">
        <f aca="false">IF(G1224="","",G1224^2)</f>
        <v>0.00100054094146351</v>
      </c>
      <c r="I1224" s="25" t="n">
        <f aca="false">IF(G1224="","",C1224/C1223-1)</f>
        <v>-0.0311362913007199</v>
      </c>
      <c r="J1224" s="17" t="n">
        <f aca="false">AVERAGE(C1025:C1224)</f>
        <v>10184.8652</v>
      </c>
      <c r="K1224" s="17" t="n">
        <f aca="false">MAX(K1223,C1224)</f>
        <v>19650.01</v>
      </c>
      <c r="L1224" s="25" t="n">
        <f aca="false">C1224/K1224-1</f>
        <v>-0.541450106132261</v>
      </c>
      <c r="M1224" s="25" t="n">
        <f aca="false">IF(COUNT(G1195:G1224)&lt;20,"",_xlfn.STDEV.S(G1195:G1224)*SQRT($R$3))</f>
        <v>0.798853679350493</v>
      </c>
      <c r="N1224" s="25" t="n">
        <f aca="false">IF(A1224-7&lt;$R$2,"",C1224/INDEX(Clean_Data!$C$2:$C$4314,MATCH(A1224-7,Clean_Data!$A$2:$A$4314,1))-1)</f>
        <v>-0.0735399054467835</v>
      </c>
      <c r="O1224" s="25" t="n">
        <f aca="false">IF(A1224-30&lt;$R$2,"",C1224/INDEX(Clean_Data!$C$2:$C$4314,MATCH(A1224-30,Clean_Data!$A$2:$A$4314,1))-1)</f>
        <v>0.320223179814183</v>
      </c>
    </row>
    <row r="1225" customFormat="false" ht="15" hidden="false" customHeight="false" outlineLevel="0" collapsed="false">
      <c r="A1225" s="16" t="n">
        <v>43231</v>
      </c>
      <c r="B1225" s="23" t="n">
        <f aca="false">YEAR(A1225)</f>
        <v>2018</v>
      </c>
      <c r="C1225" s="17" t="n">
        <v>8403.33</v>
      </c>
      <c r="D1225" s="23" t="n">
        <f aca="false">A1225-A1224</f>
        <v>1</v>
      </c>
      <c r="E1225" s="24" t="n">
        <f aca="false">LN(C1225)</f>
        <v>9.03638333484579</v>
      </c>
      <c r="F1225" s="25" t="n">
        <f aca="false">LN(C1225/C1224)</f>
        <v>-0.0697636179282471</v>
      </c>
      <c r="G1225" s="25" t="n">
        <f aca="false">IF(AND(D1225=1,A1225&gt;=$R$2),F1225,"")</f>
        <v>-0.0697636179282471</v>
      </c>
      <c r="H1225" s="27" t="n">
        <f aca="false">IF(G1225="","",G1225^2)</f>
        <v>0.00486696238643844</v>
      </c>
      <c r="I1225" s="25" t="n">
        <f aca="false">IF(G1225="","",C1225/C1224-1)</f>
        <v>-0.067385752859716</v>
      </c>
      <c r="J1225" s="17" t="n">
        <f aca="false">AVERAGE(C1026:C1225)</f>
        <v>10197.3519</v>
      </c>
      <c r="K1225" s="17" t="n">
        <f aca="false">MAX(K1224,C1225)</f>
        <v>19650.01</v>
      </c>
      <c r="L1225" s="25" t="n">
        <f aca="false">C1225/K1225-1</f>
        <v>-0.572349835954282</v>
      </c>
      <c r="M1225" s="25" t="n">
        <f aca="false">IF(COUNT(G1196:G1225)&lt;20,"",_xlfn.STDEV.S(G1196:G1225)*SQRT($R$3))</f>
        <v>0.844283308032827</v>
      </c>
      <c r="N1225" s="25" t="n">
        <f aca="false">IF(A1225-7&lt;$R$2,"",C1225/INDEX(Clean_Data!$C$2:$C$4314,MATCH(A1225-7,Clean_Data!$A$2:$A$4314,1))-1)</f>
        <v>-0.132335570469799</v>
      </c>
      <c r="O1225" s="25" t="n">
        <f aca="false">IF(A1225-30&lt;$R$2,"",C1225/INDEX(Clean_Data!$C$2:$C$4314,MATCH(A1225-30,Clean_Data!$A$2:$A$4314,1))-1)</f>
        <v>0.210333012146064</v>
      </c>
    </row>
    <row r="1226" customFormat="false" ht="15" hidden="false" customHeight="false" outlineLevel="0" collapsed="false">
      <c r="A1226" s="16" t="n">
        <v>43232</v>
      </c>
      <c r="B1226" s="23" t="n">
        <f aca="false">YEAR(A1226)</f>
        <v>2018</v>
      </c>
      <c r="C1226" s="17" t="n">
        <v>8475</v>
      </c>
      <c r="D1226" s="23" t="n">
        <f aca="false">A1226-A1225</f>
        <v>1</v>
      </c>
      <c r="E1226" s="24" t="n">
        <f aca="false">LN(C1226)</f>
        <v>9.04487593224865</v>
      </c>
      <c r="F1226" s="25" t="n">
        <f aca="false">LN(C1226/C1225)</f>
        <v>0.00849259740286277</v>
      </c>
      <c r="G1226" s="25" t="n">
        <f aca="false">IF(AND(D1226=1,A1226&gt;=$R$2),F1226,"")</f>
        <v>0.00849259740286277</v>
      </c>
      <c r="H1226" s="27" t="n">
        <f aca="false">IF(G1226="","",G1226^2)</f>
        <v>7.21242106471114E-005</v>
      </c>
      <c r="I1226" s="25" t="n">
        <f aca="false">IF(G1226="","",C1226/C1225-1)</f>
        <v>0.00852876181228157</v>
      </c>
      <c r="J1226" s="17" t="n">
        <f aca="false">AVERAGE(C1027:C1226)</f>
        <v>10212.09975</v>
      </c>
      <c r="K1226" s="17" t="n">
        <f aca="false">MAX(K1225,C1226)</f>
        <v>19650.01</v>
      </c>
      <c r="L1226" s="25" t="n">
        <f aca="false">C1226/K1226-1</f>
        <v>-0.568702509566153</v>
      </c>
      <c r="M1226" s="25" t="n">
        <f aca="false">IF(COUNT(G1197:G1226)&lt;20,"",_xlfn.STDEV.S(G1197:G1226)*SQRT($R$3))</f>
        <v>0.714533983750853</v>
      </c>
      <c r="N1226" s="25" t="n">
        <f aca="false">IF(A1226-7&lt;$R$2,"",C1226/INDEX(Clean_Data!$C$2:$C$4314,MATCH(A1226-7,Clean_Data!$A$2:$A$4314,1))-1)</f>
        <v>-0.135204081632653</v>
      </c>
      <c r="O1226" s="25" t="n">
        <f aca="false">IF(A1226-30&lt;$R$2,"",C1226/INDEX(Clean_Data!$C$2:$C$4314,MATCH(A1226-30,Clean_Data!$A$2:$A$4314,1))-1)</f>
        <v>0.0706164729661445</v>
      </c>
    </row>
    <row r="1227" customFormat="false" ht="15" hidden="false" customHeight="false" outlineLevel="0" collapsed="false">
      <c r="A1227" s="16" t="n">
        <v>43233</v>
      </c>
      <c r="B1227" s="23" t="n">
        <f aca="false">YEAR(A1227)</f>
        <v>2018</v>
      </c>
      <c r="C1227" s="17" t="n">
        <v>8686.1</v>
      </c>
      <c r="D1227" s="23" t="n">
        <f aca="false">A1227-A1226</f>
        <v>1</v>
      </c>
      <c r="E1227" s="24" t="n">
        <f aca="false">LN(C1227)</f>
        <v>9.06947932580768</v>
      </c>
      <c r="F1227" s="25" t="n">
        <f aca="false">LN(C1227/C1226)</f>
        <v>0.0246033935590295</v>
      </c>
      <c r="G1227" s="25" t="n">
        <f aca="false">IF(AND(D1227=1,A1227&gt;=$R$2),F1227,"")</f>
        <v>0.0246033935590295</v>
      </c>
      <c r="H1227" s="27" t="n">
        <f aca="false">IF(G1227="","",G1227^2)</f>
        <v>0.000605326974620495</v>
      </c>
      <c r="I1227" s="25" t="n">
        <f aca="false">IF(G1227="","",C1227/C1226-1)</f>
        <v>0.0249085545722714</v>
      </c>
      <c r="J1227" s="17" t="n">
        <f aca="false">AVERAGE(C1028:C1227)</f>
        <v>10226.8304</v>
      </c>
      <c r="K1227" s="17" t="n">
        <f aca="false">MAX(K1226,C1227)</f>
        <v>19650.01</v>
      </c>
      <c r="L1227" s="25" t="n">
        <f aca="false">C1227/K1227-1</f>
        <v>-0.557959512488798</v>
      </c>
      <c r="M1227" s="25" t="n">
        <f aca="false">IF(COUNT(G1198:G1227)&lt;20,"",_xlfn.STDEV.S(G1198:G1227)*SQRT($R$3))</f>
        <v>0.718457991453981</v>
      </c>
      <c r="N1227" s="25" t="n">
        <f aca="false">IF(A1227-7&lt;$R$2,"",C1227/INDEX(Clean_Data!$C$2:$C$4314,MATCH(A1227-7,Clean_Data!$A$2:$A$4314,1))-1)</f>
        <v>-0.0951979166666667</v>
      </c>
      <c r="O1227" s="25" t="n">
        <f aca="false">IF(A1227-30&lt;$R$2,"",C1227/INDEX(Clean_Data!$C$2:$C$4314,MATCH(A1227-30,Clean_Data!$A$2:$A$4314,1))-1)</f>
        <v>0.100454949139702</v>
      </c>
    </row>
    <row r="1228" customFormat="false" ht="15" hidden="false" customHeight="false" outlineLevel="0" collapsed="false">
      <c r="A1228" s="16" t="n">
        <v>43234</v>
      </c>
      <c r="B1228" s="23" t="n">
        <f aca="false">YEAR(A1228)</f>
        <v>2018</v>
      </c>
      <c r="C1228" s="17" t="n">
        <v>8670</v>
      </c>
      <c r="D1228" s="23" t="n">
        <f aca="false">A1228-A1227</f>
        <v>1</v>
      </c>
      <c r="E1228" s="24" t="n">
        <f aca="false">LN(C1228)</f>
        <v>9.06762406977459</v>
      </c>
      <c r="F1228" s="25" t="n">
        <f aca="false">LN(C1228/C1227)</f>
        <v>-0.001855256033093</v>
      </c>
      <c r="G1228" s="25" t="n">
        <f aca="false">IF(AND(D1228=1,A1228&gt;=$R$2),F1228,"")</f>
        <v>-0.001855256033093</v>
      </c>
      <c r="H1228" s="27" t="n">
        <f aca="false">IF(G1228="","",G1228^2)</f>
        <v>3.44197494832799E-006</v>
      </c>
      <c r="I1228" s="25" t="n">
        <f aca="false">IF(G1228="","",C1228/C1227-1)</f>
        <v>-0.00185353610941619</v>
      </c>
      <c r="J1228" s="17" t="n">
        <f aca="false">AVERAGE(C1029:C1228)</f>
        <v>10240.72235</v>
      </c>
      <c r="K1228" s="17" t="n">
        <f aca="false">MAX(K1227,C1228)</f>
        <v>19650.01</v>
      </c>
      <c r="L1228" s="25" t="n">
        <f aca="false">C1228/K1228-1</f>
        <v>-0.558778850494224</v>
      </c>
      <c r="M1228" s="25" t="n">
        <f aca="false">IF(COUNT(G1199:G1228)&lt;20,"",_xlfn.STDEV.S(G1199:G1228)*SQRT($R$3))</f>
        <v>0.717617249990241</v>
      </c>
      <c r="N1228" s="25" t="n">
        <f aca="false">IF(A1228-7&lt;$R$2,"",C1228/INDEX(Clean_Data!$C$2:$C$4314,MATCH(A1228-7,Clean_Data!$A$2:$A$4314,1))-1)</f>
        <v>-0.0733466933867736</v>
      </c>
      <c r="O1228" s="25" t="n">
        <f aca="false">IF(A1228-30&lt;$R$2,"",C1228/INDEX(Clean_Data!$C$2:$C$4314,MATCH(A1228-30,Clean_Data!$A$2:$A$4314,1))-1)</f>
        <v>0.083328855907266</v>
      </c>
    </row>
    <row r="1229" customFormat="false" ht="15" hidden="false" customHeight="false" outlineLevel="0" collapsed="false">
      <c r="A1229" s="16" t="n">
        <v>43235</v>
      </c>
      <c r="B1229" s="23" t="n">
        <f aca="false">YEAR(A1229)</f>
        <v>2018</v>
      </c>
      <c r="C1229" s="17" t="n">
        <v>8477.46</v>
      </c>
      <c r="D1229" s="23" t="n">
        <f aca="false">A1229-A1228</f>
        <v>1</v>
      </c>
      <c r="E1229" s="24" t="n">
        <f aca="false">LN(C1229)</f>
        <v>9.0451661556165</v>
      </c>
      <c r="F1229" s="25" t="n">
        <f aca="false">LN(C1229/C1228)</f>
        <v>-0.0224579141580871</v>
      </c>
      <c r="G1229" s="25" t="n">
        <f aca="false">IF(AND(D1229=1,A1229&gt;=$R$2),F1229,"")</f>
        <v>-0.0224579141580871</v>
      </c>
      <c r="H1229" s="27" t="n">
        <f aca="false">IF(G1229="","",G1229^2)</f>
        <v>0.00050435790833201</v>
      </c>
      <c r="I1229" s="25" t="n">
        <f aca="false">IF(G1229="","",C1229/C1228-1)</f>
        <v>-0.0222076124567475</v>
      </c>
      <c r="J1229" s="17" t="n">
        <f aca="false">AVERAGE(C1030:C1229)</f>
        <v>10254.20965</v>
      </c>
      <c r="K1229" s="17" t="n">
        <f aca="false">MAX(K1228,C1229)</f>
        <v>19650.01</v>
      </c>
      <c r="L1229" s="25" t="n">
        <f aca="false">C1229/K1229-1</f>
        <v>-0.568577318790169</v>
      </c>
      <c r="M1229" s="25" t="n">
        <f aca="false">IF(COUNT(G1200:G1229)&lt;20,"",_xlfn.STDEV.S(G1200:G1229)*SQRT($R$3))</f>
        <v>0.707520256387506</v>
      </c>
      <c r="N1229" s="25" t="n">
        <f aca="false">IF(A1229-7&lt;$R$2,"",C1229/INDEX(Clean_Data!$C$2:$C$4314,MATCH(A1229-7,Clean_Data!$A$2:$A$4314,1))-1)</f>
        <v>-0.0763090541207544</v>
      </c>
      <c r="O1229" s="25" t="n">
        <f aca="false">IF(A1229-30&lt;$R$2,"",C1229/INDEX(Clean_Data!$C$2:$C$4314,MATCH(A1229-30,Clean_Data!$A$2:$A$4314,1))-1)</f>
        <v>0.0146267316956403</v>
      </c>
    </row>
    <row r="1230" customFormat="false" ht="15" hidden="false" customHeight="false" outlineLevel="0" collapsed="false">
      <c r="A1230" s="16" t="n">
        <v>43236</v>
      </c>
      <c r="B1230" s="23" t="n">
        <f aca="false">YEAR(A1230)</f>
        <v>2018</v>
      </c>
      <c r="C1230" s="17" t="n">
        <v>8344</v>
      </c>
      <c r="D1230" s="23" t="n">
        <f aca="false">A1230-A1229</f>
        <v>1</v>
      </c>
      <c r="E1230" s="24" t="n">
        <f aca="false">LN(C1230)</f>
        <v>9.02929799668061</v>
      </c>
      <c r="F1230" s="25" t="n">
        <f aca="false">LN(C1230/C1229)</f>
        <v>-0.015868158935892</v>
      </c>
      <c r="G1230" s="25" t="n">
        <f aca="false">IF(AND(D1230=1,A1230&gt;=$R$2),F1230,"")</f>
        <v>-0.015868158935892</v>
      </c>
      <c r="H1230" s="27" t="n">
        <f aca="false">IF(G1230="","",G1230^2)</f>
        <v>0.000251798468014729</v>
      </c>
      <c r="I1230" s="25" t="n">
        <f aca="false">IF(G1230="","",C1230/C1229-1)</f>
        <v>-0.015742922998162</v>
      </c>
      <c r="J1230" s="17" t="n">
        <f aca="false">AVERAGE(C1031:C1230)</f>
        <v>10267.1696</v>
      </c>
      <c r="K1230" s="17" t="n">
        <f aca="false">MAX(K1229,C1230)</f>
        <v>19650.01</v>
      </c>
      <c r="L1230" s="25" t="n">
        <f aca="false">C1230/K1230-1</f>
        <v>-0.575369172840116</v>
      </c>
      <c r="M1230" s="25" t="n">
        <f aca="false">IF(COUNT(G1201:G1230)&lt;20,"",_xlfn.STDEV.S(G1201:G1230)*SQRT($R$3))</f>
        <v>0.696950373821205</v>
      </c>
      <c r="N1230" s="25" t="n">
        <f aca="false">IF(A1230-7&lt;$R$2,"",C1230/INDEX(Clean_Data!$C$2:$C$4314,MATCH(A1230-7,Clean_Data!$A$2:$A$4314,1))-1)</f>
        <v>-0.102803416744802</v>
      </c>
      <c r="O1230" s="25" t="n">
        <f aca="false">IF(A1230-30&lt;$R$2,"",C1230/INDEX(Clean_Data!$C$2:$C$4314,MATCH(A1230-30,Clean_Data!$A$2:$A$4314,1))-1)</f>
        <v>0.0366595311426488</v>
      </c>
    </row>
    <row r="1231" customFormat="false" ht="15" hidden="false" customHeight="false" outlineLevel="0" collapsed="false">
      <c r="A1231" s="16" t="n">
        <v>43237</v>
      </c>
      <c r="B1231" s="23" t="n">
        <f aca="false">YEAR(A1231)</f>
        <v>2018</v>
      </c>
      <c r="C1231" s="17" t="n">
        <v>8059</v>
      </c>
      <c r="D1231" s="23" t="n">
        <f aca="false">A1231-A1230</f>
        <v>1</v>
      </c>
      <c r="E1231" s="24" t="n">
        <f aca="false">LN(C1231)</f>
        <v>8.99454475832451</v>
      </c>
      <c r="F1231" s="25" t="n">
        <f aca="false">LN(C1231/C1230)</f>
        <v>-0.034753238356097</v>
      </c>
      <c r="G1231" s="25" t="n">
        <f aca="false">IF(AND(D1231=1,A1231&gt;=$R$2),F1231,"")</f>
        <v>-0.034753238356097</v>
      </c>
      <c r="H1231" s="27" t="n">
        <f aca="false">IF(G1231="","",G1231^2)</f>
        <v>0.00120778757623569</v>
      </c>
      <c r="I1231" s="25" t="n">
        <f aca="false">IF(G1231="","",C1231/C1230-1)</f>
        <v>-0.0341562799616491</v>
      </c>
      <c r="J1231" s="17" t="n">
        <f aca="false">AVERAGE(C1032:C1231)</f>
        <v>10276.76455</v>
      </c>
      <c r="K1231" s="17" t="n">
        <f aca="false">MAX(K1230,C1231)</f>
        <v>19650.01</v>
      </c>
      <c r="L1231" s="25" t="n">
        <f aca="false">C1231/K1231-1</f>
        <v>-0.589872982252935</v>
      </c>
      <c r="M1231" s="25" t="n">
        <f aca="false">IF(COUNT(G1202:G1231)&lt;20,"",_xlfn.STDEV.S(G1202:G1231)*SQRT($R$3))</f>
        <v>0.704576644337219</v>
      </c>
      <c r="N1231" s="25" t="n">
        <f aca="false">IF(A1231-7&lt;$R$2,"",C1231/INDEX(Clean_Data!$C$2:$C$4314,MATCH(A1231-7,Clean_Data!$A$2:$A$4314,1))-1)</f>
        <v>-0.105600015981337</v>
      </c>
      <c r="O1231" s="25" t="n">
        <f aca="false">IF(A1231-30&lt;$R$2,"",C1231/INDEX(Clean_Data!$C$2:$C$4314,MATCH(A1231-30,Clean_Data!$A$2:$A$4314,1))-1)</f>
        <v>0.0211477300084895</v>
      </c>
    </row>
    <row r="1232" customFormat="false" ht="15" hidden="false" customHeight="false" outlineLevel="0" collapsed="false">
      <c r="A1232" s="16" t="n">
        <v>43238</v>
      </c>
      <c r="B1232" s="23" t="n">
        <f aca="false">YEAR(A1232)</f>
        <v>2018</v>
      </c>
      <c r="C1232" s="17" t="n">
        <v>8238.51</v>
      </c>
      <c r="D1232" s="23" t="n">
        <f aca="false">A1232-A1231</f>
        <v>1</v>
      </c>
      <c r="E1232" s="24" t="n">
        <f aca="false">LN(C1232)</f>
        <v>9.01657478130994</v>
      </c>
      <c r="F1232" s="25" t="n">
        <f aca="false">LN(C1232/C1231)</f>
        <v>0.0220300229854322</v>
      </c>
      <c r="G1232" s="25" t="n">
        <f aca="false">IF(AND(D1232=1,A1232&gt;=$R$2),F1232,"")</f>
        <v>0.0220300229854322</v>
      </c>
      <c r="H1232" s="27" t="n">
        <f aca="false">IF(G1232="","",G1232^2)</f>
        <v>0.000485321912738672</v>
      </c>
      <c r="I1232" s="25" t="n">
        <f aca="false">IF(G1232="","",C1232/C1231-1)</f>
        <v>0.0222744757414071</v>
      </c>
      <c r="J1232" s="17" t="n">
        <f aca="false">AVERAGE(C1033:C1232)</f>
        <v>10287.3363</v>
      </c>
      <c r="K1232" s="17" t="n">
        <f aca="false">MAX(K1231,C1232)</f>
        <v>19650.01</v>
      </c>
      <c r="L1232" s="25" t="n">
        <f aca="false">C1232/K1232-1</f>
        <v>-0.580737617945233</v>
      </c>
      <c r="M1232" s="25" t="n">
        <f aca="false">IF(COUNT(G1203:G1232)&lt;20,"",_xlfn.STDEV.S(G1203:G1232)*SQRT($R$3))</f>
        <v>0.699610824048054</v>
      </c>
      <c r="N1232" s="25" t="n">
        <f aca="false">IF(A1232-7&lt;$R$2,"",C1232/INDEX(Clean_Data!$C$2:$C$4314,MATCH(A1232-7,Clean_Data!$A$2:$A$4314,1))-1)</f>
        <v>-0.0196136531589263</v>
      </c>
      <c r="O1232" s="25" t="n">
        <f aca="false">IF(A1232-30&lt;$R$2,"",C1232/INDEX(Clean_Data!$C$2:$C$4314,MATCH(A1232-30,Clean_Data!$A$2:$A$4314,1))-1)</f>
        <v>0.0106059212100025</v>
      </c>
    </row>
    <row r="1233" customFormat="false" ht="15" hidden="false" customHeight="false" outlineLevel="0" collapsed="false">
      <c r="A1233" s="16" t="n">
        <v>43239</v>
      </c>
      <c r="B1233" s="23" t="n">
        <f aca="false">YEAR(A1233)</f>
        <v>2018</v>
      </c>
      <c r="C1233" s="17" t="n">
        <v>8235.6</v>
      </c>
      <c r="D1233" s="23" t="n">
        <f aca="false">A1233-A1232</f>
        <v>1</v>
      </c>
      <c r="E1233" s="24" t="n">
        <f aca="false">LN(C1233)</f>
        <v>9.01622149970259</v>
      </c>
      <c r="F1233" s="25" t="n">
        <f aca="false">LN(C1233/C1232)</f>
        <v>-0.000353281607354348</v>
      </c>
      <c r="G1233" s="25" t="n">
        <f aca="false">IF(AND(D1233=1,A1233&gt;=$R$2),F1233,"")</f>
        <v>-0.000353281607354348</v>
      </c>
      <c r="H1233" s="27" t="n">
        <f aca="false">IF(G1233="","",G1233^2)</f>
        <v>1.24807894094871E-007</v>
      </c>
      <c r="I1233" s="25" t="n">
        <f aca="false">IF(G1233="","",C1233/C1232-1)</f>
        <v>-0.000353219210755373</v>
      </c>
      <c r="J1233" s="17" t="n">
        <f aca="false">AVERAGE(C1034:C1233)</f>
        <v>10296.28925</v>
      </c>
      <c r="K1233" s="17" t="n">
        <f aca="false">MAX(K1232,C1233)</f>
        <v>19650.01</v>
      </c>
      <c r="L1233" s="25" t="n">
        <f aca="false">C1233/K1233-1</f>
        <v>-0.580885709472921</v>
      </c>
      <c r="M1233" s="25" t="n">
        <f aca="false">IF(COUNT(G1204:G1233)&lt;20,"",_xlfn.STDEV.S(G1204:G1233)*SQRT($R$3))</f>
        <v>0.697652822564348</v>
      </c>
      <c r="N1233" s="25" t="n">
        <f aca="false">IF(A1233-7&lt;$R$2,"",C1233/INDEX(Clean_Data!$C$2:$C$4314,MATCH(A1233-7,Clean_Data!$A$2:$A$4314,1))-1)</f>
        <v>-0.0282477876106194</v>
      </c>
      <c r="O1233" s="25" t="n">
        <f aca="false">IF(A1233-30&lt;$R$2,"",C1233/INDEX(Clean_Data!$C$2:$C$4314,MATCH(A1233-30,Clean_Data!$A$2:$A$4314,1))-1)</f>
        <v>-0.00464104423495282</v>
      </c>
    </row>
    <row r="1234" customFormat="false" ht="15" hidden="false" customHeight="false" outlineLevel="0" collapsed="false">
      <c r="A1234" s="16" t="n">
        <v>43240</v>
      </c>
      <c r="B1234" s="23" t="n">
        <f aca="false">YEAR(A1234)</f>
        <v>2018</v>
      </c>
      <c r="C1234" s="17" t="n">
        <v>8516.86</v>
      </c>
      <c r="D1234" s="23" t="n">
        <f aca="false">A1234-A1233</f>
        <v>1</v>
      </c>
      <c r="E1234" s="24" t="n">
        <f aca="false">LN(C1234)</f>
        <v>9.04980300729317</v>
      </c>
      <c r="F1234" s="25" t="n">
        <f aca="false">LN(C1234/C1233)</f>
        <v>0.0335815075905812</v>
      </c>
      <c r="G1234" s="25" t="n">
        <f aca="false">IF(AND(D1234=1,A1234&gt;=$R$2),F1234,"")</f>
        <v>0.0335815075905812</v>
      </c>
      <c r="H1234" s="27" t="n">
        <f aca="false">IF(G1234="","",G1234^2)</f>
        <v>0.00112771765205626</v>
      </c>
      <c r="I1234" s="25" t="n">
        <f aca="false">IF(G1234="","",C1234/C1233-1)</f>
        <v>0.0341517315071154</v>
      </c>
      <c r="J1234" s="17" t="n">
        <f aca="false">AVERAGE(C1035:C1234)</f>
        <v>10304.9551</v>
      </c>
      <c r="K1234" s="17" t="n">
        <f aca="false">MAX(K1233,C1234)</f>
        <v>19650.01</v>
      </c>
      <c r="L1234" s="25" t="n">
        <f aca="false">C1234/K1234-1</f>
        <v>-0.566572230752045</v>
      </c>
      <c r="M1234" s="25" t="n">
        <f aca="false">IF(COUNT(G1205:G1234)&lt;20,"",_xlfn.STDEV.S(G1205:G1234)*SQRT($R$3))</f>
        <v>0.663388591054714</v>
      </c>
      <c r="N1234" s="25" t="n">
        <f aca="false">IF(A1234-7&lt;$R$2,"",C1234/INDEX(Clean_Data!$C$2:$C$4314,MATCH(A1234-7,Clean_Data!$A$2:$A$4314,1))-1)</f>
        <v>-0.0194840031774904</v>
      </c>
      <c r="O1234" s="25" t="n">
        <f aca="false">IF(A1234-30&lt;$R$2,"",C1234/INDEX(Clean_Data!$C$2:$C$4314,MATCH(A1234-30,Clean_Data!$A$2:$A$4314,1))-1)</f>
        <v>-0.0394089058871431</v>
      </c>
    </row>
    <row r="1235" customFormat="false" ht="15" hidden="false" customHeight="false" outlineLevel="0" collapsed="false">
      <c r="A1235" s="16" t="n">
        <v>43241</v>
      </c>
      <c r="B1235" s="23" t="n">
        <f aca="false">YEAR(A1235)</f>
        <v>2018</v>
      </c>
      <c r="C1235" s="17" t="n">
        <v>8393.44</v>
      </c>
      <c r="D1235" s="23" t="n">
        <f aca="false">A1235-A1234</f>
        <v>1</v>
      </c>
      <c r="E1235" s="24" t="n">
        <f aca="false">LN(C1235)</f>
        <v>9.03520572734828</v>
      </c>
      <c r="F1235" s="25" t="n">
        <f aca="false">LN(C1235/C1234)</f>
        <v>-0.0145972799448857</v>
      </c>
      <c r="G1235" s="25" t="n">
        <f aca="false">IF(AND(D1235=1,A1235&gt;=$R$2),F1235,"")</f>
        <v>-0.0145972799448857</v>
      </c>
      <c r="H1235" s="27" t="n">
        <f aca="false">IF(G1235="","",G1235^2)</f>
        <v>0.000213080581789363</v>
      </c>
      <c r="I1235" s="25" t="n">
        <f aca="false">IF(G1235="","",C1235/C1234-1)</f>
        <v>-0.0144912561671789</v>
      </c>
      <c r="J1235" s="17" t="n">
        <f aca="false">AVERAGE(C1036:C1235)</f>
        <v>10311.7224</v>
      </c>
      <c r="K1235" s="17" t="n">
        <f aca="false">MAX(K1234,C1235)</f>
        <v>19650.01</v>
      </c>
      <c r="L1235" s="25" t="n">
        <f aca="false">C1235/K1235-1</f>
        <v>-0.572853143586186</v>
      </c>
      <c r="M1235" s="25" t="n">
        <f aca="false">IF(COUNT(G1206:G1235)&lt;20,"",_xlfn.STDEV.S(G1206:G1235)*SQRT($R$3))</f>
        <v>0.664479319780144</v>
      </c>
      <c r="N1235" s="25" t="n">
        <f aca="false">IF(A1235-7&lt;$R$2,"",C1235/INDEX(Clean_Data!$C$2:$C$4314,MATCH(A1235-7,Clean_Data!$A$2:$A$4314,1))-1)</f>
        <v>-0.0318985005767012</v>
      </c>
      <c r="O1235" s="25" t="n">
        <f aca="false">IF(A1235-30&lt;$R$2,"",C1235/INDEX(Clean_Data!$C$2:$C$4314,MATCH(A1235-30,Clean_Data!$A$2:$A$4314,1))-1)</f>
        <v>-0.0585479988604014</v>
      </c>
    </row>
    <row r="1236" customFormat="false" ht="15" hidden="false" customHeight="false" outlineLevel="0" collapsed="false">
      <c r="A1236" s="16" t="n">
        <v>43242</v>
      </c>
      <c r="B1236" s="23" t="n">
        <f aca="false">YEAR(A1236)</f>
        <v>2018</v>
      </c>
      <c r="C1236" s="17" t="n">
        <v>7987.7</v>
      </c>
      <c r="D1236" s="23" t="n">
        <f aca="false">A1236-A1235</f>
        <v>1</v>
      </c>
      <c r="E1236" s="24" t="n">
        <f aca="false">LN(C1236)</f>
        <v>8.98565813749595</v>
      </c>
      <c r="F1236" s="25" t="n">
        <f aca="false">LN(C1236/C1235)</f>
        <v>-0.0495475898523375</v>
      </c>
      <c r="G1236" s="25" t="n">
        <f aca="false">IF(AND(D1236=1,A1236&gt;=$R$2),F1236,"")</f>
        <v>-0.0495475898523375</v>
      </c>
      <c r="H1236" s="27" t="n">
        <f aca="false">IF(G1236="","",G1236^2)</f>
        <v>0.00245496366017546</v>
      </c>
      <c r="I1236" s="25" t="n">
        <f aca="false">IF(G1236="","",C1236/C1235-1)</f>
        <v>-0.0483401322937914</v>
      </c>
      <c r="J1236" s="17" t="n">
        <f aca="false">AVERAGE(C1037:C1236)</f>
        <v>10315.81085</v>
      </c>
      <c r="K1236" s="17" t="n">
        <f aca="false">MAX(K1235,C1236)</f>
        <v>19650.01</v>
      </c>
      <c r="L1236" s="25" t="n">
        <f aca="false">C1236/K1236-1</f>
        <v>-0.593501479134107</v>
      </c>
      <c r="M1236" s="25" t="n">
        <f aca="false">IF(COUNT(G1207:G1236)&lt;20,"",_xlfn.STDEV.S(G1207:G1236)*SQRT($R$3))</f>
        <v>0.683916761367522</v>
      </c>
      <c r="N1236" s="25" t="n">
        <f aca="false">IF(A1236-7&lt;$R$2,"",C1236/INDEX(Clean_Data!$C$2:$C$4314,MATCH(A1236-7,Clean_Data!$A$2:$A$4314,1))-1)</f>
        <v>-0.0577720213365796</v>
      </c>
      <c r="O1236" s="25" t="n">
        <f aca="false">IF(A1236-30&lt;$R$2,"",C1236/INDEX(Clean_Data!$C$2:$C$4314,MATCH(A1236-30,Clean_Data!$A$2:$A$4314,1))-1)</f>
        <v>-0.0917918228631918</v>
      </c>
    </row>
    <row r="1237" customFormat="false" ht="15" hidden="false" customHeight="false" outlineLevel="0" collapsed="false">
      <c r="A1237" s="16" t="n">
        <v>43243</v>
      </c>
      <c r="B1237" s="23" t="n">
        <f aca="false">YEAR(A1237)</f>
        <v>2018</v>
      </c>
      <c r="C1237" s="17" t="n">
        <v>7505</v>
      </c>
      <c r="D1237" s="23" t="n">
        <f aca="false">A1237-A1236</f>
        <v>1</v>
      </c>
      <c r="E1237" s="24" t="n">
        <f aca="false">LN(C1237)</f>
        <v>8.92332474406756</v>
      </c>
      <c r="F1237" s="25" t="n">
        <f aca="false">LN(C1237/C1236)</f>
        <v>-0.062333393428385</v>
      </c>
      <c r="G1237" s="25" t="n">
        <f aca="false">IF(AND(D1237=1,A1237&gt;=$R$2),F1237,"")</f>
        <v>-0.062333393428385</v>
      </c>
      <c r="H1237" s="27" t="n">
        <f aca="false">IF(G1237="","",G1237^2)</f>
        <v>0.00388545193629783</v>
      </c>
      <c r="I1237" s="25" t="n">
        <f aca="false">IF(G1237="","",C1237/C1236-1)</f>
        <v>-0.0604304117580781</v>
      </c>
      <c r="J1237" s="17" t="n">
        <f aca="false">AVERAGE(C1038:C1237)</f>
        <v>10316.2731</v>
      </c>
      <c r="K1237" s="17" t="n">
        <f aca="false">MAX(K1236,C1237)</f>
        <v>19650.01</v>
      </c>
      <c r="L1237" s="25" t="n">
        <f aca="false">C1237/K1237-1</f>
        <v>-0.618066352129083</v>
      </c>
      <c r="M1237" s="25" t="n">
        <f aca="false">IF(COUNT(G1208:G1237)&lt;20,"",_xlfn.STDEV.S(G1208:G1237)*SQRT($R$3))</f>
        <v>0.710533130827009</v>
      </c>
      <c r="N1237" s="25" t="n">
        <f aca="false">IF(A1237-7&lt;$R$2,"",C1237/INDEX(Clean_Data!$C$2:$C$4314,MATCH(A1237-7,Clean_Data!$A$2:$A$4314,1))-1)</f>
        <v>-0.100551294343241</v>
      </c>
      <c r="O1237" s="25" t="n">
        <f aca="false">IF(A1237-30&lt;$R$2,"",C1237/INDEX(Clean_Data!$C$2:$C$4314,MATCH(A1237-30,Clean_Data!$A$2:$A$4314,1))-1)</f>
        <v>-0.159696796658941</v>
      </c>
    </row>
    <row r="1238" customFormat="false" ht="15" hidden="false" customHeight="false" outlineLevel="0" collapsed="false">
      <c r="A1238" s="16" t="n">
        <v>43244</v>
      </c>
      <c r="B1238" s="23" t="n">
        <f aca="false">YEAR(A1238)</f>
        <v>2018</v>
      </c>
      <c r="C1238" s="17" t="n">
        <v>7584.15</v>
      </c>
      <c r="D1238" s="23" t="n">
        <f aca="false">A1238-A1237</f>
        <v>1</v>
      </c>
      <c r="E1238" s="24" t="n">
        <f aca="false">LN(C1238)</f>
        <v>8.93381582222028</v>
      </c>
      <c r="F1238" s="25" t="n">
        <f aca="false">LN(C1238/C1237)</f>
        <v>0.0104910781527164</v>
      </c>
      <c r="G1238" s="25" t="n">
        <f aca="false">IF(AND(D1238=1,A1238&gt;=$R$2),F1238,"")</f>
        <v>0.0104910781527164</v>
      </c>
      <c r="H1238" s="27" t="n">
        <f aca="false">IF(G1238="","",G1238^2)</f>
        <v>0.000110062720806403</v>
      </c>
      <c r="I1238" s="25" t="n">
        <f aca="false">IF(G1238="","",C1238/C1237-1)</f>
        <v>0.0105463024650232</v>
      </c>
      <c r="J1238" s="17" t="n">
        <f aca="false">AVERAGE(C1039:C1238)</f>
        <v>10317.23385</v>
      </c>
      <c r="K1238" s="17" t="n">
        <f aca="false">MAX(K1237,C1238)</f>
        <v>19650.01</v>
      </c>
      <c r="L1238" s="25" t="n">
        <f aca="false">C1238/K1238-1</f>
        <v>-0.614038364357067</v>
      </c>
      <c r="M1238" s="25" t="n">
        <f aca="false">IF(COUNT(G1209:G1238)&lt;20,"",_xlfn.STDEV.S(G1209:G1238)*SQRT($R$3))</f>
        <v>0.647459555979258</v>
      </c>
      <c r="N1238" s="25" t="n">
        <f aca="false">IF(A1238-7&lt;$R$2,"",C1238/INDEX(Clean_Data!$C$2:$C$4314,MATCH(A1238-7,Clean_Data!$A$2:$A$4314,1))-1)</f>
        <v>-0.058921702444472</v>
      </c>
      <c r="O1238" s="25" t="n">
        <f aca="false">IF(A1238-30&lt;$R$2,"",C1238/INDEX(Clean_Data!$C$2:$C$4314,MATCH(A1238-30,Clean_Data!$A$2:$A$4314,1))-1)</f>
        <v>-0.214077720207254</v>
      </c>
    </row>
    <row r="1239" customFormat="false" ht="15" hidden="false" customHeight="false" outlineLevel="0" collapsed="false">
      <c r="A1239" s="16" t="n">
        <v>43245</v>
      </c>
      <c r="B1239" s="23" t="n">
        <f aca="false">YEAR(A1239)</f>
        <v>2018</v>
      </c>
      <c r="C1239" s="17" t="n">
        <v>7459.11</v>
      </c>
      <c r="D1239" s="23" t="n">
        <f aca="false">A1239-A1238</f>
        <v>1</v>
      </c>
      <c r="E1239" s="24" t="n">
        <f aca="false">LN(C1239)</f>
        <v>8.91719138313158</v>
      </c>
      <c r="F1239" s="25" t="n">
        <f aca="false">LN(C1239/C1238)</f>
        <v>-0.0166244390886968</v>
      </c>
      <c r="G1239" s="25" t="n">
        <f aca="false">IF(AND(D1239=1,A1239&gt;=$R$2),F1239,"")</f>
        <v>-0.0166244390886968</v>
      </c>
      <c r="H1239" s="27" t="n">
        <f aca="false">IF(G1239="","",G1239^2)</f>
        <v>0.000276371975013791</v>
      </c>
      <c r="I1239" s="25" t="n">
        <f aca="false">IF(G1239="","",C1239/C1238-1)</f>
        <v>-0.0164870156840252</v>
      </c>
      <c r="J1239" s="17" t="n">
        <f aca="false">AVERAGE(C1040:C1239)</f>
        <v>10319.6806</v>
      </c>
      <c r="K1239" s="17" t="n">
        <f aca="false">MAX(K1238,C1239)</f>
        <v>19650.01</v>
      </c>
      <c r="L1239" s="25" t="n">
        <f aca="false">C1239/K1239-1</f>
        <v>-0.620401719897344</v>
      </c>
      <c r="M1239" s="25" t="n">
        <f aca="false">IF(COUNT(G1210:G1239)&lt;20,"",_xlfn.STDEV.S(G1210:G1239)*SQRT($R$3))</f>
        <v>0.586627099835321</v>
      </c>
      <c r="N1239" s="25" t="n">
        <f aca="false">IF(A1239-7&lt;$R$2,"",C1239/INDEX(Clean_Data!$C$2:$C$4314,MATCH(A1239-7,Clean_Data!$A$2:$A$4314,1))-1)</f>
        <v>-0.0946044855198331</v>
      </c>
      <c r="O1239" s="25" t="n">
        <f aca="false">IF(A1239-30&lt;$R$2,"",C1239/INDEX(Clean_Data!$C$2:$C$4314,MATCH(A1239-30,Clean_Data!$A$2:$A$4314,1))-1)</f>
        <v>-0.158681837766383</v>
      </c>
    </row>
    <row r="1240" customFormat="false" ht="15" hidden="false" customHeight="false" outlineLevel="0" collapsed="false">
      <c r="A1240" s="16" t="n">
        <v>43246</v>
      </c>
      <c r="B1240" s="23" t="n">
        <f aca="false">YEAR(A1240)</f>
        <v>2018</v>
      </c>
      <c r="C1240" s="17" t="n">
        <v>7337.95</v>
      </c>
      <c r="D1240" s="23" t="n">
        <f aca="false">A1240-A1239</f>
        <v>1</v>
      </c>
      <c r="E1240" s="24" t="n">
        <f aca="false">LN(C1240)</f>
        <v>8.90081479104628</v>
      </c>
      <c r="F1240" s="25" t="n">
        <f aca="false">LN(C1240/C1239)</f>
        <v>-0.0163765920853035</v>
      </c>
      <c r="G1240" s="25" t="n">
        <f aca="false">IF(AND(D1240=1,A1240&gt;=$R$2),F1240,"")</f>
        <v>-0.0163765920853035</v>
      </c>
      <c r="H1240" s="27" t="n">
        <f aca="false">IF(G1240="","",G1240^2)</f>
        <v>0.000268192768328425</v>
      </c>
      <c r="I1240" s="25" t="n">
        <f aca="false">IF(G1240="","",C1240/C1239-1)</f>
        <v>-0.0162432247278831</v>
      </c>
      <c r="J1240" s="17" t="n">
        <f aca="false">AVERAGE(C1041:C1240)</f>
        <v>10320.7372</v>
      </c>
      <c r="K1240" s="17" t="n">
        <f aca="false">MAX(K1239,C1240)</f>
        <v>19650.01</v>
      </c>
      <c r="L1240" s="25" t="n">
        <f aca="false">C1240/K1240-1</f>
        <v>-0.626567620067369</v>
      </c>
      <c r="M1240" s="25" t="n">
        <f aca="false">IF(COUNT(G1211:G1240)&lt;20,"",_xlfn.STDEV.S(G1211:G1240)*SQRT($R$3))</f>
        <v>0.558408617725607</v>
      </c>
      <c r="N1240" s="25" t="n">
        <f aca="false">IF(A1240-7&lt;$R$2,"",C1240/INDEX(Clean_Data!$C$2:$C$4314,MATCH(A1240-7,Clean_Data!$A$2:$A$4314,1))-1)</f>
        <v>-0.108996308708534</v>
      </c>
      <c r="O1240" s="25" t="n">
        <f aca="false">IF(A1240-30&lt;$R$2,"",C1240/INDEX(Clean_Data!$C$2:$C$4314,MATCH(A1240-30,Clean_Data!$A$2:$A$4314,1))-1)</f>
        <v>-0.20859976855322</v>
      </c>
    </row>
    <row r="1241" customFormat="false" ht="15" hidden="false" customHeight="false" outlineLevel="0" collapsed="false">
      <c r="A1241" s="16" t="n">
        <v>43247</v>
      </c>
      <c r="B1241" s="23" t="n">
        <f aca="false">YEAR(A1241)</f>
        <v>2018</v>
      </c>
      <c r="C1241" s="17" t="n">
        <v>7346.64</v>
      </c>
      <c r="D1241" s="23" t="n">
        <f aca="false">A1241-A1240</f>
        <v>1</v>
      </c>
      <c r="E1241" s="24" t="n">
        <f aca="false">LN(C1241)</f>
        <v>8.90199834482809</v>
      </c>
      <c r="F1241" s="25" t="n">
        <f aca="false">LN(C1241/C1240)</f>
        <v>0.00118355378180971</v>
      </c>
      <c r="G1241" s="25" t="n">
        <f aca="false">IF(AND(D1241=1,A1241&gt;=$R$2),F1241,"")</f>
        <v>0.00118355378180971</v>
      </c>
      <c r="H1241" s="27" t="n">
        <f aca="false">IF(G1241="","",G1241^2)</f>
        <v>1.40079955443607E-006</v>
      </c>
      <c r="I1241" s="25" t="n">
        <f aca="false">IF(G1241="","",C1241/C1240-1)</f>
        <v>0.00118425445798898</v>
      </c>
      <c r="J1241" s="17" t="n">
        <f aca="false">AVERAGE(C1042:C1241)</f>
        <v>10320.1306</v>
      </c>
      <c r="K1241" s="17" t="n">
        <f aca="false">MAX(K1240,C1241)</f>
        <v>19650.01</v>
      </c>
      <c r="L1241" s="25" t="n">
        <f aca="false">C1241/K1241-1</f>
        <v>-0.626125381106676</v>
      </c>
      <c r="M1241" s="25" t="n">
        <f aca="false">IF(COUNT(G1212:G1241)&lt;20,"",_xlfn.STDEV.S(G1212:G1241)*SQRT($R$3))</f>
        <v>0.548058652035477</v>
      </c>
      <c r="N1241" s="25" t="n">
        <f aca="false">IF(A1241-7&lt;$R$2,"",C1241/INDEX(Clean_Data!$C$2:$C$4314,MATCH(A1241-7,Clean_Data!$A$2:$A$4314,1))-1)</f>
        <v>-0.137400403435069</v>
      </c>
      <c r="O1241" s="25" t="n">
        <f aca="false">IF(A1241-30&lt;$R$2,"",C1241/INDEX(Clean_Data!$C$2:$C$4314,MATCH(A1241-30,Clean_Data!$A$2:$A$4314,1))-1)</f>
        <v>-0.176621033224807</v>
      </c>
    </row>
    <row r="1242" customFormat="false" ht="15" hidden="false" customHeight="false" outlineLevel="0" collapsed="false">
      <c r="A1242" s="16" t="n">
        <v>43248</v>
      </c>
      <c r="B1242" s="23" t="n">
        <f aca="false">YEAR(A1242)</f>
        <v>2018</v>
      </c>
      <c r="C1242" s="17" t="n">
        <v>7107.94</v>
      </c>
      <c r="D1242" s="23" t="n">
        <f aca="false">A1242-A1241</f>
        <v>1</v>
      </c>
      <c r="E1242" s="24" t="n">
        <f aca="false">LN(C1242)</f>
        <v>8.86896774804589</v>
      </c>
      <c r="F1242" s="25" t="n">
        <f aca="false">LN(C1242/C1241)</f>
        <v>-0.0330305967821954</v>
      </c>
      <c r="G1242" s="25" t="n">
        <f aca="false">IF(AND(D1242=1,A1242&gt;=$R$2),F1242,"")</f>
        <v>-0.0330305967821954</v>
      </c>
      <c r="H1242" s="27" t="n">
        <f aca="false">IF(G1242="","",G1242^2)</f>
        <v>0.00109102032378797</v>
      </c>
      <c r="I1242" s="25" t="n">
        <f aca="false">IF(G1242="","",C1242/C1241-1)</f>
        <v>-0.032491043524659</v>
      </c>
      <c r="J1242" s="17" t="n">
        <f aca="false">AVERAGE(C1043:C1242)</f>
        <v>10319.8903</v>
      </c>
      <c r="K1242" s="17" t="n">
        <f aca="false">MAX(K1241,C1242)</f>
        <v>19650.01</v>
      </c>
      <c r="L1242" s="25" t="n">
        <f aca="false">C1242/K1242-1</f>
        <v>-0.638272957621905</v>
      </c>
      <c r="M1242" s="25" t="n">
        <f aca="false">IF(COUNT(G1213:G1242)&lt;20,"",_xlfn.STDEV.S(G1213:G1242)*SQRT($R$3))</f>
        <v>0.523265088119977</v>
      </c>
      <c r="N1242" s="25" t="n">
        <f aca="false">IF(A1242-7&lt;$R$2,"",C1242/INDEX(Clean_Data!$C$2:$C$4314,MATCH(A1242-7,Clean_Data!$A$2:$A$4314,1))-1)</f>
        <v>-0.153155321298538</v>
      </c>
      <c r="O1242" s="25" t="n">
        <f aca="false">IF(A1242-30&lt;$R$2,"",C1242/INDEX(Clean_Data!$C$2:$C$4314,MATCH(A1242-30,Clean_Data!$A$2:$A$4314,1))-1)</f>
        <v>-0.238162098780385</v>
      </c>
    </row>
    <row r="1243" customFormat="false" ht="15" hidden="false" customHeight="false" outlineLevel="0" collapsed="false">
      <c r="A1243" s="16" t="n">
        <v>43249</v>
      </c>
      <c r="B1243" s="23" t="n">
        <f aca="false">YEAR(A1243)</f>
        <v>2018</v>
      </c>
      <c r="C1243" s="17" t="n">
        <v>7460</v>
      </c>
      <c r="D1243" s="23" t="n">
        <f aca="false">A1243-A1242</f>
        <v>1</v>
      </c>
      <c r="E1243" s="24" t="n">
        <f aca="false">LN(C1243)</f>
        <v>8.91731069319781</v>
      </c>
      <c r="F1243" s="25" t="n">
        <f aca="false">LN(C1243/C1242)</f>
        <v>0.0483429451519137</v>
      </c>
      <c r="G1243" s="25" t="n">
        <f aca="false">IF(AND(D1243=1,A1243&gt;=$R$2),F1243,"")</f>
        <v>0.0483429451519137</v>
      </c>
      <c r="H1243" s="27" t="n">
        <f aca="false">IF(G1243="","",G1243^2)</f>
        <v>0.00233704034596094</v>
      </c>
      <c r="I1243" s="25" t="n">
        <f aca="false">IF(G1243="","",C1243/C1242-1)</f>
        <v>0.0495305250185005</v>
      </c>
      <c r="J1243" s="17" t="n">
        <f aca="false">AVERAGE(C1044:C1243)</f>
        <v>10324.3022</v>
      </c>
      <c r="K1243" s="17" t="n">
        <f aca="false">MAX(K1242,C1243)</f>
        <v>19650.01</v>
      </c>
      <c r="L1243" s="25" t="n">
        <f aca="false">C1243/K1243-1</f>
        <v>-0.620356427299528</v>
      </c>
      <c r="M1243" s="25" t="n">
        <f aca="false">IF(COUNT(G1214:G1243)&lt;20,"",_xlfn.STDEV.S(G1214:G1243)*SQRT($R$3))</f>
        <v>0.558187988761087</v>
      </c>
      <c r="N1243" s="25" t="n">
        <f aca="false">IF(A1243-7&lt;$R$2,"",C1243/INDEX(Clean_Data!$C$2:$C$4314,MATCH(A1243-7,Clean_Data!$A$2:$A$4314,1))-1)</f>
        <v>-0.0660640735130262</v>
      </c>
      <c r="O1243" s="25" t="n">
        <f aca="false">IF(A1243-30&lt;$R$2,"",C1243/INDEX(Clean_Data!$C$2:$C$4314,MATCH(A1243-30,Clean_Data!$A$2:$A$4314,1))-1)</f>
        <v>-0.205454036155037</v>
      </c>
    </row>
    <row r="1244" customFormat="false" ht="15" hidden="false" customHeight="false" outlineLevel="0" collapsed="false">
      <c r="A1244" s="16" t="n">
        <v>43250</v>
      </c>
      <c r="B1244" s="23" t="n">
        <f aca="false">YEAR(A1244)</f>
        <v>2018</v>
      </c>
      <c r="C1244" s="17" t="n">
        <v>7380.01</v>
      </c>
      <c r="D1244" s="23" t="n">
        <f aca="false">A1244-A1243</f>
        <v>1</v>
      </c>
      <c r="E1244" s="24" t="n">
        <f aca="false">LN(C1244)</f>
        <v>8.90653027260715</v>
      </c>
      <c r="F1244" s="25" t="n">
        <f aca="false">LN(C1244/C1243)</f>
        <v>-0.0107804205906563</v>
      </c>
      <c r="G1244" s="25" t="n">
        <f aca="false">IF(AND(D1244=1,A1244&gt;=$R$2),F1244,"")</f>
        <v>-0.0107804205906563</v>
      </c>
      <c r="H1244" s="27" t="n">
        <f aca="false">IF(G1244="","",G1244^2)</f>
        <v>0.000116217468111446</v>
      </c>
      <c r="I1244" s="25" t="n">
        <f aca="false">IF(G1244="","",C1244/C1243-1)</f>
        <v>-0.0107225201072386</v>
      </c>
      <c r="J1244" s="17" t="n">
        <f aca="false">AVERAGE(C1045:C1244)</f>
        <v>10329.46875</v>
      </c>
      <c r="K1244" s="17" t="n">
        <f aca="false">MAX(K1243,C1244)</f>
        <v>19650.01</v>
      </c>
      <c r="L1244" s="25" t="n">
        <f aca="false">C1244/K1244-1</f>
        <v>-0.624427163141393</v>
      </c>
      <c r="M1244" s="25" t="n">
        <f aca="false">IF(COUNT(G1215:G1244)&lt;20,"",_xlfn.STDEV.S(G1215:G1244)*SQRT($R$3))</f>
        <v>0.557581412260909</v>
      </c>
      <c r="N1244" s="25" t="n">
        <f aca="false">IF(A1244-7&lt;$R$2,"",C1244/INDEX(Clean_Data!$C$2:$C$4314,MATCH(A1244-7,Clean_Data!$A$2:$A$4314,1))-1)</f>
        <v>-0.0166542305129913</v>
      </c>
      <c r="O1244" s="25" t="n">
        <f aca="false">IF(A1244-30&lt;$R$2,"",C1244/INDEX(Clean_Data!$C$2:$C$4314,MATCH(A1244-30,Clean_Data!$A$2:$A$4314,1))-1)</f>
        <v>-0.201627682062178</v>
      </c>
    </row>
    <row r="1245" customFormat="false" ht="15" hidden="false" customHeight="false" outlineLevel="0" collapsed="false">
      <c r="A1245" s="16" t="n">
        <v>43251</v>
      </c>
      <c r="B1245" s="23" t="n">
        <f aca="false">YEAR(A1245)</f>
        <v>2018</v>
      </c>
      <c r="C1245" s="17" t="n">
        <v>7485</v>
      </c>
      <c r="D1245" s="23" t="n">
        <f aca="false">A1245-A1244</f>
        <v>1</v>
      </c>
      <c r="E1245" s="24" t="n">
        <f aca="false">LN(C1245)</f>
        <v>8.92065629685373</v>
      </c>
      <c r="F1245" s="25" t="n">
        <f aca="false">LN(C1245/C1244)</f>
        <v>0.0141260242465784</v>
      </c>
      <c r="G1245" s="25" t="n">
        <f aca="false">IF(AND(D1245=1,A1245&gt;=$R$2),F1245,"")</f>
        <v>0.0141260242465784</v>
      </c>
      <c r="H1245" s="27" t="n">
        <f aca="false">IF(G1245="","",G1245^2)</f>
        <v>0.000199544561014922</v>
      </c>
      <c r="I1245" s="25" t="n">
        <f aca="false">IF(G1245="","",C1245/C1244-1)</f>
        <v>0.0142262679860867</v>
      </c>
      <c r="J1245" s="17" t="n">
        <f aca="false">AVERAGE(C1046:C1245)</f>
        <v>10337.462</v>
      </c>
      <c r="K1245" s="17" t="n">
        <f aca="false">MAX(K1244,C1245)</f>
        <v>19650.01</v>
      </c>
      <c r="L1245" s="25" t="n">
        <f aca="false">C1245/K1245-1</f>
        <v>-0.619084163315947</v>
      </c>
      <c r="M1245" s="25" t="n">
        <f aca="false">IF(COUNT(G1216:G1245)&lt;20,"",_xlfn.STDEV.S(G1216:G1245)*SQRT($R$3))</f>
        <v>0.561024097043184</v>
      </c>
      <c r="N1245" s="25" t="n">
        <f aca="false">IF(A1245-7&lt;$R$2,"",C1245/INDEX(Clean_Data!$C$2:$C$4314,MATCH(A1245-7,Clean_Data!$A$2:$A$4314,1))-1)</f>
        <v>-0.0130733173790075</v>
      </c>
      <c r="O1245" s="25" t="n">
        <f aca="false">IF(A1245-30&lt;$R$2,"",C1245/INDEX(Clean_Data!$C$2:$C$4314,MATCH(A1245-30,Clean_Data!$A$2:$A$4314,1))-1)</f>
        <v>-0.174960236059474</v>
      </c>
    </row>
    <row r="1246" customFormat="false" ht="15" hidden="false" customHeight="false" outlineLevel="0" collapsed="false">
      <c r="A1246" s="16" t="n">
        <v>43252</v>
      </c>
      <c r="B1246" s="23" t="n">
        <f aca="false">YEAR(A1246)</f>
        <v>2018</v>
      </c>
      <c r="C1246" s="17" t="n">
        <v>7514.32</v>
      </c>
      <c r="D1246" s="23" t="n">
        <f aca="false">A1246-A1245</f>
        <v>1</v>
      </c>
      <c r="E1246" s="24" t="n">
        <f aca="false">LN(C1246)</f>
        <v>8.92456581239772</v>
      </c>
      <c r="F1246" s="25" t="n">
        <f aca="false">LN(C1246/C1245)</f>
        <v>0.00390951554399252</v>
      </c>
      <c r="G1246" s="25" t="n">
        <f aca="false">IF(AND(D1246=1,A1246&gt;=$R$2),F1246,"")</f>
        <v>0.00390951554399252</v>
      </c>
      <c r="H1246" s="27" t="n">
        <f aca="false">IF(G1246="","",G1246^2)</f>
        <v>1.52843117887191E-005</v>
      </c>
      <c r="I1246" s="25" t="n">
        <f aca="false">IF(G1246="","",C1246/C1245-1)</f>
        <v>0.00391716766867067</v>
      </c>
      <c r="J1246" s="17" t="n">
        <f aca="false">AVERAGE(C1047:C1246)</f>
        <v>10342.35425</v>
      </c>
      <c r="K1246" s="17" t="n">
        <f aca="false">MAX(K1245,C1246)</f>
        <v>19650.01</v>
      </c>
      <c r="L1246" s="25" t="n">
        <f aca="false">C1246/K1246-1</f>
        <v>-0.617592052116004</v>
      </c>
      <c r="M1246" s="25" t="n">
        <f aca="false">IF(COUNT(G1217:G1246)&lt;20,"",_xlfn.STDEV.S(G1217:G1246)*SQRT($R$3))</f>
        <v>0.557978236797842</v>
      </c>
      <c r="N1246" s="25" t="n">
        <f aca="false">IF(A1246-7&lt;$R$2,"",C1246/INDEX(Clean_Data!$C$2:$C$4314,MATCH(A1246-7,Clean_Data!$A$2:$A$4314,1))-1)</f>
        <v>0.00740168733267099</v>
      </c>
      <c r="O1246" s="25" t="n">
        <f aca="false">IF(A1246-30&lt;$R$2,"",C1246/INDEX(Clean_Data!$C$2:$C$4314,MATCH(A1246-30,Clean_Data!$A$2:$A$4314,1))-1)</f>
        <v>-0.182380028029004</v>
      </c>
    </row>
    <row r="1247" customFormat="false" ht="15" hidden="false" customHeight="false" outlineLevel="0" collapsed="false">
      <c r="A1247" s="16" t="n">
        <v>43253</v>
      </c>
      <c r="B1247" s="23" t="n">
        <f aca="false">YEAR(A1247)</f>
        <v>2018</v>
      </c>
      <c r="C1247" s="17" t="n">
        <v>7636.42</v>
      </c>
      <c r="D1247" s="23" t="n">
        <f aca="false">A1247-A1246</f>
        <v>1</v>
      </c>
      <c r="E1247" s="24" t="n">
        <f aca="false">LN(C1247)</f>
        <v>8.94068418595222</v>
      </c>
      <c r="F1247" s="25" t="n">
        <f aca="false">LN(C1247/C1246)</f>
        <v>0.0161183735545008</v>
      </c>
      <c r="G1247" s="25" t="n">
        <f aca="false">IF(AND(D1247=1,A1247&gt;=$R$2),F1247,"")</f>
        <v>0.0161183735545008</v>
      </c>
      <c r="H1247" s="27" t="n">
        <f aca="false">IF(G1247="","",G1247^2)</f>
        <v>0.000259801966042432</v>
      </c>
      <c r="I1247" s="25" t="n">
        <f aca="false">IF(G1247="","",C1247/C1246-1)</f>
        <v>0.0162489752898467</v>
      </c>
      <c r="J1247" s="17" t="n">
        <f aca="false">AVERAGE(C1048:C1247)</f>
        <v>10347.51135</v>
      </c>
      <c r="K1247" s="17" t="n">
        <f aca="false">MAX(K1246,C1247)</f>
        <v>19650.01</v>
      </c>
      <c r="L1247" s="25" t="n">
        <f aca="false">C1247/K1247-1</f>
        <v>-0.611378314820196</v>
      </c>
      <c r="M1247" s="25" t="n">
        <f aca="false">IF(COUNT(G1218:G1247)&lt;20,"",_xlfn.STDEV.S(G1218:G1247)*SQRT($R$3))</f>
        <v>0.516477624221266</v>
      </c>
      <c r="N1247" s="25" t="n">
        <f aca="false">IF(A1247-7&lt;$R$2,"",C1247/INDEX(Clean_Data!$C$2:$C$4314,MATCH(A1247-7,Clean_Data!$A$2:$A$4314,1))-1)</f>
        <v>0.0406748478798575</v>
      </c>
      <c r="O1247" s="25" t="n">
        <f aca="false">IF(A1247-30&lt;$R$2,"",C1247/INDEX(Clean_Data!$C$2:$C$4314,MATCH(A1247-30,Clean_Data!$A$2:$A$4314,1))-1)</f>
        <v>-0.21482375634142</v>
      </c>
    </row>
    <row r="1248" customFormat="false" ht="15" hidden="false" customHeight="false" outlineLevel="0" collapsed="false">
      <c r="A1248" s="16" t="n">
        <v>43254</v>
      </c>
      <c r="B1248" s="23" t="n">
        <f aca="false">YEAR(A1248)</f>
        <v>2018</v>
      </c>
      <c r="C1248" s="17" t="n">
        <v>7706.37</v>
      </c>
      <c r="D1248" s="23" t="n">
        <f aca="false">A1248-A1247</f>
        <v>1</v>
      </c>
      <c r="E1248" s="24" t="n">
        <f aca="false">LN(C1248)</f>
        <v>8.94980253856757</v>
      </c>
      <c r="F1248" s="25" t="n">
        <f aca="false">LN(C1248/C1247)</f>
        <v>0.00911835261534922</v>
      </c>
      <c r="G1248" s="25" t="n">
        <f aca="false">IF(AND(D1248=1,A1248&gt;=$R$2),F1248,"")</f>
        <v>0.00911835261534922</v>
      </c>
      <c r="H1248" s="27" t="n">
        <f aca="false">IF(G1248="","",G1248^2)</f>
        <v>8.31443544178459E-005</v>
      </c>
      <c r="I1248" s="25" t="n">
        <f aca="false">IF(G1248="","",C1248/C1247-1)</f>
        <v>0.00916005143771548</v>
      </c>
      <c r="J1248" s="17" t="n">
        <f aca="false">AVERAGE(C1049:C1248)</f>
        <v>10349.5732</v>
      </c>
      <c r="K1248" s="17" t="n">
        <f aca="false">MAX(K1247,C1248)</f>
        <v>19650.01</v>
      </c>
      <c r="L1248" s="25" t="n">
        <f aca="false">C1248/K1248-1</f>
        <v>-0.607818520194137</v>
      </c>
      <c r="M1248" s="25" t="n">
        <f aca="false">IF(COUNT(G1219:G1248)&lt;20,"",_xlfn.STDEV.S(G1219:G1248)*SQRT($R$3))</f>
        <v>0.519809246553627</v>
      </c>
      <c r="N1248" s="25" t="n">
        <f aca="false">IF(A1248-7&lt;$R$2,"",C1248/INDEX(Clean_Data!$C$2:$C$4314,MATCH(A1248-7,Clean_Data!$A$2:$A$4314,1))-1)</f>
        <v>0.0489652412531443</v>
      </c>
      <c r="O1248" s="25" t="n">
        <f aca="false">IF(A1248-30&lt;$R$2,"",C1248/INDEX(Clean_Data!$C$2:$C$4314,MATCH(A1248-30,Clean_Data!$A$2:$A$4314,1))-1)</f>
        <v>-0.20429839958699</v>
      </c>
    </row>
    <row r="1249" customFormat="false" ht="15" hidden="false" customHeight="false" outlineLevel="0" collapsed="false">
      <c r="A1249" s="16" t="n">
        <v>43255</v>
      </c>
      <c r="B1249" s="23" t="n">
        <f aca="false">YEAR(A1249)</f>
        <v>2018</v>
      </c>
      <c r="C1249" s="17" t="n">
        <v>7487.37</v>
      </c>
      <c r="D1249" s="23" t="n">
        <f aca="false">A1249-A1248</f>
        <v>1</v>
      </c>
      <c r="E1249" s="24" t="n">
        <f aca="false">LN(C1249)</f>
        <v>8.92097288000253</v>
      </c>
      <c r="F1249" s="25" t="n">
        <f aca="false">LN(C1249/C1248)</f>
        <v>-0.0288296585650433</v>
      </c>
      <c r="G1249" s="25" t="n">
        <f aca="false">IF(AND(D1249=1,A1249&gt;=$R$2),F1249,"")</f>
        <v>-0.0288296585650433</v>
      </c>
      <c r="H1249" s="27" t="n">
        <f aca="false">IF(G1249="","",G1249^2)</f>
        <v>0.000831149212976972</v>
      </c>
      <c r="I1249" s="25" t="n">
        <f aca="false">IF(G1249="","",C1249/C1248-1)</f>
        <v>-0.0284180489646877</v>
      </c>
      <c r="J1249" s="17" t="n">
        <f aca="false">AVERAGE(C1050:C1249)</f>
        <v>10347.8174</v>
      </c>
      <c r="K1249" s="17" t="n">
        <f aca="false">MAX(K1248,C1249)</f>
        <v>19650.01</v>
      </c>
      <c r="L1249" s="25" t="n">
        <f aca="false">C1249/K1249-1</f>
        <v>-0.618963552690304</v>
      </c>
      <c r="M1249" s="25" t="n">
        <f aca="false">IF(COUNT(G1220:G1249)&lt;20,"",_xlfn.STDEV.S(G1220:G1249)*SQRT($R$3))</f>
        <v>0.520023542907579</v>
      </c>
      <c r="N1249" s="25" t="n">
        <f aca="false">IF(A1249-7&lt;$R$2,"",C1249/INDEX(Clean_Data!$C$2:$C$4314,MATCH(A1249-7,Clean_Data!$A$2:$A$4314,1))-1)</f>
        <v>0.0533811484058673</v>
      </c>
      <c r="O1249" s="25" t="n">
        <f aca="false">IF(A1249-30&lt;$R$2,"",C1249/INDEX(Clean_Data!$C$2:$C$4314,MATCH(A1249-30,Clean_Data!$A$2:$A$4314,1))-1)</f>
        <v>-0.235982653061224</v>
      </c>
    </row>
    <row r="1250" customFormat="false" ht="15" hidden="false" customHeight="false" outlineLevel="0" collapsed="false">
      <c r="A1250" s="16" t="n">
        <v>43256</v>
      </c>
      <c r="B1250" s="23" t="n">
        <f aca="false">YEAR(A1250)</f>
        <v>2018</v>
      </c>
      <c r="C1250" s="17" t="n">
        <v>7612.51</v>
      </c>
      <c r="D1250" s="23" t="n">
        <f aca="false">A1250-A1249</f>
        <v>1</v>
      </c>
      <c r="E1250" s="24" t="n">
        <f aca="false">LN(C1250)</f>
        <v>8.93754822564619</v>
      </c>
      <c r="F1250" s="25" t="n">
        <f aca="false">LN(C1250/C1249)</f>
        <v>0.0165753456436614</v>
      </c>
      <c r="G1250" s="25" t="n">
        <f aca="false">IF(AND(D1250=1,A1250&gt;=$R$2),F1250,"")</f>
        <v>0.0165753456436614</v>
      </c>
      <c r="H1250" s="27" t="n">
        <f aca="false">IF(G1250="","",G1250^2)</f>
        <v>0.000274742083206844</v>
      </c>
      <c r="I1250" s="25" t="n">
        <f aca="false">IF(G1250="","",C1250/C1249-1)</f>
        <v>0.0167134788316858</v>
      </c>
      <c r="J1250" s="17" t="n">
        <f aca="false">AVERAGE(C1051:C1250)</f>
        <v>10347.3064</v>
      </c>
      <c r="K1250" s="17" t="n">
        <f aca="false">MAX(K1249,C1250)</f>
        <v>19650.01</v>
      </c>
      <c r="L1250" s="25" t="n">
        <f aca="false">C1250/K1250-1</f>
        <v>-0.612595108094093</v>
      </c>
      <c r="M1250" s="25" t="n">
        <f aca="false">IF(COUNT(G1221:G1250)&lt;20,"",_xlfn.STDEV.S(G1221:G1250)*SQRT($R$3))</f>
        <v>0.525691344531731</v>
      </c>
      <c r="N1250" s="25" t="n">
        <f aca="false">IF(A1250-7&lt;$R$2,"",C1250/INDEX(Clean_Data!$C$2:$C$4314,MATCH(A1250-7,Clean_Data!$A$2:$A$4314,1))-1)</f>
        <v>0.0204436997319035</v>
      </c>
      <c r="O1250" s="25" t="n">
        <f aca="false">IF(A1250-30&lt;$R$2,"",C1250/INDEX(Clean_Data!$C$2:$C$4314,MATCH(A1250-30,Clean_Data!$A$2:$A$4314,1))-1)</f>
        <v>-0.207030208333333</v>
      </c>
    </row>
    <row r="1251" customFormat="false" ht="15" hidden="false" customHeight="false" outlineLevel="0" collapsed="false">
      <c r="A1251" s="16" t="n">
        <v>43257</v>
      </c>
      <c r="B1251" s="23" t="n">
        <f aca="false">YEAR(A1251)</f>
        <v>2018</v>
      </c>
      <c r="C1251" s="17" t="n">
        <v>7655</v>
      </c>
      <c r="D1251" s="23" t="n">
        <f aca="false">A1251-A1250</f>
        <v>1</v>
      </c>
      <c r="E1251" s="24" t="n">
        <f aca="false">LN(C1251)</f>
        <v>8.94311430809179</v>
      </c>
      <c r="F1251" s="25" t="n">
        <f aca="false">LN(C1251/C1250)</f>
        <v>0.00556608244559471</v>
      </c>
      <c r="G1251" s="25" t="n">
        <f aca="false">IF(AND(D1251=1,A1251&gt;=$R$2),F1251,"")</f>
        <v>0.00556608244559471</v>
      </c>
      <c r="H1251" s="27" t="n">
        <f aca="false">IF(G1251="","",G1251^2)</f>
        <v>3.09812737911576E-005</v>
      </c>
      <c r="I1251" s="25" t="n">
        <f aca="false">IF(G1251="","",C1251/C1250-1)</f>
        <v>0.00558160186324885</v>
      </c>
      <c r="J1251" s="17" t="n">
        <f aca="false">AVERAGE(C1052:C1251)</f>
        <v>10346.69635</v>
      </c>
      <c r="K1251" s="17" t="n">
        <f aca="false">MAX(K1250,C1251)</f>
        <v>19650.01</v>
      </c>
      <c r="L1251" s="25" t="n">
        <f aca="false">C1251/K1251-1</f>
        <v>-0.610432768227599</v>
      </c>
      <c r="M1251" s="25" t="n">
        <f aca="false">IF(COUNT(G1222:G1251)&lt;20,"",_xlfn.STDEV.S(G1222:G1251)*SQRT($R$3))</f>
        <v>0.523540775288649</v>
      </c>
      <c r="N1251" s="25" t="n">
        <f aca="false">IF(A1251-7&lt;$R$2,"",C1251/INDEX(Clean_Data!$C$2:$C$4314,MATCH(A1251-7,Clean_Data!$A$2:$A$4314,1))-1)</f>
        <v>0.0372614671253833</v>
      </c>
      <c r="O1251" s="25" t="n">
        <f aca="false">IF(A1251-30&lt;$R$2,"",C1251/INDEX(Clean_Data!$C$2:$C$4314,MATCH(A1251-30,Clean_Data!$A$2:$A$4314,1))-1)</f>
        <v>-0.181830327321309</v>
      </c>
    </row>
    <row r="1252" customFormat="false" ht="15" hidden="false" customHeight="false" outlineLevel="0" collapsed="false">
      <c r="A1252" s="16" t="n">
        <v>43258</v>
      </c>
      <c r="B1252" s="23" t="n">
        <f aca="false">YEAR(A1252)</f>
        <v>2018</v>
      </c>
      <c r="C1252" s="17" t="n">
        <v>7684.93</v>
      </c>
      <c r="D1252" s="23" t="n">
        <f aca="false">A1252-A1251</f>
        <v>1</v>
      </c>
      <c r="E1252" s="24" t="n">
        <f aca="false">LN(C1252)</f>
        <v>8.94701654727799</v>
      </c>
      <c r="F1252" s="25" t="n">
        <f aca="false">LN(C1252/C1251)</f>
        <v>0.00390223918620746</v>
      </c>
      <c r="G1252" s="25" t="n">
        <f aca="false">IF(AND(D1252=1,A1252&gt;=$R$2),F1252,"")</f>
        <v>0.00390223918620746</v>
      </c>
      <c r="H1252" s="27" t="n">
        <f aca="false">IF(G1252="","",G1252^2)</f>
        <v>1.52274706663731E-005</v>
      </c>
      <c r="I1252" s="25" t="n">
        <f aca="false">IF(G1252="","",C1252/C1251-1)</f>
        <v>0.00390986283474848</v>
      </c>
      <c r="J1252" s="17" t="n">
        <f aca="false">AVERAGE(C1053:C1252)</f>
        <v>10344.9619</v>
      </c>
      <c r="K1252" s="17" t="n">
        <f aca="false">MAX(K1251,C1252)</f>
        <v>19650.01</v>
      </c>
      <c r="L1252" s="25" t="n">
        <f aca="false">C1252/K1252-1</f>
        <v>-0.608909613786456</v>
      </c>
      <c r="M1252" s="25" t="n">
        <f aca="false">IF(COUNT(G1223:G1252)&lt;20,"",_xlfn.STDEV.S(G1223:G1252)*SQRT($R$3))</f>
        <v>0.522775645601376</v>
      </c>
      <c r="N1252" s="25" t="n">
        <f aca="false">IF(A1252-7&lt;$R$2,"",C1252/INDEX(Clean_Data!$C$2:$C$4314,MATCH(A1252-7,Clean_Data!$A$2:$A$4314,1))-1)</f>
        <v>0.0267107548430194</v>
      </c>
      <c r="O1252" s="25" t="n">
        <f aca="false">IF(A1252-30&lt;$R$2,"",C1252/INDEX(Clean_Data!$C$2:$C$4314,MATCH(A1252-30,Clean_Data!$A$2:$A$4314,1))-1)</f>
        <v>-0.162661898644666</v>
      </c>
    </row>
    <row r="1253" customFormat="false" ht="15" hidden="false" customHeight="false" outlineLevel="0" collapsed="false">
      <c r="A1253" s="16" t="n">
        <v>43259</v>
      </c>
      <c r="B1253" s="23" t="n">
        <f aca="false">YEAR(A1253)</f>
        <v>2018</v>
      </c>
      <c r="C1253" s="17" t="n">
        <v>7618.83</v>
      </c>
      <c r="D1253" s="23" t="n">
        <f aca="false">A1253-A1252</f>
        <v>1</v>
      </c>
      <c r="E1253" s="24" t="n">
        <f aca="false">LN(C1253)</f>
        <v>8.93837809358463</v>
      </c>
      <c r="F1253" s="25" t="n">
        <f aca="false">LN(C1253/C1252)</f>
        <v>-0.00863845369336674</v>
      </c>
      <c r="G1253" s="25" t="n">
        <f aca="false">IF(AND(D1253=1,A1253&gt;=$R$2),F1253,"")</f>
        <v>-0.00863845369336674</v>
      </c>
      <c r="H1253" s="27" t="n">
        <f aca="false">IF(G1253="","",G1253^2)</f>
        <v>7.46228822124414E-005</v>
      </c>
      <c r="I1253" s="25" t="n">
        <f aca="false">IF(G1253="","",C1253/C1252-1)</f>
        <v>-0.00860124945835561</v>
      </c>
      <c r="J1253" s="17" t="n">
        <f aca="false">AVERAGE(C1054:C1253)</f>
        <v>10341.776</v>
      </c>
      <c r="K1253" s="17" t="n">
        <f aca="false">MAX(K1252,C1253)</f>
        <v>19650.01</v>
      </c>
      <c r="L1253" s="25" t="n">
        <f aca="false">C1253/K1253-1</f>
        <v>-0.612273479759043</v>
      </c>
      <c r="M1253" s="25" t="n">
        <f aca="false">IF(COUNT(G1224:G1253)&lt;20,"",_xlfn.STDEV.S(G1224:G1253)*SQRT($R$3))</f>
        <v>0.518237632008078</v>
      </c>
      <c r="N1253" s="25" t="n">
        <f aca="false">IF(A1253-7&lt;$R$2,"",C1253/INDEX(Clean_Data!$C$2:$C$4314,MATCH(A1253-7,Clean_Data!$A$2:$A$4314,1))-1)</f>
        <v>0.0139081114458794</v>
      </c>
      <c r="O1253" s="25" t="n">
        <f aca="false">IF(A1253-30&lt;$R$2,"",C1253/INDEX(Clean_Data!$C$2:$C$4314,MATCH(A1253-30,Clean_Data!$A$2:$A$4314,1))-1)</f>
        <v>-0.180778014812776</v>
      </c>
    </row>
    <row r="1254" customFormat="false" ht="15" hidden="false" customHeight="false" outlineLevel="0" collapsed="false">
      <c r="A1254" s="16" t="n">
        <v>43260</v>
      </c>
      <c r="B1254" s="23" t="n">
        <f aca="false">YEAR(A1254)</f>
        <v>2018</v>
      </c>
      <c r="C1254" s="17" t="n">
        <v>7496.4</v>
      </c>
      <c r="D1254" s="23" t="n">
        <f aca="false">A1254-A1253</f>
        <v>1</v>
      </c>
      <c r="E1254" s="24" t="n">
        <f aca="false">LN(C1254)</f>
        <v>8.92217818428753</v>
      </c>
      <c r="F1254" s="25" t="n">
        <f aca="false">LN(C1254/C1253)</f>
        <v>-0.0161999092971005</v>
      </c>
      <c r="G1254" s="25" t="n">
        <f aca="false">IF(AND(D1254=1,A1254&gt;=$R$2),F1254,"")</f>
        <v>-0.0161999092971005</v>
      </c>
      <c r="H1254" s="27" t="n">
        <f aca="false">IF(G1254="","",G1254^2)</f>
        <v>0.000262437061234282</v>
      </c>
      <c r="I1254" s="25" t="n">
        <f aca="false">IF(G1254="","",C1254/C1253-1)</f>
        <v>-0.016069396482137</v>
      </c>
      <c r="J1254" s="17" t="n">
        <f aca="false">AVERAGE(C1055:C1254)</f>
        <v>10338.713</v>
      </c>
      <c r="K1254" s="17" t="n">
        <f aca="false">MAX(K1253,C1254)</f>
        <v>19650.01</v>
      </c>
      <c r="L1254" s="25" t="n">
        <f aca="false">C1254/K1254-1</f>
        <v>-0.618504010939435</v>
      </c>
      <c r="M1254" s="25" t="n">
        <f aca="false">IF(COUNT(G1225:G1254)&lt;20,"",_xlfn.STDEV.S(G1225:G1254)*SQRT($R$3))</f>
        <v>0.511627095140834</v>
      </c>
      <c r="N1254" s="25" t="n">
        <f aca="false">IF(A1254-7&lt;$R$2,"",C1254/INDEX(Clean_Data!$C$2:$C$4314,MATCH(A1254-7,Clean_Data!$A$2:$A$4314,1))-1)</f>
        <v>-0.01833581704516</v>
      </c>
      <c r="O1254" s="25" t="n">
        <f aca="false">IF(A1254-30&lt;$R$2,"",C1254/INDEX(Clean_Data!$C$2:$C$4314,MATCH(A1254-30,Clean_Data!$A$2:$A$4314,1))-1)</f>
        <v>-0.168038213153307</v>
      </c>
    </row>
    <row r="1255" customFormat="false" ht="15" hidden="false" customHeight="false" outlineLevel="0" collapsed="false">
      <c r="A1255" s="16" t="n">
        <v>43261</v>
      </c>
      <c r="B1255" s="23" t="n">
        <f aca="false">YEAR(A1255)</f>
        <v>2018</v>
      </c>
      <c r="C1255" s="17" t="n">
        <v>6770.31</v>
      </c>
      <c r="D1255" s="23" t="n">
        <f aca="false">A1255-A1254</f>
        <v>1</v>
      </c>
      <c r="E1255" s="24" t="n">
        <f aca="false">LN(C1255)</f>
        <v>8.82030215510909</v>
      </c>
      <c r="F1255" s="25" t="n">
        <f aca="false">LN(C1255/C1254)</f>
        <v>-0.101876029178437</v>
      </c>
      <c r="G1255" s="25" t="n">
        <f aca="false">IF(AND(D1255=1,A1255&gt;=$R$2),F1255,"")</f>
        <v>-0.101876029178437</v>
      </c>
      <c r="H1255" s="27" t="n">
        <f aca="false">IF(G1255="","",G1255^2)</f>
        <v>0.0103787253211658</v>
      </c>
      <c r="I1255" s="25" t="n">
        <f aca="false">IF(G1255="","",C1255/C1254-1)</f>
        <v>-0.0968584920761965</v>
      </c>
      <c r="J1255" s="17" t="n">
        <f aca="false">AVERAGE(C1056:C1255)</f>
        <v>10331.31455</v>
      </c>
      <c r="K1255" s="17" t="n">
        <f aca="false">MAX(K1254,C1255)</f>
        <v>19650.01</v>
      </c>
      <c r="L1255" s="25" t="n">
        <f aca="false">C1255/K1255-1</f>
        <v>-0.655455137172958</v>
      </c>
      <c r="M1255" s="25" t="n">
        <f aca="false">IF(COUNT(G1226:G1255)&lt;20,"",_xlfn.STDEV.S(G1226:G1255)*SQRT($R$3))</f>
        <v>0.570740589812381</v>
      </c>
      <c r="N1255" s="25" t="n">
        <f aca="false">IF(A1255-7&lt;$R$2,"",C1255/INDEX(Clean_Data!$C$2:$C$4314,MATCH(A1255-7,Clean_Data!$A$2:$A$4314,1))-1)</f>
        <v>-0.121465748465231</v>
      </c>
      <c r="O1255" s="25" t="n">
        <f aca="false">IF(A1255-30&lt;$R$2,"",C1255/INDEX(Clean_Data!$C$2:$C$4314,MATCH(A1255-30,Clean_Data!$A$2:$A$4314,1))-1)</f>
        <v>-0.194330104851291</v>
      </c>
    </row>
    <row r="1256" customFormat="false" ht="15" hidden="false" customHeight="false" outlineLevel="0" collapsed="false">
      <c r="A1256" s="16" t="n">
        <v>43262</v>
      </c>
      <c r="B1256" s="23" t="n">
        <f aca="false">YEAR(A1256)</f>
        <v>2018</v>
      </c>
      <c r="C1256" s="17" t="n">
        <v>6881</v>
      </c>
      <c r="D1256" s="23" t="n">
        <f aca="false">A1256-A1255</f>
        <v>1</v>
      </c>
      <c r="E1256" s="24" t="n">
        <f aca="false">LN(C1256)</f>
        <v>8.83651926920248</v>
      </c>
      <c r="F1256" s="25" t="n">
        <f aca="false">LN(C1256/C1255)</f>
        <v>0.0162171140933929</v>
      </c>
      <c r="G1256" s="25" t="n">
        <f aca="false">IF(AND(D1256=1,A1256&gt;=$R$2),F1256,"")</f>
        <v>0.0162171140933929</v>
      </c>
      <c r="H1256" s="27" t="n">
        <f aca="false">IF(G1256="","",G1256^2)</f>
        <v>0.000262994789518123</v>
      </c>
      <c r="I1256" s="25" t="n">
        <f aca="false">IF(G1256="","",C1256/C1255-1)</f>
        <v>0.0163493252155367</v>
      </c>
      <c r="J1256" s="17" t="n">
        <f aca="false">AVERAGE(C1057:C1256)</f>
        <v>10325.56375</v>
      </c>
      <c r="K1256" s="17" t="n">
        <f aca="false">MAX(K1255,C1256)</f>
        <v>19650.01</v>
      </c>
      <c r="L1256" s="25" t="n">
        <f aca="false">C1256/K1256-1</f>
        <v>-0.649822061159256</v>
      </c>
      <c r="M1256" s="25" t="n">
        <f aca="false">IF(COUNT(G1227:G1256)&lt;20,"",_xlfn.STDEV.S(G1227:G1256)*SQRT($R$3))</f>
        <v>0.574040636617291</v>
      </c>
      <c r="N1256" s="25" t="n">
        <f aca="false">IF(A1256-7&lt;$R$2,"",C1256/INDEX(Clean_Data!$C$2:$C$4314,MATCH(A1256-7,Clean_Data!$A$2:$A$4314,1))-1)</f>
        <v>-0.0809857132744876</v>
      </c>
      <c r="O1256" s="25" t="n">
        <f aca="false">IF(A1256-30&lt;$R$2,"",C1256/INDEX(Clean_Data!$C$2:$C$4314,MATCH(A1256-30,Clean_Data!$A$2:$A$4314,1))-1)</f>
        <v>-0.188082595870206</v>
      </c>
    </row>
    <row r="1257" customFormat="false" ht="15" hidden="false" customHeight="false" outlineLevel="0" collapsed="false">
      <c r="A1257" s="16" t="n">
        <v>43263</v>
      </c>
      <c r="B1257" s="23" t="n">
        <f aca="false">YEAR(A1257)</f>
        <v>2018</v>
      </c>
      <c r="C1257" s="17" t="n">
        <v>6544.99</v>
      </c>
      <c r="D1257" s="23" t="n">
        <f aca="false">A1257-A1256</f>
        <v>1</v>
      </c>
      <c r="E1257" s="24" t="n">
        <f aca="false">LN(C1257)</f>
        <v>8.78645515045895</v>
      </c>
      <c r="F1257" s="25" t="n">
        <f aca="false">LN(C1257/C1256)</f>
        <v>-0.0500641187435276</v>
      </c>
      <c r="G1257" s="25" t="n">
        <f aca="false">IF(AND(D1257=1,A1257&gt;=$R$2),F1257,"")</f>
        <v>-0.0500641187435276</v>
      </c>
      <c r="H1257" s="27" t="n">
        <f aca="false">IF(G1257="","",G1257^2)</f>
        <v>0.00250641598556603</v>
      </c>
      <c r="I1257" s="25" t="n">
        <f aca="false">IF(G1257="","",C1257/C1256-1)</f>
        <v>-0.0488315651794797</v>
      </c>
      <c r="J1257" s="17" t="n">
        <f aca="false">AVERAGE(C1058:C1257)</f>
        <v>10317.21365</v>
      </c>
      <c r="K1257" s="17" t="n">
        <f aca="false">MAX(K1256,C1257)</f>
        <v>19650.01</v>
      </c>
      <c r="L1257" s="25" t="n">
        <f aca="false">C1257/K1257-1</f>
        <v>-0.666921798004174</v>
      </c>
      <c r="M1257" s="25" t="n">
        <f aca="false">IF(COUNT(G1228:G1257)&lt;20,"",_xlfn.STDEV.S(G1228:G1257)*SQRT($R$3))</f>
        <v>0.581426817015373</v>
      </c>
      <c r="N1257" s="25" t="n">
        <f aca="false">IF(A1257-7&lt;$R$2,"",C1257/INDEX(Clean_Data!$C$2:$C$4314,MATCH(A1257-7,Clean_Data!$A$2:$A$4314,1))-1)</f>
        <v>-0.140232328102032</v>
      </c>
      <c r="O1257" s="25" t="n">
        <f aca="false">IF(A1257-30&lt;$R$2,"",C1257/INDEX(Clean_Data!$C$2:$C$4314,MATCH(A1257-30,Clean_Data!$A$2:$A$4314,1))-1)</f>
        <v>-0.246498428523733</v>
      </c>
    </row>
    <row r="1258" customFormat="false" ht="15" hidden="false" customHeight="false" outlineLevel="0" collapsed="false">
      <c r="A1258" s="16" t="n">
        <v>43264</v>
      </c>
      <c r="B1258" s="23" t="n">
        <f aca="false">YEAR(A1258)</f>
        <v>2018</v>
      </c>
      <c r="C1258" s="17" t="n">
        <v>6302.32</v>
      </c>
      <c r="D1258" s="23" t="n">
        <f aca="false">A1258-A1257</f>
        <v>1</v>
      </c>
      <c r="E1258" s="24" t="n">
        <f aca="false">LN(C1258)</f>
        <v>8.74867309855903</v>
      </c>
      <c r="F1258" s="25" t="n">
        <f aca="false">LN(C1258/C1257)</f>
        <v>-0.037782051899925</v>
      </c>
      <c r="G1258" s="25" t="n">
        <f aca="false">IF(AND(D1258=1,A1258&gt;=$R$2),F1258,"")</f>
        <v>-0.037782051899925</v>
      </c>
      <c r="H1258" s="27" t="n">
        <f aca="false">IF(G1258="","",G1258^2)</f>
        <v>0.00142748344576863</v>
      </c>
      <c r="I1258" s="25" t="n">
        <f aca="false">IF(G1258="","",C1258/C1257-1)</f>
        <v>-0.0370772147856605</v>
      </c>
      <c r="J1258" s="17" t="n">
        <f aca="false">AVERAGE(C1059:C1258)</f>
        <v>10304.74775</v>
      </c>
      <c r="K1258" s="17" t="n">
        <f aca="false">MAX(K1257,C1258)</f>
        <v>19650.01</v>
      </c>
      <c r="L1258" s="25" t="n">
        <f aca="false">C1258/K1258-1</f>
        <v>-0.679271410039995</v>
      </c>
      <c r="M1258" s="25" t="n">
        <f aca="false">IF(COUNT(G1229:G1258)&lt;20,"",_xlfn.STDEV.S(G1229:G1258)*SQRT($R$3))</f>
        <v>0.588988125130147</v>
      </c>
      <c r="N1258" s="25" t="n">
        <f aca="false">IF(A1258-7&lt;$R$2,"",C1258/INDEX(Clean_Data!$C$2:$C$4314,MATCH(A1258-7,Clean_Data!$A$2:$A$4314,1))-1)</f>
        <v>-0.176705421293272</v>
      </c>
      <c r="O1258" s="25" t="n">
        <f aca="false">IF(A1258-30&lt;$R$2,"",C1258/INDEX(Clean_Data!$C$2:$C$4314,MATCH(A1258-30,Clean_Data!$A$2:$A$4314,1))-1)</f>
        <v>-0.273088811995386</v>
      </c>
    </row>
    <row r="1259" customFormat="false" ht="15" hidden="false" customHeight="false" outlineLevel="0" collapsed="false">
      <c r="A1259" s="16" t="n">
        <v>43265</v>
      </c>
      <c r="B1259" s="23" t="n">
        <f aca="false">YEAR(A1259)</f>
        <v>2018</v>
      </c>
      <c r="C1259" s="17" t="n">
        <v>6638.49</v>
      </c>
      <c r="D1259" s="23" t="n">
        <f aca="false">A1259-A1258</f>
        <v>1</v>
      </c>
      <c r="E1259" s="24" t="n">
        <f aca="false">LN(C1259)</f>
        <v>8.80063980697043</v>
      </c>
      <c r="F1259" s="25" t="n">
        <f aca="false">LN(C1259/C1258)</f>
        <v>0.0519667084114054</v>
      </c>
      <c r="G1259" s="25" t="n">
        <f aca="false">IF(AND(D1259=1,A1259&gt;=$R$2),F1259,"")</f>
        <v>0.0519667084114054</v>
      </c>
      <c r="H1259" s="27" t="n">
        <f aca="false">IF(G1259="","",G1259^2)</f>
        <v>0.00270053878311604</v>
      </c>
      <c r="I1259" s="25" t="n">
        <f aca="false">IF(G1259="","",C1259/C1258-1)</f>
        <v>0.0533406745452469</v>
      </c>
      <c r="J1259" s="17" t="n">
        <f aca="false">AVERAGE(C1060:C1259)</f>
        <v>10290.93465</v>
      </c>
      <c r="K1259" s="17" t="n">
        <f aca="false">MAX(K1258,C1259)</f>
        <v>19650.01</v>
      </c>
      <c r="L1259" s="25" t="n">
        <f aca="false">C1259/K1259-1</f>
        <v>-0.662163530705582</v>
      </c>
      <c r="M1259" s="25" t="n">
        <f aca="false">IF(COUNT(G1230:G1259)&lt;20,"",_xlfn.STDEV.S(G1230:G1259)*SQRT($R$3))</f>
        <v>0.626212969928969</v>
      </c>
      <c r="N1259" s="25" t="n">
        <f aca="false">IF(A1259-7&lt;$R$2,"",C1259/INDEX(Clean_Data!$C$2:$C$4314,MATCH(A1259-7,Clean_Data!$A$2:$A$4314,1))-1)</f>
        <v>-0.136167798535575</v>
      </c>
      <c r="O1259" s="25" t="n">
        <f aca="false">IF(A1259-30&lt;$R$2,"",C1259/INDEX(Clean_Data!$C$2:$C$4314,MATCH(A1259-30,Clean_Data!$A$2:$A$4314,1))-1)</f>
        <v>-0.21692464488184</v>
      </c>
    </row>
    <row r="1260" customFormat="false" ht="15" hidden="false" customHeight="false" outlineLevel="0" collapsed="false">
      <c r="A1260" s="16" t="n">
        <v>43266</v>
      </c>
      <c r="B1260" s="23" t="n">
        <f aca="false">YEAR(A1260)</f>
        <v>2018</v>
      </c>
      <c r="C1260" s="17" t="n">
        <v>6391.22</v>
      </c>
      <c r="D1260" s="23" t="n">
        <f aca="false">A1260-A1259</f>
        <v>1</v>
      </c>
      <c r="E1260" s="24" t="n">
        <f aca="false">LN(C1260)</f>
        <v>8.76268045246573</v>
      </c>
      <c r="F1260" s="25" t="n">
        <f aca="false">LN(C1260/C1259)</f>
        <v>-0.0379593545047053</v>
      </c>
      <c r="G1260" s="25" t="n">
        <f aca="false">IF(AND(D1260=1,A1260&gt;=$R$2),F1260,"")</f>
        <v>-0.0379593545047053</v>
      </c>
      <c r="H1260" s="27" t="n">
        <f aca="false">IF(G1260="","",G1260^2)</f>
        <v>0.00144091259441389</v>
      </c>
      <c r="I1260" s="25" t="n">
        <f aca="false">IF(G1260="","",C1260/C1259-1)</f>
        <v>-0.0372479283692526</v>
      </c>
      <c r="J1260" s="17" t="n">
        <f aca="false">AVERAGE(C1061:C1260)</f>
        <v>10274.0472</v>
      </c>
      <c r="K1260" s="17" t="n">
        <f aca="false">MAX(K1259,C1260)</f>
        <v>19650.01</v>
      </c>
      <c r="L1260" s="25" t="n">
        <f aca="false">C1260/K1260-1</f>
        <v>-0.674747239314382</v>
      </c>
      <c r="M1260" s="25" t="n">
        <f aca="false">IF(COUNT(G1231:G1260)&lt;20,"",_xlfn.STDEV.S(G1231:G1260)*SQRT($R$3))</f>
        <v>0.634327805061519</v>
      </c>
      <c r="N1260" s="25" t="n">
        <f aca="false">IF(A1260-7&lt;$R$2,"",C1260/INDEX(Clean_Data!$C$2:$C$4314,MATCH(A1260-7,Clean_Data!$A$2:$A$4314,1))-1)</f>
        <v>-0.161128414730346</v>
      </c>
      <c r="O1260" s="25" t="n">
        <f aca="false">IF(A1260-30&lt;$R$2,"",C1260/INDEX(Clean_Data!$C$2:$C$4314,MATCH(A1260-30,Clean_Data!$A$2:$A$4314,1))-1)</f>
        <v>-0.234034036433365</v>
      </c>
    </row>
    <row r="1261" customFormat="false" ht="15" hidden="false" customHeight="false" outlineLevel="0" collapsed="false">
      <c r="A1261" s="16" t="n">
        <v>43267</v>
      </c>
      <c r="B1261" s="23" t="n">
        <f aca="false">YEAR(A1261)</f>
        <v>2018</v>
      </c>
      <c r="C1261" s="17" t="n">
        <v>6484.29</v>
      </c>
      <c r="D1261" s="23" t="n">
        <f aca="false">A1261-A1260</f>
        <v>1</v>
      </c>
      <c r="E1261" s="24" t="n">
        <f aca="false">LN(C1261)</f>
        <v>8.77713760733351</v>
      </c>
      <c r="F1261" s="25" t="n">
        <f aca="false">LN(C1261/C1260)</f>
        <v>0.014457154867785</v>
      </c>
      <c r="G1261" s="25" t="n">
        <f aca="false">IF(AND(D1261=1,A1261&gt;=$R$2),F1261,"")</f>
        <v>0.014457154867785</v>
      </c>
      <c r="H1261" s="27" t="n">
        <f aca="false">IF(G1261="","",G1261^2)</f>
        <v>0.000209009326871118</v>
      </c>
      <c r="I1261" s="25" t="n">
        <f aca="false">IF(G1261="","",C1261/C1260-1)</f>
        <v>0.0145621649700682</v>
      </c>
      <c r="J1261" s="17" t="n">
        <f aca="false">AVERAGE(C1062:C1261)</f>
        <v>10256.72365</v>
      </c>
      <c r="K1261" s="17" t="n">
        <f aca="false">MAX(K1260,C1261)</f>
        <v>19650.01</v>
      </c>
      <c r="L1261" s="25" t="n">
        <f aca="false">C1261/K1261-1</f>
        <v>-0.670010854956308</v>
      </c>
      <c r="M1261" s="25" t="n">
        <f aca="false">IF(COUNT(G1232:G1261)&lt;20,"",_xlfn.STDEV.S(G1232:G1261)*SQRT($R$3))</f>
        <v>0.632292639877015</v>
      </c>
      <c r="N1261" s="25" t="n">
        <f aca="false">IF(A1261-7&lt;$R$2,"",C1261/INDEX(Clean_Data!$C$2:$C$4314,MATCH(A1261-7,Clean_Data!$A$2:$A$4314,1))-1)</f>
        <v>-0.135012806146951</v>
      </c>
      <c r="O1261" s="25" t="n">
        <f aca="false">IF(A1261-30&lt;$R$2,"",C1261/INDEX(Clean_Data!$C$2:$C$4314,MATCH(A1261-30,Clean_Data!$A$2:$A$4314,1))-1)</f>
        <v>-0.195397692021343</v>
      </c>
    </row>
    <row r="1262" customFormat="false" ht="15" hidden="false" customHeight="false" outlineLevel="0" collapsed="false">
      <c r="A1262" s="16" t="n">
        <v>43268</v>
      </c>
      <c r="B1262" s="23" t="n">
        <f aca="false">YEAR(A1262)</f>
        <v>2018</v>
      </c>
      <c r="C1262" s="17" t="n">
        <v>6447.16</v>
      </c>
      <c r="D1262" s="23" t="n">
        <f aca="false">A1262-A1261</f>
        <v>1</v>
      </c>
      <c r="E1262" s="24" t="n">
        <f aca="false">LN(C1262)</f>
        <v>8.77139500274735</v>
      </c>
      <c r="F1262" s="25" t="n">
        <f aca="false">LN(C1262/C1261)</f>
        <v>-0.00574260458615988</v>
      </c>
      <c r="G1262" s="25" t="n">
        <f aca="false">IF(AND(D1262=1,A1262&gt;=$R$2),F1262,"")</f>
        <v>-0.00574260458615988</v>
      </c>
      <c r="H1262" s="27" t="n">
        <f aca="false">IF(G1262="","",G1262^2)</f>
        <v>3.29775074329845E-005</v>
      </c>
      <c r="I1262" s="25" t="n">
        <f aca="false">IF(G1262="","",C1262/C1261-1)</f>
        <v>-0.00572614734997978</v>
      </c>
      <c r="J1262" s="17" t="n">
        <f aca="false">AVERAGE(C1063:C1262)</f>
        <v>10239.27955</v>
      </c>
      <c r="K1262" s="17" t="n">
        <f aca="false">MAX(K1261,C1262)</f>
        <v>19650.01</v>
      </c>
      <c r="L1262" s="25" t="n">
        <f aca="false">C1262/K1262-1</f>
        <v>-0.671900421424722</v>
      </c>
      <c r="M1262" s="25" t="n">
        <f aca="false">IF(COUNT(G1233:G1262)&lt;20,"",_xlfn.STDEV.S(G1233:G1262)*SQRT($R$3))</f>
        <v>0.623466712869888</v>
      </c>
      <c r="N1262" s="25" t="n">
        <f aca="false">IF(A1262-7&lt;$R$2,"",C1262/INDEX(Clean_Data!$C$2:$C$4314,MATCH(A1262-7,Clean_Data!$A$2:$A$4314,1))-1)</f>
        <v>-0.0477304584280485</v>
      </c>
      <c r="O1262" s="25" t="n">
        <f aca="false">IF(A1262-30&lt;$R$2,"",C1262/INDEX(Clean_Data!$C$2:$C$4314,MATCH(A1262-30,Clean_Data!$A$2:$A$4314,1))-1)</f>
        <v>-0.217436162607073</v>
      </c>
    </row>
    <row r="1263" customFormat="false" ht="15" hidden="false" customHeight="false" outlineLevel="0" collapsed="false">
      <c r="A1263" s="16" t="n">
        <v>43269</v>
      </c>
      <c r="B1263" s="23" t="n">
        <f aca="false">YEAR(A1263)</f>
        <v>2018</v>
      </c>
      <c r="C1263" s="17" t="n">
        <v>6709.02</v>
      </c>
      <c r="D1263" s="23" t="n">
        <f aca="false">A1263-A1262</f>
        <v>1</v>
      </c>
      <c r="E1263" s="24" t="n">
        <f aca="false">LN(C1263)</f>
        <v>8.81120816862865</v>
      </c>
      <c r="F1263" s="25" t="n">
        <f aca="false">LN(C1263/C1262)</f>
        <v>0.0398131658812964</v>
      </c>
      <c r="G1263" s="25" t="n">
        <f aca="false">IF(AND(D1263=1,A1263&gt;=$R$2),F1263,"")</f>
        <v>0.0398131658812964</v>
      </c>
      <c r="H1263" s="27" t="n">
        <f aca="false">IF(G1263="","",G1263^2)</f>
        <v>0.00158508817749162</v>
      </c>
      <c r="I1263" s="25" t="n">
        <f aca="false">IF(G1263="","",C1263/C1262-1)</f>
        <v>0.0406163333933081</v>
      </c>
      <c r="J1263" s="17" t="n">
        <f aca="false">AVERAGE(C1064:C1263)</f>
        <v>10223.30965</v>
      </c>
      <c r="K1263" s="17" t="n">
        <f aca="false">MAX(K1262,C1263)</f>
        <v>19650.01</v>
      </c>
      <c r="L1263" s="25" t="n">
        <f aca="false">C1263/K1263-1</f>
        <v>-0.658574219555105</v>
      </c>
      <c r="M1263" s="25" t="n">
        <f aca="false">IF(COUNT(G1234:G1263)&lt;20,"",_xlfn.STDEV.S(G1234:G1263)*SQRT($R$3))</f>
        <v>0.645171156671965</v>
      </c>
      <c r="N1263" s="25" t="n">
        <f aca="false">IF(A1263-7&lt;$R$2,"",C1263/INDEX(Clean_Data!$C$2:$C$4314,MATCH(A1263-7,Clean_Data!$A$2:$A$4314,1))-1)</f>
        <v>-0.0249934602528702</v>
      </c>
      <c r="O1263" s="25" t="n">
        <f aca="false">IF(A1263-30&lt;$R$2,"",C1263/INDEX(Clean_Data!$C$2:$C$4314,MATCH(A1263-30,Clean_Data!$A$2:$A$4314,1))-1)</f>
        <v>-0.185363543639808</v>
      </c>
    </row>
    <row r="1264" customFormat="false" ht="15" hidden="false" customHeight="false" outlineLevel="0" collapsed="false">
      <c r="A1264" s="16" t="n">
        <v>43270</v>
      </c>
      <c r="B1264" s="23" t="n">
        <f aca="false">YEAR(A1264)</f>
        <v>2018</v>
      </c>
      <c r="C1264" s="17" t="n">
        <v>6736.41</v>
      </c>
      <c r="D1264" s="23" t="n">
        <f aca="false">A1264-A1263</f>
        <v>1</v>
      </c>
      <c r="E1264" s="24" t="n">
        <f aca="false">LN(C1264)</f>
        <v>8.81528242105322</v>
      </c>
      <c r="F1264" s="25" t="n">
        <f aca="false">LN(C1264/C1263)</f>
        <v>0.004074252424567</v>
      </c>
      <c r="G1264" s="25" t="n">
        <f aca="false">IF(AND(D1264=1,A1264&gt;=$R$2),F1264,"")</f>
        <v>0.004074252424567</v>
      </c>
      <c r="H1264" s="27" t="n">
        <f aca="false">IF(G1264="","",G1264^2)</f>
        <v>1.65995328190901E-005</v>
      </c>
      <c r="I1264" s="25" t="n">
        <f aca="false">IF(G1264="","",C1264/C1263-1)</f>
        <v>0.00408256347424807</v>
      </c>
      <c r="J1264" s="17" t="n">
        <f aca="false">AVERAGE(C1065:C1264)</f>
        <v>10202.6425</v>
      </c>
      <c r="K1264" s="17" t="n">
        <f aca="false">MAX(K1263,C1264)</f>
        <v>19650.01</v>
      </c>
      <c r="L1264" s="25" t="n">
        <f aca="false">C1264/K1264-1</f>
        <v>-0.657180327134694</v>
      </c>
      <c r="M1264" s="25" t="n">
        <f aca="false">IF(COUNT(G1235:G1264)&lt;20,"",_xlfn.STDEV.S(G1235:G1264)*SQRT($R$3))</f>
        <v>0.629936391437196</v>
      </c>
      <c r="N1264" s="25" t="n">
        <f aca="false">IF(A1264-7&lt;$R$2,"",C1264/INDEX(Clean_Data!$C$2:$C$4314,MATCH(A1264-7,Clean_Data!$A$2:$A$4314,1))-1)</f>
        <v>0.0292467979324644</v>
      </c>
      <c r="O1264" s="25" t="n">
        <f aca="false">IF(A1264-30&lt;$R$2,"",C1264/INDEX(Clean_Data!$C$2:$C$4314,MATCH(A1264-30,Clean_Data!$A$2:$A$4314,1))-1)</f>
        <v>-0.209050048961707</v>
      </c>
    </row>
    <row r="1265" customFormat="false" ht="15" hidden="false" customHeight="false" outlineLevel="0" collapsed="false">
      <c r="A1265" s="16" t="n">
        <v>43271</v>
      </c>
      <c r="B1265" s="23" t="n">
        <f aca="false">YEAR(A1265)</f>
        <v>2018</v>
      </c>
      <c r="C1265" s="17" t="n">
        <v>6756.1</v>
      </c>
      <c r="D1265" s="23" t="n">
        <f aca="false">A1265-A1264</f>
        <v>1</v>
      </c>
      <c r="E1265" s="24" t="n">
        <f aca="false">LN(C1265)</f>
        <v>8.81820107947593</v>
      </c>
      <c r="F1265" s="25" t="n">
        <f aca="false">LN(C1265/C1264)</f>
        <v>0.00291865842271719</v>
      </c>
      <c r="G1265" s="25" t="n">
        <f aca="false">IF(AND(D1265=1,A1265&gt;=$R$2),F1265,"")</f>
        <v>0.00291865842271719</v>
      </c>
      <c r="H1265" s="27" t="n">
        <f aca="false">IF(G1265="","",G1265^2)</f>
        <v>8.51856698849798E-006</v>
      </c>
      <c r="I1265" s="25" t="n">
        <f aca="false">IF(G1265="","",C1265/C1264-1)</f>
        <v>0.00292292185303467</v>
      </c>
      <c r="J1265" s="17" t="n">
        <f aca="false">AVERAGE(C1066:C1265)</f>
        <v>10181.7718</v>
      </c>
      <c r="K1265" s="17" t="n">
        <f aca="false">MAX(K1264,C1265)</f>
        <v>19650.01</v>
      </c>
      <c r="L1265" s="25" t="n">
        <f aca="false">C1265/K1265-1</f>
        <v>-0.656178292021225</v>
      </c>
      <c r="M1265" s="25" t="n">
        <f aca="false">IF(COUNT(G1236:G1265)&lt;20,"",_xlfn.STDEV.S(G1236:G1265)*SQRT($R$3))</f>
        <v>0.630526204195612</v>
      </c>
      <c r="N1265" s="25" t="n">
        <f aca="false">IF(A1265-7&lt;$R$2,"",C1265/INDEX(Clean_Data!$C$2:$C$4314,MATCH(A1265-7,Clean_Data!$A$2:$A$4314,1))-1)</f>
        <v>0.072002056385585</v>
      </c>
      <c r="O1265" s="25" t="n">
        <f aca="false">IF(A1265-30&lt;$R$2,"",C1265/INDEX(Clean_Data!$C$2:$C$4314,MATCH(A1265-30,Clean_Data!$A$2:$A$4314,1))-1)</f>
        <v>-0.195073771898054</v>
      </c>
    </row>
    <row r="1266" customFormat="false" ht="15" hidden="false" customHeight="false" outlineLevel="0" collapsed="false">
      <c r="A1266" s="16" t="n">
        <v>43272</v>
      </c>
      <c r="B1266" s="23" t="n">
        <f aca="false">YEAR(A1266)</f>
        <v>2018</v>
      </c>
      <c r="C1266" s="17" t="n">
        <v>6719.01</v>
      </c>
      <c r="D1266" s="23" t="n">
        <f aca="false">A1266-A1265</f>
        <v>1</v>
      </c>
      <c r="E1266" s="24" t="n">
        <f aca="false">LN(C1266)</f>
        <v>8.81269610123576</v>
      </c>
      <c r="F1266" s="25" t="n">
        <f aca="false">LN(C1266/C1265)</f>
        <v>-0.00550497824017673</v>
      </c>
      <c r="G1266" s="25" t="n">
        <f aca="false">IF(AND(D1266=1,A1266&gt;=$R$2),F1266,"")</f>
        <v>-0.00550497824017673</v>
      </c>
      <c r="H1266" s="27" t="n">
        <f aca="false">IF(G1266="","",G1266^2)</f>
        <v>3.03047854248193E-005</v>
      </c>
      <c r="I1266" s="25" t="n">
        <f aca="false">IF(G1266="","",C1266/C1265-1)</f>
        <v>-0.0054898536137713</v>
      </c>
      <c r="J1266" s="17" t="n">
        <f aca="false">AVERAGE(C1067:C1266)</f>
        <v>10158.91685</v>
      </c>
      <c r="K1266" s="17" t="n">
        <f aca="false">MAX(K1265,C1266)</f>
        <v>19650.01</v>
      </c>
      <c r="L1266" s="25" t="n">
        <f aca="false">C1266/K1266-1</f>
        <v>-0.658065822867266</v>
      </c>
      <c r="M1266" s="25" t="n">
        <f aca="false">IF(COUNT(G1237:G1266)&lt;20,"",_xlfn.STDEV.S(G1237:G1266)*SQRT($R$3))</f>
        <v>0.61176114849956</v>
      </c>
      <c r="N1266" s="25" t="n">
        <f aca="false">IF(A1266-7&lt;$R$2,"",C1266/INDEX(Clean_Data!$C$2:$C$4314,MATCH(A1266-7,Clean_Data!$A$2:$A$4314,1))-1)</f>
        <v>0.0121292643357149</v>
      </c>
      <c r="O1266" s="25" t="n">
        <f aca="false">IF(A1266-30&lt;$R$2,"",C1266/INDEX(Clean_Data!$C$2:$C$4314,MATCH(A1266-30,Clean_Data!$A$2:$A$4314,1))-1)</f>
        <v>-0.158830451819673</v>
      </c>
    </row>
    <row r="1267" customFormat="false" ht="15" hidden="false" customHeight="false" outlineLevel="0" collapsed="false">
      <c r="A1267" s="16" t="n">
        <v>43273</v>
      </c>
      <c r="B1267" s="23" t="n">
        <f aca="false">YEAR(A1267)</f>
        <v>2018</v>
      </c>
      <c r="C1267" s="17" t="n">
        <v>6059.82</v>
      </c>
      <c r="D1267" s="23" t="n">
        <f aca="false">A1267-A1266</f>
        <v>1</v>
      </c>
      <c r="E1267" s="24" t="n">
        <f aca="false">LN(C1267)</f>
        <v>8.70943537565192</v>
      </c>
      <c r="F1267" s="25" t="n">
        <f aca="false">LN(C1267/C1266)</f>
        <v>-0.103260725583835</v>
      </c>
      <c r="G1267" s="25" t="n">
        <f aca="false">IF(AND(D1267=1,A1267&gt;=$R$2),F1267,"")</f>
        <v>-0.103260725583835</v>
      </c>
      <c r="H1267" s="27" t="n">
        <f aca="false">IF(G1267="","",G1267^2)</f>
        <v>0.0106627774481001</v>
      </c>
      <c r="I1267" s="25" t="n">
        <f aca="false">IF(G1267="","",C1267/C1266-1)</f>
        <v>-0.0981082034406855</v>
      </c>
      <c r="J1267" s="17" t="n">
        <f aca="false">AVERAGE(C1068:C1267)</f>
        <v>10130.99605</v>
      </c>
      <c r="K1267" s="17" t="n">
        <f aca="false">MAX(K1266,C1267)</f>
        <v>19650.01</v>
      </c>
      <c r="L1267" s="25" t="n">
        <f aca="false">C1267/K1267-1</f>
        <v>-0.691612370680727</v>
      </c>
      <c r="M1267" s="25" t="n">
        <f aca="false">IF(COUNT(G1238:G1267)&lt;20,"",_xlfn.STDEV.S(G1238:G1267)*SQRT($R$3))</f>
        <v>0.672985905546662</v>
      </c>
      <c r="N1267" s="25" t="n">
        <f aca="false">IF(A1267-7&lt;$R$2,"",C1267/INDEX(Clean_Data!$C$2:$C$4314,MATCH(A1267-7,Clean_Data!$A$2:$A$4314,1))-1)</f>
        <v>-0.0518523849906591</v>
      </c>
      <c r="O1267" s="25" t="n">
        <f aca="false">IF(A1267-30&lt;$R$2,"",C1267/INDEX(Clean_Data!$C$2:$C$4314,MATCH(A1267-30,Clean_Data!$A$2:$A$4314,1))-1)</f>
        <v>-0.192562291805463</v>
      </c>
    </row>
    <row r="1268" customFormat="false" ht="15" hidden="false" customHeight="false" outlineLevel="0" collapsed="false">
      <c r="A1268" s="16" t="n">
        <v>43274</v>
      </c>
      <c r="B1268" s="23" t="n">
        <f aca="false">YEAR(A1268)</f>
        <v>2018</v>
      </c>
      <c r="C1268" s="17" t="n">
        <v>6178.29</v>
      </c>
      <c r="D1268" s="23" t="n">
        <f aca="false">A1268-A1267</f>
        <v>1</v>
      </c>
      <c r="E1268" s="24" t="n">
        <f aca="false">LN(C1268)</f>
        <v>8.72879681313437</v>
      </c>
      <c r="F1268" s="25" t="n">
        <f aca="false">LN(C1268/C1267)</f>
        <v>0.0193614374824498</v>
      </c>
      <c r="G1268" s="25" t="n">
        <f aca="false">IF(AND(D1268=1,A1268&gt;=$R$2),F1268,"")</f>
        <v>0.0193614374824498</v>
      </c>
      <c r="H1268" s="27" t="n">
        <f aca="false">IF(G1268="","",G1268^2)</f>
        <v>0.000374865261386811</v>
      </c>
      <c r="I1268" s="25" t="n">
        <f aca="false">IF(G1268="","",C1268/C1267-1)</f>
        <v>0.0195500856461084</v>
      </c>
      <c r="J1268" s="17" t="n">
        <f aca="false">AVERAGE(C1069:C1268)</f>
        <v>10103.29575</v>
      </c>
      <c r="K1268" s="17" t="n">
        <f aca="false">MAX(K1267,C1268)</f>
        <v>19650.01</v>
      </c>
      <c r="L1268" s="25" t="n">
        <f aca="false">C1268/K1268-1</f>
        <v>-0.685583366115335</v>
      </c>
      <c r="M1268" s="25" t="n">
        <f aca="false">IF(COUNT(G1239:G1268)&lt;20,"",_xlfn.STDEV.S(G1239:G1268)*SQRT($R$3))</f>
        <v>0.676610556134414</v>
      </c>
      <c r="N1268" s="25" t="n">
        <f aca="false">IF(A1268-7&lt;$R$2,"",C1268/INDEX(Clean_Data!$C$2:$C$4314,MATCH(A1268-7,Clean_Data!$A$2:$A$4314,1))-1)</f>
        <v>-0.047190980045618</v>
      </c>
      <c r="O1268" s="25" t="n">
        <f aca="false">IF(A1268-30&lt;$R$2,"",C1268/INDEX(Clean_Data!$C$2:$C$4314,MATCH(A1268-30,Clean_Data!$A$2:$A$4314,1))-1)</f>
        <v>-0.185368169142224</v>
      </c>
    </row>
    <row r="1269" customFormat="false" ht="15" hidden="false" customHeight="false" outlineLevel="0" collapsed="false">
      <c r="A1269" s="16" t="n">
        <v>43275</v>
      </c>
      <c r="B1269" s="23" t="n">
        <f aca="false">YEAR(A1269)</f>
        <v>2018</v>
      </c>
      <c r="C1269" s="17" t="n">
        <v>6149.99</v>
      </c>
      <c r="D1269" s="23" t="n">
        <f aca="false">A1269-A1268</f>
        <v>1</v>
      </c>
      <c r="E1269" s="24" t="n">
        <f aca="false">LN(C1269)</f>
        <v>8.72420573478298</v>
      </c>
      <c r="F1269" s="25" t="n">
        <f aca="false">LN(C1269/C1268)</f>
        <v>-0.00459107835138949</v>
      </c>
      <c r="G1269" s="25" t="n">
        <f aca="false">IF(AND(D1269=1,A1269&gt;=$R$2),F1269,"")</f>
        <v>-0.00459107835138949</v>
      </c>
      <c r="H1269" s="27" t="n">
        <f aca="false">IF(G1269="","",G1269^2)</f>
        <v>2.10780004285973E-005</v>
      </c>
      <c r="I1269" s="25" t="n">
        <f aca="false">IF(G1269="","",C1269/C1268-1)</f>
        <v>-0.004580555461139</v>
      </c>
      <c r="J1269" s="17" t="n">
        <f aca="false">AVERAGE(C1070:C1269)</f>
        <v>10063.5957</v>
      </c>
      <c r="K1269" s="17" t="n">
        <f aca="false">MAX(K1268,C1269)</f>
        <v>19650.01</v>
      </c>
      <c r="L1269" s="25" t="n">
        <f aca="false">C1269/K1269-1</f>
        <v>-0.687023568944749</v>
      </c>
      <c r="M1269" s="25" t="n">
        <f aca="false">IF(COUNT(G1240:G1269)&lt;20,"",_xlfn.STDEV.S(G1240:G1269)*SQRT($R$3))</f>
        <v>0.675720341573388</v>
      </c>
      <c r="N1269" s="25" t="n">
        <f aca="false">IF(A1269-7&lt;$R$2,"",C1269/INDEX(Clean_Data!$C$2:$C$4314,MATCH(A1269-7,Clean_Data!$A$2:$A$4314,1))-1)</f>
        <v>-0.0460931635014488</v>
      </c>
      <c r="O1269" s="25" t="n">
        <f aca="false">IF(A1269-30&lt;$R$2,"",C1269/INDEX(Clean_Data!$C$2:$C$4314,MATCH(A1269-30,Clean_Data!$A$2:$A$4314,1))-1)</f>
        <v>-0.175506193098104</v>
      </c>
    </row>
    <row r="1270" customFormat="false" ht="15" hidden="false" customHeight="false" outlineLevel="0" collapsed="false">
      <c r="A1270" s="16" t="n">
        <v>43276</v>
      </c>
      <c r="B1270" s="23" t="n">
        <f aca="false">YEAR(A1270)</f>
        <v>2018</v>
      </c>
      <c r="C1270" s="17" t="n">
        <v>6246.01</v>
      </c>
      <c r="D1270" s="23" t="n">
        <f aca="false">A1270-A1269</f>
        <v>1</v>
      </c>
      <c r="E1270" s="24" t="n">
        <f aca="false">LN(C1270)</f>
        <v>8.7396981388664</v>
      </c>
      <c r="F1270" s="25" t="n">
        <f aca="false">LN(C1270/C1269)</f>
        <v>0.0154924040834168</v>
      </c>
      <c r="G1270" s="25" t="n">
        <f aca="false">IF(AND(D1270=1,A1270&gt;=$R$2),F1270,"")</f>
        <v>0.0154924040834168</v>
      </c>
      <c r="H1270" s="27" t="n">
        <f aca="false">IF(G1270="","",G1270^2)</f>
        <v>0.000240014584283868</v>
      </c>
      <c r="I1270" s="25" t="n">
        <f aca="false">IF(G1270="","",C1270/C1269-1)</f>
        <v>0.0156130335171278</v>
      </c>
      <c r="J1270" s="17" t="n">
        <f aca="false">AVERAGE(C1071:C1270)</f>
        <v>10007.8757</v>
      </c>
      <c r="K1270" s="17" t="n">
        <f aca="false">MAX(K1269,C1270)</f>
        <v>19650.01</v>
      </c>
      <c r="L1270" s="25" t="n">
        <f aca="false">C1270/K1270-1</f>
        <v>-0.682137057436612</v>
      </c>
      <c r="M1270" s="25" t="n">
        <f aca="false">IF(COUNT(G1241:G1270)&lt;20,"",_xlfn.STDEV.S(G1241:G1270)*SQRT($R$3))</f>
        <v>0.67895344961906</v>
      </c>
      <c r="N1270" s="25" t="n">
        <f aca="false">IF(A1270-7&lt;$R$2,"",C1270/INDEX(Clean_Data!$C$2:$C$4314,MATCH(A1270-7,Clean_Data!$A$2:$A$4314,1))-1)</f>
        <v>-0.0690130600296318</v>
      </c>
      <c r="O1270" s="25" t="n">
        <f aca="false">IF(A1270-30&lt;$R$2,"",C1270/INDEX(Clean_Data!$C$2:$C$4314,MATCH(A1270-30,Clean_Data!$A$2:$A$4314,1))-1)</f>
        <v>-0.148807228176807</v>
      </c>
    </row>
    <row r="1271" customFormat="false" ht="15" hidden="false" customHeight="false" outlineLevel="0" collapsed="false">
      <c r="A1271" s="16" t="n">
        <v>43277</v>
      </c>
      <c r="B1271" s="23" t="n">
        <f aca="false">YEAR(A1271)</f>
        <v>2018</v>
      </c>
      <c r="C1271" s="17" t="n">
        <v>6074</v>
      </c>
      <c r="D1271" s="23" t="n">
        <f aca="false">A1271-A1270</f>
        <v>1</v>
      </c>
      <c r="E1271" s="24" t="n">
        <f aca="false">LN(C1271)</f>
        <v>8.71177264560569</v>
      </c>
      <c r="F1271" s="25" t="n">
        <f aca="false">LN(C1271/C1270)</f>
        <v>-0.027925493260704</v>
      </c>
      <c r="G1271" s="25" t="n">
        <f aca="false">IF(AND(D1271=1,A1271&gt;=$R$2),F1271,"")</f>
        <v>-0.027925493260704</v>
      </c>
      <c r="H1271" s="27" t="n">
        <f aca="false">IF(G1271="","",G1271^2)</f>
        <v>0.000779833173853627</v>
      </c>
      <c r="I1271" s="25" t="n">
        <f aca="false">IF(G1271="","",C1271/C1270-1)</f>
        <v>-0.0275391810131589</v>
      </c>
      <c r="J1271" s="17" t="n">
        <f aca="false">AVERAGE(C1072:C1271)</f>
        <v>9956.41055</v>
      </c>
      <c r="K1271" s="17" t="n">
        <f aca="false">MAX(K1270,C1271)</f>
        <v>19650.01</v>
      </c>
      <c r="L1271" s="25" t="n">
        <f aca="false">C1271/K1271-1</f>
        <v>-0.69089074254924</v>
      </c>
      <c r="M1271" s="25" t="n">
        <f aca="false">IF(COUNT(G1242:G1271)&lt;20,"",_xlfn.STDEV.S(G1242:G1271)*SQRT($R$3))</f>
        <v>0.682996748610572</v>
      </c>
      <c r="N1271" s="25" t="n">
        <f aca="false">IF(A1271-7&lt;$R$2,"",C1271/INDEX(Clean_Data!$C$2:$C$4314,MATCH(A1271-7,Clean_Data!$A$2:$A$4314,1))-1)</f>
        <v>-0.0983327915017049</v>
      </c>
      <c r="O1271" s="25" t="n">
        <f aca="false">IF(A1271-30&lt;$R$2,"",C1271/INDEX(Clean_Data!$C$2:$C$4314,MATCH(A1271-30,Clean_Data!$A$2:$A$4314,1))-1)</f>
        <v>-0.173227489028998</v>
      </c>
    </row>
    <row r="1272" customFormat="false" ht="15" hidden="false" customHeight="false" outlineLevel="0" collapsed="false">
      <c r="A1272" s="16" t="n">
        <v>43278</v>
      </c>
      <c r="B1272" s="23" t="n">
        <f aca="false">YEAR(A1272)</f>
        <v>2018</v>
      </c>
      <c r="C1272" s="17" t="n">
        <v>6132.17</v>
      </c>
      <c r="D1272" s="23" t="n">
        <f aca="false">A1272-A1271</f>
        <v>1</v>
      </c>
      <c r="E1272" s="24" t="n">
        <f aca="false">LN(C1272)</f>
        <v>8.72130396302555</v>
      </c>
      <c r="F1272" s="25" t="n">
        <f aca="false">LN(C1272/C1271)</f>
        <v>0.00953131741985812</v>
      </c>
      <c r="G1272" s="25" t="n">
        <f aca="false">IF(AND(D1272=1,A1272&gt;=$R$2),F1272,"")</f>
        <v>0.00953131741985812</v>
      </c>
      <c r="H1272" s="27" t="n">
        <f aca="false">IF(G1272="","",G1272^2)</f>
        <v>9.08460117580909E-005</v>
      </c>
      <c r="I1272" s="25" t="n">
        <f aca="false">IF(G1272="","",C1272/C1271-1)</f>
        <v>0.00957688508396437</v>
      </c>
      <c r="J1272" s="17" t="n">
        <f aca="false">AVERAGE(C1073:C1272)</f>
        <v>9910.5215</v>
      </c>
      <c r="K1272" s="17" t="n">
        <f aca="false">MAX(K1271,C1272)</f>
        <v>19650.01</v>
      </c>
      <c r="L1272" s="25" t="n">
        <f aca="false">C1272/K1272-1</f>
        <v>-0.687930438712245</v>
      </c>
      <c r="M1272" s="25" t="n">
        <f aca="false">IF(COUNT(G1243:G1272)&lt;20,"",_xlfn.STDEV.S(G1243:G1272)*SQRT($R$3))</f>
        <v>0.678181140619625</v>
      </c>
      <c r="N1272" s="25" t="n">
        <f aca="false">IF(A1272-7&lt;$R$2,"",C1272/INDEX(Clean_Data!$C$2:$C$4314,MATCH(A1272-7,Clean_Data!$A$2:$A$4314,1))-1)</f>
        <v>-0.0923506164799219</v>
      </c>
      <c r="O1272" s="25" t="n">
        <f aca="false">IF(A1272-30&lt;$R$2,"",C1272/INDEX(Clean_Data!$C$2:$C$4314,MATCH(A1272-30,Clean_Data!$A$2:$A$4314,1))-1)</f>
        <v>-0.137278874047896</v>
      </c>
    </row>
    <row r="1273" customFormat="false" ht="15" hidden="false" customHeight="false" outlineLevel="0" collapsed="false">
      <c r="A1273" s="16" t="n">
        <v>43279</v>
      </c>
      <c r="B1273" s="23" t="n">
        <f aca="false">YEAR(A1273)</f>
        <v>2018</v>
      </c>
      <c r="C1273" s="17" t="n">
        <v>5851.66</v>
      </c>
      <c r="D1273" s="23" t="n">
        <f aca="false">A1273-A1272</f>
        <v>1</v>
      </c>
      <c r="E1273" s="24" t="n">
        <f aca="false">LN(C1273)</f>
        <v>8.67448066065722</v>
      </c>
      <c r="F1273" s="25" t="n">
        <f aca="false">LN(C1273/C1272)</f>
        <v>-0.0468233023683377</v>
      </c>
      <c r="G1273" s="25" t="n">
        <f aca="false">IF(AND(D1273=1,A1273&gt;=$R$2),F1273,"")</f>
        <v>-0.0468233023683377</v>
      </c>
      <c r="H1273" s="27" t="n">
        <f aca="false">IF(G1273="","",G1273^2)</f>
        <v>0.00219242164467678</v>
      </c>
      <c r="I1273" s="25" t="n">
        <f aca="false">IF(G1273="","",C1273/C1272-1)</f>
        <v>-0.0457440025309148</v>
      </c>
      <c r="J1273" s="17" t="n">
        <f aca="false">AVERAGE(C1074:C1273)</f>
        <v>9863.32975</v>
      </c>
      <c r="K1273" s="17" t="n">
        <f aca="false">MAX(K1272,C1273)</f>
        <v>19650.01</v>
      </c>
      <c r="L1273" s="25" t="n">
        <f aca="false">C1273/K1273-1</f>
        <v>-0.702205749513614</v>
      </c>
      <c r="M1273" s="25" t="n">
        <f aca="false">IF(COUNT(G1244:G1273)&lt;20,"",_xlfn.STDEV.S(G1244:G1273)*SQRT($R$3))</f>
        <v>0.665220696725015</v>
      </c>
      <c r="N1273" s="25" t="n">
        <f aca="false">IF(A1273-7&lt;$R$2,"",C1273/INDEX(Clean_Data!$C$2:$C$4314,MATCH(A1273-7,Clean_Data!$A$2:$A$4314,1))-1)</f>
        <v>-0.129088958045903</v>
      </c>
      <c r="O1273" s="25" t="n">
        <f aca="false">IF(A1273-30&lt;$R$2,"",C1273/INDEX(Clean_Data!$C$2:$C$4314,MATCH(A1273-30,Clean_Data!$A$2:$A$4314,1))-1)</f>
        <v>-0.215595174262735</v>
      </c>
    </row>
    <row r="1274" customFormat="false" ht="15" hidden="false" customHeight="false" outlineLevel="0" collapsed="false">
      <c r="A1274" s="16" t="n">
        <v>43280</v>
      </c>
      <c r="B1274" s="23" t="n">
        <f aca="false">YEAR(A1274)</f>
        <v>2018</v>
      </c>
      <c r="C1274" s="17" t="n">
        <v>6202.36</v>
      </c>
      <c r="D1274" s="23" t="n">
        <f aca="false">A1274-A1273</f>
        <v>1</v>
      </c>
      <c r="E1274" s="24" t="n">
        <f aca="false">LN(C1274)</f>
        <v>8.73268514376748</v>
      </c>
      <c r="F1274" s="25" t="n">
        <f aca="false">LN(C1274/C1273)</f>
        <v>0.058204483110268</v>
      </c>
      <c r="G1274" s="25" t="n">
        <f aca="false">IF(AND(D1274=1,A1274&gt;=$R$2),F1274,"")</f>
        <v>0.058204483110268</v>
      </c>
      <c r="H1274" s="27" t="n">
        <f aca="false">IF(G1274="","",G1274^2)</f>
        <v>0.00338776185413347</v>
      </c>
      <c r="I1274" s="25" t="n">
        <f aca="false">IF(G1274="","",C1274/C1273-1)</f>
        <v>0.0599317116852312</v>
      </c>
      <c r="J1274" s="17" t="n">
        <f aca="false">AVERAGE(C1075:C1274)</f>
        <v>9809.91275</v>
      </c>
      <c r="K1274" s="17" t="n">
        <f aca="false">MAX(K1273,C1274)</f>
        <v>19650.01</v>
      </c>
      <c r="L1274" s="25" t="n">
        <f aca="false">C1274/K1274-1</f>
        <v>-0.684358430351944</v>
      </c>
      <c r="M1274" s="25" t="n">
        <f aca="false">IF(COUNT(G1245:G1274)&lt;20,"",_xlfn.STDEV.S(G1245:G1274)*SQRT($R$3))</f>
        <v>0.704098216421133</v>
      </c>
      <c r="N1274" s="25" t="n">
        <f aca="false">IF(A1274-7&lt;$R$2,"",C1274/INDEX(Clean_Data!$C$2:$C$4314,MATCH(A1274-7,Clean_Data!$A$2:$A$4314,1))-1)</f>
        <v>0.0235221508229617</v>
      </c>
      <c r="O1274" s="25" t="n">
        <f aca="false">IF(A1274-30&lt;$R$2,"",C1274/INDEX(Clean_Data!$C$2:$C$4314,MATCH(A1274-30,Clean_Data!$A$2:$A$4314,1))-1)</f>
        <v>-0.159572954508192</v>
      </c>
    </row>
    <row r="1275" customFormat="false" ht="15" hidden="false" customHeight="false" outlineLevel="0" collapsed="false">
      <c r="A1275" s="16" t="n">
        <v>43281</v>
      </c>
      <c r="B1275" s="23" t="n">
        <f aca="false">YEAR(A1275)</f>
        <v>2018</v>
      </c>
      <c r="C1275" s="17" t="n">
        <v>6383.19</v>
      </c>
      <c r="D1275" s="23" t="n">
        <f aca="false">A1275-A1274</f>
        <v>1</v>
      </c>
      <c r="E1275" s="24" t="n">
        <f aca="false">LN(C1275)</f>
        <v>8.76142325138049</v>
      </c>
      <c r="F1275" s="25" t="n">
        <f aca="false">LN(C1275/C1274)</f>
        <v>0.028738107613004</v>
      </c>
      <c r="G1275" s="25" t="n">
        <f aca="false">IF(AND(D1275=1,A1275&gt;=$R$2),F1275,"")</f>
        <v>0.028738107613004</v>
      </c>
      <c r="H1275" s="27" t="n">
        <f aca="false">IF(G1275="","",G1275^2)</f>
        <v>0.000825878829176597</v>
      </c>
      <c r="I1275" s="25" t="n">
        <f aca="false">IF(G1275="","",C1275/C1274-1)</f>
        <v>0.0291550313106623</v>
      </c>
      <c r="J1275" s="17" t="n">
        <f aca="false">AVERAGE(C1076:C1275)</f>
        <v>9753.1781</v>
      </c>
      <c r="K1275" s="17" t="n">
        <f aca="false">MAX(K1274,C1275)</f>
        <v>19650.01</v>
      </c>
      <c r="L1275" s="25" t="n">
        <f aca="false">C1275/K1275-1</f>
        <v>-0.675155890505908</v>
      </c>
      <c r="M1275" s="25" t="n">
        <f aca="false">IF(COUNT(G1246:G1275)&lt;20,"",_xlfn.STDEV.S(G1246:G1275)*SQRT($R$3))</f>
        <v>0.711111354928757</v>
      </c>
      <c r="N1275" s="25" t="n">
        <f aca="false">IF(A1275-7&lt;$R$2,"",C1275/INDEX(Clean_Data!$C$2:$C$4314,MATCH(A1275-7,Clean_Data!$A$2:$A$4314,1))-1)</f>
        <v>0.0331645163953132</v>
      </c>
      <c r="O1275" s="25" t="n">
        <f aca="false">IF(A1275-30&lt;$R$2,"",C1275/INDEX(Clean_Data!$C$2:$C$4314,MATCH(A1275-30,Clean_Data!$A$2:$A$4314,1))-1)</f>
        <v>-0.147202404809619</v>
      </c>
    </row>
    <row r="1276" customFormat="false" ht="15" hidden="false" customHeight="false" outlineLevel="0" collapsed="false">
      <c r="A1276" s="16" t="n">
        <v>43282</v>
      </c>
      <c r="B1276" s="23" t="n">
        <f aca="false">YEAR(A1276)</f>
        <v>2018</v>
      </c>
      <c r="C1276" s="17" t="n">
        <v>6349.5</v>
      </c>
      <c r="D1276" s="23" t="n">
        <f aca="false">A1276-A1275</f>
        <v>1</v>
      </c>
      <c r="E1276" s="24" t="n">
        <f aca="false">LN(C1276)</f>
        <v>8.75613134862909</v>
      </c>
      <c r="F1276" s="25" t="n">
        <f aca="false">LN(C1276/C1275)</f>
        <v>-0.00529190275139849</v>
      </c>
      <c r="G1276" s="25" t="n">
        <f aca="false">IF(AND(D1276=1,A1276&gt;=$R$2),F1276,"")</f>
        <v>-0.00529190275139849</v>
      </c>
      <c r="H1276" s="27" t="n">
        <f aca="false">IF(G1276="","",G1276^2)</f>
        <v>2.80042347302589E-005</v>
      </c>
      <c r="I1276" s="25" t="n">
        <f aca="false">IF(G1276="","",C1276/C1275-1)</f>
        <v>-0.0052779253006725</v>
      </c>
      <c r="J1276" s="17" t="n">
        <f aca="false">AVERAGE(C1077:C1276)</f>
        <v>9701.47755</v>
      </c>
      <c r="K1276" s="17" t="n">
        <f aca="false">MAX(K1275,C1276)</f>
        <v>19650.01</v>
      </c>
      <c r="L1276" s="25" t="n">
        <f aca="false">C1276/K1276-1</f>
        <v>-0.676870393450181</v>
      </c>
      <c r="M1276" s="25" t="n">
        <f aca="false">IF(COUNT(G1247:G1276)&lt;20,"",_xlfn.STDEV.S(G1247:G1276)*SQRT($R$3))</f>
        <v>0.710334103403468</v>
      </c>
      <c r="N1276" s="25" t="n">
        <f aca="false">IF(A1276-7&lt;$R$2,"",C1276/INDEX(Clean_Data!$C$2:$C$4314,MATCH(A1276-7,Clean_Data!$A$2:$A$4314,1))-1)</f>
        <v>0.0324407031556149</v>
      </c>
      <c r="O1276" s="25" t="n">
        <f aca="false">IF(A1276-30&lt;$R$2,"",C1276/INDEX(Clean_Data!$C$2:$C$4314,MATCH(A1276-30,Clean_Data!$A$2:$A$4314,1))-1)</f>
        <v>-0.155013361155767</v>
      </c>
    </row>
    <row r="1277" customFormat="false" ht="15" hidden="false" customHeight="false" outlineLevel="0" collapsed="false">
      <c r="A1277" s="16" t="n">
        <v>43283</v>
      </c>
      <c r="B1277" s="23" t="n">
        <f aca="false">YEAR(A1277)</f>
        <v>2018</v>
      </c>
      <c r="C1277" s="17" t="n">
        <v>6611.79</v>
      </c>
      <c r="D1277" s="23" t="n">
        <f aca="false">A1277-A1276</f>
        <v>1</v>
      </c>
      <c r="E1277" s="24" t="n">
        <f aca="false">LN(C1277)</f>
        <v>8.79660969800097</v>
      </c>
      <c r="F1277" s="25" t="n">
        <f aca="false">LN(C1277/C1276)</f>
        <v>0.0404783493718817</v>
      </c>
      <c r="G1277" s="25" t="n">
        <f aca="false">IF(AND(D1277=1,A1277&gt;=$R$2),F1277,"")</f>
        <v>0.0404783493718817</v>
      </c>
      <c r="H1277" s="27" t="n">
        <f aca="false">IF(G1277="","",G1277^2)</f>
        <v>0.00163849676787212</v>
      </c>
      <c r="I1277" s="25" t="n">
        <f aca="false">IF(G1277="","",C1277/C1276-1)</f>
        <v>0.0413087644696433</v>
      </c>
      <c r="J1277" s="17" t="n">
        <f aca="false">AVERAGE(C1078:C1277)</f>
        <v>9650.7876</v>
      </c>
      <c r="K1277" s="17" t="n">
        <f aca="false">MAX(K1276,C1277)</f>
        <v>19650.01</v>
      </c>
      <c r="L1277" s="25" t="n">
        <f aca="false">C1277/K1277-1</f>
        <v>-0.663522308640047</v>
      </c>
      <c r="M1277" s="25" t="n">
        <f aca="false">IF(COUNT(G1248:G1277)&lt;20,"",_xlfn.STDEV.S(G1248:G1277)*SQRT($R$3))</f>
        <v>0.724652271642772</v>
      </c>
      <c r="N1277" s="25" t="n">
        <f aca="false">IF(A1277-7&lt;$R$2,"",C1277/INDEX(Clean_Data!$C$2:$C$4314,MATCH(A1277-7,Clean_Data!$A$2:$A$4314,1))-1)</f>
        <v>0.058562186099606</v>
      </c>
      <c r="O1277" s="25" t="n">
        <f aca="false">IF(A1277-30&lt;$R$2,"",C1277/INDEX(Clean_Data!$C$2:$C$4314,MATCH(A1277-30,Clean_Data!$A$2:$A$4314,1))-1)</f>
        <v>-0.134176747743052</v>
      </c>
    </row>
    <row r="1278" customFormat="false" ht="15" hidden="false" customHeight="false" outlineLevel="0" collapsed="false">
      <c r="A1278" s="16" t="n">
        <v>43284</v>
      </c>
      <c r="B1278" s="23" t="n">
        <f aca="false">YEAR(A1278)</f>
        <v>2018</v>
      </c>
      <c r="C1278" s="17" t="n">
        <v>6502.62</v>
      </c>
      <c r="D1278" s="23" t="n">
        <f aca="false">A1278-A1277</f>
        <v>1</v>
      </c>
      <c r="E1278" s="24" t="n">
        <f aca="false">LN(C1278)</f>
        <v>8.77996045159313</v>
      </c>
      <c r="F1278" s="25" t="n">
        <f aca="false">LN(C1278/C1277)</f>
        <v>-0.0166492464078446</v>
      </c>
      <c r="G1278" s="25" t="n">
        <f aca="false">IF(AND(D1278=1,A1278&gt;=$R$2),F1278,"")</f>
        <v>-0.0166492464078446</v>
      </c>
      <c r="H1278" s="27" t="n">
        <f aca="false">IF(G1278="","",G1278^2)</f>
        <v>0.000277197405949125</v>
      </c>
      <c r="I1278" s="25" t="n">
        <f aca="false">IF(G1278="","",C1278/C1277-1)</f>
        <v>-0.0165114137018871</v>
      </c>
      <c r="J1278" s="17" t="n">
        <f aca="false">AVERAGE(C1079:C1278)</f>
        <v>9594.60735</v>
      </c>
      <c r="K1278" s="17" t="n">
        <f aca="false">MAX(K1277,C1278)</f>
        <v>19650.01</v>
      </c>
      <c r="L1278" s="25" t="n">
        <f aca="false">C1278/K1278-1</f>
        <v>-0.669078031003547</v>
      </c>
      <c r="M1278" s="25" t="n">
        <f aca="false">IF(COUNT(G1249:G1278)&lt;20,"",_xlfn.STDEV.S(G1249:G1278)*SQRT($R$3))</f>
        <v>0.723995647484016</v>
      </c>
      <c r="N1278" s="25" t="n">
        <f aca="false">IF(A1278-7&lt;$R$2,"",C1278/INDEX(Clean_Data!$C$2:$C$4314,MATCH(A1278-7,Clean_Data!$A$2:$A$4314,1))-1)</f>
        <v>0.070566348370102</v>
      </c>
      <c r="O1278" s="25" t="n">
        <f aca="false">IF(A1278-30&lt;$R$2,"",C1278/INDEX(Clean_Data!$C$2:$C$4314,MATCH(A1278-30,Clean_Data!$A$2:$A$4314,1))-1)</f>
        <v>-0.156201947220287</v>
      </c>
    </row>
    <row r="1279" customFormat="false" ht="15" hidden="false" customHeight="false" outlineLevel="0" collapsed="false">
      <c r="A1279" s="16" t="n">
        <v>43285</v>
      </c>
      <c r="B1279" s="23" t="n">
        <f aca="false">YEAR(A1279)</f>
        <v>2018</v>
      </c>
      <c r="C1279" s="17" t="n">
        <v>6587.47</v>
      </c>
      <c r="D1279" s="23" t="n">
        <f aca="false">A1279-A1278</f>
        <v>1</v>
      </c>
      <c r="E1279" s="24" t="n">
        <f aca="false">LN(C1279)</f>
        <v>8.79292463875955</v>
      </c>
      <c r="F1279" s="25" t="n">
        <f aca="false">LN(C1279/C1278)</f>
        <v>0.0129641871664263</v>
      </c>
      <c r="G1279" s="25" t="n">
        <f aca="false">IF(AND(D1279=1,A1279&gt;=$R$2),F1279,"")</f>
        <v>0.0129641871664263</v>
      </c>
      <c r="H1279" s="27" t="n">
        <f aca="false">IF(G1279="","",G1279^2)</f>
        <v>0.000168070148886132</v>
      </c>
      <c r="I1279" s="25" t="n">
        <f aca="false">IF(G1279="","",C1279/C1278-1)</f>
        <v>0.0130485865697212</v>
      </c>
      <c r="J1279" s="17" t="n">
        <f aca="false">AVERAGE(C1080:C1279)</f>
        <v>9529.29465</v>
      </c>
      <c r="K1279" s="17" t="n">
        <f aca="false">MAX(K1278,C1279)</f>
        <v>19650.01</v>
      </c>
      <c r="L1279" s="25" t="n">
        <f aca="false">C1279/K1279-1</f>
        <v>-0.664759967043274</v>
      </c>
      <c r="M1279" s="25" t="n">
        <f aca="false">IF(COUNT(G1250:G1279)&lt;20,"",_xlfn.STDEV.S(G1250:G1279)*SQRT($R$3))</f>
        <v>0.721836072646654</v>
      </c>
      <c r="N1279" s="25" t="n">
        <f aca="false">IF(A1279-7&lt;$R$2,"",C1279/INDEX(Clean_Data!$C$2:$C$4314,MATCH(A1279-7,Clean_Data!$A$2:$A$4314,1))-1)</f>
        <v>0.0742477785188604</v>
      </c>
      <c r="O1279" s="25" t="n">
        <f aca="false">IF(A1279-30&lt;$R$2,"",C1279/INDEX(Clean_Data!$C$2:$C$4314,MATCH(A1279-30,Clean_Data!$A$2:$A$4314,1))-1)</f>
        <v>-0.120189065052215</v>
      </c>
    </row>
    <row r="1280" customFormat="false" ht="15" hidden="false" customHeight="false" outlineLevel="0" collapsed="false">
      <c r="A1280" s="16" t="n">
        <v>43286</v>
      </c>
      <c r="B1280" s="23" t="n">
        <f aca="false">YEAR(A1280)</f>
        <v>2018</v>
      </c>
      <c r="C1280" s="17" t="n">
        <v>6532.95</v>
      </c>
      <c r="D1280" s="23" t="n">
        <f aca="false">A1280-A1279</f>
        <v>1</v>
      </c>
      <c r="E1280" s="24" t="n">
        <f aca="false">LN(C1280)</f>
        <v>8.78461388135976</v>
      </c>
      <c r="F1280" s="25" t="n">
        <f aca="false">LN(C1280/C1279)</f>
        <v>-0.00831075739979574</v>
      </c>
      <c r="G1280" s="25" t="n">
        <f aca="false">IF(AND(D1280=1,A1280&gt;=$R$2),F1280,"")</f>
        <v>-0.00831075739979574</v>
      </c>
      <c r="H1280" s="27" t="n">
        <f aca="false">IF(G1280="","",G1280^2)</f>
        <v>6.90686885582597E-005</v>
      </c>
      <c r="I1280" s="25" t="n">
        <f aca="false">IF(G1280="","",C1280/C1279-1)</f>
        <v>-0.00827631852592881</v>
      </c>
      <c r="J1280" s="17" t="n">
        <f aca="false">AVERAGE(C1081:C1280)</f>
        <v>9465.06445</v>
      </c>
      <c r="K1280" s="17" t="n">
        <f aca="false">MAX(K1279,C1280)</f>
        <v>19650.01</v>
      </c>
      <c r="L1280" s="25" t="n">
        <f aca="false">C1280/K1280-1</f>
        <v>-0.667534520338666</v>
      </c>
      <c r="M1280" s="25" t="n">
        <f aca="false">IF(COUNT(G1251:G1280)&lt;20,"",_xlfn.STDEV.S(G1251:G1280)*SQRT($R$3))</f>
        <v>0.718000701242223</v>
      </c>
      <c r="N1280" s="25" t="n">
        <f aca="false">IF(A1280-7&lt;$R$2,"",C1280/INDEX(Clean_Data!$C$2:$C$4314,MATCH(A1280-7,Clean_Data!$A$2:$A$4314,1))-1)</f>
        <v>0.116426791713804</v>
      </c>
      <c r="O1280" s="25" t="n">
        <f aca="false">IF(A1280-30&lt;$R$2,"",C1280/INDEX(Clean_Data!$C$2:$C$4314,MATCH(A1280-30,Clean_Data!$A$2:$A$4314,1))-1)</f>
        <v>-0.14181393521979</v>
      </c>
    </row>
    <row r="1281" customFormat="false" ht="15" hidden="false" customHeight="false" outlineLevel="0" collapsed="false">
      <c r="A1281" s="16" t="n">
        <v>43287</v>
      </c>
      <c r="B1281" s="23" t="n">
        <f aca="false">YEAR(A1281)</f>
        <v>2018</v>
      </c>
      <c r="C1281" s="17" t="n">
        <v>6600</v>
      </c>
      <c r="D1281" s="23" t="n">
        <f aca="false">A1281-A1280</f>
        <v>1</v>
      </c>
      <c r="E1281" s="24" t="n">
        <f aca="false">LN(C1281)</f>
        <v>8.79482492801452</v>
      </c>
      <c r="F1281" s="25" t="n">
        <f aca="false">LN(C1281/C1280)</f>
        <v>0.010211046654761</v>
      </c>
      <c r="G1281" s="25" t="n">
        <f aca="false">IF(AND(D1281=1,A1281&gt;=$R$2),F1281,"")</f>
        <v>0.010211046654761</v>
      </c>
      <c r="H1281" s="27" t="n">
        <f aca="false">IF(G1281="","",G1281^2)</f>
        <v>0.000104265473785706</v>
      </c>
      <c r="I1281" s="25" t="n">
        <f aca="false">IF(G1281="","",C1281/C1280-1)</f>
        <v>0.0102633572888204</v>
      </c>
      <c r="J1281" s="17" t="n">
        <f aca="false">AVERAGE(C1082:C1281)</f>
        <v>9402.8694</v>
      </c>
      <c r="K1281" s="17" t="n">
        <f aca="false">MAX(K1280,C1281)</f>
        <v>19650.01</v>
      </c>
      <c r="L1281" s="25" t="n">
        <f aca="false">C1281/K1281-1</f>
        <v>-0.664122308334703</v>
      </c>
      <c r="M1281" s="25" t="n">
        <f aca="false">IF(COUNT(G1252:G1281)&lt;20,"",_xlfn.STDEV.S(G1252:G1281)*SQRT($R$3))</f>
        <v>0.719051032003571</v>
      </c>
      <c r="N1281" s="25" t="n">
        <f aca="false">IF(A1281-7&lt;$R$2,"",C1281/INDEX(Clean_Data!$C$2:$C$4314,MATCH(A1281-7,Clean_Data!$A$2:$A$4314,1))-1)</f>
        <v>0.064111080298467</v>
      </c>
      <c r="O1281" s="25" t="n">
        <f aca="false">IF(A1281-30&lt;$R$2,"",C1281/INDEX(Clean_Data!$C$2:$C$4314,MATCH(A1281-30,Clean_Data!$A$2:$A$4314,1))-1)</f>
        <v>-0.137818419333769</v>
      </c>
    </row>
    <row r="1282" customFormat="false" ht="15" hidden="false" customHeight="false" outlineLevel="0" collapsed="false">
      <c r="A1282" s="16" t="n">
        <v>43288</v>
      </c>
      <c r="B1282" s="23" t="n">
        <f aca="false">YEAR(A1282)</f>
        <v>2018</v>
      </c>
      <c r="C1282" s="17" t="n">
        <v>6753.28</v>
      </c>
      <c r="D1282" s="23" t="n">
        <f aca="false">A1282-A1281</f>
        <v>1</v>
      </c>
      <c r="E1282" s="24" t="n">
        <f aca="false">LN(C1282)</f>
        <v>8.81778359176873</v>
      </c>
      <c r="F1282" s="25" t="n">
        <f aca="false">LN(C1282/C1281)</f>
        <v>0.0229586637542141</v>
      </c>
      <c r="G1282" s="25" t="n">
        <f aca="false">IF(AND(D1282=1,A1282&gt;=$R$2),F1282,"")</f>
        <v>0.0229586637542141</v>
      </c>
      <c r="H1282" s="27" t="n">
        <f aca="false">IF(G1282="","",G1282^2)</f>
        <v>0.000527100241379062</v>
      </c>
      <c r="I1282" s="25" t="n">
        <f aca="false">IF(G1282="","",C1282/C1281-1)</f>
        <v>0.0232242424242424</v>
      </c>
      <c r="J1282" s="17" t="n">
        <f aca="false">AVERAGE(C1083:C1282)</f>
        <v>9347.44215</v>
      </c>
      <c r="K1282" s="17" t="n">
        <f aca="false">MAX(K1281,C1282)</f>
        <v>19650.01</v>
      </c>
      <c r="L1282" s="25" t="n">
        <f aca="false">C1282/K1282-1</f>
        <v>-0.656321803398573</v>
      </c>
      <c r="M1282" s="25" t="n">
        <f aca="false">IF(COUNT(G1253:G1282)&lt;20,"",_xlfn.STDEV.S(G1253:G1282)*SQRT($R$3))</f>
        <v>0.725048754733347</v>
      </c>
      <c r="N1282" s="25" t="n">
        <f aca="false">IF(A1282-7&lt;$R$2,"",C1282/INDEX(Clean_Data!$C$2:$C$4314,MATCH(A1282-7,Clean_Data!$A$2:$A$4314,1))-1)</f>
        <v>0.0579788475668122</v>
      </c>
      <c r="O1282" s="25" t="n">
        <f aca="false">IF(A1282-30&lt;$R$2,"",C1282/INDEX(Clean_Data!$C$2:$C$4314,MATCH(A1282-30,Clean_Data!$A$2:$A$4314,1))-1)</f>
        <v>-0.121230772433841</v>
      </c>
    </row>
    <row r="1283" customFormat="false" ht="15" hidden="false" customHeight="false" outlineLevel="0" collapsed="false">
      <c r="A1283" s="16" t="n">
        <v>43289</v>
      </c>
      <c r="B1283" s="23" t="n">
        <f aca="false">YEAR(A1283)</f>
        <v>2018</v>
      </c>
      <c r="C1283" s="17" t="n">
        <v>6701.97</v>
      </c>
      <c r="D1283" s="23" t="n">
        <f aca="false">A1283-A1282</f>
        <v>1</v>
      </c>
      <c r="E1283" s="24" t="n">
        <f aca="false">LN(C1283)</f>
        <v>8.8101567920115</v>
      </c>
      <c r="F1283" s="25" t="n">
        <f aca="false">LN(C1283/C1282)</f>
        <v>-0.00762679975723236</v>
      </c>
      <c r="G1283" s="25" t="n">
        <f aca="false">IF(AND(D1283=1,A1283&gt;=$R$2),F1283,"")</f>
        <v>-0.00762679975723236</v>
      </c>
      <c r="H1283" s="27" t="n">
        <f aca="false">IF(G1283="","",G1283^2)</f>
        <v>5.81680745369196E-005</v>
      </c>
      <c r="I1283" s="25" t="n">
        <f aca="false">IF(G1283="","",C1283/C1282-1)</f>
        <v>-0.00759778951857459</v>
      </c>
      <c r="J1283" s="17" t="n">
        <f aca="false">AVERAGE(C1084:C1283)</f>
        <v>9298.46755</v>
      </c>
      <c r="K1283" s="17" t="n">
        <f aca="false">MAX(K1282,C1283)</f>
        <v>19650.01</v>
      </c>
      <c r="L1283" s="25" t="n">
        <f aca="false">C1283/K1283-1</f>
        <v>-0.658932997998474</v>
      </c>
      <c r="M1283" s="25" t="n">
        <f aca="false">IF(COUNT(G1254:G1283)&lt;20,"",_xlfn.STDEV.S(G1254:G1283)*SQRT($R$3))</f>
        <v>0.724981285492635</v>
      </c>
      <c r="N1283" s="25" t="n">
        <f aca="false">IF(A1283-7&lt;$R$2,"",C1283/INDEX(Clean_Data!$C$2:$C$4314,MATCH(A1283-7,Clean_Data!$A$2:$A$4314,1))-1)</f>
        <v>0.0555114575950864</v>
      </c>
      <c r="O1283" s="25" t="n">
        <f aca="false">IF(A1283-30&lt;$R$2,"",C1283/INDEX(Clean_Data!$C$2:$C$4314,MATCH(A1283-30,Clean_Data!$A$2:$A$4314,1))-1)</f>
        <v>-0.120341312248731</v>
      </c>
    </row>
    <row r="1284" customFormat="false" ht="15" hidden="false" customHeight="false" outlineLevel="0" collapsed="false">
      <c r="A1284" s="16" t="n">
        <v>43290</v>
      </c>
      <c r="B1284" s="23" t="n">
        <f aca="false">YEAR(A1284)</f>
        <v>2018</v>
      </c>
      <c r="C1284" s="17" t="n">
        <v>6664.01</v>
      </c>
      <c r="D1284" s="23" t="n">
        <f aca="false">A1284-A1283</f>
        <v>1</v>
      </c>
      <c r="E1284" s="24" t="n">
        <f aca="false">LN(C1284)</f>
        <v>8.80447668444579</v>
      </c>
      <c r="F1284" s="25" t="n">
        <f aca="false">LN(C1284/C1283)</f>
        <v>-0.00568010756570575</v>
      </c>
      <c r="G1284" s="25" t="n">
        <f aca="false">IF(AND(D1284=1,A1284&gt;=$R$2),F1284,"")</f>
        <v>-0.00568010756570575</v>
      </c>
      <c r="H1284" s="27" t="n">
        <f aca="false">IF(G1284="","",G1284^2)</f>
        <v>3.22636219579876E-005</v>
      </c>
      <c r="I1284" s="25" t="n">
        <f aca="false">IF(G1284="","",C1284/C1283-1)</f>
        <v>-0.00566400625487729</v>
      </c>
      <c r="J1284" s="17" t="n">
        <f aca="false">AVERAGE(C1085:C1284)</f>
        <v>9252.9936</v>
      </c>
      <c r="K1284" s="17" t="n">
        <f aca="false">MAX(K1283,C1284)</f>
        <v>19650.01</v>
      </c>
      <c r="L1284" s="25" t="n">
        <f aca="false">C1284/K1284-1</f>
        <v>-0.660864803631143</v>
      </c>
      <c r="M1284" s="25" t="n">
        <f aca="false">IF(COUNT(G1255:G1284)&lt;20,"",_xlfn.STDEV.S(G1255:G1284)*SQRT($R$3))</f>
        <v>0.723730771185221</v>
      </c>
      <c r="N1284" s="25" t="n">
        <f aca="false">IF(A1284-7&lt;$R$2,"",C1284/INDEX(Clean_Data!$C$2:$C$4314,MATCH(A1284-7,Clean_Data!$A$2:$A$4314,1))-1)</f>
        <v>0.00789801248980981</v>
      </c>
      <c r="O1284" s="25" t="n">
        <f aca="false">IF(A1284-30&lt;$R$2,"",C1284/INDEX(Clean_Data!$C$2:$C$4314,MATCH(A1284-30,Clean_Data!$A$2:$A$4314,1))-1)</f>
        <v>-0.111038631876634</v>
      </c>
    </row>
    <row r="1285" customFormat="false" ht="15" hidden="false" customHeight="false" outlineLevel="0" collapsed="false">
      <c r="A1285" s="16" t="n">
        <v>43291</v>
      </c>
      <c r="B1285" s="23" t="n">
        <f aca="false">YEAR(A1285)</f>
        <v>2018</v>
      </c>
      <c r="C1285" s="17" t="n">
        <v>6303.7</v>
      </c>
      <c r="D1285" s="23" t="n">
        <f aca="false">A1285-A1284</f>
        <v>1</v>
      </c>
      <c r="E1285" s="24" t="n">
        <f aca="false">LN(C1285)</f>
        <v>8.74889204157284</v>
      </c>
      <c r="F1285" s="25" t="n">
        <f aca="false">LN(C1285/C1284)</f>
        <v>-0.0555846428729495</v>
      </c>
      <c r="G1285" s="25" t="n">
        <f aca="false">IF(AND(D1285=1,A1285&gt;=$R$2),F1285,"")</f>
        <v>-0.0555846428729495</v>
      </c>
      <c r="H1285" s="27" t="n">
        <f aca="false">IF(G1285="","",G1285^2)</f>
        <v>0.00308965252331334</v>
      </c>
      <c r="I1285" s="25" t="n">
        <f aca="false">IF(G1285="","",C1285/C1284-1)</f>
        <v>-0.0540680461163774</v>
      </c>
      <c r="J1285" s="17" t="n">
        <f aca="false">AVERAGE(C1086:C1285)</f>
        <v>9213.45925</v>
      </c>
      <c r="K1285" s="17" t="n">
        <f aca="false">MAX(K1284,C1285)</f>
        <v>19650.01</v>
      </c>
      <c r="L1285" s="25" t="n">
        <f aca="false">C1285/K1285-1</f>
        <v>-0.679201181068101</v>
      </c>
      <c r="M1285" s="25" t="n">
        <f aca="false">IF(COUNT(G1256:G1285)&lt;20,"",_xlfn.STDEV.S(G1256:G1285)*SQRT($R$3))</f>
        <v>0.660088786588658</v>
      </c>
      <c r="N1285" s="25" t="n">
        <f aca="false">IF(A1285-7&lt;$R$2,"",C1285/INDEX(Clean_Data!$C$2:$C$4314,MATCH(A1285-7,Clean_Data!$A$2:$A$4314,1))-1)</f>
        <v>-0.0305907464991034</v>
      </c>
      <c r="O1285" s="25" t="n">
        <f aca="false">IF(A1285-30&lt;$R$2,"",C1285/INDEX(Clean_Data!$C$2:$C$4314,MATCH(A1285-30,Clean_Data!$A$2:$A$4314,1))-1)</f>
        <v>-0.0689200346808345</v>
      </c>
    </row>
    <row r="1286" customFormat="false" ht="15" hidden="false" customHeight="false" outlineLevel="0" collapsed="false">
      <c r="A1286" s="16" t="n">
        <v>43292</v>
      </c>
      <c r="B1286" s="23" t="n">
        <f aca="false">YEAR(A1286)</f>
        <v>2018</v>
      </c>
      <c r="C1286" s="17" t="n">
        <v>6390.04</v>
      </c>
      <c r="D1286" s="23" t="n">
        <f aca="false">A1286-A1285</f>
        <v>1</v>
      </c>
      <c r="E1286" s="24" t="n">
        <f aca="false">LN(C1286)</f>
        <v>8.7624958071329</v>
      </c>
      <c r="F1286" s="25" t="n">
        <f aca="false">LN(C1286/C1285)</f>
        <v>0.0136037655600526</v>
      </c>
      <c r="G1286" s="25" t="n">
        <f aca="false">IF(AND(D1286=1,A1286&gt;=$R$2),F1286,"")</f>
        <v>0.0136037655600526</v>
      </c>
      <c r="H1286" s="27" t="n">
        <f aca="false">IF(G1286="","",G1286^2)</f>
        <v>0.000185062437412872</v>
      </c>
      <c r="I1286" s="25" t="n">
        <f aca="false">IF(G1286="","",C1286/C1285-1)</f>
        <v>0.0136967178006568</v>
      </c>
      <c r="J1286" s="17" t="n">
        <f aca="false">AVERAGE(C1087:C1286)</f>
        <v>9170.03</v>
      </c>
      <c r="K1286" s="17" t="n">
        <f aca="false">MAX(K1285,C1286)</f>
        <v>19650.01</v>
      </c>
      <c r="L1286" s="25" t="n">
        <f aca="false">C1286/K1286-1</f>
        <v>-0.674807290174407</v>
      </c>
      <c r="M1286" s="25" t="n">
        <f aca="false">IF(COUNT(G1257:G1286)&lt;20,"",_xlfn.STDEV.S(G1257:G1286)*SQRT($R$3))</f>
        <v>0.659224452971609</v>
      </c>
      <c r="N1286" s="25" t="n">
        <f aca="false">IF(A1286-7&lt;$R$2,"",C1286/INDEX(Clean_Data!$C$2:$C$4314,MATCH(A1286-7,Clean_Data!$A$2:$A$4314,1))-1)</f>
        <v>-0.0299705349701783</v>
      </c>
      <c r="O1286" s="25" t="n">
        <f aca="false">IF(A1286-30&lt;$R$2,"",C1286/INDEX(Clean_Data!$C$2:$C$4314,MATCH(A1286-30,Clean_Data!$A$2:$A$4314,1))-1)</f>
        <v>-0.0713500944630141</v>
      </c>
    </row>
    <row r="1287" customFormat="false" ht="15" hidden="false" customHeight="false" outlineLevel="0" collapsed="false">
      <c r="A1287" s="16" t="n">
        <v>43293</v>
      </c>
      <c r="B1287" s="23" t="n">
        <f aca="false">YEAR(A1287)</f>
        <v>2018</v>
      </c>
      <c r="C1287" s="17" t="n">
        <v>6249.75</v>
      </c>
      <c r="D1287" s="23" t="n">
        <f aca="false">A1287-A1286</f>
        <v>1</v>
      </c>
      <c r="E1287" s="24" t="n">
        <f aca="false">LN(C1287)</f>
        <v>8.74029674193043</v>
      </c>
      <c r="F1287" s="25" t="n">
        <f aca="false">LN(C1287/C1286)</f>
        <v>-0.02219906520247</v>
      </c>
      <c r="G1287" s="25" t="n">
        <f aca="false">IF(AND(D1287=1,A1287&gt;=$R$2),F1287,"")</f>
        <v>-0.02219906520247</v>
      </c>
      <c r="H1287" s="27" t="n">
        <f aca="false">IF(G1287="","",G1287^2)</f>
        <v>0.000492798495863513</v>
      </c>
      <c r="I1287" s="25" t="n">
        <f aca="false">IF(G1287="","",C1287/C1286-1)</f>
        <v>-0.0219544791581899</v>
      </c>
      <c r="J1287" s="17" t="n">
        <f aca="false">AVERAGE(C1088:C1287)</f>
        <v>9130.16905</v>
      </c>
      <c r="K1287" s="17" t="n">
        <f aca="false">MAX(K1286,C1287)</f>
        <v>19650.01</v>
      </c>
      <c r="L1287" s="25" t="n">
        <f aca="false">C1287/K1287-1</f>
        <v>-0.681946726744668</v>
      </c>
      <c r="M1287" s="25" t="n">
        <f aca="false">IF(COUNT(G1258:G1287)&lt;20,"",_xlfn.STDEV.S(G1258:G1287)*SQRT($R$3))</f>
        <v>0.64081047161874</v>
      </c>
      <c r="N1287" s="25" t="n">
        <f aca="false">IF(A1287-7&lt;$R$2,"",C1287/INDEX(Clean_Data!$C$2:$C$4314,MATCH(A1287-7,Clean_Data!$A$2:$A$4314,1))-1)</f>
        <v>-0.0433494822400293</v>
      </c>
      <c r="O1287" s="25" t="n">
        <f aca="false">IF(A1287-30&lt;$R$2,"",C1287/INDEX(Clean_Data!$C$2:$C$4314,MATCH(A1287-30,Clean_Data!$A$2:$A$4314,1))-1)</f>
        <v>-0.0451093126192705</v>
      </c>
    </row>
    <row r="1288" customFormat="false" ht="15" hidden="false" customHeight="false" outlineLevel="0" collapsed="false">
      <c r="A1288" s="16" t="n">
        <v>43294</v>
      </c>
      <c r="B1288" s="23" t="n">
        <f aca="false">YEAR(A1288)</f>
        <v>2018</v>
      </c>
      <c r="C1288" s="17" t="n">
        <v>6216.29</v>
      </c>
      <c r="D1288" s="23" t="n">
        <f aca="false">A1288-A1287</f>
        <v>1</v>
      </c>
      <c r="E1288" s="24" t="n">
        <f aca="false">LN(C1288)</f>
        <v>8.73492854475588</v>
      </c>
      <c r="F1288" s="25" t="n">
        <f aca="false">LN(C1288/C1287)</f>
        <v>-0.00536819717454319</v>
      </c>
      <c r="G1288" s="25" t="n">
        <f aca="false">IF(AND(D1288=1,A1288&gt;=$R$2),F1288,"")</f>
        <v>-0.00536819717454319</v>
      </c>
      <c r="H1288" s="27" t="n">
        <f aca="false">IF(G1288="","",G1288^2)</f>
        <v>2.88175409047735E-005</v>
      </c>
      <c r="I1288" s="25" t="n">
        <f aca="false">IF(G1288="","",C1288/C1287-1)</f>
        <v>-0.00535381415256608</v>
      </c>
      <c r="J1288" s="17" t="n">
        <f aca="false">AVERAGE(C1089:C1288)</f>
        <v>9090.3906</v>
      </c>
      <c r="K1288" s="17" t="n">
        <f aca="false">MAX(K1287,C1288)</f>
        <v>19650.01</v>
      </c>
      <c r="L1288" s="25" t="n">
        <f aca="false">C1288/K1288-1</f>
        <v>-0.683649524860293</v>
      </c>
      <c r="M1288" s="25" t="n">
        <f aca="false">IF(COUNT(G1259:G1288)&lt;20,"",_xlfn.STDEV.S(G1259:G1288)*SQRT($R$3))</f>
        <v>0.62757372270924</v>
      </c>
      <c r="N1288" s="25" t="n">
        <f aca="false">IF(A1288-7&lt;$R$2,"",C1288/INDEX(Clean_Data!$C$2:$C$4314,MATCH(A1288-7,Clean_Data!$A$2:$A$4314,1))-1)</f>
        <v>-0.0581378787878788</v>
      </c>
      <c r="O1288" s="25" t="n">
        <f aca="false">IF(A1288-30&lt;$R$2,"",C1288/INDEX(Clean_Data!$C$2:$C$4314,MATCH(A1288-30,Clean_Data!$A$2:$A$4314,1))-1)</f>
        <v>-0.0136505286941951</v>
      </c>
    </row>
    <row r="1289" customFormat="false" ht="15" hidden="false" customHeight="false" outlineLevel="0" collapsed="false">
      <c r="A1289" s="16" t="n">
        <v>43295</v>
      </c>
      <c r="B1289" s="23" t="n">
        <f aca="false">YEAR(A1289)</f>
        <v>2018</v>
      </c>
      <c r="C1289" s="17" t="n">
        <v>6248.65</v>
      </c>
      <c r="D1289" s="23" t="n">
        <f aca="false">A1289-A1288</f>
        <v>1</v>
      </c>
      <c r="E1289" s="24" t="n">
        <f aca="false">LN(C1289)</f>
        <v>8.74012071939909</v>
      </c>
      <c r="F1289" s="25" t="n">
        <f aca="false">LN(C1289/C1288)</f>
        <v>0.00519217464320474</v>
      </c>
      <c r="G1289" s="25" t="n">
        <f aca="false">IF(AND(D1289=1,A1289&gt;=$R$2),F1289,"")</f>
        <v>0.00519217464320474</v>
      </c>
      <c r="H1289" s="27" t="n">
        <f aca="false">IF(G1289="","",G1289^2)</f>
        <v>2.69586775255383E-005</v>
      </c>
      <c r="I1289" s="25" t="n">
        <f aca="false">IF(G1289="","",C1289/C1288-1)</f>
        <v>0.00520567734130806</v>
      </c>
      <c r="J1289" s="17" t="n">
        <f aca="false">AVERAGE(C1090:C1289)</f>
        <v>9042.67945</v>
      </c>
      <c r="K1289" s="17" t="n">
        <f aca="false">MAX(K1288,C1289)</f>
        <v>19650.01</v>
      </c>
      <c r="L1289" s="25" t="n">
        <f aca="false">C1289/K1289-1</f>
        <v>-0.682002706359946</v>
      </c>
      <c r="M1289" s="25" t="n">
        <f aca="false">IF(COUNT(G1260:G1289)&lt;20,"",_xlfn.STDEV.S(G1260:G1289)*SQRT($R$3))</f>
        <v>0.598950090012788</v>
      </c>
      <c r="N1289" s="25" t="n">
        <f aca="false">IF(A1289-7&lt;$R$2,"",C1289/INDEX(Clean_Data!$C$2:$C$4314,MATCH(A1289-7,Clean_Data!$A$2:$A$4314,1))-1)</f>
        <v>-0.0747236898218348</v>
      </c>
      <c r="O1289" s="25" t="n">
        <f aca="false">IF(A1289-30&lt;$R$2,"",C1289/INDEX(Clean_Data!$C$2:$C$4314,MATCH(A1289-30,Clean_Data!$A$2:$A$4314,1))-1)</f>
        <v>-0.0587241978220952</v>
      </c>
    </row>
    <row r="1290" customFormat="false" ht="15" hidden="false" customHeight="false" outlineLevel="0" collapsed="false">
      <c r="A1290" s="16" t="n">
        <v>43296</v>
      </c>
      <c r="B1290" s="23" t="n">
        <f aca="false">YEAR(A1290)</f>
        <v>2018</v>
      </c>
      <c r="C1290" s="17" t="n">
        <v>6348.73</v>
      </c>
      <c r="D1290" s="23" t="n">
        <f aca="false">A1290-A1289</f>
        <v>1</v>
      </c>
      <c r="E1290" s="24" t="n">
        <f aca="false">LN(C1290)</f>
        <v>8.75601007188407</v>
      </c>
      <c r="F1290" s="25" t="n">
        <f aca="false">LN(C1290/C1289)</f>
        <v>0.0158893524849828</v>
      </c>
      <c r="G1290" s="25" t="n">
        <f aca="false">IF(AND(D1290=1,A1290&gt;=$R$2),F1290,"")</f>
        <v>0.0158893524849828</v>
      </c>
      <c r="H1290" s="27" t="n">
        <f aca="false">IF(G1290="","",G1290^2)</f>
        <v>0.000252471522392029</v>
      </c>
      <c r="I1290" s="25" t="n">
        <f aca="false">IF(G1290="","",C1290/C1289-1)</f>
        <v>0.0160162595120545</v>
      </c>
      <c r="J1290" s="17" t="n">
        <f aca="false">AVERAGE(C1091:C1290)</f>
        <v>8997.5877</v>
      </c>
      <c r="K1290" s="17" t="n">
        <f aca="false">MAX(K1289,C1290)</f>
        <v>19650.01</v>
      </c>
      <c r="L1290" s="25" t="n">
        <f aca="false">C1290/K1290-1</f>
        <v>-0.676909579180876</v>
      </c>
      <c r="M1290" s="25" t="n">
        <f aca="false">IF(COUNT(G1261:G1290)&lt;20,"",_xlfn.STDEV.S(G1261:G1290)*SQRT($R$3))</f>
        <v>0.587623322668442</v>
      </c>
      <c r="N1290" s="25" t="n">
        <f aca="false">IF(A1290-7&lt;$R$2,"",C1290/INDEX(Clean_Data!$C$2:$C$4314,MATCH(A1290-7,Clean_Data!$A$2:$A$4314,1))-1)</f>
        <v>-0.0527068906605074</v>
      </c>
      <c r="O1290" s="25" t="n">
        <f aca="false">IF(A1290-30&lt;$R$2,"",C1290/INDEX(Clean_Data!$C$2:$C$4314,MATCH(A1290-30,Clean_Data!$A$2:$A$4314,1))-1)</f>
        <v>-0.00664818297602032</v>
      </c>
    </row>
    <row r="1291" customFormat="false" ht="15" hidden="false" customHeight="false" outlineLevel="0" collapsed="false">
      <c r="A1291" s="16" t="n">
        <v>43297</v>
      </c>
      <c r="B1291" s="23" t="n">
        <f aca="false">YEAR(A1291)</f>
        <v>2018</v>
      </c>
      <c r="C1291" s="17" t="n">
        <v>6728.81</v>
      </c>
      <c r="D1291" s="23" t="n">
        <f aca="false">A1291-A1290</f>
        <v>1</v>
      </c>
      <c r="E1291" s="24" t="n">
        <f aca="false">LN(C1291)</f>
        <v>8.81415358679621</v>
      </c>
      <c r="F1291" s="25" t="n">
        <f aca="false">LN(C1291/C1290)</f>
        <v>0.0581435149121435</v>
      </c>
      <c r="G1291" s="25" t="n">
        <f aca="false">IF(AND(D1291=1,A1291&gt;=$R$2),F1291,"")</f>
        <v>0.0581435149121435</v>
      </c>
      <c r="H1291" s="27" t="n">
        <f aca="false">IF(G1291="","",G1291^2)</f>
        <v>0.00338066832633865</v>
      </c>
      <c r="I1291" s="25" t="n">
        <f aca="false">IF(G1291="","",C1291/C1290-1)</f>
        <v>0.059867091528542</v>
      </c>
      <c r="J1291" s="17" t="n">
        <f aca="false">AVERAGE(C1092:C1291)</f>
        <v>8958.9817</v>
      </c>
      <c r="K1291" s="17" t="n">
        <f aca="false">MAX(K1290,C1291)</f>
        <v>19650.01</v>
      </c>
      <c r="L1291" s="25" t="n">
        <f aca="false">C1291/K1291-1</f>
        <v>-0.657567095385702</v>
      </c>
      <c r="M1291" s="25" t="n">
        <f aca="false">IF(COUNT(G1262:G1291)&lt;20,"",_xlfn.STDEV.S(G1262:G1291)*SQRT($R$3))</f>
        <v>0.620212984344911</v>
      </c>
      <c r="N1291" s="25" t="n">
        <f aca="false">IF(A1291-7&lt;$R$2,"",C1291/INDEX(Clean_Data!$C$2:$C$4314,MATCH(A1291-7,Clean_Data!$A$2:$A$4314,1))-1)</f>
        <v>0.00972387496417326</v>
      </c>
      <c r="O1291" s="25" t="n">
        <f aca="false">IF(A1291-30&lt;$R$2,"",C1291/INDEX(Clean_Data!$C$2:$C$4314,MATCH(A1291-30,Clean_Data!$A$2:$A$4314,1))-1)</f>
        <v>0.0377096027475639</v>
      </c>
    </row>
    <row r="1292" customFormat="false" ht="15" hidden="false" customHeight="false" outlineLevel="0" collapsed="false">
      <c r="A1292" s="16" t="n">
        <v>43298</v>
      </c>
      <c r="B1292" s="23" t="n">
        <f aca="false">YEAR(A1292)</f>
        <v>2018</v>
      </c>
      <c r="C1292" s="17" t="n">
        <v>7315.01</v>
      </c>
      <c r="D1292" s="23" t="n">
        <f aca="false">A1292-A1291</f>
        <v>1</v>
      </c>
      <c r="E1292" s="24" t="n">
        <f aca="false">LN(C1292)</f>
        <v>8.89768368050729</v>
      </c>
      <c r="F1292" s="25" t="n">
        <f aca="false">LN(C1292/C1291)</f>
        <v>0.0835300937110752</v>
      </c>
      <c r="G1292" s="25" t="n">
        <f aca="false">IF(AND(D1292=1,A1292&gt;=$R$2),F1292,"")</f>
        <v>0.0835300937110752</v>
      </c>
      <c r="H1292" s="27" t="n">
        <f aca="false">IF(G1292="","",G1292^2)</f>
        <v>0.00697727655538101</v>
      </c>
      <c r="I1292" s="25" t="n">
        <f aca="false">IF(G1292="","",C1292/C1291-1)</f>
        <v>0.0871179302135148</v>
      </c>
      <c r="J1292" s="17" t="n">
        <f aca="false">AVERAGE(C1093:C1292)</f>
        <v>8922.7315</v>
      </c>
      <c r="K1292" s="17" t="n">
        <f aca="false">MAX(K1291,C1292)</f>
        <v>19650.01</v>
      </c>
      <c r="L1292" s="25" t="n">
        <f aca="false">C1292/K1292-1</f>
        <v>-0.627735049498703</v>
      </c>
      <c r="M1292" s="25" t="n">
        <f aca="false">IF(COUNT(G1263:G1292)&lt;20,"",_xlfn.STDEV.S(G1263:G1292)*SQRT($R$3))</f>
        <v>0.682605450783691</v>
      </c>
      <c r="N1292" s="25" t="n">
        <f aca="false">IF(A1292-7&lt;$R$2,"",C1292/INDEX(Clean_Data!$C$2:$C$4314,MATCH(A1292-7,Clean_Data!$A$2:$A$4314,1))-1)</f>
        <v>0.160431175341466</v>
      </c>
      <c r="O1292" s="25" t="n">
        <f aca="false">IF(A1292-30&lt;$R$2,"",C1292/INDEX(Clean_Data!$C$2:$C$4314,MATCH(A1292-30,Clean_Data!$A$2:$A$4314,1))-1)</f>
        <v>0.134609657585666</v>
      </c>
    </row>
    <row r="1293" customFormat="false" ht="15" hidden="false" customHeight="false" outlineLevel="0" collapsed="false">
      <c r="A1293" s="16" t="n">
        <v>43299</v>
      </c>
      <c r="B1293" s="23" t="n">
        <f aca="false">YEAR(A1293)</f>
        <v>2018</v>
      </c>
      <c r="C1293" s="17" t="n">
        <v>7378.99</v>
      </c>
      <c r="D1293" s="23" t="n">
        <f aca="false">A1293-A1292</f>
        <v>1</v>
      </c>
      <c r="E1293" s="24" t="n">
        <f aca="false">LN(C1293)</f>
        <v>8.90639205186027</v>
      </c>
      <c r="F1293" s="25" t="n">
        <f aca="false">LN(C1293/C1292)</f>
        <v>0.00870837135297831</v>
      </c>
      <c r="G1293" s="25" t="n">
        <f aca="false">IF(AND(D1293=1,A1293&gt;=$R$2),F1293,"")</f>
        <v>0.00870837135297831</v>
      </c>
      <c r="H1293" s="27" t="n">
        <f aca="false">IF(G1293="","",G1293^2)</f>
        <v>7.58357316213732E-005</v>
      </c>
      <c r="I1293" s="25" t="n">
        <f aca="false">IF(G1293="","",C1293/C1292-1)</f>
        <v>0.00874639952645318</v>
      </c>
      <c r="J1293" s="17" t="n">
        <f aca="false">AVERAGE(C1094:C1293)</f>
        <v>8895.4265</v>
      </c>
      <c r="K1293" s="17" t="n">
        <f aca="false">MAX(K1292,C1293)</f>
        <v>19650.01</v>
      </c>
      <c r="L1293" s="25" t="n">
        <f aca="false">C1293/K1293-1</f>
        <v>-0.624479071511923</v>
      </c>
      <c r="M1293" s="25" t="n">
        <f aca="false">IF(COUNT(G1264:G1293)&lt;20,"",_xlfn.STDEV.S(G1264:G1293)*SQRT($R$3))</f>
        <v>0.670704548349628</v>
      </c>
      <c r="N1293" s="25" t="n">
        <f aca="false">IF(A1293-7&lt;$R$2,"",C1293/INDEX(Clean_Data!$C$2:$C$4314,MATCH(A1293-7,Clean_Data!$A$2:$A$4314,1))-1)</f>
        <v>0.154764289425418</v>
      </c>
      <c r="O1293" s="25" t="n">
        <f aca="false">IF(A1293-30&lt;$R$2,"",C1293/INDEX(Clean_Data!$C$2:$C$4314,MATCH(A1293-30,Clean_Data!$A$2:$A$4314,1))-1)</f>
        <v>0.0998610825426067</v>
      </c>
    </row>
    <row r="1294" customFormat="false" ht="15" hidden="false" customHeight="false" outlineLevel="0" collapsed="false">
      <c r="A1294" s="16" t="n">
        <v>43300</v>
      </c>
      <c r="B1294" s="23" t="n">
        <f aca="false">YEAR(A1294)</f>
        <v>2018</v>
      </c>
      <c r="C1294" s="17" t="n">
        <v>7470.01</v>
      </c>
      <c r="D1294" s="23" t="n">
        <f aca="false">A1294-A1293</f>
        <v>1</v>
      </c>
      <c r="E1294" s="24" t="n">
        <f aca="false">LN(C1294)</f>
        <v>8.91865161681405</v>
      </c>
      <c r="F1294" s="25" t="n">
        <f aca="false">LN(C1294/C1293)</f>
        <v>0.0122595649537855</v>
      </c>
      <c r="G1294" s="25" t="n">
        <f aca="false">IF(AND(D1294=1,A1294&gt;=$R$2),F1294,"")</f>
        <v>0.0122595649537855</v>
      </c>
      <c r="H1294" s="27" t="n">
        <f aca="false">IF(G1294="","",G1294^2)</f>
        <v>0.000150296932856087</v>
      </c>
      <c r="I1294" s="25" t="n">
        <f aca="false">IF(G1294="","",C1294/C1293-1)</f>
        <v>0.0123350214595765</v>
      </c>
      <c r="J1294" s="17" t="n">
        <f aca="false">AVERAGE(C1095:C1294)</f>
        <v>8863.4609</v>
      </c>
      <c r="K1294" s="17" t="n">
        <f aca="false">MAX(K1293,C1294)</f>
        <v>19650.01</v>
      </c>
      <c r="L1294" s="25" t="n">
        <f aca="false">C1294/K1294-1</f>
        <v>-0.619847012800502</v>
      </c>
      <c r="M1294" s="25" t="n">
        <f aca="false">IF(COUNT(G1265:G1294)&lt;20,"",_xlfn.STDEV.S(G1265:G1294)*SQRT($R$3))</f>
        <v>0.671450288227076</v>
      </c>
      <c r="N1294" s="25" t="n">
        <f aca="false">IF(A1294-7&lt;$R$2,"",C1294/INDEX(Clean_Data!$C$2:$C$4314,MATCH(A1294-7,Clean_Data!$A$2:$A$4314,1))-1)</f>
        <v>0.195249409976399</v>
      </c>
      <c r="O1294" s="25" t="n">
        <f aca="false">IF(A1294-30&lt;$R$2,"",C1294/INDEX(Clean_Data!$C$2:$C$4314,MATCH(A1294-30,Clean_Data!$A$2:$A$4314,1))-1)</f>
        <v>0.108900734961203</v>
      </c>
    </row>
    <row r="1295" customFormat="false" ht="15" hidden="false" customHeight="false" outlineLevel="0" collapsed="false">
      <c r="A1295" s="16" t="n">
        <v>43301</v>
      </c>
      <c r="B1295" s="23" t="n">
        <f aca="false">YEAR(A1295)</f>
        <v>2018</v>
      </c>
      <c r="C1295" s="17" t="n">
        <v>7334.46</v>
      </c>
      <c r="D1295" s="23" t="n">
        <f aca="false">A1295-A1294</f>
        <v>1</v>
      </c>
      <c r="E1295" s="24" t="n">
        <f aca="false">LN(C1295)</f>
        <v>8.90033906823512</v>
      </c>
      <c r="F1295" s="25" t="n">
        <f aca="false">LN(C1295/C1294)</f>
        <v>-0.0183125485789306</v>
      </c>
      <c r="G1295" s="25" t="n">
        <f aca="false">IF(AND(D1295=1,A1295&gt;=$R$2),F1295,"")</f>
        <v>-0.0183125485789306</v>
      </c>
      <c r="H1295" s="27" t="n">
        <f aca="false">IF(G1295="","",G1295^2)</f>
        <v>0.000335349435455692</v>
      </c>
      <c r="I1295" s="25" t="n">
        <f aca="false">IF(G1295="","",C1295/C1294-1)</f>
        <v>-0.0181458927096484</v>
      </c>
      <c r="J1295" s="17" t="n">
        <f aca="false">AVERAGE(C1096:C1295)</f>
        <v>8832.73315</v>
      </c>
      <c r="K1295" s="17" t="n">
        <f aca="false">MAX(K1294,C1295)</f>
        <v>19650.01</v>
      </c>
      <c r="L1295" s="25" t="n">
        <f aca="false">C1295/K1295-1</f>
        <v>-0.626745228119477</v>
      </c>
      <c r="M1295" s="25" t="n">
        <f aca="false">IF(COUNT(G1266:G1295)&lt;20,"",_xlfn.STDEV.S(G1266:G1295)*SQRT($R$3))</f>
        <v>0.675730291662224</v>
      </c>
      <c r="N1295" s="25" t="n">
        <f aca="false">IF(A1295-7&lt;$R$2,"",C1295/INDEX(Clean_Data!$C$2:$C$4314,MATCH(A1295-7,Clean_Data!$A$2:$A$4314,1))-1)</f>
        <v>0.179877386672758</v>
      </c>
      <c r="O1295" s="25" t="n">
        <f aca="false">IF(A1295-30&lt;$R$2,"",C1295/INDEX(Clean_Data!$C$2:$C$4314,MATCH(A1295-30,Clean_Data!$A$2:$A$4314,1))-1)</f>
        <v>0.0856056008644039</v>
      </c>
    </row>
    <row r="1296" customFormat="false" ht="15" hidden="false" customHeight="false" outlineLevel="0" collapsed="false">
      <c r="A1296" s="16" t="n">
        <v>43302</v>
      </c>
      <c r="B1296" s="23" t="n">
        <f aca="false">YEAR(A1296)</f>
        <v>2018</v>
      </c>
      <c r="C1296" s="17" t="n">
        <v>7408</v>
      </c>
      <c r="D1296" s="23" t="n">
        <f aca="false">A1296-A1295</f>
        <v>1</v>
      </c>
      <c r="E1296" s="24" t="n">
        <f aca="false">LN(C1296)</f>
        <v>8.91031577632602</v>
      </c>
      <c r="F1296" s="25" t="n">
        <f aca="false">LN(C1296/C1295)</f>
        <v>0.0099767080908932</v>
      </c>
      <c r="G1296" s="25" t="n">
        <f aca="false">IF(AND(D1296=1,A1296&gt;=$R$2),F1296,"")</f>
        <v>0.0099767080908932</v>
      </c>
      <c r="H1296" s="27" t="n">
        <f aca="false">IF(G1296="","",G1296^2)</f>
        <v>9.95347043308938E-005</v>
      </c>
      <c r="I1296" s="25" t="n">
        <f aca="false">IF(G1296="","",C1296/C1295-1)</f>
        <v>0.0100266413614636</v>
      </c>
      <c r="J1296" s="17" t="n">
        <f aca="false">AVERAGE(C1097:C1296)</f>
        <v>8795.8656</v>
      </c>
      <c r="K1296" s="17" t="n">
        <f aca="false">MAX(K1295,C1296)</f>
        <v>19650.01</v>
      </c>
      <c r="L1296" s="25" t="n">
        <f aca="false">C1296/K1296-1</f>
        <v>-0.623002736385376</v>
      </c>
      <c r="M1296" s="25" t="n">
        <f aca="false">IF(COUNT(G1267:G1296)&lt;20,"",_xlfn.STDEV.S(G1267:G1296)*SQRT($R$3))</f>
        <v>0.675511072395172</v>
      </c>
      <c r="N1296" s="25" t="n">
        <f aca="false">IF(A1296-7&lt;$R$2,"",C1296/INDEX(Clean_Data!$C$2:$C$4314,MATCH(A1296-7,Clean_Data!$A$2:$A$4314,1))-1)</f>
        <v>0.185536075792371</v>
      </c>
      <c r="O1296" s="25" t="n">
        <f aca="false">IF(A1296-30&lt;$R$2,"",C1296/INDEX(Clean_Data!$C$2:$C$4314,MATCH(A1296-30,Clean_Data!$A$2:$A$4314,1))-1)</f>
        <v>0.102543380646851</v>
      </c>
    </row>
    <row r="1297" customFormat="false" ht="15" hidden="false" customHeight="false" outlineLevel="0" collapsed="false">
      <c r="A1297" s="16" t="n">
        <v>43303</v>
      </c>
      <c r="B1297" s="23" t="n">
        <f aca="false">YEAR(A1297)</f>
        <v>2018</v>
      </c>
      <c r="C1297" s="17" t="n">
        <v>7397.8</v>
      </c>
      <c r="D1297" s="23" t="n">
        <f aca="false">A1297-A1296</f>
        <v>1</v>
      </c>
      <c r="E1297" s="24" t="n">
        <f aca="false">LN(C1297)</f>
        <v>8.90893793769336</v>
      </c>
      <c r="F1297" s="25" t="n">
        <f aca="false">LN(C1297/C1296)</f>
        <v>-0.0013778386326539</v>
      </c>
      <c r="G1297" s="25" t="n">
        <f aca="false">IF(AND(D1297=1,A1297&gt;=$R$2),F1297,"")</f>
        <v>-0.0013778386326539</v>
      </c>
      <c r="H1297" s="27" t="n">
        <f aca="false">IF(G1297="","",G1297^2)</f>
        <v>1.89843929763357E-006</v>
      </c>
      <c r="I1297" s="25" t="n">
        <f aca="false">IF(G1297="","",C1297/C1296-1)</f>
        <v>-0.00137688984881212</v>
      </c>
      <c r="J1297" s="17" t="n">
        <f aca="false">AVERAGE(C1098:C1297)</f>
        <v>8757.3639</v>
      </c>
      <c r="K1297" s="17" t="n">
        <f aca="false">MAX(K1296,C1297)</f>
        <v>19650.01</v>
      </c>
      <c r="L1297" s="25" t="n">
        <f aca="false">C1297/K1297-1</f>
        <v>-0.623521820090677</v>
      </c>
      <c r="M1297" s="25" t="n">
        <f aca="false">IF(COUNT(G1268:G1297)&lt;20,"",_xlfn.STDEV.S(G1268:G1297)*SQRT($R$3))</f>
        <v>0.556268816391768</v>
      </c>
      <c r="N1297" s="25" t="n">
        <f aca="false">IF(A1297-7&lt;$R$2,"",C1297/INDEX(Clean_Data!$C$2:$C$4314,MATCH(A1297-7,Clean_Data!$A$2:$A$4314,1))-1)</f>
        <v>0.165240922200188</v>
      </c>
      <c r="O1297" s="25" t="n">
        <f aca="false">IF(A1297-30&lt;$R$2,"",C1297/INDEX(Clean_Data!$C$2:$C$4314,MATCH(A1297-30,Clean_Data!$A$2:$A$4314,1))-1)</f>
        <v>0.220795337155229</v>
      </c>
    </row>
    <row r="1298" customFormat="false" ht="15" hidden="false" customHeight="false" outlineLevel="0" collapsed="false">
      <c r="A1298" s="16" t="n">
        <v>43304</v>
      </c>
      <c r="B1298" s="23" t="n">
        <f aca="false">YEAR(A1298)</f>
        <v>2018</v>
      </c>
      <c r="C1298" s="17" t="n">
        <v>7720.09</v>
      </c>
      <c r="D1298" s="23" t="n">
        <f aca="false">A1298-A1297</f>
        <v>1</v>
      </c>
      <c r="E1298" s="24" t="n">
        <f aca="false">LN(C1298)</f>
        <v>8.95158130098196</v>
      </c>
      <c r="F1298" s="25" t="n">
        <f aca="false">LN(C1298/C1297)</f>
        <v>0.0426433632885942</v>
      </c>
      <c r="G1298" s="25" t="n">
        <f aca="false">IF(AND(D1298=1,A1298&gt;=$R$2),F1298,"")</f>
        <v>0.0426433632885942</v>
      </c>
      <c r="H1298" s="27" t="n">
        <f aca="false">IF(G1298="","",G1298^2)</f>
        <v>0.00181845643256302</v>
      </c>
      <c r="I1298" s="25" t="n">
        <f aca="false">IF(G1298="","",C1298/C1297-1)</f>
        <v>0.0435656546540864</v>
      </c>
      <c r="J1298" s="17" t="n">
        <f aca="false">AVERAGE(C1099:C1298)</f>
        <v>8720.2394</v>
      </c>
      <c r="K1298" s="17" t="n">
        <f aca="false">MAX(K1297,C1298)</f>
        <v>19650.01</v>
      </c>
      <c r="L1298" s="25" t="n">
        <f aca="false">C1298/K1298-1</f>
        <v>-0.607120301719948</v>
      </c>
      <c r="M1298" s="25" t="n">
        <f aca="false">IF(COUNT(G1269:G1298)&lt;20,"",_xlfn.STDEV.S(G1269:G1298)*SQRT($R$3))</f>
        <v>0.568752633510215</v>
      </c>
      <c r="N1298" s="25" t="n">
        <f aca="false">IF(A1298-7&lt;$R$2,"",C1298/INDEX(Clean_Data!$C$2:$C$4314,MATCH(A1298-7,Clean_Data!$A$2:$A$4314,1))-1)</f>
        <v>0.147318768103127</v>
      </c>
      <c r="O1298" s="25" t="n">
        <f aca="false">IF(A1298-30&lt;$R$2,"",C1298/INDEX(Clean_Data!$C$2:$C$4314,MATCH(A1298-30,Clean_Data!$A$2:$A$4314,1))-1)</f>
        <v>0.249551251236184</v>
      </c>
    </row>
    <row r="1299" customFormat="false" ht="15" hidden="false" customHeight="false" outlineLevel="0" collapsed="false">
      <c r="A1299" s="16" t="n">
        <v>43305</v>
      </c>
      <c r="B1299" s="23" t="n">
        <f aca="false">YEAR(A1299)</f>
        <v>2018</v>
      </c>
      <c r="C1299" s="17" t="n">
        <v>8385.5</v>
      </c>
      <c r="D1299" s="23" t="n">
        <f aca="false">A1299-A1298</f>
        <v>1</v>
      </c>
      <c r="E1299" s="24" t="n">
        <f aca="false">LN(C1299)</f>
        <v>9.03425930277168</v>
      </c>
      <c r="F1299" s="25" t="n">
        <f aca="false">LN(C1299/C1298)</f>
        <v>0.0826780017897269</v>
      </c>
      <c r="G1299" s="25" t="n">
        <f aca="false">IF(AND(D1299=1,A1299&gt;=$R$2),F1299,"")</f>
        <v>0.0826780017897269</v>
      </c>
      <c r="H1299" s="27" t="n">
        <f aca="false">IF(G1299="","",G1299^2)</f>
        <v>0.00683565197994208</v>
      </c>
      <c r="I1299" s="25" t="n">
        <f aca="false">IF(G1299="","",C1299/C1298-1)</f>
        <v>0.0861920003523276</v>
      </c>
      <c r="J1299" s="17" t="n">
        <f aca="false">AVERAGE(C1100:C1299)</f>
        <v>8677.36685</v>
      </c>
      <c r="K1299" s="17" t="n">
        <f aca="false">MAX(K1298,C1299)</f>
        <v>19650.01</v>
      </c>
      <c r="L1299" s="25" t="n">
        <f aca="false">C1299/K1299-1</f>
        <v>-0.573257214627372</v>
      </c>
      <c r="M1299" s="25" t="n">
        <f aca="false">IF(COUNT(G1270:G1299)&lt;20,"",_xlfn.STDEV.S(G1270:G1299)*SQRT($R$3))</f>
        <v>0.624291962983965</v>
      </c>
      <c r="N1299" s="25" t="n">
        <f aca="false">IF(A1299-7&lt;$R$2,"",C1299/INDEX(Clean_Data!$C$2:$C$4314,MATCH(A1299-7,Clean_Data!$A$2:$A$4314,1))-1)</f>
        <v>0.146341563442839</v>
      </c>
      <c r="O1299" s="25" t="n">
        <f aca="false">IF(A1299-30&lt;$R$2,"",C1299/INDEX(Clean_Data!$C$2:$C$4314,MATCH(A1299-30,Clean_Data!$A$2:$A$4314,1))-1)</f>
        <v>0.363498152029516</v>
      </c>
    </row>
    <row r="1300" customFormat="false" ht="15" hidden="false" customHeight="false" outlineLevel="0" collapsed="false">
      <c r="A1300" s="16" t="n">
        <v>43306</v>
      </c>
      <c r="B1300" s="23" t="n">
        <f aca="false">YEAR(A1300)</f>
        <v>2018</v>
      </c>
      <c r="C1300" s="17" t="n">
        <v>8157.15</v>
      </c>
      <c r="D1300" s="23" t="n">
        <f aca="false">A1300-A1299</f>
        <v>1</v>
      </c>
      <c r="E1300" s="24" t="n">
        <f aca="false">LN(C1300)</f>
        <v>9.00665012224515</v>
      </c>
      <c r="F1300" s="25" t="n">
        <f aca="false">LN(C1300/C1299)</f>
        <v>-0.027609180526535</v>
      </c>
      <c r="G1300" s="25" t="n">
        <f aca="false">IF(AND(D1300=1,A1300&gt;=$R$2),F1300,"")</f>
        <v>-0.027609180526535</v>
      </c>
      <c r="H1300" s="27" t="n">
        <f aca="false">IF(G1300="","",G1300^2)</f>
        <v>0.000762266849346801</v>
      </c>
      <c r="I1300" s="25" t="n">
        <f aca="false">IF(G1300="","",C1300/C1299-1)</f>
        <v>-0.0272315306183293</v>
      </c>
      <c r="J1300" s="17" t="n">
        <f aca="false">AVERAGE(C1101:C1300)</f>
        <v>8632.65765</v>
      </c>
      <c r="K1300" s="17" t="n">
        <f aca="false">MAX(K1299,C1300)</f>
        <v>19650.01</v>
      </c>
      <c r="L1300" s="25" t="n">
        <f aca="false">C1300/K1300-1</f>
        <v>-0.584878073853398</v>
      </c>
      <c r="M1300" s="25" t="n">
        <f aca="false">IF(COUNT(G1271:G1300)&lt;20,"",_xlfn.STDEV.S(G1271:G1300)*SQRT($R$3))</f>
        <v>0.637767617710499</v>
      </c>
      <c r="N1300" s="25" t="n">
        <f aca="false">IF(A1300-7&lt;$R$2,"",C1300/INDEX(Clean_Data!$C$2:$C$4314,MATCH(A1300-7,Clean_Data!$A$2:$A$4314,1))-1)</f>
        <v>0.10545616676537</v>
      </c>
      <c r="O1300" s="25" t="n">
        <f aca="false">IF(A1300-30&lt;$R$2,"",C1300/INDEX(Clean_Data!$C$2:$C$4314,MATCH(A1300-30,Clean_Data!$A$2:$A$4314,1))-1)</f>
        <v>0.305977736186782</v>
      </c>
    </row>
    <row r="1301" customFormat="false" ht="15" hidden="false" customHeight="false" outlineLevel="0" collapsed="false">
      <c r="A1301" s="16" t="n">
        <v>43307</v>
      </c>
      <c r="B1301" s="23" t="n">
        <f aca="false">YEAR(A1301)</f>
        <v>2018</v>
      </c>
      <c r="C1301" s="17" t="n">
        <v>7931.99</v>
      </c>
      <c r="D1301" s="23" t="n">
        <f aca="false">A1301-A1300</f>
        <v>1</v>
      </c>
      <c r="E1301" s="24" t="n">
        <f aca="false">LN(C1301)</f>
        <v>8.97865922892281</v>
      </c>
      <c r="F1301" s="25" t="n">
        <f aca="false">LN(C1301/C1300)</f>
        <v>-0.0279908933223422</v>
      </c>
      <c r="G1301" s="25" t="n">
        <f aca="false">IF(AND(D1301=1,A1301&gt;=$R$2),F1301,"")</f>
        <v>-0.0279908933223422</v>
      </c>
      <c r="H1301" s="27" t="n">
        <f aca="false">IF(G1301="","",G1301^2)</f>
        <v>0.000783490108982743</v>
      </c>
      <c r="I1301" s="25" t="n">
        <f aca="false">IF(G1301="","",C1301/C1300-1)</f>
        <v>-0.0276027779310175</v>
      </c>
      <c r="J1301" s="17" t="n">
        <f aca="false">AVERAGE(C1102:C1301)</f>
        <v>8591.4465</v>
      </c>
      <c r="K1301" s="17" t="n">
        <f aca="false">MAX(K1300,C1301)</f>
        <v>19650.01</v>
      </c>
      <c r="L1301" s="25" t="n">
        <f aca="false">C1301/K1301-1</f>
        <v>-0.596336592195119</v>
      </c>
      <c r="M1301" s="25" t="n">
        <f aca="false">IF(COUNT(G1272:G1301)&lt;20,"",_xlfn.STDEV.S(G1272:G1301)*SQRT($R$3))</f>
        <v>0.637815183718489</v>
      </c>
      <c r="N1301" s="25" t="n">
        <f aca="false">IF(A1301-7&lt;$R$2,"",C1301/INDEX(Clean_Data!$C$2:$C$4314,MATCH(A1301-7,Clean_Data!$A$2:$A$4314,1))-1)</f>
        <v>0.061844629391393</v>
      </c>
      <c r="O1301" s="25" t="n">
        <f aca="false">IF(A1301-30&lt;$R$2,"",C1301/INDEX(Clean_Data!$C$2:$C$4314,MATCH(A1301-30,Clean_Data!$A$2:$A$4314,1))-1)</f>
        <v>0.305892327955219</v>
      </c>
    </row>
    <row r="1302" customFormat="false" ht="15" hidden="false" customHeight="false" outlineLevel="0" collapsed="false">
      <c r="A1302" s="16" t="n">
        <v>43308</v>
      </c>
      <c r="B1302" s="23" t="n">
        <f aca="false">YEAR(A1302)</f>
        <v>2018</v>
      </c>
      <c r="C1302" s="17" t="n">
        <v>8184.21</v>
      </c>
      <c r="D1302" s="23" t="n">
        <f aca="false">A1302-A1301</f>
        <v>1</v>
      </c>
      <c r="E1302" s="24" t="n">
        <f aca="false">LN(C1302)</f>
        <v>9.0099619671263</v>
      </c>
      <c r="F1302" s="25" t="n">
        <f aca="false">LN(C1302/C1301)</f>
        <v>0.0313027382034966</v>
      </c>
      <c r="G1302" s="25" t="n">
        <f aca="false">IF(AND(D1302=1,A1302&gt;=$R$2),F1302,"")</f>
        <v>0.0313027382034966</v>
      </c>
      <c r="H1302" s="27" t="n">
        <f aca="false">IF(G1302="","",G1302^2)</f>
        <v>0.000979861419036643</v>
      </c>
      <c r="I1302" s="25" t="n">
        <f aca="false">IF(G1302="","",C1302/C1301-1)</f>
        <v>0.0317978212277121</v>
      </c>
      <c r="J1302" s="17" t="n">
        <f aca="false">AVERAGE(C1103:C1302)</f>
        <v>8557.39885</v>
      </c>
      <c r="K1302" s="17" t="n">
        <f aca="false">MAX(K1301,C1302)</f>
        <v>19650.01</v>
      </c>
      <c r="L1302" s="25" t="n">
        <f aca="false">C1302/K1302-1</f>
        <v>-0.58350097531757</v>
      </c>
      <c r="M1302" s="25" t="n">
        <f aca="false">IF(COUNT(G1273:G1302)&lt;20,"",_xlfn.STDEV.S(G1273:G1302)*SQRT($R$3))</f>
        <v>0.64259100791956</v>
      </c>
      <c r="N1302" s="25" t="n">
        <f aca="false">IF(A1302-7&lt;$R$2,"",C1302/INDEX(Clean_Data!$C$2:$C$4314,MATCH(A1302-7,Clean_Data!$A$2:$A$4314,1))-1)</f>
        <v>0.115857200121072</v>
      </c>
      <c r="O1302" s="25" t="n">
        <f aca="false">IF(A1302-30&lt;$R$2,"",C1302/INDEX(Clean_Data!$C$2:$C$4314,MATCH(A1302-30,Clean_Data!$A$2:$A$4314,1))-1)</f>
        <v>0.33463521070029</v>
      </c>
    </row>
    <row r="1303" customFormat="false" ht="15" hidden="false" customHeight="false" outlineLevel="0" collapsed="false">
      <c r="A1303" s="16" t="n">
        <v>43309</v>
      </c>
      <c r="B1303" s="23" t="n">
        <f aca="false">YEAR(A1303)</f>
        <v>2018</v>
      </c>
      <c r="C1303" s="17" t="n">
        <v>8228.9</v>
      </c>
      <c r="D1303" s="23" t="n">
        <f aca="false">A1303-A1302</f>
        <v>1</v>
      </c>
      <c r="E1303" s="24" t="n">
        <f aca="false">LN(C1303)</f>
        <v>9.01540762738702</v>
      </c>
      <c r="F1303" s="25" t="n">
        <f aca="false">LN(C1303/C1302)</f>
        <v>0.00544566026071982</v>
      </c>
      <c r="G1303" s="25" t="n">
        <f aca="false">IF(AND(D1303=1,A1303&gt;=$R$2),F1303,"")</f>
        <v>0.00544566026071982</v>
      </c>
      <c r="H1303" s="27" t="n">
        <f aca="false">IF(G1303="","",G1303^2)</f>
        <v>2.96552156751831E-005</v>
      </c>
      <c r="I1303" s="25" t="n">
        <f aca="false">IF(G1303="","",C1303/C1302-1)</f>
        <v>0.00546051482061194</v>
      </c>
      <c r="J1303" s="17" t="n">
        <f aca="false">AVERAGE(C1104:C1303)</f>
        <v>8526.1384</v>
      </c>
      <c r="K1303" s="17" t="n">
        <f aca="false">MAX(K1302,C1303)</f>
        <v>19650.01</v>
      </c>
      <c r="L1303" s="25" t="n">
        <f aca="false">C1303/K1303-1</f>
        <v>-0.581226676220521</v>
      </c>
      <c r="M1303" s="25" t="n">
        <f aca="false">IF(COUNT(G1274:G1303)&lt;20,"",_xlfn.STDEV.S(G1274:G1303)*SQRT($R$3))</f>
        <v>0.609832806042084</v>
      </c>
      <c r="N1303" s="25" t="n">
        <f aca="false">IF(A1303-7&lt;$R$2,"",C1303/INDEX(Clean_Data!$C$2:$C$4314,MATCH(A1303-7,Clean_Data!$A$2:$A$4314,1))-1)</f>
        <v>0.110812634989201</v>
      </c>
      <c r="O1303" s="25" t="n">
        <f aca="false">IF(A1303-30&lt;$R$2,"",C1303/INDEX(Clean_Data!$C$2:$C$4314,MATCH(A1303-30,Clean_Data!$A$2:$A$4314,1))-1)</f>
        <v>0.406250534036496</v>
      </c>
    </row>
    <row r="1304" customFormat="false" ht="15" hidden="false" customHeight="false" outlineLevel="0" collapsed="false">
      <c r="A1304" s="16" t="n">
        <v>43310</v>
      </c>
      <c r="B1304" s="23" t="n">
        <f aca="false">YEAR(A1304)</f>
        <v>2018</v>
      </c>
      <c r="C1304" s="17" t="n">
        <v>8216.34</v>
      </c>
      <c r="D1304" s="23" t="n">
        <f aca="false">A1304-A1303</f>
        <v>1</v>
      </c>
      <c r="E1304" s="24" t="n">
        <f aca="false">LN(C1304)</f>
        <v>9.01388013342012</v>
      </c>
      <c r="F1304" s="25" t="n">
        <f aca="false">LN(C1304/C1303)</f>
        <v>-0.00152749396690121</v>
      </c>
      <c r="G1304" s="25" t="n">
        <f aca="false">IF(AND(D1304=1,A1304&gt;=$R$2),F1304,"")</f>
        <v>-0.00152749396690121</v>
      </c>
      <c r="H1304" s="27" t="n">
        <f aca="false">IF(G1304="","",G1304^2)</f>
        <v>2.3332378189196E-006</v>
      </c>
      <c r="I1304" s="25" t="n">
        <f aca="false">IF(G1304="","",C1304/C1303-1)</f>
        <v>-0.0015263279417661</v>
      </c>
      <c r="J1304" s="17" t="n">
        <f aca="false">AVERAGE(C1105:C1304)</f>
        <v>8492.8442</v>
      </c>
      <c r="K1304" s="17" t="n">
        <f aca="false">MAX(K1303,C1304)</f>
        <v>19650.01</v>
      </c>
      <c r="L1304" s="25" t="n">
        <f aca="false">C1304/K1304-1</f>
        <v>-0.581865861645872</v>
      </c>
      <c r="M1304" s="25" t="n">
        <f aca="false">IF(COUNT(G1275:G1304)&lt;20,"",_xlfn.STDEV.S(G1275:G1304)*SQRT($R$3))</f>
        <v>0.58726203884555</v>
      </c>
      <c r="N1304" s="25" t="n">
        <f aca="false">IF(A1304-7&lt;$R$2,"",C1304/INDEX(Clean_Data!$C$2:$C$4314,MATCH(A1304-7,Clean_Data!$A$2:$A$4314,1))-1)</f>
        <v>0.110646408391684</v>
      </c>
      <c r="O1304" s="25" t="n">
        <f aca="false">IF(A1304-30&lt;$R$2,"",C1304/INDEX(Clean_Data!$C$2:$C$4314,MATCH(A1304-30,Clean_Data!$A$2:$A$4314,1))-1)</f>
        <v>0.324711883863562</v>
      </c>
    </row>
    <row r="1305" customFormat="false" ht="15" hidden="false" customHeight="false" outlineLevel="0" collapsed="false">
      <c r="A1305" s="16" t="n">
        <v>43311</v>
      </c>
      <c r="B1305" s="23" t="n">
        <f aca="false">YEAR(A1305)</f>
        <v>2018</v>
      </c>
      <c r="C1305" s="17" t="n">
        <v>8170.01</v>
      </c>
      <c r="D1305" s="23" t="n">
        <f aca="false">A1305-A1304</f>
        <v>1</v>
      </c>
      <c r="E1305" s="24" t="n">
        <f aca="false">LN(C1305)</f>
        <v>9.00822541184351</v>
      </c>
      <c r="F1305" s="25" t="n">
        <f aca="false">LN(C1305/C1304)</f>
        <v>-0.00565472157661259</v>
      </c>
      <c r="G1305" s="25" t="n">
        <f aca="false">IF(AND(D1305=1,A1305&gt;=$R$2),F1305,"")</f>
        <v>-0.00565472157661259</v>
      </c>
      <c r="H1305" s="27" t="n">
        <f aca="false">IF(G1305="","",G1305^2)</f>
        <v>3.1975876109008E-005</v>
      </c>
      <c r="I1305" s="25" t="n">
        <f aca="false">IF(G1305="","",C1305/C1304-1)</f>
        <v>-0.00563876373178329</v>
      </c>
      <c r="J1305" s="17" t="n">
        <f aca="false">AVERAGE(C1106:C1305)</f>
        <v>8467.15395</v>
      </c>
      <c r="K1305" s="17" t="n">
        <f aca="false">MAX(K1304,C1305)</f>
        <v>19650.01</v>
      </c>
      <c r="L1305" s="25" t="n">
        <f aca="false">C1305/K1305-1</f>
        <v>-0.584223621260244</v>
      </c>
      <c r="M1305" s="25" t="n">
        <f aca="false">IF(COUNT(G1276:G1305)&lt;20,"",_xlfn.STDEV.S(G1276:G1305)*SQRT($R$3))</f>
        <v>0.585237591897319</v>
      </c>
      <c r="N1305" s="25" t="n">
        <f aca="false">IF(A1305-7&lt;$R$2,"",C1305/INDEX(Clean_Data!$C$2:$C$4314,MATCH(A1305-7,Clean_Data!$A$2:$A$4314,1))-1)</f>
        <v>0.0582791133263991</v>
      </c>
      <c r="O1305" s="25" t="n">
        <f aca="false">IF(A1305-30&lt;$R$2,"",C1305/INDEX(Clean_Data!$C$2:$C$4314,MATCH(A1305-30,Clean_Data!$A$2:$A$4314,1))-1)</f>
        <v>0.27992586778711</v>
      </c>
    </row>
    <row r="1306" customFormat="false" ht="15" hidden="false" customHeight="false" outlineLevel="0" collapsed="false">
      <c r="A1306" s="16" t="n">
        <v>43312</v>
      </c>
      <c r="B1306" s="23" t="n">
        <f aca="false">YEAR(A1306)</f>
        <v>2018</v>
      </c>
      <c r="C1306" s="17" t="n">
        <v>7727.27</v>
      </c>
      <c r="D1306" s="23" t="n">
        <f aca="false">A1306-A1305</f>
        <v>1</v>
      </c>
      <c r="E1306" s="24" t="n">
        <f aca="false">LN(C1306)</f>
        <v>8.95251090973284</v>
      </c>
      <c r="F1306" s="25" t="n">
        <f aca="false">LN(C1306/C1305)</f>
        <v>-0.0557145021106633</v>
      </c>
      <c r="G1306" s="25" t="n">
        <f aca="false">IF(AND(D1306=1,A1306&gt;=$R$2),F1306,"")</f>
        <v>-0.0557145021106633</v>
      </c>
      <c r="H1306" s="27" t="n">
        <f aca="false">IF(G1306="","",G1306^2)</f>
        <v>0.0031041057454391</v>
      </c>
      <c r="I1306" s="25" t="n">
        <f aca="false">IF(G1306="","",C1306/C1305-1)</f>
        <v>-0.0541908761433584</v>
      </c>
      <c r="J1306" s="17" t="n">
        <f aca="false">AVERAGE(C1107:C1306)</f>
        <v>8436.6903</v>
      </c>
      <c r="K1306" s="17" t="n">
        <f aca="false">MAX(K1305,C1306)</f>
        <v>19650.01</v>
      </c>
      <c r="L1306" s="25" t="n">
        <f aca="false">C1306/K1306-1</f>
        <v>-0.606754907503864</v>
      </c>
      <c r="M1306" s="25" t="n">
        <f aca="false">IF(COUNT(G1277:G1306)&lt;20,"",_xlfn.STDEV.S(G1277:G1306)*SQRT($R$3))</f>
        <v>0.624975753183266</v>
      </c>
      <c r="N1306" s="25" t="n">
        <f aca="false">IF(A1306-7&lt;$R$2,"",C1306/INDEX(Clean_Data!$C$2:$C$4314,MATCH(A1306-7,Clean_Data!$A$2:$A$4314,1))-1)</f>
        <v>-0.078496213702224</v>
      </c>
      <c r="O1306" s="25" t="n">
        <f aca="false">IF(A1306-30&lt;$R$2,"",C1306/INDEX(Clean_Data!$C$2:$C$4314,MATCH(A1306-30,Clean_Data!$A$2:$A$4314,1))-1)</f>
        <v>0.216988739270809</v>
      </c>
    </row>
    <row r="1307" customFormat="false" ht="15" hidden="false" customHeight="false" outlineLevel="0" collapsed="false">
      <c r="A1307" s="16" t="n">
        <v>43313</v>
      </c>
      <c r="B1307" s="23" t="n">
        <f aca="false">YEAR(A1307)</f>
        <v>2018</v>
      </c>
      <c r="C1307" s="17" t="n">
        <v>7603.99</v>
      </c>
      <c r="D1307" s="23" t="n">
        <f aca="false">A1307-A1306</f>
        <v>1</v>
      </c>
      <c r="E1307" s="24" t="n">
        <f aca="false">LN(C1307)</f>
        <v>8.93642838851014</v>
      </c>
      <c r="F1307" s="25" t="n">
        <f aca="false">LN(C1307/C1306)</f>
        <v>-0.0160825212227064</v>
      </c>
      <c r="G1307" s="25" t="n">
        <f aca="false">IF(AND(D1307=1,A1307&gt;=$R$2),F1307,"")</f>
        <v>-0.0160825212227064</v>
      </c>
      <c r="H1307" s="27" t="n">
        <f aca="false">IF(G1307="","",G1307^2)</f>
        <v>0.000258647488878802</v>
      </c>
      <c r="I1307" s="25" t="n">
        <f aca="false">IF(G1307="","",C1307/C1306-1)</f>
        <v>-0.0159538879837252</v>
      </c>
      <c r="J1307" s="17" t="n">
        <f aca="false">AVERAGE(C1108:C1307)</f>
        <v>8403.7705</v>
      </c>
      <c r="K1307" s="17" t="n">
        <f aca="false">MAX(K1306,C1307)</f>
        <v>19650.01</v>
      </c>
      <c r="L1307" s="25" t="n">
        <f aca="false">C1307/K1307-1</f>
        <v>-0.613028695659697</v>
      </c>
      <c r="M1307" s="25" t="n">
        <f aca="false">IF(COUNT(G1278:G1307)&lt;20,"",_xlfn.STDEV.S(G1278:G1307)*SQRT($R$3))</f>
        <v>0.617418383560277</v>
      </c>
      <c r="N1307" s="25" t="n">
        <f aca="false">IF(A1307-7&lt;$R$2,"",C1307/INDEX(Clean_Data!$C$2:$C$4314,MATCH(A1307-7,Clean_Data!$A$2:$A$4314,1))-1)</f>
        <v>-0.0678129003389664</v>
      </c>
      <c r="O1307" s="25" t="n">
        <f aca="false">IF(A1307-30&lt;$R$2,"",C1307/INDEX(Clean_Data!$C$2:$C$4314,MATCH(A1307-30,Clean_Data!$A$2:$A$4314,1))-1)</f>
        <v>0.150065262205847</v>
      </c>
    </row>
    <row r="1308" customFormat="false" ht="15" hidden="false" customHeight="false" outlineLevel="0" collapsed="false">
      <c r="A1308" s="16" t="n">
        <v>43314</v>
      </c>
      <c r="B1308" s="23" t="n">
        <f aca="false">YEAR(A1308)</f>
        <v>2018</v>
      </c>
      <c r="C1308" s="17" t="n">
        <v>7533.92</v>
      </c>
      <c r="D1308" s="23" t="n">
        <f aca="false">A1308-A1307</f>
        <v>1</v>
      </c>
      <c r="E1308" s="24" t="n">
        <f aca="false">LN(C1308)</f>
        <v>8.92717076966628</v>
      </c>
      <c r="F1308" s="25" t="n">
        <f aca="false">LN(C1308/C1307)</f>
        <v>-0.00925761884386205</v>
      </c>
      <c r="G1308" s="25" t="n">
        <f aca="false">IF(AND(D1308=1,A1308&gt;=$R$2),F1308,"")</f>
        <v>-0.00925761884386205</v>
      </c>
      <c r="H1308" s="27" t="n">
        <f aca="false">IF(G1308="","",G1308^2)</f>
        <v>8.57035066582298E-005</v>
      </c>
      <c r="I1308" s="25" t="n">
        <f aca="false">IF(G1308="","",C1308/C1307-1)</f>
        <v>-0.00921489902011963</v>
      </c>
      <c r="J1308" s="17" t="n">
        <f aca="false">AVERAGE(C1109:C1308)</f>
        <v>8373.15895</v>
      </c>
      <c r="K1308" s="17" t="n">
        <f aca="false">MAX(K1307,C1308)</f>
        <v>19650.01</v>
      </c>
      <c r="L1308" s="25" t="n">
        <f aca="false">C1308/K1308-1</f>
        <v>-0.616594597152877</v>
      </c>
      <c r="M1308" s="25" t="n">
        <f aca="false">IF(COUNT(G1279:G1308)&lt;20,"",_xlfn.STDEV.S(G1279:G1308)*SQRT($R$3))</f>
        <v>0.614739926418181</v>
      </c>
      <c r="N1308" s="25" t="n">
        <f aca="false">IF(A1308-7&lt;$R$2,"",C1308/INDEX(Clean_Data!$C$2:$C$4314,MATCH(A1308-7,Clean_Data!$A$2:$A$4314,1))-1)</f>
        <v>-0.050185388534277</v>
      </c>
      <c r="O1308" s="25" t="n">
        <f aca="false">IF(A1308-30&lt;$R$2,"",C1308/INDEX(Clean_Data!$C$2:$C$4314,MATCH(A1308-30,Clean_Data!$A$2:$A$4314,1))-1)</f>
        <v>0.158597611424318</v>
      </c>
    </row>
    <row r="1309" customFormat="false" ht="15" hidden="false" customHeight="false" outlineLevel="0" collapsed="false">
      <c r="A1309" s="16" t="n">
        <v>43315</v>
      </c>
      <c r="B1309" s="23" t="n">
        <f aca="false">YEAR(A1309)</f>
        <v>2018</v>
      </c>
      <c r="C1309" s="17" t="n">
        <v>7414.08</v>
      </c>
      <c r="D1309" s="23" t="n">
        <f aca="false">A1309-A1308</f>
        <v>1</v>
      </c>
      <c r="E1309" s="24" t="n">
        <f aca="false">LN(C1309)</f>
        <v>8.91113617404901</v>
      </c>
      <c r="F1309" s="25" t="n">
        <f aca="false">LN(C1309/C1308)</f>
        <v>-0.0160345956172669</v>
      </c>
      <c r="G1309" s="25" t="n">
        <f aca="false">IF(AND(D1309=1,A1309&gt;=$R$2),F1309,"")</f>
        <v>-0.0160345956172669</v>
      </c>
      <c r="H1309" s="27" t="n">
        <f aca="false">IF(G1309="","",G1309^2)</f>
        <v>0.000257108256609276</v>
      </c>
      <c r="I1309" s="25" t="n">
        <f aca="false">IF(G1309="","",C1309/C1308-1)</f>
        <v>-0.0159067258478985</v>
      </c>
      <c r="J1309" s="17" t="n">
        <f aca="false">AVERAGE(C1110:C1309)</f>
        <v>8342.27935</v>
      </c>
      <c r="K1309" s="17" t="n">
        <f aca="false">MAX(K1308,C1309)</f>
        <v>19650.01</v>
      </c>
      <c r="L1309" s="25" t="n">
        <f aca="false">C1309/K1309-1</f>
        <v>-0.622693321784569</v>
      </c>
      <c r="M1309" s="25" t="n">
        <f aca="false">IF(COUNT(G1280:G1309)&lt;20,"",_xlfn.STDEV.S(G1280:G1309)*SQRT($R$3))</f>
        <v>0.618267735573129</v>
      </c>
      <c r="N1309" s="25" t="n">
        <f aca="false">IF(A1309-7&lt;$R$2,"",C1309/INDEX(Clean_Data!$C$2:$C$4314,MATCH(A1309-7,Clean_Data!$A$2:$A$4314,1))-1)</f>
        <v>-0.0940994915819609</v>
      </c>
      <c r="O1309" s="25" t="n">
        <f aca="false">IF(A1309-30&lt;$R$2,"",C1309/INDEX(Clean_Data!$C$2:$C$4314,MATCH(A1309-30,Clean_Data!$A$2:$A$4314,1))-1)</f>
        <v>0.125482165383675</v>
      </c>
    </row>
    <row r="1310" customFormat="false" ht="15" hidden="false" customHeight="false" outlineLevel="0" collapsed="false">
      <c r="A1310" s="16" t="n">
        <v>43316</v>
      </c>
      <c r="B1310" s="23" t="n">
        <f aca="false">YEAR(A1310)</f>
        <v>2018</v>
      </c>
      <c r="C1310" s="17" t="n">
        <v>7005</v>
      </c>
      <c r="D1310" s="23" t="n">
        <f aca="false">A1310-A1309</f>
        <v>1</v>
      </c>
      <c r="E1310" s="24" t="n">
        <f aca="false">LN(C1310)</f>
        <v>8.85437945877111</v>
      </c>
      <c r="F1310" s="25" t="n">
        <f aca="false">LN(C1310/C1309)</f>
        <v>-0.0567567152779014</v>
      </c>
      <c r="G1310" s="25" t="n">
        <f aca="false">IF(AND(D1310=1,A1310&gt;=$R$2),F1310,"")</f>
        <v>-0.0567567152779014</v>
      </c>
      <c r="H1310" s="27" t="n">
        <f aca="false">IF(G1310="","",G1310^2)</f>
        <v>0.00322132472913676</v>
      </c>
      <c r="I1310" s="25" t="n">
        <f aca="false">IF(G1310="","",C1310/C1309-1)</f>
        <v>-0.0551760973714878</v>
      </c>
      <c r="J1310" s="17" t="n">
        <f aca="false">AVERAGE(C1111:C1310)</f>
        <v>8319.4543</v>
      </c>
      <c r="K1310" s="17" t="n">
        <f aca="false">MAX(K1309,C1310)</f>
        <v>19650.01</v>
      </c>
      <c r="L1310" s="25" t="n">
        <f aca="false">C1310/K1310-1</f>
        <v>-0.643511631800696</v>
      </c>
      <c r="M1310" s="25" t="n">
        <f aca="false">IF(COUNT(G1281:G1310)&lt;20,"",_xlfn.STDEV.S(G1281:G1310)*SQRT($R$3))</f>
        <v>0.652495654931679</v>
      </c>
      <c r="N1310" s="25" t="n">
        <f aca="false">IF(A1310-7&lt;$R$2,"",C1310/INDEX(Clean_Data!$C$2:$C$4314,MATCH(A1310-7,Clean_Data!$A$2:$A$4314,1))-1)</f>
        <v>-0.148731908274496</v>
      </c>
      <c r="O1310" s="25" t="n">
        <f aca="false">IF(A1310-30&lt;$R$2,"",C1310/INDEX(Clean_Data!$C$2:$C$4314,MATCH(A1310-30,Clean_Data!$A$2:$A$4314,1))-1)</f>
        <v>0.0722567905769982</v>
      </c>
    </row>
    <row r="1311" customFormat="false" ht="15" hidden="false" customHeight="false" outlineLevel="0" collapsed="false">
      <c r="A1311" s="16" t="n">
        <v>43317</v>
      </c>
      <c r="B1311" s="23" t="n">
        <f aca="false">YEAR(A1311)</f>
        <v>2018</v>
      </c>
      <c r="C1311" s="17" t="n">
        <v>7030.01</v>
      </c>
      <c r="D1311" s="23" t="n">
        <f aca="false">A1311-A1310</f>
        <v>1</v>
      </c>
      <c r="E1311" s="24" t="n">
        <f aca="false">LN(C1311)</f>
        <v>8.85794340727881</v>
      </c>
      <c r="F1311" s="25" t="n">
        <f aca="false">LN(C1311/C1310)</f>
        <v>0.00356394850769812</v>
      </c>
      <c r="G1311" s="25" t="n">
        <f aca="false">IF(AND(D1311=1,A1311&gt;=$R$2),F1311,"")</f>
        <v>0.00356394850769812</v>
      </c>
      <c r="H1311" s="27" t="n">
        <f aca="false">IF(G1311="","",G1311^2)</f>
        <v>1.27017289655237E-005</v>
      </c>
      <c r="I1311" s="25" t="n">
        <f aca="false">IF(G1311="","",C1311/C1310-1)</f>
        <v>0.00357030692362592</v>
      </c>
      <c r="J1311" s="17" t="n">
        <f aca="false">AVERAGE(C1112:C1311)</f>
        <v>8298.6043</v>
      </c>
      <c r="K1311" s="17" t="n">
        <f aca="false">MAX(K1310,C1311)</f>
        <v>19650.01</v>
      </c>
      <c r="L1311" s="25" t="n">
        <f aca="false">C1311/K1311-1</f>
        <v>-0.642238858911522</v>
      </c>
      <c r="M1311" s="25" t="n">
        <f aca="false">IF(COUNT(G1282:G1311)&lt;20,"",_xlfn.STDEV.S(G1282:G1311)*SQRT($R$3))</f>
        <v>0.651896246783487</v>
      </c>
      <c r="N1311" s="25" t="n">
        <f aca="false">IF(A1311-7&lt;$R$2,"",C1311/INDEX(Clean_Data!$C$2:$C$4314,MATCH(A1311-7,Clean_Data!$A$2:$A$4314,1))-1)</f>
        <v>-0.144386673384986</v>
      </c>
      <c r="O1311" s="25" t="n">
        <f aca="false">IF(A1311-30&lt;$R$2,"",C1311/INDEX(Clean_Data!$C$2:$C$4314,MATCH(A1311-30,Clean_Data!$A$2:$A$4314,1))-1)</f>
        <v>0.0651530303030303</v>
      </c>
    </row>
    <row r="1312" customFormat="false" ht="15" hidden="false" customHeight="false" outlineLevel="0" collapsed="false">
      <c r="A1312" s="16" t="n">
        <v>43318</v>
      </c>
      <c r="B1312" s="23" t="n">
        <f aca="false">YEAR(A1312)</f>
        <v>2018</v>
      </c>
      <c r="C1312" s="17" t="n">
        <v>6938</v>
      </c>
      <c r="D1312" s="23" t="n">
        <f aca="false">A1312-A1311</f>
        <v>1</v>
      </c>
      <c r="E1312" s="24" t="n">
        <f aca="false">LN(C1312)</f>
        <v>8.8447688275297</v>
      </c>
      <c r="F1312" s="25" t="n">
        <f aca="false">LN(C1312/C1311)</f>
        <v>-0.0131745797491105</v>
      </c>
      <c r="G1312" s="25" t="n">
        <f aca="false">IF(AND(D1312=1,A1312&gt;=$R$2),F1312,"")</f>
        <v>-0.0131745797491105</v>
      </c>
      <c r="H1312" s="27" t="n">
        <f aca="false">IF(G1312="","",G1312^2)</f>
        <v>0.000173569551565673</v>
      </c>
      <c r="I1312" s="25" t="n">
        <f aca="false">IF(G1312="","",C1312/C1311-1)</f>
        <v>-0.0130881748390116</v>
      </c>
      <c r="J1312" s="17" t="n">
        <f aca="false">AVERAGE(C1113:C1312)</f>
        <v>8276.76665</v>
      </c>
      <c r="K1312" s="17" t="n">
        <f aca="false">MAX(K1311,C1312)</f>
        <v>19650.01</v>
      </c>
      <c r="L1312" s="25" t="n">
        <f aca="false">C1312/K1312-1</f>
        <v>-0.646921299276692</v>
      </c>
      <c r="M1312" s="25" t="n">
        <f aca="false">IF(COUNT(G1283:G1312)&lt;20,"",_xlfn.STDEV.S(G1283:G1312)*SQRT($R$3))</f>
        <v>0.64952676607831</v>
      </c>
      <c r="N1312" s="25" t="n">
        <f aca="false">IF(A1312-7&lt;$R$2,"",C1312/INDEX(Clean_Data!$C$2:$C$4314,MATCH(A1312-7,Clean_Data!$A$2:$A$4314,1))-1)</f>
        <v>-0.150796633051857</v>
      </c>
      <c r="O1312" s="25" t="n">
        <f aca="false">IF(A1312-30&lt;$R$2,"",C1312/INDEX(Clean_Data!$C$2:$C$4314,MATCH(A1312-30,Clean_Data!$A$2:$A$4314,1))-1)</f>
        <v>0.0273526345716453</v>
      </c>
    </row>
    <row r="1313" customFormat="false" ht="15" hidden="false" customHeight="false" outlineLevel="0" collapsed="false">
      <c r="A1313" s="16" t="n">
        <v>43319</v>
      </c>
      <c r="B1313" s="23" t="n">
        <f aca="false">YEAR(A1313)</f>
        <v>2018</v>
      </c>
      <c r="C1313" s="17" t="n">
        <v>6718.22</v>
      </c>
      <c r="D1313" s="23" t="n">
        <f aca="false">A1313-A1312</f>
        <v>1</v>
      </c>
      <c r="E1313" s="24" t="n">
        <f aca="false">LN(C1313)</f>
        <v>8.81257851747766</v>
      </c>
      <c r="F1313" s="25" t="n">
        <f aca="false">LN(C1313/C1312)</f>
        <v>-0.0321903100520363</v>
      </c>
      <c r="G1313" s="25" t="n">
        <f aca="false">IF(AND(D1313=1,A1313&gt;=$R$2),F1313,"")</f>
        <v>-0.0321903100520363</v>
      </c>
      <c r="H1313" s="27" t="n">
        <f aca="false">IF(G1313="","",G1313^2)</f>
        <v>0.00103621606124623</v>
      </c>
      <c r="I1313" s="25" t="n">
        <f aca="false">IF(G1313="","",C1313/C1312-1)</f>
        <v>-0.0316777169213029</v>
      </c>
      <c r="J1313" s="17" t="n">
        <f aca="false">AVERAGE(C1114:C1313)</f>
        <v>8252.8628</v>
      </c>
      <c r="K1313" s="17" t="n">
        <f aca="false">MAX(K1312,C1313)</f>
        <v>19650.01</v>
      </c>
      <c r="L1313" s="25" t="n">
        <f aca="false">C1313/K1313-1</f>
        <v>-0.658106026409147</v>
      </c>
      <c r="M1313" s="25" t="n">
        <f aca="false">IF(COUNT(G1284:G1313)&lt;20,"",_xlfn.STDEV.S(G1284:G1313)*SQRT($R$3))</f>
        <v>0.659164610776357</v>
      </c>
      <c r="N1313" s="25" t="n">
        <f aca="false">IF(A1313-7&lt;$R$2,"",C1313/INDEX(Clean_Data!$C$2:$C$4314,MATCH(A1313-7,Clean_Data!$A$2:$A$4314,1))-1)</f>
        <v>-0.130582987264584</v>
      </c>
      <c r="O1313" s="25" t="n">
        <f aca="false">IF(A1313-30&lt;$R$2,"",C1313/INDEX(Clean_Data!$C$2:$C$4314,MATCH(A1313-30,Clean_Data!$A$2:$A$4314,1))-1)</f>
        <v>0.00242466021184806</v>
      </c>
    </row>
    <row r="1314" customFormat="false" ht="15" hidden="false" customHeight="false" outlineLevel="0" collapsed="false">
      <c r="A1314" s="16" t="n">
        <v>43320</v>
      </c>
      <c r="B1314" s="23" t="n">
        <f aca="false">YEAR(A1314)</f>
        <v>2018</v>
      </c>
      <c r="C1314" s="17" t="n">
        <v>6282.5</v>
      </c>
      <c r="D1314" s="23" t="n">
        <f aca="false">A1314-A1313</f>
        <v>1</v>
      </c>
      <c r="E1314" s="24" t="n">
        <f aca="false">LN(C1314)</f>
        <v>8.74552326941775</v>
      </c>
      <c r="F1314" s="25" t="n">
        <f aca="false">LN(C1314/C1313)</f>
        <v>-0.0670552480599115</v>
      </c>
      <c r="G1314" s="25" t="n">
        <f aca="false">IF(AND(D1314=1,A1314&gt;=$R$2),F1314,"")</f>
        <v>-0.0670552480599115</v>
      </c>
      <c r="H1314" s="27" t="n">
        <f aca="false">IF(G1314="","",G1314^2)</f>
        <v>0.00449640629237626</v>
      </c>
      <c r="I1314" s="25" t="n">
        <f aca="false">IF(G1314="","",C1314/C1313-1)</f>
        <v>-0.0648564649564914</v>
      </c>
      <c r="J1314" s="17" t="n">
        <f aca="false">AVERAGE(C1115:C1314)</f>
        <v>8220.4613</v>
      </c>
      <c r="K1314" s="17" t="n">
        <f aca="false">MAX(K1313,C1314)</f>
        <v>19650.01</v>
      </c>
      <c r="L1314" s="25" t="n">
        <f aca="false">C1314/K1314-1</f>
        <v>-0.680280060926178</v>
      </c>
      <c r="M1314" s="25" t="n">
        <f aca="false">IF(COUNT(G1285:G1314)&lt;20,"",_xlfn.STDEV.S(G1285:G1314)*SQRT($R$3))</f>
        <v>0.69944903576961</v>
      </c>
      <c r="N1314" s="25" t="n">
        <f aca="false">IF(A1314-7&lt;$R$2,"",C1314/INDEX(Clean_Data!$C$2:$C$4314,MATCH(A1314-7,Clean_Data!$A$2:$A$4314,1))-1)</f>
        <v>-0.173789023920337</v>
      </c>
      <c r="O1314" s="25" t="n">
        <f aca="false">IF(A1314-30&lt;$R$2,"",C1314/INDEX(Clean_Data!$C$2:$C$4314,MATCH(A1314-30,Clean_Data!$A$2:$A$4314,1))-1)</f>
        <v>-0.0572493138515698</v>
      </c>
    </row>
    <row r="1315" customFormat="false" ht="15" hidden="false" customHeight="false" outlineLevel="0" collapsed="false">
      <c r="A1315" s="16" t="n">
        <v>43321</v>
      </c>
      <c r="B1315" s="23" t="n">
        <f aca="false">YEAR(A1315)</f>
        <v>2018</v>
      </c>
      <c r="C1315" s="17" t="n">
        <v>6546.45</v>
      </c>
      <c r="D1315" s="23" t="n">
        <f aca="false">A1315-A1314</f>
        <v>1</v>
      </c>
      <c r="E1315" s="24" t="n">
        <f aca="false">LN(C1315)</f>
        <v>8.78667819696966</v>
      </c>
      <c r="F1315" s="25" t="n">
        <f aca="false">LN(C1315/C1314)</f>
        <v>0.04115492755191</v>
      </c>
      <c r="G1315" s="25" t="n">
        <f aca="false">IF(AND(D1315=1,A1315&gt;=$R$2),F1315,"")</f>
        <v>0.04115492755191</v>
      </c>
      <c r="H1315" s="27" t="n">
        <f aca="false">IF(G1315="","",G1315^2)</f>
        <v>0.00169372806180296</v>
      </c>
      <c r="I1315" s="25" t="n">
        <f aca="false">IF(G1315="","",C1315/C1314-1)</f>
        <v>0.0420135296458415</v>
      </c>
      <c r="J1315" s="17" t="n">
        <f aca="false">AVERAGE(C1116:C1315)</f>
        <v>8195.6027</v>
      </c>
      <c r="K1315" s="17" t="n">
        <f aca="false">MAX(K1314,C1315)</f>
        <v>19650.01</v>
      </c>
      <c r="L1315" s="25" t="n">
        <f aca="false">C1315/K1315-1</f>
        <v>-0.666847497787533</v>
      </c>
      <c r="M1315" s="25" t="n">
        <f aca="false">IF(COUNT(G1286:G1315)&lt;20,"",_xlfn.STDEV.S(G1286:G1315)*SQRT($R$3))</f>
        <v>0.687399925044733</v>
      </c>
      <c r="N1315" s="25" t="n">
        <f aca="false">IF(A1315-7&lt;$R$2,"",C1315/INDEX(Clean_Data!$C$2:$C$4314,MATCH(A1315-7,Clean_Data!$A$2:$A$4314,1))-1)</f>
        <v>-0.131069881283581</v>
      </c>
      <c r="O1315" s="25" t="n">
        <f aca="false">IF(A1315-30&lt;$R$2,"",C1315/INDEX(Clean_Data!$C$2:$C$4314,MATCH(A1315-30,Clean_Data!$A$2:$A$4314,1))-1)</f>
        <v>0.0385091295588305</v>
      </c>
    </row>
    <row r="1316" customFormat="false" ht="15" hidden="false" customHeight="false" outlineLevel="0" collapsed="false">
      <c r="A1316" s="16" t="n">
        <v>43322</v>
      </c>
      <c r="B1316" s="23" t="n">
        <f aca="false">YEAR(A1316)</f>
        <v>2018</v>
      </c>
      <c r="C1316" s="17" t="n">
        <v>6146.01</v>
      </c>
      <c r="D1316" s="23" t="n">
        <f aca="false">A1316-A1315</f>
        <v>1</v>
      </c>
      <c r="E1316" s="24" t="n">
        <f aca="false">LN(C1316)</f>
        <v>8.72355836976363</v>
      </c>
      <c r="F1316" s="25" t="n">
        <f aca="false">LN(C1316/C1315)</f>
        <v>-0.0631198272060311</v>
      </c>
      <c r="G1316" s="25" t="n">
        <f aca="false">IF(AND(D1316=1,A1316&gt;=$R$2),F1316,"")</f>
        <v>-0.0631198272060311</v>
      </c>
      <c r="H1316" s="27" t="n">
        <f aca="false">IF(G1316="","",G1316^2)</f>
        <v>0.00398411258651922</v>
      </c>
      <c r="I1316" s="25" t="n">
        <f aca="false">IF(G1316="","",C1316/C1315-1)</f>
        <v>-0.0611690305432715</v>
      </c>
      <c r="J1316" s="17" t="n">
        <f aca="false">AVERAGE(C1117:C1316)</f>
        <v>8172.49925</v>
      </c>
      <c r="K1316" s="17" t="n">
        <f aca="false">MAX(K1315,C1316)</f>
        <v>19650.01</v>
      </c>
      <c r="L1316" s="25" t="n">
        <f aca="false">C1316/K1316-1</f>
        <v>-0.687226113370935</v>
      </c>
      <c r="M1316" s="25" t="n">
        <f aca="false">IF(COUNT(G1287:G1316)&lt;20,"",_xlfn.STDEV.S(G1287:G1316)*SQRT($R$3))</f>
        <v>0.721316317536753</v>
      </c>
      <c r="N1316" s="25" t="n">
        <f aca="false">IF(A1316-7&lt;$R$2,"",C1316/INDEX(Clean_Data!$C$2:$C$4314,MATCH(A1316-7,Clean_Data!$A$2:$A$4314,1))-1)</f>
        <v>-0.171035381328499</v>
      </c>
      <c r="O1316" s="25" t="n">
        <f aca="false">IF(A1316-30&lt;$R$2,"",C1316/INDEX(Clean_Data!$C$2:$C$4314,MATCH(A1316-30,Clean_Data!$A$2:$A$4314,1))-1)</f>
        <v>-0.0381891193169369</v>
      </c>
    </row>
    <row r="1317" customFormat="false" ht="15" hidden="false" customHeight="false" outlineLevel="0" collapsed="false">
      <c r="A1317" s="16" t="n">
        <v>43323</v>
      </c>
      <c r="B1317" s="23" t="n">
        <f aca="false">YEAR(A1317)</f>
        <v>2018</v>
      </c>
      <c r="C1317" s="17" t="n">
        <v>6235.56</v>
      </c>
      <c r="D1317" s="23" t="n">
        <f aca="false">A1317-A1316</f>
        <v>1</v>
      </c>
      <c r="E1317" s="24" t="n">
        <f aca="false">LN(C1317)</f>
        <v>8.7380236696383</v>
      </c>
      <c r="F1317" s="25" t="n">
        <f aca="false">LN(C1317/C1316)</f>
        <v>0.0144652998746724</v>
      </c>
      <c r="G1317" s="25" t="n">
        <f aca="false">IF(AND(D1317=1,A1317&gt;=$R$2),F1317,"")</f>
        <v>0.0144652998746724</v>
      </c>
      <c r="H1317" s="27" t="n">
        <f aca="false">IF(G1317="","",G1317^2)</f>
        <v>0.000209244900464199</v>
      </c>
      <c r="I1317" s="25" t="n">
        <f aca="false">IF(G1317="","",C1317/C1316-1)</f>
        <v>0.0145704286195434</v>
      </c>
      <c r="J1317" s="17" t="n">
        <f aca="false">AVERAGE(C1118:C1317)</f>
        <v>8149.55235</v>
      </c>
      <c r="K1317" s="17" t="n">
        <f aca="false">MAX(K1316,C1317)</f>
        <v>19650.01</v>
      </c>
      <c r="L1317" s="25" t="n">
        <f aca="false">C1317/K1317-1</f>
        <v>-0.682668863781749</v>
      </c>
      <c r="M1317" s="25" t="n">
        <f aca="false">IF(COUNT(G1288:G1317)&lt;20,"",_xlfn.STDEV.S(G1288:G1317)*SQRT($R$3))</f>
        <v>0.719278995276377</v>
      </c>
      <c r="N1317" s="25" t="n">
        <f aca="false">IF(A1317-7&lt;$R$2,"",C1317/INDEX(Clean_Data!$C$2:$C$4314,MATCH(A1317-7,Clean_Data!$A$2:$A$4314,1))-1)</f>
        <v>-0.109841541755889</v>
      </c>
      <c r="O1317" s="25" t="n">
        <f aca="false">IF(A1317-30&lt;$R$2,"",C1317/INDEX(Clean_Data!$C$2:$C$4314,MATCH(A1317-30,Clean_Data!$A$2:$A$4314,1))-1)</f>
        <v>-0.00227049081963271</v>
      </c>
    </row>
    <row r="1318" customFormat="false" ht="15" hidden="false" customHeight="false" outlineLevel="0" collapsed="false">
      <c r="A1318" s="16" t="n">
        <v>43324</v>
      </c>
      <c r="B1318" s="23" t="n">
        <f aca="false">YEAR(A1318)</f>
        <v>2018</v>
      </c>
      <c r="C1318" s="17" t="n">
        <v>6316.01</v>
      </c>
      <c r="D1318" s="23" t="n">
        <f aca="false">A1318-A1317</f>
        <v>1</v>
      </c>
      <c r="E1318" s="24" t="n">
        <f aca="false">LN(C1318)</f>
        <v>8.75084295865484</v>
      </c>
      <c r="F1318" s="25" t="n">
        <f aca="false">LN(C1318/C1317)</f>
        <v>0.012819289016538</v>
      </c>
      <c r="G1318" s="25" t="n">
        <f aca="false">IF(AND(D1318=1,A1318&gt;=$R$2),F1318,"")</f>
        <v>0.012819289016538</v>
      </c>
      <c r="H1318" s="27" t="n">
        <f aca="false">IF(G1318="","",G1318^2)</f>
        <v>0.000164334170889531</v>
      </c>
      <c r="I1318" s="25" t="n">
        <f aca="false">IF(G1318="","",C1318/C1317-1)</f>
        <v>0.0129018083379842</v>
      </c>
      <c r="J1318" s="17" t="n">
        <f aca="false">AVERAGE(C1119:C1318)</f>
        <v>8124.34845</v>
      </c>
      <c r="K1318" s="17" t="n">
        <f aca="false">MAX(K1317,C1318)</f>
        <v>19650.01</v>
      </c>
      <c r="L1318" s="25" t="n">
        <f aca="false">C1318/K1318-1</f>
        <v>-0.678574718282586</v>
      </c>
      <c r="M1318" s="25" t="n">
        <f aca="false">IF(COUNT(G1289:G1318)&lt;20,"",_xlfn.STDEV.S(G1289:G1318)*SQRT($R$3))</f>
        <v>0.720391438552247</v>
      </c>
      <c r="N1318" s="25" t="n">
        <f aca="false">IF(A1318-7&lt;$R$2,"",C1318/INDEX(Clean_Data!$C$2:$C$4314,MATCH(A1318-7,Clean_Data!$A$2:$A$4314,1))-1)</f>
        <v>-0.10156457814427</v>
      </c>
      <c r="O1318" s="25" t="n">
        <f aca="false">IF(A1318-30&lt;$R$2,"",C1318/INDEX(Clean_Data!$C$2:$C$4314,MATCH(A1318-30,Clean_Data!$A$2:$A$4314,1))-1)</f>
        <v>0.0160417226352052</v>
      </c>
    </row>
    <row r="1319" customFormat="false" ht="15" hidden="false" customHeight="false" outlineLevel="0" collapsed="false">
      <c r="A1319" s="16" t="n">
        <v>43325</v>
      </c>
      <c r="B1319" s="23" t="n">
        <f aca="false">YEAR(A1319)</f>
        <v>2018</v>
      </c>
      <c r="C1319" s="17" t="n">
        <v>6253.67</v>
      </c>
      <c r="D1319" s="23" t="n">
        <f aca="false">A1319-A1318</f>
        <v>1</v>
      </c>
      <c r="E1319" s="24" t="n">
        <f aca="false">LN(C1319)</f>
        <v>8.74092377039599</v>
      </c>
      <c r="F1319" s="25" t="n">
        <f aca="false">LN(C1319/C1318)</f>
        <v>-0.0099191882588496</v>
      </c>
      <c r="G1319" s="25" t="n">
        <f aca="false">IF(AND(D1319=1,A1319&gt;=$R$2),F1319,"")</f>
        <v>-0.0099191882588496</v>
      </c>
      <c r="H1319" s="27" t="n">
        <f aca="false">IF(G1319="","",G1319^2)</f>
        <v>9.83902957144997E-005</v>
      </c>
      <c r="I1319" s="25" t="n">
        <f aca="false">IF(G1319="","",C1319/C1318-1)</f>
        <v>-0.00987015536707514</v>
      </c>
      <c r="J1319" s="17" t="n">
        <f aca="false">AVERAGE(C1120:C1319)</f>
        <v>8100.0268</v>
      </c>
      <c r="K1319" s="17" t="n">
        <f aca="false">MAX(K1318,C1319)</f>
        <v>19650.01</v>
      </c>
      <c r="L1319" s="25" t="n">
        <f aca="false">C1319/K1319-1</f>
        <v>-0.681747235752043</v>
      </c>
      <c r="M1319" s="25" t="n">
        <f aca="false">IF(COUNT(G1290:G1319)&lt;20,"",_xlfn.STDEV.S(G1290:G1319)*SQRT($R$3))</f>
        <v>0.721088665603027</v>
      </c>
      <c r="N1319" s="25" t="n">
        <f aca="false">IF(A1319-7&lt;$R$2,"",C1319/INDEX(Clean_Data!$C$2:$C$4314,MATCH(A1319-7,Clean_Data!$A$2:$A$4314,1))-1)</f>
        <v>-0.0986350533294897</v>
      </c>
      <c r="O1319" s="25" t="n">
        <f aca="false">IF(A1319-30&lt;$R$2,"",C1319/INDEX(Clean_Data!$C$2:$C$4314,MATCH(A1319-30,Clean_Data!$A$2:$A$4314,1))-1)</f>
        <v>0.000803373528682316</v>
      </c>
    </row>
    <row r="1320" customFormat="false" ht="15" hidden="false" customHeight="false" outlineLevel="0" collapsed="false">
      <c r="A1320" s="16" t="n">
        <v>43326</v>
      </c>
      <c r="B1320" s="23" t="n">
        <f aca="false">YEAR(A1320)</f>
        <v>2018</v>
      </c>
      <c r="C1320" s="17" t="n">
        <v>6195.01</v>
      </c>
      <c r="D1320" s="23" t="n">
        <f aca="false">A1320-A1319</f>
        <v>1</v>
      </c>
      <c r="E1320" s="24" t="n">
        <f aca="false">LN(C1320)</f>
        <v>8.73149940826694</v>
      </c>
      <c r="F1320" s="25" t="n">
        <f aca="false">LN(C1320/C1319)</f>
        <v>-0.009424362129043</v>
      </c>
      <c r="G1320" s="25" t="n">
        <f aca="false">IF(AND(D1320=1,A1320&gt;=$R$2),F1320,"")</f>
        <v>-0.009424362129043</v>
      </c>
      <c r="H1320" s="27" t="n">
        <f aca="false">IF(G1320="","",G1320^2)</f>
        <v>8.88186015393399E-005</v>
      </c>
      <c r="I1320" s="25" t="n">
        <f aca="false">IF(G1320="","",C1320/C1319-1)</f>
        <v>-0.0093800920099717</v>
      </c>
      <c r="J1320" s="17" t="n">
        <f aca="false">AVERAGE(C1121:C1320)</f>
        <v>8075.5674</v>
      </c>
      <c r="K1320" s="17" t="n">
        <f aca="false">MAX(K1319,C1320)</f>
        <v>19650.01</v>
      </c>
      <c r="L1320" s="25" t="n">
        <f aca="false">C1320/K1320-1</f>
        <v>-0.684732475963117</v>
      </c>
      <c r="M1320" s="25" t="n">
        <f aca="false">IF(COUNT(G1291:G1320)&lt;20,"",_xlfn.STDEV.S(G1291:G1320)*SQRT($R$3))</f>
        <v>0.719484062651882</v>
      </c>
      <c r="N1320" s="25" t="n">
        <f aca="false">IF(A1320-7&lt;$R$2,"",C1320/INDEX(Clean_Data!$C$2:$C$4314,MATCH(A1320-7,Clean_Data!$A$2:$A$4314,1))-1)</f>
        <v>-0.077879259684857</v>
      </c>
      <c r="O1320" s="25" t="n">
        <f aca="false">IF(A1320-30&lt;$R$2,"",C1320/INDEX(Clean_Data!$C$2:$C$4314,MATCH(A1320-30,Clean_Data!$A$2:$A$4314,1))-1)</f>
        <v>-0.0242127165590598</v>
      </c>
    </row>
    <row r="1321" customFormat="false" ht="15" hidden="false" customHeight="false" outlineLevel="0" collapsed="false">
      <c r="A1321" s="16" t="n">
        <v>43327</v>
      </c>
      <c r="B1321" s="23" t="n">
        <f aca="false">YEAR(A1321)</f>
        <v>2018</v>
      </c>
      <c r="C1321" s="17" t="n">
        <v>6269.01</v>
      </c>
      <c r="D1321" s="23" t="n">
        <f aca="false">A1321-A1320</f>
        <v>1</v>
      </c>
      <c r="E1321" s="24" t="n">
        <f aca="false">LN(C1321)</f>
        <v>8.74337372642344</v>
      </c>
      <c r="F1321" s="25" t="n">
        <f aca="false">LN(C1321/C1320)</f>
        <v>0.011874318156494</v>
      </c>
      <c r="G1321" s="25" t="n">
        <f aca="false">IF(AND(D1321=1,A1321&gt;=$R$2),F1321,"")</f>
        <v>0.011874318156494</v>
      </c>
      <c r="H1321" s="27" t="n">
        <f aca="false">IF(G1321="","",G1321^2)</f>
        <v>0.000140999431681642</v>
      </c>
      <c r="I1321" s="25" t="n">
        <f aca="false">IF(G1321="","",C1321/C1320-1)</f>
        <v>0.0119450977480262</v>
      </c>
      <c r="J1321" s="17" t="n">
        <f aca="false">AVERAGE(C1122:C1321)</f>
        <v>8050.31745</v>
      </c>
      <c r="K1321" s="17" t="n">
        <f aca="false">MAX(K1320,C1321)</f>
        <v>19650.01</v>
      </c>
      <c r="L1321" s="25" t="n">
        <f aca="false">C1321/K1321-1</f>
        <v>-0.680966574571718</v>
      </c>
      <c r="M1321" s="25" t="n">
        <f aca="false">IF(COUNT(G1292:G1321)&lt;20,"",_xlfn.STDEV.S(G1292:G1321)*SQRT($R$3))</f>
        <v>0.689225952672947</v>
      </c>
      <c r="N1321" s="25" t="n">
        <f aca="false">IF(A1321-7&lt;$R$2,"",C1321/INDEX(Clean_Data!$C$2:$C$4314,MATCH(A1321-7,Clean_Data!$A$2:$A$4314,1))-1)</f>
        <v>-0.00214723438121767</v>
      </c>
      <c r="O1321" s="25" t="n">
        <f aca="false">IF(A1321-30&lt;$R$2,"",C1321/INDEX(Clean_Data!$C$2:$C$4314,MATCH(A1321-30,Clean_Data!$A$2:$A$4314,1))-1)</f>
        <v>-0.0683330336270456</v>
      </c>
    </row>
    <row r="1322" customFormat="false" ht="15" hidden="false" customHeight="false" outlineLevel="0" collapsed="false">
      <c r="A1322" s="16" t="n">
        <v>43328</v>
      </c>
      <c r="B1322" s="23" t="n">
        <f aca="false">YEAR(A1322)</f>
        <v>2018</v>
      </c>
      <c r="C1322" s="17" t="n">
        <v>6315.9</v>
      </c>
      <c r="D1322" s="23" t="n">
        <f aca="false">A1322-A1321</f>
        <v>1</v>
      </c>
      <c r="E1322" s="24" t="n">
        <f aca="false">LN(C1322)</f>
        <v>8.75082554244462</v>
      </c>
      <c r="F1322" s="25" t="n">
        <f aca="false">LN(C1322/C1321)</f>
        <v>0.00745181602118135</v>
      </c>
      <c r="G1322" s="25" t="n">
        <f aca="false">IF(AND(D1322=1,A1322&gt;=$R$2),F1322,"")</f>
        <v>0.00745181602118135</v>
      </c>
      <c r="H1322" s="27" t="n">
        <f aca="false">IF(G1322="","",G1322^2)</f>
        <v>5.55295620135351E-005</v>
      </c>
      <c r="I1322" s="25" t="n">
        <f aca="false">IF(G1322="","",C1322/C1321-1)</f>
        <v>0.00747964989687366</v>
      </c>
      <c r="J1322" s="17" t="n">
        <f aca="false">AVERAGE(C1123:C1322)</f>
        <v>8024.21695</v>
      </c>
      <c r="K1322" s="17" t="n">
        <f aca="false">MAX(K1321,C1322)</f>
        <v>19650.01</v>
      </c>
      <c r="L1322" s="25" t="n">
        <f aca="false">C1322/K1322-1</f>
        <v>-0.678580316244114</v>
      </c>
      <c r="M1322" s="25" t="n">
        <f aca="false">IF(COUNT(G1293:G1322)&lt;20,"",_xlfn.STDEV.S(G1293:G1322)*SQRT($R$3))</f>
        <v>0.617225507116012</v>
      </c>
      <c r="N1322" s="25" t="n">
        <f aca="false">IF(A1322-7&lt;$R$2,"",C1322/INDEX(Clean_Data!$C$2:$C$4314,MATCH(A1322-7,Clean_Data!$A$2:$A$4314,1))-1)</f>
        <v>-0.0352175606626493</v>
      </c>
      <c r="O1322" s="25" t="n">
        <f aca="false">IF(A1322-30&lt;$R$2,"",C1322/INDEX(Clean_Data!$C$2:$C$4314,MATCH(A1322-30,Clean_Data!$A$2:$A$4314,1))-1)</f>
        <v>-0.136583545340335</v>
      </c>
    </row>
    <row r="1323" customFormat="false" ht="15" hidden="false" customHeight="false" outlineLevel="0" collapsed="false">
      <c r="A1323" s="16" t="n">
        <v>43329</v>
      </c>
      <c r="B1323" s="23" t="n">
        <f aca="false">YEAR(A1323)</f>
        <v>2018</v>
      </c>
      <c r="C1323" s="17" t="n">
        <v>6585.49</v>
      </c>
      <c r="D1323" s="23" t="n">
        <f aca="false">A1323-A1322</f>
        <v>1</v>
      </c>
      <c r="E1323" s="24" t="n">
        <f aca="false">LN(C1323)</f>
        <v>8.79262402295036</v>
      </c>
      <c r="F1323" s="25" t="n">
        <f aca="false">LN(C1323/C1322)</f>
        <v>0.0417984805057427</v>
      </c>
      <c r="G1323" s="25" t="n">
        <f aca="false">IF(AND(D1323=1,A1323&gt;=$R$2),F1323,"")</f>
        <v>0.0417984805057427</v>
      </c>
      <c r="H1323" s="27" t="n">
        <f aca="false">IF(G1323="","",G1323^2)</f>
        <v>0.00174711297258895</v>
      </c>
      <c r="I1323" s="25" t="n">
        <f aca="false">IF(G1323="","",C1323/C1322-1)</f>
        <v>0.0426843363574472</v>
      </c>
      <c r="J1323" s="17" t="n">
        <f aca="false">AVERAGE(C1124:C1323)</f>
        <v>8001.52935</v>
      </c>
      <c r="K1323" s="17" t="n">
        <f aca="false">MAX(K1322,C1323)</f>
        <v>19650.01</v>
      </c>
      <c r="L1323" s="25" t="n">
        <f aca="false">C1323/K1323-1</f>
        <v>-0.664860730350773</v>
      </c>
      <c r="M1323" s="25" t="n">
        <f aca="false">IF(COUNT(G1294:G1323)&lt;20,"",_xlfn.STDEV.S(G1294:G1323)*SQRT($R$3))</f>
        <v>0.636883462602707</v>
      </c>
      <c r="N1323" s="25" t="n">
        <f aca="false">IF(A1323-7&lt;$R$2,"",C1323/INDEX(Clean_Data!$C$2:$C$4314,MATCH(A1323-7,Clean_Data!$A$2:$A$4314,1))-1)</f>
        <v>0.071506554659039</v>
      </c>
      <c r="O1323" s="25" t="n">
        <f aca="false">IF(A1323-30&lt;$R$2,"",C1323/INDEX(Clean_Data!$C$2:$C$4314,MATCH(A1323-30,Clean_Data!$A$2:$A$4314,1))-1)</f>
        <v>-0.107535042058602</v>
      </c>
    </row>
    <row r="1324" customFormat="false" ht="15" hidden="false" customHeight="false" outlineLevel="0" collapsed="false">
      <c r="A1324" s="16" t="n">
        <v>43330</v>
      </c>
      <c r="B1324" s="23" t="n">
        <f aca="false">YEAR(A1324)</f>
        <v>2018</v>
      </c>
      <c r="C1324" s="17" t="n">
        <v>6396.64</v>
      </c>
      <c r="D1324" s="23" t="n">
        <f aca="false">A1324-A1323</f>
        <v>1</v>
      </c>
      <c r="E1324" s="24" t="n">
        <f aca="false">LN(C1324)</f>
        <v>8.76352813148701</v>
      </c>
      <c r="F1324" s="25" t="n">
        <f aca="false">LN(C1324/C1323)</f>
        <v>-0.029095891463352</v>
      </c>
      <c r="G1324" s="25" t="n">
        <f aca="false">IF(AND(D1324=1,A1324&gt;=$R$2),F1324,"")</f>
        <v>-0.029095891463352</v>
      </c>
      <c r="H1324" s="27" t="n">
        <f aca="false">IF(G1324="","",G1324^2)</f>
        <v>0.00084657090004716</v>
      </c>
      <c r="I1324" s="25" t="n">
        <f aca="false">IF(G1324="","",C1324/C1323-1)</f>
        <v>-0.0286766816136688</v>
      </c>
      <c r="J1324" s="17" t="n">
        <f aca="false">AVERAGE(C1125:C1324)</f>
        <v>7983.53755</v>
      </c>
      <c r="K1324" s="17" t="n">
        <f aca="false">MAX(K1323,C1324)</f>
        <v>19650.01</v>
      </c>
      <c r="L1324" s="25" t="n">
        <f aca="false">C1324/K1324-1</f>
        <v>-0.674471412482742</v>
      </c>
      <c r="M1324" s="25" t="n">
        <f aca="false">IF(COUNT(G1295:G1324)&lt;20,"",_xlfn.STDEV.S(G1295:G1324)*SQRT($R$3))</f>
        <v>0.640092689150144</v>
      </c>
      <c r="N1324" s="25" t="n">
        <f aca="false">IF(A1324-7&lt;$R$2,"",C1324/INDEX(Clean_Data!$C$2:$C$4314,MATCH(A1324-7,Clean_Data!$A$2:$A$4314,1))-1)</f>
        <v>0.0258324833695771</v>
      </c>
      <c r="O1324" s="25" t="n">
        <f aca="false">IF(A1324-30&lt;$R$2,"",C1324/INDEX(Clean_Data!$C$2:$C$4314,MATCH(A1324-30,Clean_Data!$A$2:$A$4314,1))-1)</f>
        <v>-0.143690570695354</v>
      </c>
    </row>
    <row r="1325" customFormat="false" ht="15" hidden="false" customHeight="false" outlineLevel="0" collapsed="false">
      <c r="A1325" s="16" t="n">
        <v>43331</v>
      </c>
      <c r="B1325" s="23" t="n">
        <f aca="false">YEAR(A1325)</f>
        <v>2018</v>
      </c>
      <c r="C1325" s="17" t="n">
        <v>6489.53</v>
      </c>
      <c r="D1325" s="23" t="n">
        <f aca="false">A1325-A1324</f>
        <v>1</v>
      </c>
      <c r="E1325" s="24" t="n">
        <f aca="false">LN(C1325)</f>
        <v>8.77794538796943</v>
      </c>
      <c r="F1325" s="25" t="n">
        <f aca="false">LN(C1325/C1324)</f>
        <v>0.0144172564824181</v>
      </c>
      <c r="G1325" s="25" t="n">
        <f aca="false">IF(AND(D1325=1,A1325&gt;=$R$2),F1325,"")</f>
        <v>0.0144172564824181</v>
      </c>
      <c r="H1325" s="27" t="n">
        <f aca="false">IF(G1325="","",G1325^2)</f>
        <v>0.000207857284479828</v>
      </c>
      <c r="I1325" s="25" t="n">
        <f aca="false">IF(G1325="","",C1325/C1324-1)</f>
        <v>0.0145216863853521</v>
      </c>
      <c r="J1325" s="17" t="n">
        <f aca="false">AVERAGE(C1126:C1325)</f>
        <v>7965.48525</v>
      </c>
      <c r="K1325" s="17" t="n">
        <f aca="false">MAX(K1324,C1325)</f>
        <v>19650.01</v>
      </c>
      <c r="L1325" s="25" t="n">
        <f aca="false">C1325/K1325-1</f>
        <v>-0.669744188425349</v>
      </c>
      <c r="M1325" s="25" t="n">
        <f aca="false">IF(COUNT(G1296:G1325)&lt;20,"",_xlfn.STDEV.S(G1296:G1325)*SQRT($R$3))</f>
        <v>0.641813623048494</v>
      </c>
      <c r="N1325" s="25" t="n">
        <f aca="false">IF(A1325-7&lt;$R$2,"",C1325/INDEX(Clean_Data!$C$2:$C$4314,MATCH(A1325-7,Clean_Data!$A$2:$A$4314,1))-1)</f>
        <v>0.0274730407329944</v>
      </c>
      <c r="O1325" s="25" t="n">
        <f aca="false">IF(A1325-30&lt;$R$2,"",C1325/INDEX(Clean_Data!$C$2:$C$4314,MATCH(A1325-30,Clean_Data!$A$2:$A$4314,1))-1)</f>
        <v>-0.115200028359279</v>
      </c>
    </row>
    <row r="1326" customFormat="false" ht="15" hidden="false" customHeight="false" outlineLevel="0" collapsed="false">
      <c r="A1326" s="16" t="n">
        <v>43332</v>
      </c>
      <c r="B1326" s="23" t="n">
        <f aca="false">YEAR(A1326)</f>
        <v>2018</v>
      </c>
      <c r="C1326" s="17" t="n">
        <v>6258.74</v>
      </c>
      <c r="D1326" s="23" t="n">
        <f aca="false">A1326-A1325</f>
        <v>1</v>
      </c>
      <c r="E1326" s="24" t="n">
        <f aca="false">LN(C1326)</f>
        <v>8.74173416587975</v>
      </c>
      <c r="F1326" s="25" t="n">
        <f aca="false">LN(C1326/C1325)</f>
        <v>-0.0362112220896817</v>
      </c>
      <c r="G1326" s="25" t="n">
        <f aca="false">IF(AND(D1326=1,A1326&gt;=$R$2),F1326,"")</f>
        <v>-0.0362112220896817</v>
      </c>
      <c r="H1326" s="27" t="n">
        <f aca="false">IF(G1326="","",G1326^2)</f>
        <v>0.00131125260522825</v>
      </c>
      <c r="I1326" s="25" t="n">
        <f aca="false">IF(G1326="","",C1326/C1325-1)</f>
        <v>-0.0355634383383696</v>
      </c>
      <c r="J1326" s="17" t="n">
        <f aca="false">AVERAGE(C1127:C1326)</f>
        <v>7951.7078</v>
      </c>
      <c r="K1326" s="17" t="n">
        <f aca="false">MAX(K1325,C1326)</f>
        <v>19650.01</v>
      </c>
      <c r="L1326" s="25" t="n">
        <f aca="false">C1326/K1326-1</f>
        <v>-0.681489220616173</v>
      </c>
      <c r="M1326" s="25" t="n">
        <f aca="false">IF(COUNT(G1297:G1326)&lt;20,"",_xlfn.STDEV.S(G1297:G1326)*SQRT($R$3))</f>
        <v>0.649258984181566</v>
      </c>
      <c r="N1326" s="25" t="n">
        <f aca="false">IF(A1326-7&lt;$R$2,"",C1326/INDEX(Clean_Data!$C$2:$C$4314,MATCH(A1326-7,Clean_Data!$A$2:$A$4314,1))-1)</f>
        <v>0.000810723942900715</v>
      </c>
      <c r="O1326" s="25" t="n">
        <f aca="false">IF(A1326-30&lt;$R$2,"",C1326/INDEX(Clean_Data!$C$2:$C$4314,MATCH(A1326-30,Clean_Data!$A$2:$A$4314,1))-1)</f>
        <v>-0.155137688984881</v>
      </c>
    </row>
    <row r="1327" customFormat="false" ht="15" hidden="false" customHeight="false" outlineLevel="0" collapsed="false">
      <c r="A1327" s="16" t="n">
        <v>43333</v>
      </c>
      <c r="B1327" s="23" t="n">
        <f aca="false">YEAR(A1327)</f>
        <v>2018</v>
      </c>
      <c r="C1327" s="17" t="n">
        <v>6475.89</v>
      </c>
      <c r="D1327" s="23" t="n">
        <f aca="false">A1327-A1326</f>
        <v>1</v>
      </c>
      <c r="E1327" s="24" t="n">
        <f aca="false">LN(C1327)</f>
        <v>8.77584132885957</v>
      </c>
      <c r="F1327" s="25" t="n">
        <f aca="false">LN(C1327/C1326)</f>
        <v>0.0341071629798192</v>
      </c>
      <c r="G1327" s="25" t="n">
        <f aca="false">IF(AND(D1327=1,A1327&gt;=$R$2),F1327,"")</f>
        <v>0.0341071629798192</v>
      </c>
      <c r="H1327" s="27" t="n">
        <f aca="false">IF(G1327="","",G1327^2)</f>
        <v>0.00116329856653195</v>
      </c>
      <c r="I1327" s="25" t="n">
        <f aca="false">IF(G1327="","",C1327/C1326-1)</f>
        <v>0.0346954818381975</v>
      </c>
      <c r="J1327" s="17" t="n">
        <f aca="false">AVERAGE(C1128:C1327)</f>
        <v>7940.14965</v>
      </c>
      <c r="K1327" s="17" t="n">
        <f aca="false">MAX(K1326,C1327)</f>
        <v>19650.01</v>
      </c>
      <c r="L1327" s="25" t="n">
        <f aca="false">C1327/K1327-1</f>
        <v>-0.670438335654791</v>
      </c>
      <c r="M1327" s="25" t="n">
        <f aca="false">IF(COUNT(G1298:G1327)&lt;20,"",_xlfn.STDEV.S(G1298:G1327)*SQRT($R$3))</f>
        <v>0.663811758595379</v>
      </c>
      <c r="N1327" s="25" t="n">
        <f aca="false">IF(A1327-7&lt;$R$2,"",C1327/INDEX(Clean_Data!$C$2:$C$4314,MATCH(A1327-7,Clean_Data!$A$2:$A$4314,1))-1)</f>
        <v>0.0453397169657515</v>
      </c>
      <c r="O1327" s="25" t="n">
        <f aca="false">IF(A1327-30&lt;$R$2,"",C1327/INDEX(Clean_Data!$C$2:$C$4314,MATCH(A1327-30,Clean_Data!$A$2:$A$4314,1))-1)</f>
        <v>-0.124619481467463</v>
      </c>
    </row>
    <row r="1328" customFormat="false" ht="15" hidden="false" customHeight="false" outlineLevel="0" collapsed="false">
      <c r="A1328" s="16" t="n">
        <v>43334</v>
      </c>
      <c r="B1328" s="23" t="n">
        <f aca="false">YEAR(A1328)</f>
        <v>2018</v>
      </c>
      <c r="C1328" s="17" t="n">
        <v>6359.99</v>
      </c>
      <c r="D1328" s="23" t="n">
        <f aca="false">A1328-A1327</f>
        <v>1</v>
      </c>
      <c r="E1328" s="24" t="n">
        <f aca="false">LN(C1328)</f>
        <v>8.75778208400589</v>
      </c>
      <c r="F1328" s="25" t="n">
        <f aca="false">LN(C1328/C1327)</f>
        <v>-0.0180592448536781</v>
      </c>
      <c r="G1328" s="25" t="n">
        <f aca="false">IF(AND(D1328=1,A1328&gt;=$R$2),F1328,"")</f>
        <v>-0.0180592448536781</v>
      </c>
      <c r="H1328" s="27" t="n">
        <f aca="false">IF(G1328="","",G1328^2)</f>
        <v>0.0003261363246851</v>
      </c>
      <c r="I1328" s="25" t="n">
        <f aca="false">IF(G1328="","",C1328/C1327-1)</f>
        <v>-0.0178971539047144</v>
      </c>
      <c r="J1328" s="17" t="n">
        <f aca="false">AVERAGE(C1129:C1328)</f>
        <v>7925.7496</v>
      </c>
      <c r="K1328" s="17" t="n">
        <f aca="false">MAX(K1327,C1328)</f>
        <v>19650.01</v>
      </c>
      <c r="L1328" s="25" t="n">
        <f aca="false">C1328/K1328-1</f>
        <v>-0.676336551482671</v>
      </c>
      <c r="M1328" s="25" t="n">
        <f aca="false">IF(COUNT(G1299:G1328)&lt;20,"",_xlfn.STDEV.S(G1299:G1328)*SQRT($R$3))</f>
        <v>0.643069424215026</v>
      </c>
      <c r="N1328" s="25" t="n">
        <f aca="false">IF(A1328-7&lt;$R$2,"",C1328/INDEX(Clean_Data!$C$2:$C$4314,MATCH(A1328-7,Clean_Data!$A$2:$A$4314,1))-1)</f>
        <v>0.0145126582985191</v>
      </c>
      <c r="O1328" s="25" t="n">
        <f aca="false">IF(A1328-30&lt;$R$2,"",C1328/INDEX(Clean_Data!$C$2:$C$4314,MATCH(A1328-30,Clean_Data!$A$2:$A$4314,1))-1)</f>
        <v>-0.176176702603208</v>
      </c>
    </row>
    <row r="1329" customFormat="false" ht="15" hidden="false" customHeight="false" outlineLevel="0" collapsed="false">
      <c r="A1329" s="16" t="n">
        <v>43335</v>
      </c>
      <c r="B1329" s="23" t="n">
        <f aca="false">YEAR(A1329)</f>
        <v>2018</v>
      </c>
      <c r="C1329" s="17" t="n">
        <v>6526.36</v>
      </c>
      <c r="D1329" s="23" t="n">
        <f aca="false">A1329-A1328</f>
        <v>1</v>
      </c>
      <c r="E1329" s="24" t="n">
        <f aca="false">LN(C1329)</f>
        <v>8.78360463959134</v>
      </c>
      <c r="F1329" s="25" t="n">
        <f aca="false">LN(C1329/C1328)</f>
        <v>0.0258225555854493</v>
      </c>
      <c r="G1329" s="25" t="n">
        <f aca="false">IF(AND(D1329=1,A1329&gt;=$R$2),F1329,"")</f>
        <v>0.0258225555854493</v>
      </c>
      <c r="H1329" s="27" t="n">
        <f aca="false">IF(G1329="","",G1329^2)</f>
        <v>0.00066680437696362</v>
      </c>
      <c r="I1329" s="25" t="n">
        <f aca="false">IF(G1329="","",C1329/C1328-1)</f>
        <v>0.0261588461617077</v>
      </c>
      <c r="J1329" s="17" t="n">
        <f aca="false">AVERAGE(C1130:C1329)</f>
        <v>7917.54185</v>
      </c>
      <c r="K1329" s="17" t="n">
        <f aca="false">MAX(K1328,C1329)</f>
        <v>19650.01</v>
      </c>
      <c r="L1329" s="25" t="n">
        <f aca="false">C1329/K1329-1</f>
        <v>-0.667869889124738</v>
      </c>
      <c r="M1329" s="25" t="n">
        <f aca="false">IF(COUNT(G1300:G1329)&lt;20,"",_xlfn.STDEV.S(G1300:G1329)*SQRT($R$3))</f>
        <v>0.570345744606519</v>
      </c>
      <c r="N1329" s="25" t="n">
        <f aca="false">IF(A1329-7&lt;$R$2,"",C1329/INDEX(Clean_Data!$C$2:$C$4314,MATCH(A1329-7,Clean_Data!$A$2:$A$4314,1))-1)</f>
        <v>0.033322250193955</v>
      </c>
      <c r="O1329" s="25" t="n">
        <f aca="false">IF(A1329-30&lt;$R$2,"",C1329/INDEX(Clean_Data!$C$2:$C$4314,MATCH(A1329-30,Clean_Data!$A$2:$A$4314,1))-1)</f>
        <v>-0.221708902271779</v>
      </c>
    </row>
    <row r="1330" customFormat="false" ht="15" hidden="false" customHeight="false" outlineLevel="0" collapsed="false">
      <c r="A1330" s="16" t="n">
        <v>43336</v>
      </c>
      <c r="B1330" s="23" t="n">
        <f aca="false">YEAR(A1330)</f>
        <v>2018</v>
      </c>
      <c r="C1330" s="17" t="n">
        <v>6690.88</v>
      </c>
      <c r="D1330" s="23" t="n">
        <f aca="false">A1330-A1329</f>
        <v>1</v>
      </c>
      <c r="E1330" s="24" t="n">
        <f aca="false">LN(C1330)</f>
        <v>8.80850068408306</v>
      </c>
      <c r="F1330" s="25" t="n">
        <f aca="false">LN(C1330/C1329)</f>
        <v>0.0248960444917212</v>
      </c>
      <c r="G1330" s="25" t="n">
        <f aca="false">IF(AND(D1330=1,A1330&gt;=$R$2),F1330,"")</f>
        <v>0.0248960444917212</v>
      </c>
      <c r="H1330" s="27" t="n">
        <f aca="false">IF(G1330="","",G1330^2)</f>
        <v>0.000619813031333761</v>
      </c>
      <c r="I1330" s="25" t="n">
        <f aca="false">IF(G1330="","",C1330/C1329-1)</f>
        <v>0.0252085389098977</v>
      </c>
      <c r="J1330" s="17" t="n">
        <f aca="false">AVERAGE(C1131:C1330)</f>
        <v>7916.4703</v>
      </c>
      <c r="K1330" s="17" t="n">
        <f aca="false">MAX(K1329,C1330)</f>
        <v>19650.01</v>
      </c>
      <c r="L1330" s="25" t="n">
        <f aca="false">C1330/K1330-1</f>
        <v>-0.659497374301591</v>
      </c>
      <c r="M1330" s="25" t="n">
        <f aca="false">IF(COUNT(G1301:G1330)&lt;20,"",_xlfn.STDEV.S(G1301:G1330)*SQRT($R$3))</f>
        <v>0.577397260317435</v>
      </c>
      <c r="N1330" s="25" t="n">
        <f aca="false">IF(A1330-7&lt;$R$2,"",C1330/INDEX(Clean_Data!$C$2:$C$4314,MATCH(A1330-7,Clean_Data!$A$2:$A$4314,1))-1)</f>
        <v>0.0160033649736011</v>
      </c>
      <c r="O1330" s="25" t="n">
        <f aca="false">IF(A1330-30&lt;$R$2,"",C1330/INDEX(Clean_Data!$C$2:$C$4314,MATCH(A1330-30,Clean_Data!$A$2:$A$4314,1))-1)</f>
        <v>-0.179752732265558</v>
      </c>
    </row>
    <row r="1331" customFormat="false" ht="15" hidden="false" customHeight="false" outlineLevel="0" collapsed="false">
      <c r="A1331" s="16" t="n">
        <v>43337</v>
      </c>
      <c r="B1331" s="23" t="n">
        <f aca="false">YEAR(A1331)</f>
        <v>2018</v>
      </c>
      <c r="C1331" s="17" t="n">
        <v>6737.52</v>
      </c>
      <c r="D1331" s="23" t="n">
        <f aca="false">A1331-A1330</f>
        <v>1</v>
      </c>
      <c r="E1331" s="24" t="n">
        <f aca="false">LN(C1331)</f>
        <v>8.81544718367296</v>
      </c>
      <c r="F1331" s="25" t="n">
        <f aca="false">LN(C1331/C1330)</f>
        <v>0.0069464995898997</v>
      </c>
      <c r="G1331" s="25" t="n">
        <f aca="false">IF(AND(D1331=1,A1331&gt;=$R$2),F1331,"")</f>
        <v>0.0069464995898997</v>
      </c>
      <c r="H1331" s="27" t="n">
        <f aca="false">IF(G1331="","",G1331^2)</f>
        <v>4.82538565524767E-005</v>
      </c>
      <c r="I1331" s="25" t="n">
        <f aca="false">IF(G1331="","",C1331/C1330-1)</f>
        <v>0.00697068248122812</v>
      </c>
      <c r="J1331" s="17" t="n">
        <f aca="false">AVERAGE(C1132:C1331)</f>
        <v>7911.7156</v>
      </c>
      <c r="K1331" s="17" t="n">
        <f aca="false">MAX(K1330,C1331)</f>
        <v>19650.01</v>
      </c>
      <c r="L1331" s="25" t="n">
        <f aca="false">C1331/K1331-1</f>
        <v>-0.657123838613823</v>
      </c>
      <c r="M1331" s="25" t="n">
        <f aca="false">IF(COUNT(G1302:G1331)&lt;20,"",_xlfn.STDEV.S(G1302:G1331)*SQRT($R$3))</f>
        <v>0.573960336464833</v>
      </c>
      <c r="N1331" s="25" t="n">
        <f aca="false">IF(A1331-7&lt;$R$2,"",C1331/INDEX(Clean_Data!$C$2:$C$4314,MATCH(A1331-7,Clean_Data!$A$2:$A$4314,1))-1)</f>
        <v>0.0532904775006879</v>
      </c>
      <c r="O1331" s="25" t="n">
        <f aca="false">IF(A1331-30&lt;$R$2,"",C1331/INDEX(Clean_Data!$C$2:$C$4314,MATCH(A1331-30,Clean_Data!$A$2:$A$4314,1))-1)</f>
        <v>-0.150588944262411</v>
      </c>
    </row>
    <row r="1332" customFormat="false" ht="15" hidden="false" customHeight="false" outlineLevel="0" collapsed="false">
      <c r="A1332" s="16" t="n">
        <v>43338</v>
      </c>
      <c r="B1332" s="23" t="n">
        <f aca="false">YEAR(A1332)</f>
        <v>2018</v>
      </c>
      <c r="C1332" s="17" t="n">
        <v>6709.98</v>
      </c>
      <c r="D1332" s="23" t="n">
        <f aca="false">A1332-A1331</f>
        <v>1</v>
      </c>
      <c r="E1332" s="24" t="n">
        <f aca="false">LN(C1332)</f>
        <v>8.81135124933535</v>
      </c>
      <c r="F1332" s="25" t="n">
        <f aca="false">LN(C1332/C1331)</f>
        <v>-0.00409593433760426</v>
      </c>
      <c r="G1332" s="25" t="n">
        <f aca="false">IF(AND(D1332=1,A1332&gt;=$R$2),F1332,"")</f>
        <v>-0.00409593433760426</v>
      </c>
      <c r="H1332" s="27" t="n">
        <f aca="false">IF(G1332="","",G1332^2)</f>
        <v>1.67766780979656E-005</v>
      </c>
      <c r="I1332" s="25" t="n">
        <f aca="false">IF(G1332="","",C1332/C1331-1)</f>
        <v>-0.00408755743953282</v>
      </c>
      <c r="J1332" s="17" t="n">
        <f aca="false">AVERAGE(C1133:C1332)</f>
        <v>7907.38675</v>
      </c>
      <c r="K1332" s="17" t="n">
        <f aca="false">MAX(K1331,C1332)</f>
        <v>19650.01</v>
      </c>
      <c r="L1332" s="25" t="n">
        <f aca="false">C1332/K1332-1</f>
        <v>-0.658525364618135</v>
      </c>
      <c r="M1332" s="25" t="n">
        <f aca="false">IF(COUNT(G1303:G1332)&lt;20,"",_xlfn.STDEV.S(G1303:G1332)*SQRT($R$3))</f>
        <v>0.558511766814414</v>
      </c>
      <c r="N1332" s="25" t="n">
        <f aca="false">IF(A1332-7&lt;$R$2,"",C1332/INDEX(Clean_Data!$C$2:$C$4314,MATCH(A1332-7,Clean_Data!$A$2:$A$4314,1))-1)</f>
        <v>0.0339701026114372</v>
      </c>
      <c r="O1332" s="25" t="n">
        <f aca="false">IF(A1332-30&lt;$R$2,"",C1332/INDEX(Clean_Data!$C$2:$C$4314,MATCH(A1332-30,Clean_Data!$A$2:$A$4314,1))-1)</f>
        <v>-0.180131008368554</v>
      </c>
    </row>
    <row r="1333" customFormat="false" ht="15" hidden="false" customHeight="false" outlineLevel="0" collapsed="false">
      <c r="A1333" s="16" t="n">
        <v>43339</v>
      </c>
      <c r="B1333" s="23" t="n">
        <f aca="false">YEAR(A1333)</f>
        <v>2018</v>
      </c>
      <c r="C1333" s="17" t="n">
        <v>6911.9</v>
      </c>
      <c r="D1333" s="23" t="n">
        <f aca="false">A1333-A1332</f>
        <v>1</v>
      </c>
      <c r="E1333" s="24" t="n">
        <f aca="false">LN(C1333)</f>
        <v>8.84099984278664</v>
      </c>
      <c r="F1333" s="25" t="n">
        <f aca="false">LN(C1333/C1332)</f>
        <v>0.0296485934512883</v>
      </c>
      <c r="G1333" s="25" t="n">
        <f aca="false">IF(AND(D1333=1,A1333&gt;=$R$2),F1333,"")</f>
        <v>0.0296485934512883</v>
      </c>
      <c r="H1333" s="27" t="n">
        <f aca="false">IF(G1333="","",G1333^2)</f>
        <v>0.000879039093639774</v>
      </c>
      <c r="I1333" s="25" t="n">
        <f aca="false">IF(G1333="","",C1333/C1332-1)</f>
        <v>0.0300924890983281</v>
      </c>
      <c r="J1333" s="17" t="n">
        <f aca="false">AVERAGE(C1134:C1333)</f>
        <v>7900.85575</v>
      </c>
      <c r="K1333" s="17" t="n">
        <f aca="false">MAX(K1332,C1333)</f>
        <v>19650.01</v>
      </c>
      <c r="L1333" s="25" t="n">
        <f aca="false">C1333/K1333-1</f>
        <v>-0.648249542875551</v>
      </c>
      <c r="M1333" s="25" t="n">
        <f aca="false">IF(COUNT(G1304:G1333)&lt;20,"",_xlfn.STDEV.S(G1304:G1333)*SQRT($R$3))</f>
        <v>0.571326162203093</v>
      </c>
      <c r="N1333" s="25" t="n">
        <f aca="false">IF(A1333-7&lt;$R$2,"",C1333/INDEX(Clean_Data!$C$2:$C$4314,MATCH(A1333-7,Clean_Data!$A$2:$A$4314,1))-1)</f>
        <v>0.104359663446636</v>
      </c>
      <c r="O1333" s="25" t="n">
        <f aca="false">IF(A1333-30&lt;$R$2,"",C1333/INDEX(Clean_Data!$C$2:$C$4314,MATCH(A1333-30,Clean_Data!$A$2:$A$4314,1))-1)</f>
        <v>-0.160045692619913</v>
      </c>
    </row>
    <row r="1334" customFormat="false" ht="15" hidden="false" customHeight="false" outlineLevel="0" collapsed="false">
      <c r="A1334" s="16" t="n">
        <v>43340</v>
      </c>
      <c r="B1334" s="23" t="n">
        <f aca="false">YEAR(A1334)</f>
        <v>2018</v>
      </c>
      <c r="C1334" s="17" t="n">
        <v>7071.01</v>
      </c>
      <c r="D1334" s="23" t="n">
        <f aca="false">A1334-A1333</f>
        <v>1</v>
      </c>
      <c r="E1334" s="24" t="n">
        <f aca="false">LN(C1334)</f>
        <v>8.86375860583037</v>
      </c>
      <c r="F1334" s="25" t="n">
        <f aca="false">LN(C1334/C1333)</f>
        <v>0.0227587630437235</v>
      </c>
      <c r="G1334" s="25" t="n">
        <f aca="false">IF(AND(D1334=1,A1334&gt;=$R$2),F1334,"")</f>
        <v>0.0227587630437235</v>
      </c>
      <c r="H1334" s="27" t="n">
        <f aca="false">IF(G1334="","",G1334^2)</f>
        <v>0.000517961295280353</v>
      </c>
      <c r="I1334" s="25" t="n">
        <f aca="false">IF(G1334="","",C1334/C1333-1)</f>
        <v>0.0230197196139992</v>
      </c>
      <c r="J1334" s="17" t="n">
        <f aca="false">AVERAGE(C1135:C1334)</f>
        <v>7892.85575</v>
      </c>
      <c r="K1334" s="17" t="n">
        <f aca="false">MAX(K1333,C1334)</f>
        <v>19650.01</v>
      </c>
      <c r="L1334" s="25" t="n">
        <f aca="false">C1334/K1334-1</f>
        <v>-0.64015234597845</v>
      </c>
      <c r="M1334" s="25" t="n">
        <f aca="false">IF(COUNT(G1305:G1334)&lt;20,"",_xlfn.STDEV.S(G1305:G1334)*SQRT($R$3))</f>
        <v>0.579836213308899</v>
      </c>
      <c r="N1334" s="25" t="n">
        <f aca="false">IF(A1334-7&lt;$R$2,"",C1334/INDEX(Clean_Data!$C$2:$C$4314,MATCH(A1334-7,Clean_Data!$A$2:$A$4314,1))-1)</f>
        <v>0.0918977931990814</v>
      </c>
      <c r="O1334" s="25" t="n">
        <f aca="false">IF(A1334-30&lt;$R$2,"",C1334/INDEX(Clean_Data!$C$2:$C$4314,MATCH(A1334-30,Clean_Data!$A$2:$A$4314,1))-1)</f>
        <v>-0.139396616985178</v>
      </c>
    </row>
    <row r="1335" customFormat="false" ht="15" hidden="false" customHeight="false" outlineLevel="0" collapsed="false">
      <c r="A1335" s="16" t="n">
        <v>43341</v>
      </c>
      <c r="B1335" s="23" t="n">
        <f aca="false">YEAR(A1335)</f>
        <v>2018</v>
      </c>
      <c r="C1335" s="17" t="n">
        <v>7030.9</v>
      </c>
      <c r="D1335" s="23" t="n">
        <f aca="false">A1335-A1334</f>
        <v>1</v>
      </c>
      <c r="E1335" s="24" t="n">
        <f aca="false">LN(C1335)</f>
        <v>8.8580699993701</v>
      </c>
      <c r="F1335" s="25" t="n">
        <f aca="false">LN(C1335/C1334)</f>
        <v>-0.00568860646026762</v>
      </c>
      <c r="G1335" s="25" t="n">
        <f aca="false">IF(AND(D1335=1,A1335&gt;=$R$2),F1335,"")</f>
        <v>-0.00568860646026762</v>
      </c>
      <c r="H1335" s="27" t="n">
        <f aca="false">IF(G1335="","",G1335^2)</f>
        <v>3.23602434597985E-005</v>
      </c>
      <c r="I1335" s="25" t="n">
        <f aca="false">IF(G1335="","",C1335/C1334-1)</f>
        <v>-0.00567245697573626</v>
      </c>
      <c r="J1335" s="17" t="n">
        <f aca="false">AVERAGE(C1136:C1335)</f>
        <v>7885.2728</v>
      </c>
      <c r="K1335" s="17" t="n">
        <f aca="false">MAX(K1334,C1335)</f>
        <v>19650.01</v>
      </c>
      <c r="L1335" s="25" t="n">
        <f aca="false">C1335/K1335-1</f>
        <v>-0.642193566313707</v>
      </c>
      <c r="M1335" s="25" t="n">
        <f aca="false">IF(COUNT(G1306:G1335)&lt;20,"",_xlfn.STDEV.S(G1306:G1335)*SQRT($R$3))</f>
        <v>0.579836703937273</v>
      </c>
      <c r="N1335" s="25" t="n">
        <f aca="false">IF(A1335-7&lt;$R$2,"",C1335/INDEX(Clean_Data!$C$2:$C$4314,MATCH(A1335-7,Clean_Data!$A$2:$A$4314,1))-1)</f>
        <v>0.10548915957415</v>
      </c>
      <c r="O1335" s="25" t="n">
        <f aca="false">IF(A1335-30&lt;$R$2,"",C1335/INDEX(Clean_Data!$C$2:$C$4314,MATCH(A1335-30,Clean_Data!$A$2:$A$4314,1))-1)</f>
        <v>-0.139425777936624</v>
      </c>
    </row>
    <row r="1336" customFormat="false" ht="15" hidden="false" customHeight="false" outlineLevel="0" collapsed="false">
      <c r="A1336" s="16" t="n">
        <v>43342</v>
      </c>
      <c r="B1336" s="23" t="n">
        <f aca="false">YEAR(A1336)</f>
        <v>2018</v>
      </c>
      <c r="C1336" s="17" t="n">
        <v>6983</v>
      </c>
      <c r="D1336" s="23" t="n">
        <f aca="false">A1336-A1335</f>
        <v>1</v>
      </c>
      <c r="E1336" s="24" t="n">
        <f aca="false">LN(C1336)</f>
        <v>8.85123390284604</v>
      </c>
      <c r="F1336" s="25" t="n">
        <f aca="false">LN(C1336/C1335)</f>
        <v>-0.00683609652406281</v>
      </c>
      <c r="G1336" s="25" t="n">
        <f aca="false">IF(AND(D1336=1,A1336&gt;=$R$2),F1336,"")</f>
        <v>-0.00683609652406281</v>
      </c>
      <c r="H1336" s="27" t="n">
        <f aca="false">IF(G1336="","",G1336^2)</f>
        <v>4.67322156863037E-005</v>
      </c>
      <c r="I1336" s="25" t="n">
        <f aca="false">IF(G1336="","",C1336/C1335-1)</f>
        <v>-0.00681278356967097</v>
      </c>
      <c r="J1336" s="17" t="n">
        <f aca="false">AVERAGE(C1137:C1336)</f>
        <v>7879.82285</v>
      </c>
      <c r="K1336" s="17" t="n">
        <f aca="false">MAX(K1335,C1336)</f>
        <v>19650.01</v>
      </c>
      <c r="L1336" s="25" t="n">
        <f aca="false">C1336/K1336-1</f>
        <v>-0.644631224106247</v>
      </c>
      <c r="M1336" s="25" t="n">
        <f aca="false">IF(COUNT(G1307:G1336)&lt;20,"",_xlfn.STDEV.S(G1307:G1336)*SQRT($R$3))</f>
        <v>0.550350666078584</v>
      </c>
      <c r="N1336" s="25" t="n">
        <f aca="false">IF(A1336-7&lt;$R$2,"",C1336/INDEX(Clean_Data!$C$2:$C$4314,MATCH(A1336-7,Clean_Data!$A$2:$A$4314,1))-1)</f>
        <v>0.0699685582775085</v>
      </c>
      <c r="O1336" s="25" t="n">
        <f aca="false">IF(A1336-30&lt;$R$2,"",C1336/INDEX(Clean_Data!$C$2:$C$4314,MATCH(A1336-30,Clean_Data!$A$2:$A$4314,1))-1)</f>
        <v>-0.0963173281119982</v>
      </c>
    </row>
    <row r="1337" customFormat="false" ht="15" hidden="false" customHeight="false" outlineLevel="0" collapsed="false">
      <c r="A1337" s="16" t="n">
        <v>43343</v>
      </c>
      <c r="B1337" s="23" t="n">
        <f aca="false">YEAR(A1337)</f>
        <v>2018</v>
      </c>
      <c r="C1337" s="17" t="n">
        <v>7015.01</v>
      </c>
      <c r="D1337" s="23" t="n">
        <f aca="false">A1337-A1336</f>
        <v>1</v>
      </c>
      <c r="E1337" s="24" t="n">
        <f aca="false">LN(C1337)</f>
        <v>8.8558074180523</v>
      </c>
      <c r="F1337" s="25" t="n">
        <f aca="false">LN(C1337/C1336)</f>
        <v>0.00457351520625993</v>
      </c>
      <c r="G1337" s="25" t="n">
        <f aca="false">IF(AND(D1337=1,A1337&gt;=$R$2),F1337,"")</f>
        <v>0.00457351520625993</v>
      </c>
      <c r="H1337" s="27" t="n">
        <f aca="false">IF(G1337="","",G1337^2)</f>
        <v>2.09170413418908E-005</v>
      </c>
      <c r="I1337" s="25" t="n">
        <f aca="false">IF(G1337="","",C1337/C1336-1)</f>
        <v>0.00458398968924545</v>
      </c>
      <c r="J1337" s="17" t="n">
        <f aca="false">AVERAGE(C1138:C1337)</f>
        <v>7870.5365</v>
      </c>
      <c r="K1337" s="17" t="n">
        <f aca="false">MAX(K1336,C1337)</f>
        <v>19650.01</v>
      </c>
      <c r="L1337" s="25" t="n">
        <f aca="false">C1337/K1337-1</f>
        <v>-0.643002217301671</v>
      </c>
      <c r="M1337" s="25" t="n">
        <f aca="false">IF(COUNT(G1308:G1337)&lt;20,"",_xlfn.STDEV.S(G1308:G1337)*SQRT($R$3))</f>
        <v>0.549062897934368</v>
      </c>
      <c r="N1337" s="25" t="n">
        <f aca="false">IF(A1337-7&lt;$R$2,"",C1337/INDEX(Clean_Data!$C$2:$C$4314,MATCH(A1337-7,Clean_Data!$A$2:$A$4314,1))-1)</f>
        <v>0.0484435530154479</v>
      </c>
      <c r="O1337" s="25" t="n">
        <f aca="false">IF(A1337-30&lt;$R$2,"",C1337/INDEX(Clean_Data!$C$2:$C$4314,MATCH(A1337-30,Clean_Data!$A$2:$A$4314,1))-1)</f>
        <v>-0.0774567036516355</v>
      </c>
    </row>
    <row r="1338" customFormat="false" ht="15" hidden="false" customHeight="false" outlineLevel="0" collapsed="false">
      <c r="A1338" s="16" t="n">
        <v>43344</v>
      </c>
      <c r="B1338" s="23" t="n">
        <f aca="false">YEAR(A1338)</f>
        <v>2018</v>
      </c>
      <c r="C1338" s="17" t="n">
        <v>7191.08</v>
      </c>
      <c r="D1338" s="23" t="n">
        <f aca="false">A1338-A1337</f>
        <v>1</v>
      </c>
      <c r="E1338" s="24" t="n">
        <f aca="false">LN(C1338)</f>
        <v>8.88059664805799</v>
      </c>
      <c r="F1338" s="25" t="n">
        <f aca="false">LN(C1338/C1337)</f>
        <v>0.0247892300056992</v>
      </c>
      <c r="G1338" s="25" t="n">
        <f aca="false">IF(AND(D1338=1,A1338&gt;=$R$2),F1338,"")</f>
        <v>0.0247892300056992</v>
      </c>
      <c r="H1338" s="27" t="n">
        <f aca="false">IF(G1338="","",G1338^2)</f>
        <v>0.000614505924275456</v>
      </c>
      <c r="I1338" s="25" t="n">
        <f aca="false">IF(G1338="","",C1338/C1337-1)</f>
        <v>0.025099037635014</v>
      </c>
      <c r="J1338" s="17" t="n">
        <f aca="false">AVERAGE(C1139:C1338)</f>
        <v>7863.89185</v>
      </c>
      <c r="K1338" s="17" t="n">
        <f aca="false">MAX(K1337,C1338)</f>
        <v>19650.01</v>
      </c>
      <c r="L1338" s="25" t="n">
        <f aca="false">C1338/K1338-1</f>
        <v>-0.634041916518109</v>
      </c>
      <c r="M1338" s="25" t="n">
        <f aca="false">IF(COUNT(G1309:G1338)&lt;20,"",_xlfn.STDEV.S(G1309:G1338)*SQRT($R$3))</f>
        <v>0.556724833394263</v>
      </c>
      <c r="N1338" s="25" t="n">
        <f aca="false">IF(A1338-7&lt;$R$2,"",C1338/INDEX(Clean_Data!$C$2:$C$4314,MATCH(A1338-7,Clean_Data!$A$2:$A$4314,1))-1)</f>
        <v>0.0673185385720561</v>
      </c>
      <c r="O1338" s="25" t="n">
        <f aca="false">IF(A1338-30&lt;$R$2,"",C1338/INDEX(Clean_Data!$C$2:$C$4314,MATCH(A1338-30,Clean_Data!$A$2:$A$4314,1))-1)</f>
        <v>-0.0455061906683374</v>
      </c>
    </row>
    <row r="1339" customFormat="false" ht="15" hidden="false" customHeight="false" outlineLevel="0" collapsed="false">
      <c r="A1339" s="16" t="n">
        <v>43345</v>
      </c>
      <c r="B1339" s="23" t="n">
        <f aca="false">YEAR(A1339)</f>
        <v>2018</v>
      </c>
      <c r="C1339" s="17" t="n">
        <v>7295</v>
      </c>
      <c r="D1339" s="23" t="n">
        <f aca="false">A1339-A1338</f>
        <v>1</v>
      </c>
      <c r="E1339" s="24" t="n">
        <f aca="false">LN(C1339)</f>
        <v>8.89494446095689</v>
      </c>
      <c r="F1339" s="25" t="n">
        <f aca="false">LN(C1339/C1338)</f>
        <v>0.0143478128988917</v>
      </c>
      <c r="G1339" s="25" t="n">
        <f aca="false">IF(AND(D1339=1,A1339&gt;=$R$2),F1339,"")</f>
        <v>0.0143478128988917</v>
      </c>
      <c r="H1339" s="27" t="n">
        <f aca="false">IF(G1339="","",G1339^2)</f>
        <v>0.000205859734981603</v>
      </c>
      <c r="I1339" s="25" t="n">
        <f aca="false">IF(G1339="","",C1339/C1338-1)</f>
        <v>0.014451236810048</v>
      </c>
      <c r="J1339" s="17" t="n">
        <f aca="false">AVERAGE(C1140:C1339)</f>
        <v>7853.00195</v>
      </c>
      <c r="K1339" s="17" t="n">
        <f aca="false">MAX(K1338,C1339)</f>
        <v>19650.01</v>
      </c>
      <c r="L1339" s="25" t="n">
        <f aca="false">C1339/K1339-1</f>
        <v>-0.628753369591161</v>
      </c>
      <c r="M1339" s="25" t="n">
        <f aca="false">IF(COUNT(G1310:G1339)&lt;20,"",_xlfn.STDEV.S(G1310:G1339)*SQRT($R$3))</f>
        <v>0.556864049196288</v>
      </c>
      <c r="N1339" s="25" t="n">
        <f aca="false">IF(A1339-7&lt;$R$2,"",C1339/INDEX(Clean_Data!$C$2:$C$4314,MATCH(A1339-7,Clean_Data!$A$2:$A$4314,1))-1)</f>
        <v>0.0871865489912043</v>
      </c>
      <c r="O1339" s="25" t="n">
        <f aca="false">IF(A1339-30&lt;$R$2,"",C1339/INDEX(Clean_Data!$C$2:$C$4314,MATCH(A1339-30,Clean_Data!$A$2:$A$4314,1))-1)</f>
        <v>-0.0160613319521775</v>
      </c>
    </row>
    <row r="1340" customFormat="false" ht="15" hidden="false" customHeight="false" outlineLevel="0" collapsed="false">
      <c r="A1340" s="16" t="n">
        <v>43346</v>
      </c>
      <c r="B1340" s="23" t="n">
        <f aca="false">YEAR(A1340)</f>
        <v>2018</v>
      </c>
      <c r="C1340" s="17" t="n">
        <v>7256.98</v>
      </c>
      <c r="D1340" s="23" t="n">
        <f aca="false">A1340-A1339</f>
        <v>1</v>
      </c>
      <c r="E1340" s="24" t="n">
        <f aca="false">LN(C1340)</f>
        <v>8.88971904331458</v>
      </c>
      <c r="F1340" s="25" t="n">
        <f aca="false">LN(C1340/C1339)</f>
        <v>-0.0052254176423098</v>
      </c>
      <c r="G1340" s="25" t="n">
        <f aca="false">IF(AND(D1340=1,A1340&gt;=$R$2),F1340,"")</f>
        <v>-0.0052254176423098</v>
      </c>
      <c r="H1340" s="27" t="n">
        <f aca="false">IF(G1340="","",G1340^2)</f>
        <v>2.73049895365625E-005</v>
      </c>
      <c r="I1340" s="25" t="n">
        <f aca="false">IF(G1340="","",C1340/C1339-1)</f>
        <v>-0.00521178889650453</v>
      </c>
      <c r="J1340" s="17" t="n">
        <f aca="false">AVERAGE(C1141:C1340)</f>
        <v>7839.1307</v>
      </c>
      <c r="K1340" s="17" t="n">
        <f aca="false">MAX(K1339,C1340)</f>
        <v>19650.01</v>
      </c>
      <c r="L1340" s="25" t="n">
        <f aca="false">C1340/K1340-1</f>
        <v>-0.63068822865739</v>
      </c>
      <c r="M1340" s="25" t="n">
        <f aca="false">IF(COUNT(G1311:G1340)&lt;20,"",_xlfn.STDEV.S(G1311:G1340)*SQRT($R$3))</f>
        <v>0.519117529579309</v>
      </c>
      <c r="N1340" s="25" t="n">
        <f aca="false">IF(A1340-7&lt;$R$2,"",C1340/INDEX(Clean_Data!$C$2:$C$4314,MATCH(A1340-7,Clean_Data!$A$2:$A$4314,1))-1)</f>
        <v>0.0499254908201796</v>
      </c>
      <c r="O1340" s="25" t="n">
        <f aca="false">IF(A1340-30&lt;$R$2,"",C1340/INDEX(Clean_Data!$C$2:$C$4314,MATCH(A1340-30,Clean_Data!$A$2:$A$4314,1))-1)</f>
        <v>0.0359714489650249</v>
      </c>
    </row>
    <row r="1341" customFormat="false" ht="15" hidden="false" customHeight="false" outlineLevel="0" collapsed="false">
      <c r="A1341" s="16" t="n">
        <v>43347</v>
      </c>
      <c r="B1341" s="23" t="n">
        <f aca="false">YEAR(A1341)</f>
        <v>2018</v>
      </c>
      <c r="C1341" s="17" t="n">
        <v>7360</v>
      </c>
      <c r="D1341" s="23" t="n">
        <f aca="false">A1341-A1340</f>
        <v>1</v>
      </c>
      <c r="E1341" s="24" t="n">
        <f aca="false">LN(C1341)</f>
        <v>8.90381521172292</v>
      </c>
      <c r="F1341" s="25" t="n">
        <f aca="false">LN(C1341/C1340)</f>
        <v>0.0140961684083457</v>
      </c>
      <c r="G1341" s="25" t="n">
        <f aca="false">IF(AND(D1341=1,A1341&gt;=$R$2),F1341,"")</f>
        <v>0.0140961684083457</v>
      </c>
      <c r="H1341" s="27" t="n">
        <f aca="false">IF(G1341="","",G1341^2)</f>
        <v>0.000198701963796443</v>
      </c>
      <c r="I1341" s="25" t="n">
        <f aca="false">IF(G1341="","",C1341/C1340-1)</f>
        <v>0.0141959878627198</v>
      </c>
      <c r="J1341" s="17" t="n">
        <f aca="false">AVERAGE(C1142:C1341)</f>
        <v>7825.09325</v>
      </c>
      <c r="K1341" s="17" t="n">
        <f aca="false">MAX(K1340,C1341)</f>
        <v>19650.01</v>
      </c>
      <c r="L1341" s="25" t="n">
        <f aca="false">C1341/K1341-1</f>
        <v>-0.625445483233851</v>
      </c>
      <c r="M1341" s="25" t="n">
        <f aca="false">IF(COUNT(G1312:G1341)&lt;20,"",_xlfn.STDEV.S(G1312:G1341)*SQRT($R$3))</f>
        <v>0.521023223096527</v>
      </c>
      <c r="N1341" s="25" t="n">
        <f aca="false">IF(A1341-7&lt;$R$2,"",C1341/INDEX(Clean_Data!$C$2:$C$4314,MATCH(A1341-7,Clean_Data!$A$2:$A$4314,1))-1)</f>
        <v>0.040869691882772</v>
      </c>
      <c r="O1341" s="25" t="n">
        <f aca="false">IF(A1341-30&lt;$R$2,"",C1341/INDEX(Clean_Data!$C$2:$C$4314,MATCH(A1341-30,Clean_Data!$A$2:$A$4314,1))-1)</f>
        <v>0.0469401892742685</v>
      </c>
    </row>
    <row r="1342" customFormat="false" ht="15" hidden="false" customHeight="false" outlineLevel="0" collapsed="false">
      <c r="A1342" s="16" t="n">
        <v>43348</v>
      </c>
      <c r="B1342" s="23" t="n">
        <f aca="false">YEAR(A1342)</f>
        <v>2018</v>
      </c>
      <c r="C1342" s="17" t="n">
        <v>6687.96</v>
      </c>
      <c r="D1342" s="23" t="n">
        <f aca="false">A1342-A1341</f>
        <v>1</v>
      </c>
      <c r="E1342" s="24" t="n">
        <f aca="false">LN(C1342)</f>
        <v>8.80806417388541</v>
      </c>
      <c r="F1342" s="25" t="n">
        <f aca="false">LN(C1342/C1341)</f>
        <v>-0.0957510378375138</v>
      </c>
      <c r="G1342" s="25" t="n">
        <f aca="false">IF(AND(D1342=1,A1342&gt;=$R$2),F1342,"")</f>
        <v>-0.0957510378375138</v>
      </c>
      <c r="H1342" s="27" t="n">
        <f aca="false">IF(G1342="","",G1342^2)</f>
        <v>0.00916826124696099</v>
      </c>
      <c r="I1342" s="25" t="n">
        <f aca="false">IF(G1342="","",C1342/C1341-1)</f>
        <v>-0.0913097826086956</v>
      </c>
      <c r="J1342" s="17" t="n">
        <f aca="false">AVERAGE(C1143:C1342)</f>
        <v>7802.92555</v>
      </c>
      <c r="K1342" s="17" t="n">
        <f aca="false">MAX(K1341,C1342)</f>
        <v>19650.01</v>
      </c>
      <c r="L1342" s="25" t="n">
        <f aca="false">C1342/K1342-1</f>
        <v>-0.659645974734873</v>
      </c>
      <c r="M1342" s="25" t="n">
        <f aca="false">IF(COUNT(G1313:G1342)&lt;20,"",_xlfn.STDEV.S(G1313:G1342)*SQRT($R$3))</f>
        <v>0.62047710495027</v>
      </c>
      <c r="N1342" s="25" t="n">
        <f aca="false">IF(A1342-7&lt;$R$2,"",C1342/INDEX(Clean_Data!$C$2:$C$4314,MATCH(A1342-7,Clean_Data!$A$2:$A$4314,1))-1)</f>
        <v>-0.0487761168555946</v>
      </c>
      <c r="O1342" s="25" t="n">
        <f aca="false">IF(A1342-30&lt;$R$2,"",C1342/INDEX(Clean_Data!$C$2:$C$4314,MATCH(A1342-30,Clean_Data!$A$2:$A$4314,1))-1)</f>
        <v>-0.0360392043816662</v>
      </c>
    </row>
    <row r="1343" customFormat="false" ht="15" hidden="false" customHeight="false" outlineLevel="0" collapsed="false">
      <c r="A1343" s="16" t="n">
        <v>43349</v>
      </c>
      <c r="B1343" s="23" t="n">
        <f aca="false">YEAR(A1343)</f>
        <v>2018</v>
      </c>
      <c r="C1343" s="17" t="n">
        <v>6495</v>
      </c>
      <c r="D1343" s="23" t="n">
        <f aca="false">A1343-A1342</f>
        <v>1</v>
      </c>
      <c r="E1343" s="24" t="n">
        <f aca="false">LN(C1343)</f>
        <v>8.7787879291047</v>
      </c>
      <c r="F1343" s="25" t="n">
        <f aca="false">LN(C1343/C1342)</f>
        <v>-0.0292762447807082</v>
      </c>
      <c r="G1343" s="25" t="n">
        <f aca="false">IF(AND(D1343=1,A1343&gt;=$R$2),F1343,"")</f>
        <v>-0.0292762447807082</v>
      </c>
      <c r="H1343" s="27" t="n">
        <f aca="false">IF(G1343="","",G1343^2)</f>
        <v>0.000857098508459945</v>
      </c>
      <c r="I1343" s="25" t="n">
        <f aca="false">IF(G1343="","",C1343/C1342-1)</f>
        <v>-0.0288518472000431</v>
      </c>
      <c r="J1343" s="17" t="n">
        <f aca="false">AVERAGE(C1144:C1343)</f>
        <v>7783.50035</v>
      </c>
      <c r="K1343" s="17" t="n">
        <f aca="false">MAX(K1342,C1343)</f>
        <v>19650.01</v>
      </c>
      <c r="L1343" s="25" t="n">
        <f aca="false">C1343/K1343-1</f>
        <v>-0.669465817065742</v>
      </c>
      <c r="M1343" s="25" t="n">
        <f aca="false">IF(COUNT(G1314:G1343)&lt;20,"",_xlfn.STDEV.S(G1314:G1343)*SQRT($R$3))</f>
        <v>0.618727413639574</v>
      </c>
      <c r="N1343" s="25" t="n">
        <f aca="false">IF(A1343-7&lt;$R$2,"",C1343/INDEX(Clean_Data!$C$2:$C$4314,MATCH(A1343-7,Clean_Data!$A$2:$A$4314,1))-1)</f>
        <v>-0.0698840040097379</v>
      </c>
      <c r="O1343" s="25" t="n">
        <f aca="false">IF(A1343-30&lt;$R$2,"",C1343/INDEX(Clean_Data!$C$2:$C$4314,MATCH(A1343-30,Clean_Data!$A$2:$A$4314,1))-1)</f>
        <v>-0.0332260628559351</v>
      </c>
    </row>
    <row r="1344" customFormat="false" ht="15" hidden="false" customHeight="false" outlineLevel="0" collapsed="false">
      <c r="A1344" s="16" t="n">
        <v>43350</v>
      </c>
      <c r="B1344" s="23" t="n">
        <f aca="false">YEAR(A1344)</f>
        <v>2018</v>
      </c>
      <c r="C1344" s="17" t="n">
        <v>6395.01</v>
      </c>
      <c r="D1344" s="23" t="n">
        <f aca="false">A1344-A1343</f>
        <v>1</v>
      </c>
      <c r="E1344" s="24" t="n">
        <f aca="false">LN(C1344)</f>
        <v>8.76327327773338</v>
      </c>
      <c r="F1344" s="25" t="n">
        <f aca="false">LN(C1344/C1343)</f>
        <v>-0.0155146513713218</v>
      </c>
      <c r="G1344" s="25" t="n">
        <f aca="false">IF(AND(D1344=1,A1344&gt;=$R$2),F1344,"")</f>
        <v>-0.0155146513713218</v>
      </c>
      <c r="H1344" s="27" t="n">
        <f aca="false">IF(G1344="","",G1344^2)</f>
        <v>0.000240704407173659</v>
      </c>
      <c r="I1344" s="25" t="n">
        <f aca="false">IF(G1344="","",C1344/C1343-1)</f>
        <v>-0.0153949191685911</v>
      </c>
      <c r="J1344" s="17" t="n">
        <f aca="false">AVERAGE(C1145:C1344)</f>
        <v>7759.7754</v>
      </c>
      <c r="K1344" s="17" t="n">
        <f aca="false">MAX(K1343,C1344)</f>
        <v>19650.01</v>
      </c>
      <c r="L1344" s="25" t="n">
        <f aca="false">C1344/K1344-1</f>
        <v>-0.674554364094471</v>
      </c>
      <c r="M1344" s="25" t="n">
        <f aca="false">IF(COUNT(G1315:G1344)&lt;20,"",_xlfn.STDEV.S(G1315:G1344)*SQRT($R$3))</f>
        <v>0.574114378072329</v>
      </c>
      <c r="N1344" s="25" t="n">
        <f aca="false">IF(A1344-7&lt;$R$2,"",C1344/INDEX(Clean_Data!$C$2:$C$4314,MATCH(A1344-7,Clean_Data!$A$2:$A$4314,1))-1)</f>
        <v>-0.0883819124990556</v>
      </c>
      <c r="O1344" s="25" t="n">
        <f aca="false">IF(A1344-30&lt;$R$2,"",C1344/INDEX(Clean_Data!$C$2:$C$4314,MATCH(A1344-30,Clean_Data!$A$2:$A$4314,1))-1)</f>
        <v>0.0179084759251891</v>
      </c>
    </row>
    <row r="1345" customFormat="false" ht="15" hidden="false" customHeight="false" outlineLevel="0" collapsed="false">
      <c r="A1345" s="16" t="n">
        <v>43351</v>
      </c>
      <c r="B1345" s="23" t="n">
        <f aca="false">YEAR(A1345)</f>
        <v>2018</v>
      </c>
      <c r="C1345" s="17" t="n">
        <v>6188</v>
      </c>
      <c r="D1345" s="23" t="n">
        <f aca="false">A1345-A1344</f>
        <v>1</v>
      </c>
      <c r="E1345" s="24" t="n">
        <f aca="false">LN(C1345)</f>
        <v>8.73036721169296</v>
      </c>
      <c r="F1345" s="25" t="n">
        <f aca="false">LN(C1345/C1344)</f>
        <v>-0.0329060660404213</v>
      </c>
      <c r="G1345" s="25" t="n">
        <f aca="false">IF(AND(D1345=1,A1345&gt;=$R$2),F1345,"")</f>
        <v>-0.0329060660404213</v>
      </c>
      <c r="H1345" s="27" t="n">
        <f aca="false">IF(G1345="","",G1345^2)</f>
        <v>0.00108280918225657</v>
      </c>
      <c r="I1345" s="25" t="n">
        <f aca="false">IF(G1345="","",C1345/C1344-1)</f>
        <v>-0.0323705514143059</v>
      </c>
      <c r="J1345" s="17" t="n">
        <f aca="false">AVERAGE(C1146:C1345)</f>
        <v>7734.53755</v>
      </c>
      <c r="K1345" s="17" t="n">
        <f aca="false">MAX(K1344,C1345)</f>
        <v>19650.01</v>
      </c>
      <c r="L1345" s="25" t="n">
        <f aca="false">C1345/K1345-1</f>
        <v>-0.685089218784113</v>
      </c>
      <c r="M1345" s="25" t="n">
        <f aca="false">IF(COUNT(G1316:G1345)&lt;20,"",_xlfn.STDEV.S(G1316:G1345)*SQRT($R$3))</f>
        <v>0.566321479146814</v>
      </c>
      <c r="N1345" s="25" t="n">
        <f aca="false">IF(A1345-7&lt;$R$2,"",C1345/INDEX(Clean_Data!$C$2:$C$4314,MATCH(A1345-7,Clean_Data!$A$2:$A$4314,1))-1)</f>
        <v>-0.139489478631861</v>
      </c>
      <c r="O1345" s="25" t="n">
        <f aca="false">IF(A1345-30&lt;$R$2,"",C1345/INDEX(Clean_Data!$C$2:$C$4314,MATCH(A1345-30,Clean_Data!$A$2:$A$4314,1))-1)</f>
        <v>-0.0547548671417333</v>
      </c>
    </row>
    <row r="1346" customFormat="false" ht="15" hidden="false" customHeight="false" outlineLevel="0" collapsed="false">
      <c r="A1346" s="16" t="n">
        <v>43352</v>
      </c>
      <c r="B1346" s="23" t="n">
        <f aca="false">YEAR(A1346)</f>
        <v>2018</v>
      </c>
      <c r="C1346" s="17" t="n">
        <v>6235.01</v>
      </c>
      <c r="D1346" s="23" t="n">
        <f aca="false">A1346-A1345</f>
        <v>1</v>
      </c>
      <c r="E1346" s="24" t="n">
        <f aca="false">LN(C1346)</f>
        <v>8.73793546196209</v>
      </c>
      <c r="F1346" s="25" t="n">
        <f aca="false">LN(C1346/C1345)</f>
        <v>0.00756825026913215</v>
      </c>
      <c r="G1346" s="25" t="n">
        <f aca="false">IF(AND(D1346=1,A1346&gt;=$R$2),F1346,"")</f>
        <v>0.00756825026913215</v>
      </c>
      <c r="H1346" s="27" t="n">
        <f aca="false">IF(G1346="","",G1346^2)</f>
        <v>5.72784121362189E-005</v>
      </c>
      <c r="I1346" s="25" t="n">
        <f aca="false">IF(G1346="","",C1346/C1345-1)</f>
        <v>0.00759696186166781</v>
      </c>
      <c r="J1346" s="17" t="n">
        <f aca="false">AVERAGE(C1147:C1346)</f>
        <v>7713.44125</v>
      </c>
      <c r="K1346" s="17" t="n">
        <f aca="false">MAX(K1345,C1346)</f>
        <v>19650.01</v>
      </c>
      <c r="L1346" s="25" t="n">
        <f aca="false">C1346/K1346-1</f>
        <v>-0.682696853589388</v>
      </c>
      <c r="M1346" s="25" t="n">
        <f aca="false">IF(COUNT(G1317:G1346)&lt;20,"",_xlfn.STDEV.S(G1317:G1346)*SQRT($R$3))</f>
        <v>0.522053333053145</v>
      </c>
      <c r="N1346" s="25" t="n">
        <f aca="false">IF(A1346-7&lt;$R$2,"",C1346/INDEX(Clean_Data!$C$2:$C$4314,MATCH(A1346-7,Clean_Data!$A$2:$A$4314,1))-1)</f>
        <v>-0.145303632625086</v>
      </c>
      <c r="O1346" s="25" t="n">
        <f aca="false">IF(A1346-30&lt;$R$2,"",C1346/INDEX(Clean_Data!$C$2:$C$4314,MATCH(A1346-30,Clean_Data!$A$2:$A$4314,1))-1)</f>
        <v>0.014480939666548</v>
      </c>
    </row>
    <row r="1347" customFormat="false" ht="15" hidden="false" customHeight="false" outlineLevel="0" collapsed="false">
      <c r="A1347" s="16" t="n">
        <v>43353</v>
      </c>
      <c r="B1347" s="23" t="n">
        <f aca="false">YEAR(A1347)</f>
        <v>2018</v>
      </c>
      <c r="C1347" s="17" t="n">
        <v>6300</v>
      </c>
      <c r="D1347" s="23" t="n">
        <f aca="false">A1347-A1346</f>
        <v>1</v>
      </c>
      <c r="E1347" s="24" t="n">
        <f aca="false">LN(C1347)</f>
        <v>8.74830491237962</v>
      </c>
      <c r="F1347" s="25" t="n">
        <f aca="false">LN(C1347/C1346)</f>
        <v>0.0103694504175351</v>
      </c>
      <c r="G1347" s="25" t="n">
        <f aca="false">IF(AND(D1347=1,A1347&gt;=$R$2),F1347,"")</f>
        <v>0.0103694504175351</v>
      </c>
      <c r="H1347" s="27" t="n">
        <f aca="false">IF(G1347="","",G1347^2)</f>
        <v>0.000107525501961719</v>
      </c>
      <c r="I1347" s="25" t="n">
        <f aca="false">IF(G1347="","",C1347/C1346-1)</f>
        <v>0.0104233994813159</v>
      </c>
      <c r="J1347" s="17" t="n">
        <f aca="false">AVERAGE(C1148:C1347)</f>
        <v>7695.79125</v>
      </c>
      <c r="K1347" s="17" t="n">
        <f aca="false">MAX(K1346,C1347)</f>
        <v>19650.01</v>
      </c>
      <c r="L1347" s="25" t="n">
        <f aca="false">C1347/K1347-1</f>
        <v>-0.679389476137671</v>
      </c>
      <c r="M1347" s="25" t="n">
        <f aca="false">IF(COUNT(G1318:G1347)&lt;20,"",_xlfn.STDEV.S(G1318:G1347)*SQRT($R$3))</f>
        <v>0.52086638727153</v>
      </c>
      <c r="N1347" s="25" t="n">
        <f aca="false">IF(A1347-7&lt;$R$2,"",C1347/INDEX(Clean_Data!$C$2:$C$4314,MATCH(A1347-7,Clean_Data!$A$2:$A$4314,1))-1)</f>
        <v>-0.131870282128378</v>
      </c>
      <c r="O1347" s="25" t="n">
        <f aca="false">IF(A1347-30&lt;$R$2,"",C1347/INDEX(Clean_Data!$C$2:$C$4314,MATCH(A1347-30,Clean_Data!$A$2:$A$4314,1))-1)</f>
        <v>0.0103342763119911</v>
      </c>
    </row>
    <row r="1348" customFormat="false" ht="15" hidden="false" customHeight="false" outlineLevel="0" collapsed="false">
      <c r="A1348" s="16" t="n">
        <v>43354</v>
      </c>
      <c r="B1348" s="23" t="n">
        <f aca="false">YEAR(A1348)</f>
        <v>2018</v>
      </c>
      <c r="C1348" s="17" t="n">
        <v>6282.53</v>
      </c>
      <c r="D1348" s="23" t="n">
        <f aca="false">A1348-A1347</f>
        <v>1</v>
      </c>
      <c r="E1348" s="24" t="n">
        <f aca="false">LN(C1348)</f>
        <v>8.74552804457547</v>
      </c>
      <c r="F1348" s="25" t="n">
        <f aca="false">LN(C1348/C1347)</f>
        <v>-0.00277686780415738</v>
      </c>
      <c r="G1348" s="25" t="n">
        <f aca="false">IF(AND(D1348=1,A1348&gt;=$R$2),F1348,"")</f>
        <v>-0.00277686780415738</v>
      </c>
      <c r="H1348" s="27" t="n">
        <f aca="false">IF(G1348="","",G1348^2)</f>
        <v>7.71099480176582E-006</v>
      </c>
      <c r="I1348" s="25" t="n">
        <f aca="false">IF(G1348="","",C1348/C1347-1)</f>
        <v>-0.00277301587301593</v>
      </c>
      <c r="J1348" s="17" t="n">
        <f aca="false">AVERAGE(C1149:C1348)</f>
        <v>7676.47895</v>
      </c>
      <c r="K1348" s="17" t="n">
        <f aca="false">MAX(K1347,C1348)</f>
        <v>19650.01</v>
      </c>
      <c r="L1348" s="25" t="n">
        <f aca="false">C1348/K1348-1</f>
        <v>-0.680278534209397</v>
      </c>
      <c r="M1348" s="25" t="n">
        <f aca="false">IF(COUNT(G1319:G1348)&lt;20,"",_xlfn.STDEV.S(G1319:G1348)*SQRT($R$3))</f>
        <v>0.519001924319687</v>
      </c>
      <c r="N1348" s="25" t="n">
        <f aca="false">IF(A1348-7&lt;$R$2,"",C1348/INDEX(Clean_Data!$C$2:$C$4314,MATCH(A1348-7,Clean_Data!$A$2:$A$4314,1))-1)</f>
        <v>-0.146395380434783</v>
      </c>
      <c r="O1348" s="25" t="n">
        <f aca="false">IF(A1348-30&lt;$R$2,"",C1348/INDEX(Clean_Data!$C$2:$C$4314,MATCH(A1348-30,Clean_Data!$A$2:$A$4314,1))-1)</f>
        <v>-0.00530081491321266</v>
      </c>
    </row>
    <row r="1349" customFormat="false" ht="15" hidden="false" customHeight="false" outlineLevel="0" collapsed="false">
      <c r="A1349" s="16" t="n">
        <v>43355</v>
      </c>
      <c r="B1349" s="23" t="n">
        <f aca="false">YEAR(A1349)</f>
        <v>2018</v>
      </c>
      <c r="C1349" s="17" t="n">
        <v>6326</v>
      </c>
      <c r="D1349" s="23" t="n">
        <f aca="false">A1349-A1348</f>
        <v>1</v>
      </c>
      <c r="E1349" s="24" t="n">
        <f aca="false">LN(C1349)</f>
        <v>8.75242340386559</v>
      </c>
      <c r="F1349" s="25" t="n">
        <f aca="false">LN(C1349/C1348)</f>
        <v>0.00689535929012744</v>
      </c>
      <c r="G1349" s="25" t="n">
        <f aca="false">IF(AND(D1349=1,A1349&gt;=$R$2),F1349,"")</f>
        <v>0.00689535929012744</v>
      </c>
      <c r="H1349" s="27" t="n">
        <f aca="false">IF(G1349="","",G1349^2)</f>
        <v>4.75459797399468E-005</v>
      </c>
      <c r="I1349" s="25" t="n">
        <f aca="false">IF(G1349="","",C1349/C1348-1)</f>
        <v>0.00691918701542216</v>
      </c>
      <c r="J1349" s="17" t="n">
        <f aca="false">AVERAGE(C1150:C1349)</f>
        <v>7659.66585</v>
      </c>
      <c r="K1349" s="17" t="n">
        <f aca="false">MAX(K1348,C1349)</f>
        <v>19650.01</v>
      </c>
      <c r="L1349" s="25" t="n">
        <f aca="false">C1349/K1349-1</f>
        <v>-0.678066321594747</v>
      </c>
      <c r="M1349" s="25" t="n">
        <f aca="false">IF(COUNT(G1320:G1349)&lt;20,"",_xlfn.STDEV.S(G1320:G1349)*SQRT($R$3))</f>
        <v>0.518342966588426</v>
      </c>
      <c r="N1349" s="25" t="n">
        <f aca="false">IF(A1349-7&lt;$R$2,"",C1349/INDEX(Clean_Data!$C$2:$C$4314,MATCH(A1349-7,Clean_Data!$A$2:$A$4314,1))-1)</f>
        <v>-0.0541211370881405</v>
      </c>
      <c r="O1349" s="25" t="n">
        <f aca="false">IF(A1349-30&lt;$R$2,"",C1349/INDEX(Clean_Data!$C$2:$C$4314,MATCH(A1349-30,Clean_Data!$A$2:$A$4314,1))-1)</f>
        <v>0.0115660084398441</v>
      </c>
    </row>
    <row r="1350" customFormat="false" ht="15" hidden="false" customHeight="false" outlineLevel="0" collapsed="false">
      <c r="A1350" s="16" t="n">
        <v>43356</v>
      </c>
      <c r="B1350" s="23" t="n">
        <f aca="false">YEAR(A1350)</f>
        <v>2018</v>
      </c>
      <c r="C1350" s="17" t="n">
        <v>6485.99</v>
      </c>
      <c r="D1350" s="23" t="n">
        <f aca="false">A1350-A1349</f>
        <v>1</v>
      </c>
      <c r="E1350" s="24" t="n">
        <f aca="false">LN(C1350)</f>
        <v>8.77739974508378</v>
      </c>
      <c r="F1350" s="25" t="n">
        <f aca="false">LN(C1350/C1349)</f>
        <v>0.0249763412181801</v>
      </c>
      <c r="G1350" s="25" t="n">
        <f aca="false">IF(AND(D1350=1,A1350&gt;=$R$2),F1350,"")</f>
        <v>0.0249763412181801</v>
      </c>
      <c r="H1350" s="27" t="n">
        <f aca="false">IF(G1350="","",G1350^2)</f>
        <v>0.000623817620646962</v>
      </c>
      <c r="I1350" s="25" t="n">
        <f aca="false">IF(G1350="","",C1350/C1349-1)</f>
        <v>0.0252908631046473</v>
      </c>
      <c r="J1350" s="17" t="n">
        <f aca="false">AVERAGE(C1151:C1350)</f>
        <v>7644.10585</v>
      </c>
      <c r="K1350" s="17" t="n">
        <f aca="false">MAX(K1349,C1350)</f>
        <v>19650.01</v>
      </c>
      <c r="L1350" s="25" t="n">
        <f aca="false">C1350/K1350-1</f>
        <v>-0.669924341005424</v>
      </c>
      <c r="M1350" s="25" t="n">
        <f aca="false">IF(COUNT(G1321:G1350)&lt;20,"",_xlfn.STDEV.S(G1321:G1350)*SQRT($R$3))</f>
        <v>0.524008220823315</v>
      </c>
      <c r="N1350" s="25" t="n">
        <f aca="false">IF(A1350-7&lt;$R$2,"",C1350/INDEX(Clean_Data!$C$2:$C$4314,MATCH(A1350-7,Clean_Data!$A$2:$A$4314,1))-1)</f>
        <v>-0.00138722093918398</v>
      </c>
      <c r="O1350" s="25" t="n">
        <f aca="false">IF(A1350-30&lt;$R$2,"",C1350/INDEX(Clean_Data!$C$2:$C$4314,MATCH(A1350-30,Clean_Data!$A$2:$A$4314,1))-1)</f>
        <v>0.0469700613881172</v>
      </c>
    </row>
    <row r="1351" customFormat="false" ht="15" hidden="false" customHeight="false" outlineLevel="0" collapsed="false">
      <c r="A1351" s="16" t="n">
        <v>43357</v>
      </c>
      <c r="B1351" s="23" t="n">
        <f aca="false">YEAR(A1351)</f>
        <v>2018</v>
      </c>
      <c r="C1351" s="17" t="n">
        <v>6478.04</v>
      </c>
      <c r="D1351" s="23" t="n">
        <f aca="false">A1351-A1350</f>
        <v>1</v>
      </c>
      <c r="E1351" s="24" t="n">
        <f aca="false">LN(C1351)</f>
        <v>8.7761732744575</v>
      </c>
      <c r="F1351" s="25" t="n">
        <f aca="false">LN(C1351/C1350)</f>
        <v>-0.00122647062627171</v>
      </c>
      <c r="G1351" s="25" t="n">
        <f aca="false">IF(AND(D1351=1,A1351&gt;=$R$2),F1351,"")</f>
        <v>-0.00122647062627171</v>
      </c>
      <c r="H1351" s="27" t="n">
        <f aca="false">IF(G1351="","",G1351^2)</f>
        <v>1.50423019710733E-006</v>
      </c>
      <c r="I1351" s="25" t="n">
        <f aca="false">IF(G1351="","",C1351/C1350-1)</f>
        <v>-0.00122571881856126</v>
      </c>
      <c r="J1351" s="17" t="n">
        <f aca="false">AVERAGE(C1152:C1351)</f>
        <v>7624.99605</v>
      </c>
      <c r="K1351" s="17" t="n">
        <f aca="false">MAX(K1350,C1351)</f>
        <v>19650.01</v>
      </c>
      <c r="L1351" s="25" t="n">
        <f aca="false">C1351/K1351-1</f>
        <v>-0.670328920952203</v>
      </c>
      <c r="M1351" s="25" t="n">
        <f aca="false">IF(COUNT(G1322:G1351)&lt;20,"",_xlfn.STDEV.S(G1322:G1351)*SQRT($R$3))</f>
        <v>0.522744161923641</v>
      </c>
      <c r="N1351" s="25" t="n">
        <f aca="false">IF(A1351-7&lt;$R$2,"",C1351/INDEX(Clean_Data!$C$2:$C$4314,MATCH(A1351-7,Clean_Data!$A$2:$A$4314,1))-1)</f>
        <v>0.0129835606199209</v>
      </c>
      <c r="O1351" s="25" t="n">
        <f aca="false">IF(A1351-30&lt;$R$2,"",C1351/INDEX(Clean_Data!$C$2:$C$4314,MATCH(A1351-30,Clean_Data!$A$2:$A$4314,1))-1)</f>
        <v>0.033343382766976</v>
      </c>
    </row>
    <row r="1352" customFormat="false" ht="15" hidden="false" customHeight="false" outlineLevel="0" collapsed="false">
      <c r="A1352" s="16" t="n">
        <v>43358</v>
      </c>
      <c r="B1352" s="23" t="n">
        <f aca="false">YEAR(A1352)</f>
        <v>2018</v>
      </c>
      <c r="C1352" s="17" t="n">
        <v>6518.68</v>
      </c>
      <c r="D1352" s="23" t="n">
        <f aca="false">A1352-A1351</f>
        <v>1</v>
      </c>
      <c r="E1352" s="24" t="n">
        <f aca="false">LN(C1352)</f>
        <v>8.78242718043639</v>
      </c>
      <c r="F1352" s="25" t="n">
        <f aca="false">LN(C1352/C1351)</f>
        <v>0.00625390597889085</v>
      </c>
      <c r="G1352" s="25" t="n">
        <f aca="false">IF(AND(D1352=1,A1352&gt;=$R$2),F1352,"")</f>
        <v>0.00625390597889085</v>
      </c>
      <c r="H1352" s="27" t="n">
        <f aca="false">IF(G1352="","",G1352^2)</f>
        <v>3.91113399928067E-005</v>
      </c>
      <c r="I1352" s="25" t="n">
        <f aca="false">IF(G1352="","",C1352/C1351-1)</f>
        <v>0.00627350247914493</v>
      </c>
      <c r="J1352" s="17" t="n">
        <f aca="false">AVERAGE(C1153:C1352)</f>
        <v>7604.7566</v>
      </c>
      <c r="K1352" s="17" t="n">
        <f aca="false">MAX(K1351,C1352)</f>
        <v>19650.01</v>
      </c>
      <c r="L1352" s="25" t="n">
        <f aca="false">C1352/K1352-1</f>
        <v>-0.668260728620494</v>
      </c>
      <c r="M1352" s="25" t="n">
        <f aca="false">IF(COUNT(G1323:G1352)&lt;20,"",_xlfn.STDEV.S(G1323:G1352)*SQRT($R$3))</f>
        <v>0.52257744103985</v>
      </c>
      <c r="N1352" s="25" t="n">
        <f aca="false">IF(A1352-7&lt;$R$2,"",C1352/INDEX(Clean_Data!$C$2:$C$4314,MATCH(A1352-7,Clean_Data!$A$2:$A$4314,1))-1)</f>
        <v>0.0534389140271494</v>
      </c>
      <c r="O1352" s="25" t="n">
        <f aca="false">IF(A1352-30&lt;$R$2,"",C1352/INDEX(Clean_Data!$C$2:$C$4314,MATCH(A1352-30,Clean_Data!$A$2:$A$4314,1))-1)</f>
        <v>0.0321062714735827</v>
      </c>
    </row>
    <row r="1353" customFormat="false" ht="15" hidden="false" customHeight="false" outlineLevel="0" collapsed="false">
      <c r="A1353" s="16" t="n">
        <v>43359</v>
      </c>
      <c r="B1353" s="23" t="n">
        <f aca="false">YEAR(A1353)</f>
        <v>2018</v>
      </c>
      <c r="C1353" s="17" t="n">
        <v>6498</v>
      </c>
      <c r="D1353" s="23" t="n">
        <f aca="false">A1353-A1352</f>
        <v>1</v>
      </c>
      <c r="E1353" s="24" t="n">
        <f aca="false">LN(C1353)</f>
        <v>8.77924971622905</v>
      </c>
      <c r="F1353" s="25" t="n">
        <f aca="false">LN(C1353/C1352)</f>
        <v>-0.00317746420734802</v>
      </c>
      <c r="G1353" s="25" t="n">
        <f aca="false">IF(AND(D1353=1,A1353&gt;=$R$2),F1353,"")</f>
        <v>-0.00317746420734802</v>
      </c>
      <c r="H1353" s="27" t="n">
        <f aca="false">IF(G1353="","",G1353^2)</f>
        <v>1.00962787889778E-005</v>
      </c>
      <c r="I1353" s="25" t="n">
        <f aca="false">IF(G1353="","",C1353/C1352-1)</f>
        <v>-0.00317242141046969</v>
      </c>
      <c r="J1353" s="17" t="n">
        <f aca="false">AVERAGE(C1154:C1353)</f>
        <v>7585.71025</v>
      </c>
      <c r="K1353" s="17" t="n">
        <f aca="false">MAX(K1352,C1353)</f>
        <v>19650.01</v>
      </c>
      <c r="L1353" s="25" t="n">
        <f aca="false">C1353/K1353-1</f>
        <v>-0.669313145387712</v>
      </c>
      <c r="M1353" s="25" t="n">
        <f aca="false">IF(COUNT(G1324:G1353)&lt;20,"",_xlfn.STDEV.S(G1324:G1353)*SQRT($R$3))</f>
        <v>0.50156621286076</v>
      </c>
      <c r="N1353" s="25" t="n">
        <f aca="false">IF(A1353-7&lt;$R$2,"",C1353/INDEX(Clean_Data!$C$2:$C$4314,MATCH(A1353-7,Clean_Data!$A$2:$A$4314,1))-1)</f>
        <v>0.0421795634650144</v>
      </c>
      <c r="O1353" s="25" t="n">
        <f aca="false">IF(A1353-30&lt;$R$2,"",C1353/INDEX(Clean_Data!$C$2:$C$4314,MATCH(A1353-30,Clean_Data!$A$2:$A$4314,1))-1)</f>
        <v>-0.0132852680666131</v>
      </c>
    </row>
    <row r="1354" customFormat="false" ht="15" hidden="false" customHeight="false" outlineLevel="0" collapsed="false">
      <c r="A1354" s="16" t="n">
        <v>43360</v>
      </c>
      <c r="B1354" s="23" t="n">
        <f aca="false">YEAR(A1354)</f>
        <v>2018</v>
      </c>
      <c r="C1354" s="17" t="n">
        <v>6250.7</v>
      </c>
      <c r="D1354" s="23" t="n">
        <f aca="false">A1354-A1353</f>
        <v>1</v>
      </c>
      <c r="E1354" s="24" t="n">
        <f aca="false">LN(C1354)</f>
        <v>8.74044873645892</v>
      </c>
      <c r="F1354" s="25" t="n">
        <f aca="false">LN(C1354/C1353)</f>
        <v>-0.0388009797701302</v>
      </c>
      <c r="G1354" s="25" t="n">
        <f aca="false">IF(AND(D1354=1,A1354&gt;=$R$2),F1354,"")</f>
        <v>-0.0388009797701302</v>
      </c>
      <c r="H1354" s="27" t="n">
        <f aca="false">IF(G1354="","",G1354^2)</f>
        <v>0.00150551603112206</v>
      </c>
      <c r="I1354" s="25" t="n">
        <f aca="false">IF(G1354="","",C1354/C1353-1)</f>
        <v>-0.038057863958141</v>
      </c>
      <c r="J1354" s="17" t="n">
        <f aca="false">AVERAGE(C1155:C1354)</f>
        <v>7562.48415</v>
      </c>
      <c r="K1354" s="17" t="n">
        <f aca="false">MAX(K1353,C1354)</f>
        <v>19650.01</v>
      </c>
      <c r="L1354" s="25" t="n">
        <f aca="false">C1354/K1354-1</f>
        <v>-0.681898380713292</v>
      </c>
      <c r="M1354" s="25" t="n">
        <f aca="false">IF(COUNT(G1325:G1354)&lt;20,"",_xlfn.STDEV.S(G1325:G1354)*SQRT($R$3))</f>
        <v>0.509621288812932</v>
      </c>
      <c r="N1354" s="25" t="n">
        <f aca="false">IF(A1354-7&lt;$R$2,"",C1354/INDEX(Clean_Data!$C$2:$C$4314,MATCH(A1354-7,Clean_Data!$A$2:$A$4314,1))-1)</f>
        <v>-0.00782539682539685</v>
      </c>
      <c r="O1354" s="25" t="n">
        <f aca="false">IF(A1354-30&lt;$R$2,"",C1354/INDEX(Clean_Data!$C$2:$C$4314,MATCH(A1354-30,Clean_Data!$A$2:$A$4314,1))-1)</f>
        <v>-0.0228151029290379</v>
      </c>
    </row>
    <row r="1355" customFormat="false" ht="15" hidden="false" customHeight="false" outlineLevel="0" collapsed="false">
      <c r="A1355" s="16" t="n">
        <v>43361</v>
      </c>
      <c r="B1355" s="23" t="n">
        <f aca="false">YEAR(A1355)</f>
        <v>2018</v>
      </c>
      <c r="C1355" s="17" t="n">
        <v>6335.7</v>
      </c>
      <c r="D1355" s="23" t="n">
        <f aca="false">A1355-A1354</f>
        <v>1</v>
      </c>
      <c r="E1355" s="24" t="n">
        <f aca="false">LN(C1355)</f>
        <v>8.75395558388844</v>
      </c>
      <c r="F1355" s="25" t="n">
        <f aca="false">LN(C1355/C1354)</f>
        <v>0.0135068474295229</v>
      </c>
      <c r="G1355" s="25" t="n">
        <f aca="false">IF(AND(D1355=1,A1355&gt;=$R$2),F1355,"")</f>
        <v>0.0135068474295229</v>
      </c>
      <c r="H1355" s="27" t="n">
        <f aca="false">IF(G1355="","",G1355^2)</f>
        <v>0.00018243492748441</v>
      </c>
      <c r="I1355" s="25" t="n">
        <f aca="false">IF(G1355="","",C1355/C1354-1)</f>
        <v>0.0135984769705793</v>
      </c>
      <c r="J1355" s="17" t="n">
        <f aca="false">AVERAGE(C1156:C1355)</f>
        <v>7539.16265</v>
      </c>
      <c r="K1355" s="17" t="n">
        <f aca="false">MAX(K1354,C1355)</f>
        <v>19650.01</v>
      </c>
      <c r="L1355" s="25" t="n">
        <f aca="false">C1355/K1355-1</f>
        <v>-0.677572683169118</v>
      </c>
      <c r="M1355" s="25" t="n">
        <f aca="false">IF(COUNT(G1326:G1355)&lt;20,"",_xlfn.STDEV.S(G1326:G1355)*SQRT($R$3))</f>
        <v>0.509289611845845</v>
      </c>
      <c r="N1355" s="25" t="n">
        <f aca="false">IF(A1355-7&lt;$R$2,"",C1355/INDEX(Clean_Data!$C$2:$C$4314,MATCH(A1355-7,Clean_Data!$A$2:$A$4314,1))-1)</f>
        <v>0.00846315099171835</v>
      </c>
      <c r="O1355" s="25" t="n">
        <f aca="false">IF(A1355-30&lt;$R$2,"",C1355/INDEX(Clean_Data!$C$2:$C$4314,MATCH(A1355-30,Clean_Data!$A$2:$A$4314,1))-1)</f>
        <v>-0.0237043360613172</v>
      </c>
    </row>
    <row r="1356" customFormat="false" ht="15" hidden="false" customHeight="false" outlineLevel="0" collapsed="false">
      <c r="A1356" s="16" t="n">
        <v>43362</v>
      </c>
      <c r="B1356" s="23" t="n">
        <f aca="false">YEAR(A1356)</f>
        <v>2018</v>
      </c>
      <c r="C1356" s="17" t="n">
        <v>6386.94</v>
      </c>
      <c r="D1356" s="23" t="n">
        <f aca="false">A1356-A1355</f>
        <v>1</v>
      </c>
      <c r="E1356" s="24" t="n">
        <f aca="false">LN(C1356)</f>
        <v>8.76201055943574</v>
      </c>
      <c r="F1356" s="25" t="n">
        <f aca="false">LN(C1356/C1355)</f>
        <v>0.00805497554729747</v>
      </c>
      <c r="G1356" s="25" t="n">
        <f aca="false">IF(AND(D1356=1,A1356&gt;=$R$2),F1356,"")</f>
        <v>0.00805497554729747</v>
      </c>
      <c r="H1356" s="27" t="n">
        <f aca="false">IF(G1356="","",G1356^2)</f>
        <v>6.48826310675602E-005</v>
      </c>
      <c r="I1356" s="25" t="n">
        <f aca="false">IF(G1356="","",C1356/C1355-1)</f>
        <v>0.00808750414318848</v>
      </c>
      <c r="J1356" s="17" t="n">
        <f aca="false">AVERAGE(C1157:C1356)</f>
        <v>7513.93485</v>
      </c>
      <c r="K1356" s="17" t="n">
        <f aca="false">MAX(K1355,C1356)</f>
        <v>19650.01</v>
      </c>
      <c r="L1356" s="25" t="n">
        <f aca="false">C1356/K1356-1</f>
        <v>-0.674965050908371</v>
      </c>
      <c r="M1356" s="25" t="n">
        <f aca="false">IF(COUNT(G1327:G1356)&lt;20,"",_xlfn.STDEV.S(G1327:G1356)*SQRT($R$3))</f>
        <v>0.493718342570206</v>
      </c>
      <c r="N1356" s="25" t="n">
        <f aca="false">IF(A1356-7&lt;$R$2,"",C1356/INDEX(Clean_Data!$C$2:$C$4314,MATCH(A1356-7,Clean_Data!$A$2:$A$4314,1))-1)</f>
        <v>0.0096332595637052</v>
      </c>
      <c r="O1356" s="25" t="n">
        <f aca="false">IF(A1356-30&lt;$R$2,"",C1356/INDEX(Clean_Data!$C$2:$C$4314,MATCH(A1356-30,Clean_Data!$A$2:$A$4314,1))-1)</f>
        <v>0.020483356074865</v>
      </c>
    </row>
    <row r="1357" customFormat="false" ht="15" hidden="false" customHeight="false" outlineLevel="0" collapsed="false">
      <c r="A1357" s="16" t="n">
        <v>43363</v>
      </c>
      <c r="B1357" s="23" t="n">
        <f aca="false">YEAR(A1357)</f>
        <v>2018</v>
      </c>
      <c r="C1357" s="17" t="n">
        <v>6493.11</v>
      </c>
      <c r="D1357" s="23" t="n">
        <f aca="false">A1357-A1356</f>
        <v>1</v>
      </c>
      <c r="E1357" s="24" t="n">
        <f aca="false">LN(C1357)</f>
        <v>8.77849689368641</v>
      </c>
      <c r="F1357" s="25" t="n">
        <f aca="false">LN(C1357/C1356)</f>
        <v>0.0164863342506712</v>
      </c>
      <c r="G1357" s="25" t="n">
        <f aca="false">IF(AND(D1357=1,A1357&gt;=$R$2),F1357,"")</f>
        <v>0.0164863342506712</v>
      </c>
      <c r="H1357" s="27" t="n">
        <f aca="false">IF(G1357="","",G1357^2)</f>
        <v>0.000271799217024854</v>
      </c>
      <c r="I1357" s="25" t="n">
        <f aca="false">IF(G1357="","",C1357/C1356-1)</f>
        <v>0.0166229837762684</v>
      </c>
      <c r="J1357" s="17" t="n">
        <f aca="false">AVERAGE(C1158:C1357)</f>
        <v>7489.0509</v>
      </c>
      <c r="K1357" s="17" t="n">
        <f aca="false">MAX(K1356,C1357)</f>
        <v>19650.01</v>
      </c>
      <c r="L1357" s="25" t="n">
        <f aca="false">C1357/K1357-1</f>
        <v>-0.669562000222901</v>
      </c>
      <c r="M1357" s="25" t="n">
        <f aca="false">IF(COUNT(G1328:G1357)&lt;20,"",_xlfn.STDEV.S(G1328:G1357)*SQRT($R$3))</f>
        <v>0.482396863994711</v>
      </c>
      <c r="N1357" s="25" t="n">
        <f aca="false">IF(A1357-7&lt;$R$2,"",C1357/INDEX(Clean_Data!$C$2:$C$4314,MATCH(A1357-7,Clean_Data!$A$2:$A$4314,1))-1)</f>
        <v>0.00109775069033402</v>
      </c>
      <c r="O1357" s="25" t="n">
        <f aca="false">IF(A1357-30&lt;$R$2,"",C1357/INDEX(Clean_Data!$C$2:$C$4314,MATCH(A1357-30,Clean_Data!$A$2:$A$4314,1))-1)</f>
        <v>0.00265909396237429</v>
      </c>
    </row>
    <row r="1358" customFormat="false" ht="15" hidden="false" customHeight="false" outlineLevel="0" collapsed="false">
      <c r="A1358" s="16" t="n">
        <v>43364</v>
      </c>
      <c r="B1358" s="23" t="n">
        <f aca="false">YEAR(A1358)</f>
        <v>2018</v>
      </c>
      <c r="C1358" s="17" t="n">
        <v>6750</v>
      </c>
      <c r="D1358" s="23" t="n">
        <f aca="false">A1358-A1357</f>
        <v>1</v>
      </c>
      <c r="E1358" s="24" t="n">
        <f aca="false">LN(C1358)</f>
        <v>8.81729778386658</v>
      </c>
      <c r="F1358" s="25" t="n">
        <f aca="false">LN(C1358/C1357)</f>
        <v>0.0388008901801684</v>
      </c>
      <c r="G1358" s="25" t="n">
        <f aca="false">IF(AND(D1358=1,A1358&gt;=$R$2),F1358,"")</f>
        <v>0.0388008901801684</v>
      </c>
      <c r="H1358" s="27" t="n">
        <f aca="false">IF(G1358="","",G1358^2)</f>
        <v>0.00150550907877349</v>
      </c>
      <c r="I1358" s="25" t="n">
        <f aca="false">IF(G1358="","",C1358/C1357-1)</f>
        <v>0.0395634757458292</v>
      </c>
      <c r="J1358" s="17" t="n">
        <f aca="false">AVERAGE(C1159:C1358)</f>
        <v>7465.9132</v>
      </c>
      <c r="K1358" s="17" t="n">
        <f aca="false">MAX(K1357,C1358)</f>
        <v>19650.01</v>
      </c>
      <c r="L1358" s="25" t="n">
        <f aca="false">C1358/K1358-1</f>
        <v>-0.656488724433219</v>
      </c>
      <c r="M1358" s="25" t="n">
        <f aca="false">IF(COUNT(G1329:G1358)&lt;20,"",_xlfn.STDEV.S(G1329:G1358)*SQRT($R$3))</f>
        <v>0.496051873566391</v>
      </c>
      <c r="N1358" s="25" t="n">
        <f aca="false">IF(A1358-7&lt;$R$2,"",C1358/INDEX(Clean_Data!$C$2:$C$4314,MATCH(A1358-7,Clean_Data!$A$2:$A$4314,1))-1)</f>
        <v>0.0419818340115221</v>
      </c>
      <c r="O1358" s="25" t="n">
        <f aca="false">IF(A1358-30&lt;$R$2,"",C1358/INDEX(Clean_Data!$C$2:$C$4314,MATCH(A1358-30,Clean_Data!$A$2:$A$4314,1))-1)</f>
        <v>0.0613224234629299</v>
      </c>
    </row>
    <row r="1359" customFormat="false" ht="15" hidden="false" customHeight="false" outlineLevel="0" collapsed="false">
      <c r="A1359" s="16" t="n">
        <v>43365</v>
      </c>
      <c r="B1359" s="23" t="n">
        <f aca="false">YEAR(A1359)</f>
        <v>2018</v>
      </c>
      <c r="C1359" s="17" t="n">
        <v>6707.33</v>
      </c>
      <c r="D1359" s="23" t="n">
        <f aca="false">A1359-A1358</f>
        <v>1</v>
      </c>
      <c r="E1359" s="24" t="n">
        <f aca="false">LN(C1359)</f>
        <v>8.81095623721527</v>
      </c>
      <c r="F1359" s="25" t="n">
        <f aca="false">LN(C1359/C1358)</f>
        <v>-0.00634154665130488</v>
      </c>
      <c r="G1359" s="25" t="n">
        <f aca="false">IF(AND(D1359=1,A1359&gt;=$R$2),F1359,"")</f>
        <v>-0.00634154665130488</v>
      </c>
      <c r="H1359" s="27" t="n">
        <f aca="false">IF(G1359="","",G1359^2)</f>
        <v>4.02152139306762E-005</v>
      </c>
      <c r="I1359" s="25" t="n">
        <f aca="false">IF(G1359="","",C1359/C1358-1)</f>
        <v>-0.00632148148148148</v>
      </c>
      <c r="J1359" s="17" t="n">
        <f aca="false">AVERAGE(C1160:C1359)</f>
        <v>7445.94985</v>
      </c>
      <c r="K1359" s="17" t="n">
        <f aca="false">MAX(K1358,C1359)</f>
        <v>19650.01</v>
      </c>
      <c r="L1359" s="25" t="n">
        <f aca="false">C1359/K1359-1</f>
        <v>-0.658660224600395</v>
      </c>
      <c r="M1359" s="25" t="n">
        <f aca="false">IF(COUNT(G1330:G1359)&lt;20,"",_xlfn.STDEV.S(G1330:G1359)*SQRT($R$3))</f>
        <v>0.489237446900441</v>
      </c>
      <c r="N1359" s="25" t="n">
        <f aca="false">IF(A1359-7&lt;$R$2,"",C1359/INDEX(Clean_Data!$C$2:$C$4314,MATCH(A1359-7,Clean_Data!$A$2:$A$4314,1))-1)</f>
        <v>0.0289399080795498</v>
      </c>
      <c r="O1359" s="25" t="n">
        <f aca="false">IF(A1359-30&lt;$R$2,"",C1359/INDEX(Clean_Data!$C$2:$C$4314,MATCH(A1359-30,Clean_Data!$A$2:$A$4314,1))-1)</f>
        <v>0.0277290863513506</v>
      </c>
    </row>
    <row r="1360" customFormat="false" ht="15" hidden="false" customHeight="false" outlineLevel="0" collapsed="false">
      <c r="A1360" s="16" t="n">
        <v>43366</v>
      </c>
      <c r="B1360" s="23" t="n">
        <f aca="false">YEAR(A1360)</f>
        <v>2018</v>
      </c>
      <c r="C1360" s="17" t="n">
        <v>6696.99</v>
      </c>
      <c r="D1360" s="23" t="n">
        <f aca="false">A1360-A1359</f>
        <v>1</v>
      </c>
      <c r="E1360" s="24" t="n">
        <f aca="false">LN(C1360)</f>
        <v>8.80941345070302</v>
      </c>
      <c r="F1360" s="25" t="n">
        <f aca="false">LN(C1360/C1359)</f>
        <v>-0.00154278651224837</v>
      </c>
      <c r="G1360" s="25" t="n">
        <f aca="false">IF(AND(D1360=1,A1360&gt;=$R$2),F1360,"")</f>
        <v>-0.00154278651224837</v>
      </c>
      <c r="H1360" s="27" t="n">
        <f aca="false">IF(G1360="","",G1360^2)</f>
        <v>2.38019022237548E-006</v>
      </c>
      <c r="I1360" s="25" t="n">
        <f aca="false">IF(G1360="","",C1360/C1359-1)</f>
        <v>-0.00154159702892209</v>
      </c>
      <c r="J1360" s="17" t="n">
        <f aca="false">AVERAGE(C1161:C1360)</f>
        <v>7429.8348</v>
      </c>
      <c r="K1360" s="17" t="n">
        <f aca="false">MAX(K1359,C1360)</f>
        <v>19650.01</v>
      </c>
      <c r="L1360" s="25" t="n">
        <f aca="false">C1360/K1360-1</f>
        <v>-0.659186432984004</v>
      </c>
      <c r="M1360" s="25" t="n">
        <f aca="false">IF(COUNT(G1331:G1360)&lt;20,"",_xlfn.STDEV.S(G1331:G1360)*SQRT($R$3))</f>
        <v>0.481555453323972</v>
      </c>
      <c r="N1360" s="25" t="n">
        <f aca="false">IF(A1360-7&lt;$R$2,"",C1360/INDEX(Clean_Data!$C$2:$C$4314,MATCH(A1360-7,Clean_Data!$A$2:$A$4314,1))-1)</f>
        <v>0.030623268698061</v>
      </c>
      <c r="O1360" s="25" t="n">
        <f aca="false">IF(A1360-30&lt;$R$2,"",C1360/INDEX(Clean_Data!$C$2:$C$4314,MATCH(A1360-30,Clean_Data!$A$2:$A$4314,1))-1)</f>
        <v>0.000913183318188349</v>
      </c>
    </row>
    <row r="1361" customFormat="false" ht="15" hidden="false" customHeight="false" outlineLevel="0" collapsed="false">
      <c r="A1361" s="16" t="n">
        <v>43367</v>
      </c>
      <c r="B1361" s="23" t="n">
        <f aca="false">YEAR(A1361)</f>
        <v>2018</v>
      </c>
      <c r="C1361" s="17" t="n">
        <v>6582.09</v>
      </c>
      <c r="D1361" s="23" t="n">
        <f aca="false">A1361-A1360</f>
        <v>1</v>
      </c>
      <c r="E1361" s="24" t="n">
        <f aca="false">LN(C1361)</f>
        <v>8.79210760306523</v>
      </c>
      <c r="F1361" s="25" t="n">
        <f aca="false">LN(C1361/C1360)</f>
        <v>-0.0173058476377967</v>
      </c>
      <c r="G1361" s="25" t="n">
        <f aca="false">IF(AND(D1361=1,A1361&gt;=$R$2),F1361,"")</f>
        <v>-0.0173058476377967</v>
      </c>
      <c r="H1361" s="27" t="n">
        <f aca="false">IF(G1361="","",G1361^2)</f>
        <v>0.000299492362462633</v>
      </c>
      <c r="I1361" s="25" t="n">
        <f aca="false">IF(G1361="","",C1361/C1360-1)</f>
        <v>-0.0171569615603427</v>
      </c>
      <c r="J1361" s="17" t="n">
        <f aca="false">AVERAGE(C1162:C1361)</f>
        <v>7416.22075</v>
      </c>
      <c r="K1361" s="17" t="n">
        <f aca="false">MAX(K1360,C1361)</f>
        <v>19650.01</v>
      </c>
      <c r="L1361" s="25" t="n">
        <f aca="false">C1361/K1361-1</f>
        <v>-0.66503375825254</v>
      </c>
      <c r="M1361" s="25" t="n">
        <f aca="false">IF(COUNT(G1332:G1361)&lt;20,"",_xlfn.STDEV.S(G1332:G1361)*SQRT($R$3))</f>
        <v>0.484592205160683</v>
      </c>
      <c r="N1361" s="25" t="n">
        <f aca="false">IF(A1361-7&lt;$R$2,"",C1361/INDEX(Clean_Data!$C$2:$C$4314,MATCH(A1361-7,Clean_Data!$A$2:$A$4314,1))-1)</f>
        <v>0.0530164621562386</v>
      </c>
      <c r="O1361" s="25" t="n">
        <f aca="false">IF(A1361-30&lt;$R$2,"",C1361/INDEX(Clean_Data!$C$2:$C$4314,MATCH(A1361-30,Clean_Data!$A$2:$A$4314,1))-1)</f>
        <v>-0.023069319274748</v>
      </c>
    </row>
    <row r="1362" customFormat="false" ht="15" hidden="false" customHeight="false" outlineLevel="0" collapsed="false">
      <c r="A1362" s="16" t="n">
        <v>43368</v>
      </c>
      <c r="B1362" s="23" t="n">
        <f aca="false">YEAR(A1362)</f>
        <v>2018</v>
      </c>
      <c r="C1362" s="17" t="n">
        <v>6436.89</v>
      </c>
      <c r="D1362" s="23" t="n">
        <f aca="false">A1362-A1361</f>
        <v>1</v>
      </c>
      <c r="E1362" s="24" t="n">
        <f aca="false">LN(C1362)</f>
        <v>8.76980078320068</v>
      </c>
      <c r="F1362" s="25" t="n">
        <f aca="false">LN(C1362/C1361)</f>
        <v>-0.0223068198645422</v>
      </c>
      <c r="G1362" s="25" t="n">
        <f aca="false">IF(AND(D1362=1,A1362&gt;=$R$2),F1362,"")</f>
        <v>-0.0223068198645422</v>
      </c>
      <c r="H1362" s="27" t="n">
        <f aca="false">IF(G1362="","",G1362^2)</f>
        <v>0.000497594212469135</v>
      </c>
      <c r="I1362" s="25" t="n">
        <f aca="false">IF(G1362="","",C1362/C1361-1)</f>
        <v>-0.0220598624449073</v>
      </c>
      <c r="J1362" s="17" t="n">
        <f aca="false">AVERAGE(C1163:C1362)</f>
        <v>7402.1302</v>
      </c>
      <c r="K1362" s="17" t="n">
        <f aca="false">MAX(K1361,C1362)</f>
        <v>19650.01</v>
      </c>
      <c r="L1362" s="25" t="n">
        <f aca="false">C1362/K1362-1</f>
        <v>-0.672423067469177</v>
      </c>
      <c r="M1362" s="25" t="n">
        <f aca="false">IF(COUNT(G1333:G1362)&lt;20,"",_xlfn.STDEV.S(G1333:G1362)*SQRT($R$3))</f>
        <v>0.490291241399267</v>
      </c>
      <c r="N1362" s="25" t="n">
        <f aca="false">IF(A1362-7&lt;$R$2,"",C1362/INDEX(Clean_Data!$C$2:$C$4314,MATCH(A1362-7,Clean_Data!$A$2:$A$4314,1))-1)</f>
        <v>0.0159714001609925</v>
      </c>
      <c r="O1362" s="25" t="n">
        <f aca="false">IF(A1362-30&lt;$R$2,"",C1362/INDEX(Clean_Data!$C$2:$C$4314,MATCH(A1362-30,Clean_Data!$A$2:$A$4314,1))-1)</f>
        <v>-0.0406990780896515</v>
      </c>
    </row>
    <row r="1363" customFormat="false" ht="15" hidden="false" customHeight="false" outlineLevel="0" collapsed="false">
      <c r="A1363" s="16" t="n">
        <v>43369</v>
      </c>
      <c r="B1363" s="23" t="n">
        <f aca="false">YEAR(A1363)</f>
        <v>2018</v>
      </c>
      <c r="C1363" s="17" t="n">
        <v>6455.66</v>
      </c>
      <c r="D1363" s="23" t="n">
        <f aca="false">A1363-A1362</f>
        <v>1</v>
      </c>
      <c r="E1363" s="24" t="n">
        <f aca="false">LN(C1363)</f>
        <v>8.77271254437463</v>
      </c>
      <c r="F1363" s="25" t="n">
        <f aca="false">LN(C1363/C1362)</f>
        <v>0.00291176117394231</v>
      </c>
      <c r="G1363" s="25" t="n">
        <f aca="false">IF(AND(D1363=1,A1363&gt;=$R$2),F1363,"")</f>
        <v>0.00291176117394231</v>
      </c>
      <c r="H1363" s="27" t="n">
        <f aca="false">IF(G1363="","",G1363^2)</f>
        <v>8.47835313407792E-006</v>
      </c>
      <c r="I1363" s="25" t="n">
        <f aca="false">IF(G1363="","",C1363/C1362-1)</f>
        <v>0.00291600446799611</v>
      </c>
      <c r="J1363" s="17" t="n">
        <f aca="false">AVERAGE(C1164:C1363)</f>
        <v>7390.4313</v>
      </c>
      <c r="K1363" s="17" t="n">
        <f aca="false">MAX(K1362,C1363)</f>
        <v>19650.01</v>
      </c>
      <c r="L1363" s="25" t="n">
        <f aca="false">C1363/K1363-1</f>
        <v>-0.671467851670305</v>
      </c>
      <c r="M1363" s="25" t="n">
        <f aca="false">IF(COUNT(G1334:G1363)&lt;20,"",_xlfn.STDEV.S(G1334:G1363)*SQRT($R$3))</f>
        <v>0.477699041423538</v>
      </c>
      <c r="N1363" s="25" t="n">
        <f aca="false">IF(A1363-7&lt;$R$2,"",C1363/INDEX(Clean_Data!$C$2:$C$4314,MATCH(A1363-7,Clean_Data!$A$2:$A$4314,1))-1)</f>
        <v>0.0107594560149304</v>
      </c>
      <c r="O1363" s="25" t="n">
        <f aca="false">IF(A1363-30&lt;$R$2,"",C1363/INDEX(Clean_Data!$C$2:$C$4314,MATCH(A1363-30,Clean_Data!$A$2:$A$4314,1))-1)</f>
        <v>-0.0660078994198411</v>
      </c>
    </row>
    <row r="1364" customFormat="false" ht="15" hidden="false" customHeight="false" outlineLevel="0" collapsed="false">
      <c r="A1364" s="16" t="n">
        <v>43370</v>
      </c>
      <c r="B1364" s="23" t="n">
        <f aca="false">YEAR(A1364)</f>
        <v>2018</v>
      </c>
      <c r="C1364" s="17" t="n">
        <v>6680.01</v>
      </c>
      <c r="D1364" s="23" t="n">
        <f aca="false">A1364-A1363</f>
        <v>1</v>
      </c>
      <c r="E1364" s="24" t="n">
        <f aca="false">LN(C1364)</f>
        <v>8.80687476353556</v>
      </c>
      <c r="F1364" s="25" t="n">
        <f aca="false">LN(C1364/C1363)</f>
        <v>0.0341622191609332</v>
      </c>
      <c r="G1364" s="25" t="n">
        <f aca="false">IF(AND(D1364=1,A1364&gt;=$R$2),F1364,"")</f>
        <v>0.0341622191609332</v>
      </c>
      <c r="H1364" s="27" t="n">
        <f aca="false">IF(G1364="","",G1364^2)</f>
        <v>0.00116705721799963</v>
      </c>
      <c r="I1364" s="25" t="n">
        <f aca="false">IF(G1364="","",C1364/C1363-1)</f>
        <v>0.0347524497882479</v>
      </c>
      <c r="J1364" s="17" t="n">
        <f aca="false">AVERAGE(C1165:C1364)</f>
        <v>7376.16195</v>
      </c>
      <c r="K1364" s="17" t="n">
        <f aca="false">MAX(K1363,C1364)</f>
        <v>19650.01</v>
      </c>
      <c r="L1364" s="25" t="n">
        <f aca="false">C1364/K1364-1</f>
        <v>-0.660050554681652</v>
      </c>
      <c r="M1364" s="25" t="n">
        <f aca="false">IF(COUNT(G1335:G1364)&lt;20,"",_xlfn.STDEV.S(G1335:G1364)*SQRT($R$3))</f>
        <v>0.486790380558176</v>
      </c>
      <c r="N1364" s="25" t="n">
        <f aca="false">IF(A1364-7&lt;$R$2,"",C1364/INDEX(Clean_Data!$C$2:$C$4314,MATCH(A1364-7,Clean_Data!$A$2:$A$4314,1))-1)</f>
        <v>0.0287843575728735</v>
      </c>
      <c r="O1364" s="25" t="n">
        <f aca="false">IF(A1364-30&lt;$R$2,"",C1364/INDEX(Clean_Data!$C$2:$C$4314,MATCH(A1364-30,Clean_Data!$A$2:$A$4314,1))-1)</f>
        <v>-0.0552962023812723</v>
      </c>
    </row>
    <row r="1365" customFormat="false" ht="15" hidden="false" customHeight="false" outlineLevel="0" collapsed="false">
      <c r="A1365" s="16" t="n">
        <v>43371</v>
      </c>
      <c r="B1365" s="23" t="n">
        <f aca="false">YEAR(A1365)</f>
        <v>2018</v>
      </c>
      <c r="C1365" s="17" t="n">
        <v>6620.01</v>
      </c>
      <c r="D1365" s="23" t="n">
        <f aca="false">A1365-A1364</f>
        <v>1</v>
      </c>
      <c r="E1365" s="24" t="n">
        <f aca="false">LN(C1365)</f>
        <v>8.79785215950393</v>
      </c>
      <c r="F1365" s="25" t="n">
        <f aca="false">LN(C1365/C1364)</f>
        <v>-0.00902260403162785</v>
      </c>
      <c r="G1365" s="25" t="n">
        <f aca="false">IF(AND(D1365=1,A1365&gt;=$R$2),F1365,"")</f>
        <v>-0.00902260403162785</v>
      </c>
      <c r="H1365" s="27" t="n">
        <f aca="false">IF(G1365="","",G1365^2)</f>
        <v>8.14073835115471E-005</v>
      </c>
      <c r="I1365" s="25" t="n">
        <f aca="false">IF(G1365="","",C1365/C1364-1)</f>
        <v>-0.00898202248200231</v>
      </c>
      <c r="J1365" s="17" t="n">
        <f aca="false">AVERAGE(C1166:C1365)</f>
        <v>7363.662</v>
      </c>
      <c r="K1365" s="17" t="n">
        <f aca="false">MAX(K1364,C1365)</f>
        <v>19650.01</v>
      </c>
      <c r="L1365" s="25" t="n">
        <f aca="false">C1365/K1365-1</f>
        <v>-0.663103988242245</v>
      </c>
      <c r="M1365" s="25" t="n">
        <f aca="false">IF(COUNT(G1336:G1365)&lt;20,"",_xlfn.STDEV.S(G1336:G1365)*SQRT($R$3))</f>
        <v>0.487255986658185</v>
      </c>
      <c r="N1365" s="25" t="n">
        <f aca="false">IF(A1365-7&lt;$R$2,"",C1365/INDEX(Clean_Data!$C$2:$C$4314,MATCH(A1365-7,Clean_Data!$A$2:$A$4314,1))-1)</f>
        <v>-0.0192577777777777</v>
      </c>
      <c r="O1365" s="25" t="n">
        <f aca="false">IF(A1365-30&lt;$R$2,"",C1365/INDEX(Clean_Data!$C$2:$C$4314,MATCH(A1365-30,Clean_Data!$A$2:$A$4314,1))-1)</f>
        <v>-0.0584405979319859</v>
      </c>
    </row>
    <row r="1366" customFormat="false" ht="15" hidden="false" customHeight="false" outlineLevel="0" collapsed="false">
      <c r="A1366" s="16" t="n">
        <v>43372</v>
      </c>
      <c r="B1366" s="23" t="n">
        <f aca="false">YEAR(A1366)</f>
        <v>2018</v>
      </c>
      <c r="C1366" s="17" t="n">
        <v>6581</v>
      </c>
      <c r="D1366" s="23" t="n">
        <f aca="false">A1366-A1365</f>
        <v>1</v>
      </c>
      <c r="E1366" s="24" t="n">
        <f aca="false">LN(C1366)</f>
        <v>8.79194198845612</v>
      </c>
      <c r="F1366" s="25" t="n">
        <f aca="false">LN(C1366/C1365)</f>
        <v>-0.00591017104781202</v>
      </c>
      <c r="G1366" s="25" t="n">
        <f aca="false">IF(AND(D1366=1,A1366&gt;=$R$2),F1366,"")</f>
        <v>-0.00591017104781202</v>
      </c>
      <c r="H1366" s="27" t="n">
        <f aca="false">IF(G1366="","",G1366^2)</f>
        <v>3.49301218143954E-005</v>
      </c>
      <c r="I1366" s="25" t="n">
        <f aca="false">IF(G1366="","",C1366/C1365-1)</f>
        <v>-0.00589274034329257</v>
      </c>
      <c r="J1366" s="17" t="n">
        <f aca="false">AVERAGE(C1167:C1366)</f>
        <v>7350.83995</v>
      </c>
      <c r="K1366" s="17" t="n">
        <f aca="false">MAX(K1365,C1366)</f>
        <v>19650.01</v>
      </c>
      <c r="L1366" s="25" t="n">
        <f aca="false">C1366/K1366-1</f>
        <v>-0.665089228962224</v>
      </c>
      <c r="M1366" s="25" t="n">
        <f aca="false">IF(COUNT(G1337:G1366)&lt;20,"",_xlfn.STDEV.S(G1337:G1366)*SQRT($R$3))</f>
        <v>0.487151186034778</v>
      </c>
      <c r="N1366" s="25" t="n">
        <f aca="false">IF(A1366-7&lt;$R$2,"",C1366/INDEX(Clean_Data!$C$2:$C$4314,MATCH(A1366-7,Clean_Data!$A$2:$A$4314,1))-1)</f>
        <v>-0.0188346182460084</v>
      </c>
      <c r="O1366" s="25" t="n">
        <f aca="false">IF(A1366-30&lt;$R$2,"",C1366/INDEX(Clean_Data!$C$2:$C$4314,MATCH(A1366-30,Clean_Data!$A$2:$A$4314,1))-1)</f>
        <v>-0.0575683803522841</v>
      </c>
    </row>
    <row r="1367" customFormat="false" ht="15" hidden="false" customHeight="false" outlineLevel="0" collapsed="false">
      <c r="A1367" s="16" t="n">
        <v>43373</v>
      </c>
      <c r="B1367" s="23" t="n">
        <f aca="false">YEAR(A1367)</f>
        <v>2018</v>
      </c>
      <c r="C1367" s="17" t="n">
        <v>6605</v>
      </c>
      <c r="D1367" s="23" t="n">
        <f aca="false">A1367-A1366</f>
        <v>1</v>
      </c>
      <c r="E1367" s="24" t="n">
        <f aca="false">LN(C1367)</f>
        <v>8.79558221695643</v>
      </c>
      <c r="F1367" s="25" t="n">
        <f aca="false">LN(C1367/C1366)</f>
        <v>0.00364022850030665</v>
      </c>
      <c r="G1367" s="25" t="n">
        <f aca="false">IF(AND(D1367=1,A1367&gt;=$R$2),F1367,"")</f>
        <v>0.00364022850030665</v>
      </c>
      <c r="H1367" s="27" t="n">
        <f aca="false">IF(G1367="","",G1367^2)</f>
        <v>1.32512635344448E-005</v>
      </c>
      <c r="I1367" s="25" t="n">
        <f aca="false">IF(G1367="","",C1367/C1366-1)</f>
        <v>0.00364686217900023</v>
      </c>
      <c r="J1367" s="17" t="n">
        <f aca="false">AVERAGE(C1168:C1367)</f>
        <v>7342.8298</v>
      </c>
      <c r="K1367" s="17" t="n">
        <f aca="false">MAX(K1366,C1367)</f>
        <v>19650.01</v>
      </c>
      <c r="L1367" s="25" t="n">
        <f aca="false">C1367/K1367-1</f>
        <v>-0.663867855537987</v>
      </c>
      <c r="M1367" s="25" t="n">
        <f aca="false">IF(COUNT(G1338:G1367)&lt;20,"",_xlfn.STDEV.S(G1338:G1367)*SQRT($R$3))</f>
        <v>0.487004104608321</v>
      </c>
      <c r="N1367" s="25" t="n">
        <f aca="false">IF(A1367-7&lt;$R$2,"",C1367/INDEX(Clean_Data!$C$2:$C$4314,MATCH(A1367-7,Clean_Data!$A$2:$A$4314,1))-1)</f>
        <v>-0.0137360217052735</v>
      </c>
      <c r="O1367" s="25" t="n">
        <f aca="false">IF(A1367-30&lt;$R$2,"",C1367/INDEX(Clean_Data!$C$2:$C$4314,MATCH(A1367-30,Clean_Data!$A$2:$A$4314,1))-1)</f>
        <v>-0.0584475289415126</v>
      </c>
    </row>
    <row r="1368" customFormat="false" ht="15" hidden="false" customHeight="false" outlineLevel="0" collapsed="false">
      <c r="A1368" s="16" t="n">
        <v>43374</v>
      </c>
      <c r="B1368" s="23" t="n">
        <f aca="false">YEAR(A1368)</f>
        <v>2018</v>
      </c>
      <c r="C1368" s="17" t="n">
        <v>6572.83</v>
      </c>
      <c r="D1368" s="23" t="n">
        <f aca="false">A1368-A1367</f>
        <v>1</v>
      </c>
      <c r="E1368" s="24" t="n">
        <f aca="false">LN(C1368)</f>
        <v>8.79069976454862</v>
      </c>
      <c r="F1368" s="25" t="n">
        <f aca="false">LN(C1368/C1367)</f>
        <v>-0.00488245240780841</v>
      </c>
      <c r="G1368" s="25" t="n">
        <f aca="false">IF(AND(D1368=1,A1368&gt;=$R$2),F1368,"")</f>
        <v>-0.00488245240780841</v>
      </c>
      <c r="H1368" s="27" t="n">
        <f aca="false">IF(G1368="","",G1368^2)</f>
        <v>2.38383415145142E-005</v>
      </c>
      <c r="I1368" s="25" t="n">
        <f aca="false">IF(G1368="","",C1368/C1367-1)</f>
        <v>-0.00487055261165781</v>
      </c>
      <c r="J1368" s="17" t="n">
        <f aca="false">AVERAGE(C1169:C1368)</f>
        <v>7334.394</v>
      </c>
      <c r="K1368" s="17" t="n">
        <f aca="false">MAX(K1367,C1368)</f>
        <v>19650.01</v>
      </c>
      <c r="L1368" s="25" t="n">
        <f aca="false">C1368/K1368-1</f>
        <v>-0.665505004832059</v>
      </c>
      <c r="M1368" s="25" t="n">
        <f aca="false">IF(COUNT(G1339:G1368)&lt;20,"",_xlfn.STDEV.S(G1339:G1368)*SQRT($R$3))</f>
        <v>0.477357249936189</v>
      </c>
      <c r="N1368" s="25" t="n">
        <f aca="false">IF(A1368-7&lt;$R$2,"",C1368/INDEX(Clean_Data!$C$2:$C$4314,MATCH(A1368-7,Clean_Data!$A$2:$A$4314,1))-1)</f>
        <v>-0.00140684797685842</v>
      </c>
      <c r="O1368" s="25" t="n">
        <f aca="false">IF(A1368-30&lt;$R$2,"",C1368/INDEX(Clean_Data!$C$2:$C$4314,MATCH(A1368-30,Clean_Data!$A$2:$A$4314,1))-1)</f>
        <v>-0.0859745684931887</v>
      </c>
    </row>
    <row r="1369" customFormat="false" ht="15" hidden="false" customHeight="false" outlineLevel="0" collapsed="false">
      <c r="A1369" s="16" t="n">
        <v>43375</v>
      </c>
      <c r="B1369" s="23" t="n">
        <f aca="false">YEAR(A1369)</f>
        <v>2018</v>
      </c>
      <c r="C1369" s="17" t="n">
        <v>6498.46</v>
      </c>
      <c r="D1369" s="23" t="n">
        <f aca="false">A1369-A1368</f>
        <v>1</v>
      </c>
      <c r="E1369" s="24" t="n">
        <f aca="false">LN(C1369)</f>
        <v>8.7793205047361</v>
      </c>
      <c r="F1369" s="25" t="n">
        <f aca="false">LN(C1369/C1368)</f>
        <v>-0.0113792598125179</v>
      </c>
      <c r="G1369" s="25" t="n">
        <f aca="false">IF(AND(D1369=1,A1369&gt;=$R$2),F1369,"")</f>
        <v>-0.0113792598125179</v>
      </c>
      <c r="H1369" s="27" t="n">
        <f aca="false">IF(G1369="","",G1369^2)</f>
        <v>0.000129487553880784</v>
      </c>
      <c r="I1369" s="25" t="n">
        <f aca="false">IF(G1369="","",C1369/C1368-1)</f>
        <v>-0.0113147609172913</v>
      </c>
      <c r="J1369" s="17" t="n">
        <f aca="false">AVERAGE(C1170:C1369)</f>
        <v>7325.5113</v>
      </c>
      <c r="K1369" s="17" t="n">
        <f aca="false">MAX(K1368,C1369)</f>
        <v>19650.01</v>
      </c>
      <c r="L1369" s="25" t="n">
        <f aca="false">C1369/K1369-1</f>
        <v>-0.669289735730414</v>
      </c>
      <c r="M1369" s="25" t="n">
        <f aca="false">IF(COUNT(G1340:G1369)&lt;20,"",_xlfn.STDEV.S(G1340:G1369)*SQRT($R$3))</f>
        <v>0.474015200366763</v>
      </c>
      <c r="N1369" s="25" t="n">
        <f aca="false">IF(A1369-7&lt;$R$2,"",C1369/INDEX(Clean_Data!$C$2:$C$4314,MATCH(A1369-7,Clean_Data!$A$2:$A$4314,1))-1)</f>
        <v>0.00956517821494529</v>
      </c>
      <c r="O1369" s="25" t="n">
        <f aca="false">IF(A1369-30&lt;$R$2,"",C1369/INDEX(Clean_Data!$C$2:$C$4314,MATCH(A1369-30,Clean_Data!$A$2:$A$4314,1))-1)</f>
        <v>-0.109189856065798</v>
      </c>
    </row>
    <row r="1370" customFormat="false" ht="15" hidden="false" customHeight="false" outlineLevel="0" collapsed="false">
      <c r="A1370" s="16" t="n">
        <v>43376</v>
      </c>
      <c r="B1370" s="23" t="n">
        <f aca="false">YEAR(A1370)</f>
        <v>2018</v>
      </c>
      <c r="C1370" s="17" t="n">
        <v>6466.03</v>
      </c>
      <c r="D1370" s="23" t="n">
        <f aca="false">A1370-A1369</f>
        <v>1</v>
      </c>
      <c r="E1370" s="24" t="n">
        <f aca="false">LN(C1370)</f>
        <v>8.77431759792819</v>
      </c>
      <c r="F1370" s="25" t="n">
        <f aca="false">LN(C1370/C1369)</f>
        <v>-0.00500290680791171</v>
      </c>
      <c r="G1370" s="25" t="n">
        <f aca="false">IF(AND(D1370=1,A1370&gt;=$R$2),F1370,"")</f>
        <v>-0.00500290680791171</v>
      </c>
      <c r="H1370" s="27" t="n">
        <f aca="false">IF(G1370="","",G1370^2)</f>
        <v>2.50290765286493E-005</v>
      </c>
      <c r="I1370" s="25" t="n">
        <f aca="false">IF(G1370="","",C1370/C1369-1)</f>
        <v>-0.00499041311326076</v>
      </c>
      <c r="J1370" s="17" t="n">
        <f aca="false">AVERAGE(C1171:C1370)</f>
        <v>7318.51635</v>
      </c>
      <c r="K1370" s="17" t="n">
        <f aca="false">MAX(K1369,C1370)</f>
        <v>19650.01</v>
      </c>
      <c r="L1370" s="25" t="n">
        <f aca="false">C1370/K1370-1</f>
        <v>-0.670940116569915</v>
      </c>
      <c r="M1370" s="25" t="n">
        <f aca="false">IF(COUNT(G1341:G1370)&lt;20,"",_xlfn.STDEV.S(G1341:G1370)*SQRT($R$3))</f>
        <v>0.474007733910546</v>
      </c>
      <c r="N1370" s="25" t="n">
        <f aca="false">IF(A1370-7&lt;$R$2,"",C1370/INDEX(Clean_Data!$C$2:$C$4314,MATCH(A1370-7,Clean_Data!$A$2:$A$4314,1))-1)</f>
        <v>0.00160634234144919</v>
      </c>
      <c r="O1370" s="25" t="n">
        <f aca="false">IF(A1370-30&lt;$R$2,"",C1370/INDEX(Clean_Data!$C$2:$C$4314,MATCH(A1370-30,Clean_Data!$A$2:$A$4314,1))-1)</f>
        <v>-0.108991619103263</v>
      </c>
    </row>
    <row r="1371" customFormat="false" ht="15" hidden="false" customHeight="false" outlineLevel="0" collapsed="false">
      <c r="A1371" s="16" t="n">
        <v>43377</v>
      </c>
      <c r="B1371" s="23" t="n">
        <f aca="false">YEAR(A1371)</f>
        <v>2018</v>
      </c>
      <c r="C1371" s="17" t="n">
        <v>6547.45</v>
      </c>
      <c r="D1371" s="23" t="n">
        <f aca="false">A1371-A1370</f>
        <v>1</v>
      </c>
      <c r="E1371" s="24" t="n">
        <f aca="false">LN(C1371)</f>
        <v>8.78683093985023</v>
      </c>
      <c r="F1371" s="25" t="n">
        <f aca="false">LN(C1371/C1370)</f>
        <v>0.012513341922039</v>
      </c>
      <c r="G1371" s="25" t="n">
        <f aca="false">IF(AND(D1371=1,A1371&gt;=$R$2),F1371,"")</f>
        <v>0.012513341922039</v>
      </c>
      <c r="H1371" s="27" t="n">
        <f aca="false">IF(G1371="","",G1371^2)</f>
        <v>0.000156583726057859</v>
      </c>
      <c r="I1371" s="25" t="n">
        <f aca="false">IF(G1371="","",C1371/C1370-1)</f>
        <v>0.0125919613735166</v>
      </c>
      <c r="J1371" s="17" t="n">
        <f aca="false">AVERAGE(C1172:C1371)</f>
        <v>7310.2936</v>
      </c>
      <c r="K1371" s="17" t="n">
        <f aca="false">MAX(K1370,C1371)</f>
        <v>19650.01</v>
      </c>
      <c r="L1371" s="25" t="n">
        <f aca="false">C1371/K1371-1</f>
        <v>-0.66679660722819</v>
      </c>
      <c r="M1371" s="25" t="n">
        <f aca="false">IF(COUNT(G1342:G1371)&lt;20,"",_xlfn.STDEV.S(G1342:G1371)*SQRT($R$3))</f>
        <v>0.473285225879223</v>
      </c>
      <c r="N1371" s="25" t="n">
        <f aca="false">IF(A1371-7&lt;$R$2,"",C1371/INDEX(Clean_Data!$C$2:$C$4314,MATCH(A1371-7,Clean_Data!$A$2:$A$4314,1))-1)</f>
        <v>-0.0198442816702371</v>
      </c>
      <c r="O1371" s="25" t="n">
        <f aca="false">IF(A1371-30&lt;$R$2,"",C1371/INDEX(Clean_Data!$C$2:$C$4314,MATCH(A1371-30,Clean_Data!$A$2:$A$4314,1))-1)</f>
        <v>-0.110400815217391</v>
      </c>
    </row>
    <row r="1372" customFormat="false" ht="15" hidden="false" customHeight="false" outlineLevel="0" collapsed="false">
      <c r="A1372" s="16" t="n">
        <v>43378</v>
      </c>
      <c r="B1372" s="23" t="n">
        <f aca="false">YEAR(A1372)</f>
        <v>2018</v>
      </c>
      <c r="C1372" s="17" t="n">
        <v>6593.94</v>
      </c>
      <c r="D1372" s="23" t="n">
        <f aca="false">A1372-A1371</f>
        <v>1</v>
      </c>
      <c r="E1372" s="24" t="n">
        <f aca="false">LN(C1372)</f>
        <v>8.79390632440921</v>
      </c>
      <c r="F1372" s="25" t="n">
        <f aca="false">LN(C1372/C1371)</f>
        <v>0.00707538455897789</v>
      </c>
      <c r="G1372" s="25" t="n">
        <f aca="false">IF(AND(D1372=1,A1372&gt;=$R$2),F1372,"")</f>
        <v>0.00707538455897789</v>
      </c>
      <c r="H1372" s="27" t="n">
        <f aca="false">IF(G1372="","",G1372^2)</f>
        <v>5.00610666574228E-005</v>
      </c>
      <c r="I1372" s="25" t="n">
        <f aca="false">IF(G1372="","",C1372/C1371-1)</f>
        <v>0.00710047423042548</v>
      </c>
      <c r="J1372" s="17" t="n">
        <f aca="false">AVERAGE(C1173:C1372)</f>
        <v>7300.3183</v>
      </c>
      <c r="K1372" s="17" t="n">
        <f aca="false">MAX(K1371,C1372)</f>
        <v>19650.01</v>
      </c>
      <c r="L1372" s="25" t="n">
        <f aca="false">C1372/K1372-1</f>
        <v>-0.664430705124323</v>
      </c>
      <c r="M1372" s="25" t="n">
        <f aca="false">IF(COUNT(G1343:G1372)&lt;20,"",_xlfn.STDEV.S(G1343:G1372)*SQRT($R$3))</f>
        <v>0.338958402563295</v>
      </c>
      <c r="N1372" s="25" t="n">
        <f aca="false">IF(A1372-7&lt;$R$2,"",C1372/INDEX(Clean_Data!$C$2:$C$4314,MATCH(A1372-7,Clean_Data!$A$2:$A$4314,1))-1)</f>
        <v>-0.00393806051652501</v>
      </c>
      <c r="O1372" s="25" t="n">
        <f aca="false">IF(A1372-30&lt;$R$2,"",C1372/INDEX(Clean_Data!$C$2:$C$4314,MATCH(A1372-30,Clean_Data!$A$2:$A$4314,1))-1)</f>
        <v>-0.0140580984336032</v>
      </c>
    </row>
    <row r="1373" customFormat="false" ht="15" hidden="false" customHeight="false" outlineLevel="0" collapsed="false">
      <c r="A1373" s="16" t="n">
        <v>43379</v>
      </c>
      <c r="B1373" s="23" t="n">
        <f aca="false">YEAR(A1373)</f>
        <v>2018</v>
      </c>
      <c r="C1373" s="17" t="n">
        <v>6552.43</v>
      </c>
      <c r="D1373" s="23" t="n">
        <f aca="false">A1373-A1372</f>
        <v>1</v>
      </c>
      <c r="E1373" s="24" t="n">
        <f aca="false">LN(C1373)</f>
        <v>8.78759125219506</v>
      </c>
      <c r="F1373" s="25" t="n">
        <f aca="false">LN(C1373/C1372)</f>
        <v>-0.00631507221414705</v>
      </c>
      <c r="G1373" s="25" t="n">
        <f aca="false">IF(AND(D1373=1,A1373&gt;=$R$2),F1373,"")</f>
        <v>-0.00631507221414705</v>
      </c>
      <c r="H1373" s="27" t="n">
        <f aca="false">IF(G1373="","",G1373^2)</f>
        <v>3.98801370698921E-005</v>
      </c>
      <c r="I1373" s="25" t="n">
        <f aca="false">IF(G1373="","",C1373/C1372-1)</f>
        <v>-0.00629517405375224</v>
      </c>
      <c r="J1373" s="17" t="n">
        <f aca="false">AVERAGE(C1174:C1373)</f>
        <v>7288.58045</v>
      </c>
      <c r="K1373" s="17" t="n">
        <f aca="false">MAX(K1372,C1373)</f>
        <v>19650.01</v>
      </c>
      <c r="L1373" s="25" t="n">
        <f aca="false">C1373/K1373-1</f>
        <v>-0.666543172242661</v>
      </c>
      <c r="M1373" s="25" t="n">
        <f aca="false">IF(COUNT(G1344:G1373)&lt;20,"",_xlfn.STDEV.S(G1344:G1373)*SQRT($R$3))</f>
        <v>0.323509969004237</v>
      </c>
      <c r="N1373" s="25" t="n">
        <f aca="false">IF(A1373-7&lt;$R$2,"",C1373/INDEX(Clean_Data!$C$2:$C$4314,MATCH(A1373-7,Clean_Data!$A$2:$A$4314,1))-1)</f>
        <v>-0.0043412855189181</v>
      </c>
      <c r="O1373" s="25" t="n">
        <f aca="false">IF(A1373-30&lt;$R$2,"",C1373/INDEX(Clean_Data!$C$2:$C$4314,MATCH(A1373-30,Clean_Data!$A$2:$A$4314,1))-1)</f>
        <v>0.00884218629715172</v>
      </c>
    </row>
    <row r="1374" customFormat="false" ht="15" hidden="false" customHeight="false" outlineLevel="0" collapsed="false">
      <c r="A1374" s="16" t="n">
        <v>43380</v>
      </c>
      <c r="B1374" s="23" t="n">
        <f aca="false">YEAR(A1374)</f>
        <v>2018</v>
      </c>
      <c r="C1374" s="17" t="n">
        <v>6570</v>
      </c>
      <c r="D1374" s="23" t="n">
        <f aca="false">A1374-A1373</f>
        <v>1</v>
      </c>
      <c r="E1374" s="24" t="n">
        <f aca="false">LN(C1374)</f>
        <v>8.79026911147866</v>
      </c>
      <c r="F1374" s="25" t="n">
        <f aca="false">LN(C1374/C1373)</f>
        <v>0.00267785928359841</v>
      </c>
      <c r="G1374" s="25" t="n">
        <f aca="false">IF(AND(D1374=1,A1374&gt;=$R$2),F1374,"")</f>
        <v>0.00267785928359841</v>
      </c>
      <c r="H1374" s="27" t="n">
        <f aca="false">IF(G1374="","",G1374^2)</f>
        <v>7.17093034275421E-006</v>
      </c>
      <c r="I1374" s="25" t="n">
        <f aca="false">IF(G1374="","",C1374/C1373-1)</f>
        <v>0.0026814479513706</v>
      </c>
      <c r="J1374" s="17" t="n">
        <f aca="false">AVERAGE(C1175:C1374)</f>
        <v>7276.9714</v>
      </c>
      <c r="K1374" s="17" t="n">
        <f aca="false">MAX(K1373,C1374)</f>
        <v>19650.01</v>
      </c>
      <c r="L1374" s="25" t="n">
        <f aca="false">C1374/K1374-1</f>
        <v>-0.665649025115</v>
      </c>
      <c r="M1374" s="25" t="n">
        <f aca="false">IF(COUNT(G1345:G1374)&lt;20,"",_xlfn.STDEV.S(G1345:G1374)*SQRT($R$3))</f>
        <v>0.318506142292793</v>
      </c>
      <c r="N1374" s="25" t="n">
        <f aca="false">IF(A1374-7&lt;$R$2,"",C1374/INDEX(Clean_Data!$C$2:$C$4314,MATCH(A1374-7,Clean_Data!$A$2:$A$4314,1))-1)</f>
        <v>-0.00529901589704773</v>
      </c>
      <c r="O1374" s="25" t="n">
        <f aca="false">IF(A1374-30&lt;$R$2,"",C1374/INDEX(Clean_Data!$C$2:$C$4314,MATCH(A1374-30,Clean_Data!$A$2:$A$4314,1))-1)</f>
        <v>0.0273635224964464</v>
      </c>
    </row>
    <row r="1375" customFormat="false" ht="15" hidden="false" customHeight="false" outlineLevel="0" collapsed="false">
      <c r="A1375" s="16" t="n">
        <v>43381</v>
      </c>
      <c r="B1375" s="23" t="n">
        <f aca="false">YEAR(A1375)</f>
        <v>2018</v>
      </c>
      <c r="C1375" s="17" t="n">
        <v>6608.07</v>
      </c>
      <c r="D1375" s="23" t="n">
        <f aca="false">A1375-A1374</f>
        <v>1</v>
      </c>
      <c r="E1375" s="24" t="n">
        <f aca="false">LN(C1375)</f>
        <v>8.79604690836505</v>
      </c>
      <c r="F1375" s="25" t="n">
        <f aca="false">LN(C1375/C1374)</f>
        <v>0.00577779688638908</v>
      </c>
      <c r="G1375" s="25" t="n">
        <f aca="false">IF(AND(D1375=1,A1375&gt;=$R$2),F1375,"")</f>
        <v>0.00577779688638908</v>
      </c>
      <c r="H1375" s="27" t="n">
        <f aca="false">IF(G1375="","",G1375^2)</f>
        <v>3.33829368603674E-005</v>
      </c>
      <c r="I1375" s="25" t="n">
        <f aca="false">IF(G1375="","",C1375/C1374-1)</f>
        <v>0.00579452054794527</v>
      </c>
      <c r="J1375" s="17" t="n">
        <f aca="false">AVERAGE(C1176:C1375)</f>
        <v>7266.4363</v>
      </c>
      <c r="K1375" s="17" t="n">
        <f aca="false">MAX(K1374,C1375)</f>
        <v>19650.01</v>
      </c>
      <c r="L1375" s="25" t="n">
        <f aca="false">C1375/K1375-1</f>
        <v>-0.663711621520803</v>
      </c>
      <c r="M1375" s="25" t="n">
        <f aca="false">IF(COUNT(G1346:G1375)&lt;20,"",_xlfn.STDEV.S(G1346:G1375)*SQRT($R$3))</f>
        <v>0.294506018906705</v>
      </c>
      <c r="N1375" s="25" t="n">
        <f aca="false">IF(A1375-7&lt;$R$2,"",C1375/INDEX(Clean_Data!$C$2:$C$4314,MATCH(A1375-7,Clean_Data!$A$2:$A$4314,1))-1)</f>
        <v>0.00536146530489901</v>
      </c>
      <c r="O1375" s="25" t="n">
        <f aca="false">IF(A1375-30&lt;$R$2,"",C1375/INDEX(Clean_Data!$C$2:$C$4314,MATCH(A1375-30,Clean_Data!$A$2:$A$4314,1))-1)</f>
        <v>0.0678846153846153</v>
      </c>
    </row>
    <row r="1376" customFormat="false" ht="15" hidden="false" customHeight="false" outlineLevel="0" collapsed="false">
      <c r="A1376" s="16" t="n">
        <v>43382</v>
      </c>
      <c r="B1376" s="23" t="n">
        <f aca="false">YEAR(A1376)</f>
        <v>2018</v>
      </c>
      <c r="C1376" s="17" t="n">
        <v>6589.48</v>
      </c>
      <c r="D1376" s="23" t="n">
        <f aca="false">A1376-A1375</f>
        <v>1</v>
      </c>
      <c r="E1376" s="24" t="n">
        <f aca="false">LN(C1376)</f>
        <v>8.79322971694769</v>
      </c>
      <c r="F1376" s="25" t="n">
        <f aca="false">LN(C1376/C1375)</f>
        <v>-0.00281719141735611</v>
      </c>
      <c r="G1376" s="25" t="n">
        <f aca="false">IF(AND(D1376=1,A1376&gt;=$R$2),F1376,"")</f>
        <v>-0.00281719141735611</v>
      </c>
      <c r="H1376" s="27" t="n">
        <f aca="false">IF(G1376="","",G1376^2)</f>
        <v>7.9365674820249E-006</v>
      </c>
      <c r="I1376" s="25" t="n">
        <f aca="false">IF(G1376="","",C1376/C1375-1)</f>
        <v>-0.00281322685746366</v>
      </c>
      <c r="J1376" s="17" t="n">
        <f aca="false">AVERAGE(C1177:C1376)</f>
        <v>7254.7482</v>
      </c>
      <c r="K1376" s="17" t="n">
        <f aca="false">MAX(K1375,C1376)</f>
        <v>19650.01</v>
      </c>
      <c r="L1376" s="25" t="n">
        <f aca="false">C1376/K1376-1</f>
        <v>-0.664657677018994</v>
      </c>
      <c r="M1376" s="25" t="n">
        <f aca="false">IF(COUNT(G1347:G1376)&lt;20,"",_xlfn.STDEV.S(G1347:G1376)*SQRT($R$3))</f>
        <v>0.29434650565787</v>
      </c>
      <c r="N1376" s="25" t="n">
        <f aca="false">IF(A1376-7&lt;$R$2,"",C1376/INDEX(Clean_Data!$C$2:$C$4314,MATCH(A1376-7,Clean_Data!$A$2:$A$4314,1))-1)</f>
        <v>0.0140063953613625</v>
      </c>
      <c r="O1376" s="25" t="n">
        <f aca="false">IF(A1376-30&lt;$R$2,"",C1376/INDEX(Clean_Data!$C$2:$C$4314,MATCH(A1376-30,Clean_Data!$A$2:$A$4314,1))-1)</f>
        <v>0.0568515527641493</v>
      </c>
    </row>
    <row r="1377" customFormat="false" ht="15" hidden="false" customHeight="false" outlineLevel="0" collapsed="false">
      <c r="A1377" s="16" t="n">
        <v>43383</v>
      </c>
      <c r="B1377" s="23" t="n">
        <f aca="false">YEAR(A1377)</f>
        <v>2018</v>
      </c>
      <c r="C1377" s="17" t="n">
        <v>6524.56</v>
      </c>
      <c r="D1377" s="23" t="n">
        <f aca="false">A1377-A1376</f>
        <v>1</v>
      </c>
      <c r="E1377" s="24" t="n">
        <f aca="false">LN(C1377)</f>
        <v>8.783328796967</v>
      </c>
      <c r="F1377" s="25" t="n">
        <f aca="false">LN(C1377/C1376)</f>
        <v>-0.00990091998068996</v>
      </c>
      <c r="G1377" s="25" t="n">
        <f aca="false">IF(AND(D1377=1,A1377&gt;=$R$2),F1377,"")</f>
        <v>-0.00990091998068996</v>
      </c>
      <c r="H1377" s="27" t="n">
        <f aca="false">IF(G1377="","",G1377^2)</f>
        <v>9.80282164640257E-005</v>
      </c>
      <c r="I1377" s="25" t="n">
        <f aca="false">IF(G1377="","",C1377/C1376-1)</f>
        <v>-0.00985206723444021</v>
      </c>
      <c r="J1377" s="17" t="n">
        <f aca="false">AVERAGE(C1178:C1377)</f>
        <v>7244.7143</v>
      </c>
      <c r="K1377" s="17" t="n">
        <f aca="false">MAX(K1376,C1377)</f>
        <v>19650.01</v>
      </c>
      <c r="L1377" s="25" t="n">
        <f aca="false">C1377/K1377-1</f>
        <v>-0.667961492131556</v>
      </c>
      <c r="M1377" s="25" t="n">
        <f aca="false">IF(COUNT(G1348:G1377)&lt;20,"",_xlfn.STDEV.S(G1348:G1377)*SQRT($R$3))</f>
        <v>0.295446132744767</v>
      </c>
      <c r="N1377" s="25" t="n">
        <f aca="false">IF(A1377-7&lt;$R$2,"",C1377/INDEX(Clean_Data!$C$2:$C$4314,MATCH(A1377-7,Clean_Data!$A$2:$A$4314,1))-1)</f>
        <v>0.00905192212222961</v>
      </c>
      <c r="O1377" s="25" t="n">
        <f aca="false">IF(A1377-30&lt;$R$2,"",C1377/INDEX(Clean_Data!$C$2:$C$4314,MATCH(A1377-30,Clean_Data!$A$2:$A$4314,1))-1)</f>
        <v>0.0356444444444446</v>
      </c>
    </row>
    <row r="1378" customFormat="false" ht="15" hidden="false" customHeight="false" outlineLevel="0" collapsed="false">
      <c r="A1378" s="16" t="n">
        <v>43384</v>
      </c>
      <c r="B1378" s="23" t="n">
        <f aca="false">YEAR(A1378)</f>
        <v>2018</v>
      </c>
      <c r="C1378" s="17" t="n">
        <v>6154.69</v>
      </c>
      <c r="D1378" s="23" t="n">
        <f aca="false">A1378-A1377</f>
        <v>1</v>
      </c>
      <c r="E1378" s="24" t="n">
        <f aca="false">LN(C1378)</f>
        <v>8.72496967179371</v>
      </c>
      <c r="F1378" s="25" t="n">
        <f aca="false">LN(C1378/C1377)</f>
        <v>-0.0583591251732907</v>
      </c>
      <c r="G1378" s="25" t="n">
        <f aca="false">IF(AND(D1378=1,A1378&gt;=$R$2),F1378,"")</f>
        <v>-0.0583591251732907</v>
      </c>
      <c r="H1378" s="27" t="n">
        <f aca="false">IF(G1378="","",G1378^2)</f>
        <v>0.00340578749099181</v>
      </c>
      <c r="I1378" s="25" t="n">
        <f aca="false">IF(G1378="","",C1378/C1377-1)</f>
        <v>-0.0566888801696974</v>
      </c>
      <c r="J1378" s="17" t="n">
        <f aca="false">AVERAGE(C1179:C1378)</f>
        <v>7233.22275</v>
      </c>
      <c r="K1378" s="17" t="n">
        <f aca="false">MAX(K1377,C1378)</f>
        <v>19650.01</v>
      </c>
      <c r="L1378" s="25" t="n">
        <f aca="false">C1378/K1378-1</f>
        <v>-0.686784383315836</v>
      </c>
      <c r="M1378" s="25" t="n">
        <f aca="false">IF(COUNT(G1349:G1378)&lt;20,"",_xlfn.STDEV.S(G1349:G1378)*SQRT($R$3))</f>
        <v>0.361101969468773</v>
      </c>
      <c r="N1378" s="25" t="n">
        <f aca="false">IF(A1378-7&lt;$R$2,"",C1378/INDEX(Clean_Data!$C$2:$C$4314,MATCH(A1378-7,Clean_Data!$A$2:$A$4314,1))-1)</f>
        <v>-0.0599867123842107</v>
      </c>
      <c r="O1378" s="25" t="n">
        <f aca="false">IF(A1378-30&lt;$R$2,"",C1378/INDEX(Clean_Data!$C$2:$C$4314,MATCH(A1378-30,Clean_Data!$A$2:$A$4314,1))-1)</f>
        <v>-0.0203484901783199</v>
      </c>
    </row>
    <row r="1379" customFormat="false" ht="15" hidden="false" customHeight="false" outlineLevel="0" collapsed="false">
      <c r="A1379" s="16" t="n">
        <v>43385</v>
      </c>
      <c r="B1379" s="23" t="n">
        <f aca="false">YEAR(A1379)</f>
        <v>2018</v>
      </c>
      <c r="C1379" s="17" t="n">
        <v>6188.01</v>
      </c>
      <c r="D1379" s="23" t="n">
        <f aca="false">A1379-A1378</f>
        <v>1</v>
      </c>
      <c r="E1379" s="24" t="n">
        <f aca="false">LN(C1379)</f>
        <v>8.73036882772268</v>
      </c>
      <c r="F1379" s="25" t="n">
        <f aca="false">LN(C1379/C1378)</f>
        <v>0.00539915592897028</v>
      </c>
      <c r="G1379" s="25" t="n">
        <f aca="false">IF(AND(D1379=1,A1379&gt;=$R$2),F1379,"")</f>
        <v>0.00539915592897028</v>
      </c>
      <c r="H1379" s="27" t="n">
        <f aca="false">IF(G1379="","",G1379^2)</f>
        <v>2.9150884745335E-005</v>
      </c>
      <c r="I1379" s="25" t="n">
        <f aca="false">IF(G1379="","",C1379/C1378-1)</f>
        <v>0.00541375763848384</v>
      </c>
      <c r="J1379" s="17" t="n">
        <f aca="false">AVERAGE(C1180:C1379)</f>
        <v>7223.4378</v>
      </c>
      <c r="K1379" s="17" t="n">
        <f aca="false">MAX(K1378,C1379)</f>
        <v>19650.01</v>
      </c>
      <c r="L1379" s="25" t="n">
        <f aca="false">C1379/K1379-1</f>
        <v>-0.685088709878519</v>
      </c>
      <c r="M1379" s="25" t="n">
        <f aca="false">IF(COUNT(G1350:G1379)&lt;20,"",_xlfn.STDEV.S(G1350:G1379)*SQRT($R$3))</f>
        <v>0.360744173880725</v>
      </c>
      <c r="N1379" s="25" t="n">
        <f aca="false">IF(A1379-7&lt;$R$2,"",C1379/INDEX(Clean_Data!$C$2:$C$4314,MATCH(A1379-7,Clean_Data!$A$2:$A$4314,1))-1)</f>
        <v>-0.0615610697094604</v>
      </c>
      <c r="O1379" s="25" t="n">
        <f aca="false">IF(A1379-30&lt;$R$2,"",C1379/INDEX(Clean_Data!$C$2:$C$4314,MATCH(A1379-30,Clean_Data!$A$2:$A$4314,1))-1)</f>
        <v>-0.0218131520708188</v>
      </c>
    </row>
    <row r="1380" customFormat="false" ht="15" hidden="false" customHeight="false" outlineLevel="0" collapsed="false">
      <c r="A1380" s="16" t="n">
        <v>43386</v>
      </c>
      <c r="B1380" s="23" t="n">
        <f aca="false">YEAR(A1380)</f>
        <v>2018</v>
      </c>
      <c r="C1380" s="17" t="n">
        <v>6196</v>
      </c>
      <c r="D1380" s="23" t="n">
        <f aca="false">A1380-A1379</f>
        <v>1</v>
      </c>
      <c r="E1380" s="24" t="n">
        <f aca="false">LN(C1380)</f>
        <v>8.73165920153676</v>
      </c>
      <c r="F1380" s="25" t="n">
        <f aca="false">LN(C1380/C1379)</f>
        <v>0.00129037381408052</v>
      </c>
      <c r="G1380" s="25" t="n">
        <f aca="false">IF(AND(D1380=1,A1380&gt;=$R$2),F1380,"")</f>
        <v>0.00129037381408052</v>
      </c>
      <c r="H1380" s="27" t="n">
        <f aca="false">IF(G1380="","",G1380^2)</f>
        <v>1.6650645800647E-006</v>
      </c>
      <c r="I1380" s="25" t="n">
        <f aca="false">IF(G1380="","",C1380/C1379-1)</f>
        <v>0.00129120670457872</v>
      </c>
      <c r="J1380" s="17" t="n">
        <f aca="false">AVERAGE(C1181:C1380)</f>
        <v>7215.44975</v>
      </c>
      <c r="K1380" s="17" t="n">
        <f aca="false">MAX(K1379,C1380)</f>
        <v>19650.01</v>
      </c>
      <c r="L1380" s="25" t="n">
        <f aca="false">C1380/K1380-1</f>
        <v>-0.684682094309367</v>
      </c>
      <c r="M1380" s="25" t="n">
        <f aca="false">IF(COUNT(G1351:G1380)&lt;20,"",_xlfn.STDEV.S(G1351:G1380)*SQRT($R$3))</f>
        <v>0.348757972575087</v>
      </c>
      <c r="N1380" s="25" t="n">
        <f aca="false">IF(A1380-7&lt;$R$2,"",C1380/INDEX(Clean_Data!$C$2:$C$4314,MATCH(A1380-7,Clean_Data!$A$2:$A$4314,1))-1)</f>
        <v>-0.054396613164887</v>
      </c>
      <c r="O1380" s="25" t="n">
        <f aca="false">IF(A1380-30&lt;$R$2,"",C1380/INDEX(Clean_Data!$C$2:$C$4314,MATCH(A1380-30,Clean_Data!$A$2:$A$4314,1))-1)</f>
        <v>-0.0447102138609525</v>
      </c>
    </row>
    <row r="1381" customFormat="false" ht="15" hidden="false" customHeight="false" outlineLevel="0" collapsed="false">
      <c r="A1381" s="16" t="n">
        <v>43387</v>
      </c>
      <c r="B1381" s="23" t="n">
        <f aca="false">YEAR(A1381)</f>
        <v>2018</v>
      </c>
      <c r="C1381" s="17" t="n">
        <v>6183.49</v>
      </c>
      <c r="D1381" s="23" t="n">
        <f aca="false">A1381-A1380</f>
        <v>1</v>
      </c>
      <c r="E1381" s="24" t="n">
        <f aca="false">LN(C1381)</f>
        <v>8.72963811597372</v>
      </c>
      <c r="F1381" s="25" t="n">
        <f aca="false">LN(C1381/C1380)</f>
        <v>-0.00202108556303856</v>
      </c>
      <c r="G1381" s="25" t="n">
        <f aca="false">IF(AND(D1381=1,A1381&gt;=$R$2),F1381,"")</f>
        <v>-0.00202108556303856</v>
      </c>
      <c r="H1381" s="27" t="n">
        <f aca="false">IF(G1381="","",G1381^2)</f>
        <v>4.0847868531229E-006</v>
      </c>
      <c r="I1381" s="25" t="n">
        <f aca="false">IF(G1381="","",C1381/C1380-1)</f>
        <v>-0.00201904454486768</v>
      </c>
      <c r="J1381" s="17" t="n">
        <f aca="false">AVERAGE(C1182:C1381)</f>
        <v>7206.6536</v>
      </c>
      <c r="K1381" s="17" t="n">
        <f aca="false">MAX(K1380,C1381)</f>
        <v>19650.01</v>
      </c>
      <c r="L1381" s="25" t="n">
        <f aca="false">C1381/K1381-1</f>
        <v>-0.685318735206751</v>
      </c>
      <c r="M1381" s="25" t="n">
        <f aca="false">IF(COUNT(G1352:G1381)&lt;20,"",_xlfn.STDEV.S(G1352:G1381)*SQRT($R$3))</f>
        <v>0.348760434443491</v>
      </c>
      <c r="N1381" s="25" t="n">
        <f aca="false">IF(A1381-7&lt;$R$2,"",C1381/INDEX(Clean_Data!$C$2:$C$4314,MATCH(A1381-7,Clean_Data!$A$2:$A$4314,1))-1)</f>
        <v>-0.0588295281582953</v>
      </c>
      <c r="O1381" s="25" t="n">
        <f aca="false">IF(A1381-30&lt;$R$2,"",C1381/INDEX(Clean_Data!$C$2:$C$4314,MATCH(A1381-30,Clean_Data!$A$2:$A$4314,1))-1)</f>
        <v>-0.0454689998826806</v>
      </c>
    </row>
    <row r="1382" customFormat="false" ht="15" hidden="false" customHeight="false" outlineLevel="0" collapsed="false">
      <c r="A1382" s="16" t="n">
        <v>43388</v>
      </c>
      <c r="B1382" s="23" t="n">
        <f aca="false">YEAR(A1382)</f>
        <v>2018</v>
      </c>
      <c r="C1382" s="17" t="n">
        <v>6440.42</v>
      </c>
      <c r="D1382" s="23" t="n">
        <f aca="false">A1382-A1381</f>
        <v>1</v>
      </c>
      <c r="E1382" s="24" t="n">
        <f aca="false">LN(C1382)</f>
        <v>8.77034903436314</v>
      </c>
      <c r="F1382" s="25" t="n">
        <f aca="false">LN(C1382/C1381)</f>
        <v>0.0407109183894215</v>
      </c>
      <c r="G1382" s="25" t="n">
        <f aca="false">IF(AND(D1382=1,A1382&gt;=$R$2),F1382,"")</f>
        <v>0.0407109183894215</v>
      </c>
      <c r="H1382" s="27" t="n">
        <f aca="false">IF(G1382="","",G1382^2)</f>
        <v>0.00165737887611014</v>
      </c>
      <c r="I1382" s="25" t="n">
        <f aca="false">IF(G1382="","",C1382/C1381-1)</f>
        <v>0.0415509687894702</v>
      </c>
      <c r="J1382" s="17" t="n">
        <f aca="false">AVERAGE(C1183:C1382)</f>
        <v>7203.45575</v>
      </c>
      <c r="K1382" s="17" t="n">
        <f aca="false">MAX(K1381,C1382)</f>
        <v>19650.01</v>
      </c>
      <c r="L1382" s="25" t="n">
        <f aca="false">C1382/K1382-1</f>
        <v>-0.672243423794695</v>
      </c>
      <c r="M1382" s="25" t="n">
        <f aca="false">IF(COUNT(G1353:G1382)&lt;20,"",_xlfn.STDEV.S(G1353:G1382)*SQRT($R$3))</f>
        <v>0.377953714916529</v>
      </c>
      <c r="N1382" s="25" t="n">
        <f aca="false">IF(A1382-7&lt;$R$2,"",C1382/INDEX(Clean_Data!$C$2:$C$4314,MATCH(A1382-7,Clean_Data!$A$2:$A$4314,1))-1)</f>
        <v>-0.0253704939566317</v>
      </c>
      <c r="O1382" s="25" t="n">
        <f aca="false">IF(A1382-30&lt;$R$2,"",C1382/INDEX(Clean_Data!$C$2:$C$4314,MATCH(A1382-30,Clean_Data!$A$2:$A$4314,1))-1)</f>
        <v>-0.0120054980456167</v>
      </c>
    </row>
    <row r="1383" customFormat="false" ht="15" hidden="false" customHeight="false" outlineLevel="0" collapsed="false">
      <c r="A1383" s="16" t="n">
        <v>43389</v>
      </c>
      <c r="B1383" s="23" t="n">
        <f aca="false">YEAR(A1383)</f>
        <v>2018</v>
      </c>
      <c r="C1383" s="17" t="n">
        <v>6457.11</v>
      </c>
      <c r="D1383" s="23" t="n">
        <f aca="false">A1383-A1382</f>
        <v>1</v>
      </c>
      <c r="E1383" s="24" t="n">
        <f aca="false">LN(C1383)</f>
        <v>8.77293712825649</v>
      </c>
      <c r="F1383" s="25" t="n">
        <f aca="false">LN(C1383/C1382)</f>
        <v>0.00258809389334542</v>
      </c>
      <c r="G1383" s="25" t="n">
        <f aca="false">IF(AND(D1383=1,A1383&gt;=$R$2),F1383,"")</f>
        <v>0.00258809389334542</v>
      </c>
      <c r="H1383" s="27" t="n">
        <f aca="false">IF(G1383="","",G1383^2)</f>
        <v>6.69823000077186E-006</v>
      </c>
      <c r="I1383" s="25" t="n">
        <f aca="false">IF(G1383="","",C1383/C1382-1)</f>
        <v>0.0025914458994909</v>
      </c>
      <c r="J1383" s="17" t="n">
        <f aca="false">AVERAGE(C1184:C1383)</f>
        <v>7201.50125</v>
      </c>
      <c r="K1383" s="17" t="n">
        <f aca="false">MAX(K1382,C1383)</f>
        <v>19650.01</v>
      </c>
      <c r="L1383" s="25" t="n">
        <f aca="false">C1383/K1383-1</f>
        <v>-0.671394060359257</v>
      </c>
      <c r="M1383" s="25" t="n">
        <f aca="false">IF(COUNT(G1354:G1383)&lt;20,"",_xlfn.STDEV.S(G1354:G1383)*SQRT($R$3))</f>
        <v>0.377955985689543</v>
      </c>
      <c r="N1383" s="25" t="n">
        <f aca="false">IF(A1383-7&lt;$R$2,"",C1383/INDEX(Clean_Data!$C$2:$C$4314,MATCH(A1383-7,Clean_Data!$A$2:$A$4314,1))-1)</f>
        <v>-0.0200880797877829</v>
      </c>
      <c r="O1383" s="25" t="n">
        <f aca="false">IF(A1383-30&lt;$R$2,"",C1383/INDEX(Clean_Data!$C$2:$C$4314,MATCH(A1383-30,Clean_Data!$A$2:$A$4314,1))-1)</f>
        <v>-0.00629270544783012</v>
      </c>
    </row>
    <row r="1384" customFormat="false" ht="15" hidden="false" customHeight="false" outlineLevel="0" collapsed="false">
      <c r="A1384" s="16" t="n">
        <v>43390</v>
      </c>
      <c r="B1384" s="23" t="n">
        <f aca="false">YEAR(A1384)</f>
        <v>2018</v>
      </c>
      <c r="C1384" s="17" t="n">
        <v>6443.7</v>
      </c>
      <c r="D1384" s="23" t="n">
        <f aca="false">A1384-A1383</f>
        <v>1</v>
      </c>
      <c r="E1384" s="24" t="n">
        <f aca="false">LN(C1384)</f>
        <v>8.77085818827833</v>
      </c>
      <c r="F1384" s="25" t="n">
        <f aca="false">LN(C1384/C1383)</f>
        <v>-0.00207893997816028</v>
      </c>
      <c r="G1384" s="25" t="n">
        <f aca="false">IF(AND(D1384=1,A1384&gt;=$R$2),F1384,"")</f>
        <v>-0.00207893997816028</v>
      </c>
      <c r="H1384" s="27" t="n">
        <f aca="false">IF(G1384="","",G1384^2)</f>
        <v>4.32199143279307E-006</v>
      </c>
      <c r="I1384" s="25" t="n">
        <f aca="false">IF(G1384="","",C1384/C1383-1)</f>
        <v>-0.00207678047919269</v>
      </c>
      <c r="J1384" s="17" t="n">
        <f aca="false">AVERAGE(C1185:C1384)</f>
        <v>7199.07725</v>
      </c>
      <c r="K1384" s="17" t="n">
        <f aca="false">MAX(K1383,C1384)</f>
        <v>19650.01</v>
      </c>
      <c r="L1384" s="25" t="n">
        <f aca="false">C1384/K1384-1</f>
        <v>-0.67207650276005</v>
      </c>
      <c r="M1384" s="25" t="n">
        <f aca="false">IF(COUNT(G1355:G1384)&lt;20,"",_xlfn.STDEV.S(G1355:G1384)*SQRT($R$3))</f>
        <v>0.351546786459797</v>
      </c>
      <c r="N1384" s="25" t="n">
        <f aca="false">IF(A1384-7&lt;$R$2,"",C1384/INDEX(Clean_Data!$C$2:$C$4314,MATCH(A1384-7,Clean_Data!$A$2:$A$4314,1))-1)</f>
        <v>-0.0123931728729602</v>
      </c>
      <c r="O1384" s="25" t="n">
        <f aca="false">IF(A1384-30&lt;$R$2,"",C1384/INDEX(Clean_Data!$C$2:$C$4314,MATCH(A1384-30,Clean_Data!$A$2:$A$4314,1))-1)</f>
        <v>0.0308765418273154</v>
      </c>
    </row>
    <row r="1385" customFormat="false" ht="15" hidden="false" customHeight="false" outlineLevel="0" collapsed="false">
      <c r="A1385" s="16" t="n">
        <v>43391</v>
      </c>
      <c r="B1385" s="23" t="n">
        <f aca="false">YEAR(A1385)</f>
        <v>2018</v>
      </c>
      <c r="C1385" s="17" t="n">
        <v>6394.96</v>
      </c>
      <c r="D1385" s="23" t="n">
        <f aca="false">A1385-A1384</f>
        <v>1</v>
      </c>
      <c r="E1385" s="24" t="n">
        <f aca="false">LN(C1385)</f>
        <v>8.76326545910675</v>
      </c>
      <c r="F1385" s="25" t="n">
        <f aca="false">LN(C1385/C1384)</f>
        <v>-0.00759272917157625</v>
      </c>
      <c r="G1385" s="25" t="n">
        <f aca="false">IF(AND(D1385=1,A1385&gt;=$R$2),F1385,"")</f>
        <v>-0.00759272917157625</v>
      </c>
      <c r="H1385" s="27" t="n">
        <f aca="false">IF(G1385="","",G1385^2)</f>
        <v>5.7649536272905E-005</v>
      </c>
      <c r="I1385" s="25" t="n">
        <f aca="false">IF(G1385="","",C1385/C1384-1)</f>
        <v>-0.00756397721805791</v>
      </c>
      <c r="J1385" s="17" t="n">
        <f aca="false">AVERAGE(C1186:C1385)</f>
        <v>7196.972</v>
      </c>
      <c r="K1385" s="17" t="n">
        <f aca="false">MAX(K1384,C1385)</f>
        <v>19650.01</v>
      </c>
      <c r="L1385" s="25" t="n">
        <f aca="false">C1385/K1385-1</f>
        <v>-0.674556908622438</v>
      </c>
      <c r="M1385" s="25" t="n">
        <f aca="false">IF(COUNT(G1356:G1385)&lt;20,"",_xlfn.STDEV.S(G1356:G1385)*SQRT($R$3))</f>
        <v>0.349808760062378</v>
      </c>
      <c r="N1385" s="25" t="n">
        <f aca="false">IF(A1385-7&lt;$R$2,"",C1385/INDEX(Clean_Data!$C$2:$C$4314,MATCH(A1385-7,Clean_Data!$A$2:$A$4314,1))-1)</f>
        <v>0.0390385218426923</v>
      </c>
      <c r="O1385" s="25" t="n">
        <f aca="false">IF(A1385-30&lt;$R$2,"",C1385/INDEX(Clean_Data!$C$2:$C$4314,MATCH(A1385-30,Clean_Data!$A$2:$A$4314,1))-1)</f>
        <v>0.00935334690720846</v>
      </c>
    </row>
    <row r="1386" customFormat="false" ht="15" hidden="false" customHeight="false" outlineLevel="0" collapsed="false">
      <c r="A1386" s="16" t="n">
        <v>43392</v>
      </c>
      <c r="B1386" s="23" t="n">
        <f aca="false">YEAR(A1386)</f>
        <v>2018</v>
      </c>
      <c r="C1386" s="17" t="n">
        <v>6382.99</v>
      </c>
      <c r="D1386" s="23" t="n">
        <f aca="false">A1386-A1385</f>
        <v>1</v>
      </c>
      <c r="E1386" s="24" t="n">
        <f aca="false">LN(C1386)</f>
        <v>8.76139191859339</v>
      </c>
      <c r="F1386" s="25" t="n">
        <f aca="false">LN(C1386/C1385)</f>
        <v>-0.0018735405133654</v>
      </c>
      <c r="G1386" s="25" t="n">
        <f aca="false">IF(AND(D1386=1,A1386&gt;=$R$2),F1386,"")</f>
        <v>-0.0018735405133654</v>
      </c>
      <c r="H1386" s="27" t="n">
        <f aca="false">IF(G1386="","",G1386^2)</f>
        <v>3.51015405522149E-006</v>
      </c>
      <c r="I1386" s="25" t="n">
        <f aca="false">IF(G1386="","",C1386/C1385-1)</f>
        <v>-0.0018717865318939</v>
      </c>
      <c r="J1386" s="17" t="n">
        <f aca="false">AVERAGE(C1187:C1386)</f>
        <v>7193.6619</v>
      </c>
      <c r="K1386" s="17" t="n">
        <f aca="false">MAX(K1385,C1386)</f>
        <v>19650.01</v>
      </c>
      <c r="L1386" s="25" t="n">
        <f aca="false">C1386/K1386-1</f>
        <v>-0.675166068617777</v>
      </c>
      <c r="M1386" s="25" t="n">
        <f aca="false">IF(COUNT(G1357:G1386)&lt;20,"",_xlfn.STDEV.S(G1357:G1386)*SQRT($R$3))</f>
        <v>0.348754820029966</v>
      </c>
      <c r="N1386" s="25" t="n">
        <f aca="false">IF(A1386-7&lt;$R$2,"",C1386/INDEX(Clean_Data!$C$2:$C$4314,MATCH(A1386-7,Clean_Data!$A$2:$A$4314,1))-1)</f>
        <v>0.031509322059919</v>
      </c>
      <c r="O1386" s="25" t="n">
        <f aca="false">IF(A1386-30&lt;$R$2,"",C1386/INDEX(Clean_Data!$C$2:$C$4314,MATCH(A1386-30,Clean_Data!$A$2:$A$4314,1))-1)</f>
        <v>-0.000618449523558939</v>
      </c>
    </row>
    <row r="1387" customFormat="false" ht="15" hidden="false" customHeight="false" outlineLevel="0" collapsed="false">
      <c r="A1387" s="16" t="n">
        <v>43393</v>
      </c>
      <c r="B1387" s="23" t="n">
        <f aca="false">YEAR(A1387)</f>
        <v>2018</v>
      </c>
      <c r="C1387" s="17" t="n">
        <v>6414</v>
      </c>
      <c r="D1387" s="23" t="n">
        <f aca="false">A1387-A1386</f>
        <v>1</v>
      </c>
      <c r="E1387" s="24" t="n">
        <f aca="false">LN(C1387)</f>
        <v>8.7662383802531</v>
      </c>
      <c r="F1387" s="25" t="n">
        <f aca="false">LN(C1387/C1386)</f>
        <v>0.00484646165971458</v>
      </c>
      <c r="G1387" s="25" t="n">
        <f aca="false">IF(AND(D1387=1,A1387&gt;=$R$2),F1387,"")</f>
        <v>0.00484646165971458</v>
      </c>
      <c r="H1387" s="27" t="n">
        <f aca="false">IF(G1387="","",G1387^2)</f>
        <v>2.34881906190834E-005</v>
      </c>
      <c r="I1387" s="25" t="n">
        <f aca="false">IF(G1387="","",C1387/C1386-1)</f>
        <v>0.0048582247504696</v>
      </c>
      <c r="J1387" s="17" t="n">
        <f aca="false">AVERAGE(C1188:C1387)</f>
        <v>7188.6074</v>
      </c>
      <c r="K1387" s="17" t="n">
        <f aca="false">MAX(K1386,C1387)</f>
        <v>19650.01</v>
      </c>
      <c r="L1387" s="25" t="n">
        <f aca="false">C1387/K1387-1</f>
        <v>-0.673587952372543</v>
      </c>
      <c r="M1387" s="25" t="n">
        <f aca="false">IF(COUNT(G1358:G1387)&lt;20,"",_xlfn.STDEV.S(G1358:G1387)*SQRT($R$3))</f>
        <v>0.344153666713832</v>
      </c>
      <c r="N1387" s="25" t="n">
        <f aca="false">IF(A1387-7&lt;$R$2,"",C1387/INDEX(Clean_Data!$C$2:$C$4314,MATCH(A1387-7,Clean_Data!$A$2:$A$4314,1))-1)</f>
        <v>0.0351839896707553</v>
      </c>
      <c r="O1387" s="25" t="n">
        <f aca="false">IF(A1387-30&lt;$R$2,"",C1387/INDEX(Clean_Data!$C$2:$C$4314,MATCH(A1387-30,Clean_Data!$A$2:$A$4314,1))-1)</f>
        <v>-0.0121836839357411</v>
      </c>
    </row>
    <row r="1388" customFormat="false" ht="15" hidden="false" customHeight="false" outlineLevel="0" collapsed="false">
      <c r="A1388" s="16" t="n">
        <v>43394</v>
      </c>
      <c r="B1388" s="23" t="n">
        <f aca="false">YEAR(A1388)</f>
        <v>2018</v>
      </c>
      <c r="C1388" s="17" t="n">
        <v>6415.88</v>
      </c>
      <c r="D1388" s="23" t="n">
        <f aca="false">A1388-A1387</f>
        <v>1</v>
      </c>
      <c r="E1388" s="24" t="n">
        <f aca="false">LN(C1388)</f>
        <v>8.76653144612955</v>
      </c>
      <c r="F1388" s="25" t="n">
        <f aca="false">LN(C1388/C1387)</f>
        <v>0.000293065876447045</v>
      </c>
      <c r="G1388" s="25" t="n">
        <f aca="false">IF(AND(D1388=1,A1388&gt;=$R$2),F1388,"")</f>
        <v>0.000293065876447045</v>
      </c>
      <c r="H1388" s="27" t="n">
        <f aca="false">IF(G1388="","",G1388^2)</f>
        <v>8.58876079376744E-008</v>
      </c>
      <c r="I1388" s="25" t="n">
        <f aca="false">IF(G1388="","",C1388/C1387-1)</f>
        <v>0.000293108824446442</v>
      </c>
      <c r="J1388" s="17" t="n">
        <f aca="false">AVERAGE(C1189:C1388)</f>
        <v>7186.7284</v>
      </c>
      <c r="K1388" s="17" t="n">
        <f aca="false">MAX(K1387,C1388)</f>
        <v>19650.01</v>
      </c>
      <c r="L1388" s="25" t="n">
        <f aca="false">C1388/K1388-1</f>
        <v>-0.673492278120978</v>
      </c>
      <c r="M1388" s="25" t="n">
        <f aca="false">IF(COUNT(G1359:G1388)&lt;20,"",_xlfn.STDEV.S(G1359:G1388)*SQRT($R$3))</f>
        <v>0.31380881989607</v>
      </c>
      <c r="N1388" s="25" t="n">
        <f aca="false">IF(A1388-7&lt;$R$2,"",C1388/INDEX(Clean_Data!$C$2:$C$4314,MATCH(A1388-7,Clean_Data!$A$2:$A$4314,1))-1)</f>
        <v>0.0375823361887866</v>
      </c>
      <c r="O1388" s="25" t="n">
        <f aca="false">IF(A1388-30&lt;$R$2,"",C1388/INDEX(Clean_Data!$C$2:$C$4314,MATCH(A1388-30,Clean_Data!$A$2:$A$4314,1))-1)</f>
        <v>-0.0494992592592592</v>
      </c>
    </row>
    <row r="1389" customFormat="false" ht="15" hidden="false" customHeight="false" outlineLevel="0" collapsed="false">
      <c r="A1389" s="16" t="n">
        <v>43395</v>
      </c>
      <c r="B1389" s="23" t="n">
        <f aca="false">YEAR(A1389)</f>
        <v>2018</v>
      </c>
      <c r="C1389" s="17" t="n">
        <v>6407.65</v>
      </c>
      <c r="D1389" s="23" t="n">
        <f aca="false">A1389-A1388</f>
        <v>1</v>
      </c>
      <c r="E1389" s="24" t="n">
        <f aca="false">LN(C1389)</f>
        <v>8.76524786803054</v>
      </c>
      <c r="F1389" s="25" t="n">
        <f aca="false">LN(C1389/C1388)</f>
        <v>-0.0012835780990041</v>
      </c>
      <c r="G1389" s="25" t="n">
        <f aca="false">IF(AND(D1389=1,A1389&gt;=$R$2),F1389,"")</f>
        <v>-0.0012835780990041</v>
      </c>
      <c r="H1389" s="27" t="n">
        <f aca="false">IF(G1389="","",G1389^2)</f>
        <v>1.64757273624298E-006</v>
      </c>
      <c r="I1389" s="25" t="n">
        <f aca="false">IF(G1389="","",C1389/C1388-1)</f>
        <v>-0.00128275466498762</v>
      </c>
      <c r="J1389" s="17" t="n">
        <f aca="false">AVERAGE(C1190:C1389)</f>
        <v>7184.8374</v>
      </c>
      <c r="K1389" s="17" t="n">
        <f aca="false">MAX(K1388,C1389)</f>
        <v>19650.01</v>
      </c>
      <c r="L1389" s="25" t="n">
        <f aca="false">C1389/K1389-1</f>
        <v>-0.673911107424373</v>
      </c>
      <c r="M1389" s="25" t="n">
        <f aca="false">IF(COUNT(G1360:G1389)&lt;20,"",_xlfn.STDEV.S(G1360:G1389)*SQRT($R$3))</f>
        <v>0.313361255605946</v>
      </c>
      <c r="N1389" s="25" t="n">
        <f aca="false">IF(A1389-7&lt;$R$2,"",C1389/INDEX(Clean_Data!$C$2:$C$4314,MATCH(A1389-7,Clean_Data!$A$2:$A$4314,1))-1)</f>
        <v>-0.00508817747910861</v>
      </c>
      <c r="O1389" s="25" t="n">
        <f aca="false">IF(A1389-30&lt;$R$2,"",C1389/INDEX(Clean_Data!$C$2:$C$4314,MATCH(A1389-30,Clean_Data!$A$2:$A$4314,1))-1)</f>
        <v>-0.0446794775268252</v>
      </c>
    </row>
    <row r="1390" customFormat="false" ht="15" hidden="false" customHeight="false" outlineLevel="0" collapsed="false">
      <c r="A1390" s="16" t="n">
        <v>43396</v>
      </c>
      <c r="B1390" s="23" t="n">
        <f aca="false">YEAR(A1390)</f>
        <v>2018</v>
      </c>
      <c r="C1390" s="17" t="n">
        <v>6395.14</v>
      </c>
      <c r="D1390" s="23" t="n">
        <f aca="false">A1390-A1389</f>
        <v>1</v>
      </c>
      <c r="E1390" s="24" t="n">
        <f aca="false">LN(C1390)</f>
        <v>8.76329360587652</v>
      </c>
      <c r="F1390" s="25" t="n">
        <f aca="false">LN(C1390/C1389)</f>
        <v>-0.00195426215402312</v>
      </c>
      <c r="G1390" s="25" t="n">
        <f aca="false">IF(AND(D1390=1,A1390&gt;=$R$2),F1390,"")</f>
        <v>-0.00195426215402312</v>
      </c>
      <c r="H1390" s="27" t="n">
        <f aca="false">IF(G1390="","",G1390^2)</f>
        <v>3.81914056664708E-006</v>
      </c>
      <c r="I1390" s="25" t="n">
        <f aca="false">IF(G1390="","",C1390/C1389-1)</f>
        <v>-0.00195235382706593</v>
      </c>
      <c r="J1390" s="17" t="n">
        <f aca="false">AVERAGE(C1191:C1390)</f>
        <v>7183.71805</v>
      </c>
      <c r="K1390" s="17" t="n">
        <f aca="false">MAX(K1389,C1390)</f>
        <v>19650.01</v>
      </c>
      <c r="L1390" s="25" t="n">
        <f aca="false">C1390/K1390-1</f>
        <v>-0.674547748321757</v>
      </c>
      <c r="M1390" s="25" t="n">
        <f aca="false">IF(COUNT(G1361:G1390)&lt;20,"",_xlfn.STDEV.S(G1361:G1390)*SQRT($R$3))</f>
        <v>0.313364859362606</v>
      </c>
      <c r="N1390" s="25" t="n">
        <f aca="false">IF(A1390-7&lt;$R$2,"",C1390/INDEX(Clean_Data!$C$2:$C$4314,MATCH(A1390-7,Clean_Data!$A$2:$A$4314,1))-1)</f>
        <v>-0.0095971727289762</v>
      </c>
      <c r="O1390" s="25" t="n">
        <f aca="false">IF(A1390-30&lt;$R$2,"",C1390/INDEX(Clean_Data!$C$2:$C$4314,MATCH(A1390-30,Clean_Data!$A$2:$A$4314,1))-1)</f>
        <v>-0.0450724877892903</v>
      </c>
    </row>
    <row r="1391" customFormat="false" ht="15" hidden="false" customHeight="false" outlineLevel="0" collapsed="false">
      <c r="A1391" s="16" t="n">
        <v>43397</v>
      </c>
      <c r="B1391" s="23" t="n">
        <f aca="false">YEAR(A1391)</f>
        <v>2018</v>
      </c>
      <c r="C1391" s="17" t="n">
        <v>6415.98</v>
      </c>
      <c r="D1391" s="23" t="n">
        <f aca="false">A1391-A1390</f>
        <v>1</v>
      </c>
      <c r="E1391" s="24" t="n">
        <f aca="false">LN(C1391)</f>
        <v>8.76654703233451</v>
      </c>
      <c r="F1391" s="25" t="n">
        <f aca="false">LN(C1391/C1390)</f>
        <v>0.00325342645798907</v>
      </c>
      <c r="G1391" s="25" t="n">
        <f aca="false">IF(AND(D1391=1,A1391&gt;=$R$2),F1391,"")</f>
        <v>0.00325342645798907</v>
      </c>
      <c r="H1391" s="27" t="n">
        <f aca="false">IF(G1391="","",G1391^2)</f>
        <v>1.05847837175433E-005</v>
      </c>
      <c r="I1391" s="25" t="n">
        <f aca="false">IF(G1391="","",C1391/C1390-1)</f>
        <v>0.00325872459398835</v>
      </c>
      <c r="J1391" s="17" t="n">
        <f aca="false">AVERAGE(C1192:C1391)</f>
        <v>7181.3279</v>
      </c>
      <c r="K1391" s="17" t="n">
        <f aca="false">MAX(K1390,C1391)</f>
        <v>19650.01</v>
      </c>
      <c r="L1391" s="25" t="n">
        <f aca="false">C1391/K1391-1</f>
        <v>-0.673487189065044</v>
      </c>
      <c r="M1391" s="25" t="n">
        <f aca="false">IF(COUNT(G1362:G1391)&lt;20,"",_xlfn.STDEV.S(G1362:G1391)*SQRT($R$3))</f>
        <v>0.308511847149843</v>
      </c>
      <c r="N1391" s="25" t="n">
        <f aca="false">IF(A1391-7&lt;$R$2,"",C1391/INDEX(Clean_Data!$C$2:$C$4314,MATCH(A1391-7,Clean_Data!$A$2:$A$4314,1))-1)</f>
        <v>-0.00430187625122214</v>
      </c>
      <c r="O1391" s="25" t="n">
        <f aca="false">IF(A1391-30&lt;$R$2,"",C1391/INDEX(Clean_Data!$C$2:$C$4314,MATCH(A1391-30,Clean_Data!$A$2:$A$4314,1))-1)</f>
        <v>-0.0252366649498869</v>
      </c>
    </row>
    <row r="1392" customFormat="false" ht="15" hidden="false" customHeight="false" outlineLevel="0" collapsed="false">
      <c r="A1392" s="16" t="n">
        <v>43398</v>
      </c>
      <c r="B1392" s="23" t="n">
        <f aca="false">YEAR(A1392)</f>
        <v>2018</v>
      </c>
      <c r="C1392" s="17" t="n">
        <v>6395.58</v>
      </c>
      <c r="D1392" s="23" t="n">
        <f aca="false">A1392-A1391</f>
        <v>1</v>
      </c>
      <c r="E1392" s="24" t="n">
        <f aca="false">LN(C1392)</f>
        <v>8.76336240575646</v>
      </c>
      <c r="F1392" s="25" t="n">
        <f aca="false">LN(C1392/C1391)</f>
        <v>-0.00318462657804917</v>
      </c>
      <c r="G1392" s="25" t="n">
        <f aca="false">IF(AND(D1392=1,A1392&gt;=$R$2),F1392,"")</f>
        <v>-0.00318462657804917</v>
      </c>
      <c r="H1392" s="27" t="n">
        <f aca="false">IF(G1392="","",G1392^2)</f>
        <v>1.01418464416172E-005</v>
      </c>
      <c r="I1392" s="25" t="n">
        <f aca="false">IF(G1392="","",C1392/C1391-1)</f>
        <v>-0.00317956103354433</v>
      </c>
      <c r="J1392" s="17" t="n">
        <f aca="false">AVERAGE(C1193:C1392)</f>
        <v>7178.20575</v>
      </c>
      <c r="K1392" s="17" t="n">
        <f aca="false">MAX(K1391,C1392)</f>
        <v>19650.01</v>
      </c>
      <c r="L1392" s="25" t="n">
        <f aca="false">C1392/K1392-1</f>
        <v>-0.674525356475646</v>
      </c>
      <c r="M1392" s="25" t="n">
        <f aca="false">IF(COUNT(G1363:G1392)&lt;20,"",_xlfn.STDEV.S(G1363:G1392)*SQRT($R$3))</f>
        <v>0.29883288975986</v>
      </c>
      <c r="N1392" s="25" t="n">
        <f aca="false">IF(A1392-7&lt;$R$2,"",C1392/INDEX(Clean_Data!$C$2:$C$4314,MATCH(A1392-7,Clean_Data!$A$2:$A$4314,1))-1)</f>
        <v>9.6951349187524E-005</v>
      </c>
      <c r="O1392" s="25" t="n">
        <f aca="false">IF(A1392-30&lt;$R$2,"",C1392/INDEX(Clean_Data!$C$2:$C$4314,MATCH(A1392-30,Clean_Data!$A$2:$A$4314,1))-1)</f>
        <v>-0.00641769550202043</v>
      </c>
    </row>
    <row r="1393" customFormat="false" ht="15" hidden="false" customHeight="false" outlineLevel="0" collapsed="false">
      <c r="A1393" s="16" t="n">
        <v>43399</v>
      </c>
      <c r="B1393" s="23" t="n">
        <f aca="false">YEAR(A1393)</f>
        <v>2018</v>
      </c>
      <c r="C1393" s="17" t="n">
        <v>6404.87</v>
      </c>
      <c r="D1393" s="23" t="n">
        <f aca="false">A1393-A1392</f>
        <v>1</v>
      </c>
      <c r="E1393" s="24" t="n">
        <f aca="false">LN(C1393)</f>
        <v>8.76481391748161</v>
      </c>
      <c r="F1393" s="25" t="n">
        <f aca="false">LN(C1393/C1392)</f>
        <v>0.00145151172514727</v>
      </c>
      <c r="G1393" s="25" t="n">
        <f aca="false">IF(AND(D1393=1,A1393&gt;=$R$2),F1393,"")</f>
        <v>0.00145151172514727</v>
      </c>
      <c r="H1393" s="27" t="n">
        <f aca="false">IF(G1393="","",G1393^2)</f>
        <v>2.10688628824E-006</v>
      </c>
      <c r="I1393" s="25" t="n">
        <f aca="false">IF(G1393="","",C1393/C1392-1)</f>
        <v>0.00145256567817142</v>
      </c>
      <c r="J1393" s="17" t="n">
        <f aca="false">AVERAGE(C1194:C1393)</f>
        <v>7176.37445</v>
      </c>
      <c r="K1393" s="17" t="n">
        <f aca="false">MAX(K1392,C1393)</f>
        <v>19650.01</v>
      </c>
      <c r="L1393" s="25" t="n">
        <f aca="false">C1393/K1393-1</f>
        <v>-0.674052583179347</v>
      </c>
      <c r="M1393" s="25" t="n">
        <f aca="false">IF(COUNT(G1364:G1393)&lt;20,"",_xlfn.STDEV.S(G1364:G1393)*SQRT($R$3))</f>
        <v>0.298683980278004</v>
      </c>
      <c r="N1393" s="25" t="n">
        <f aca="false">IF(A1393-7&lt;$R$2,"",C1393/INDEX(Clean_Data!$C$2:$C$4314,MATCH(A1393-7,Clean_Data!$A$2:$A$4314,1))-1)</f>
        <v>0.0034278606107796</v>
      </c>
      <c r="O1393" s="25" t="n">
        <f aca="false">IF(A1393-30&lt;$R$2,"",C1393/INDEX(Clean_Data!$C$2:$C$4314,MATCH(A1393-30,Clean_Data!$A$2:$A$4314,1))-1)</f>
        <v>-0.0078675147080236</v>
      </c>
    </row>
    <row r="1394" customFormat="false" ht="15" hidden="false" customHeight="false" outlineLevel="0" collapsed="false">
      <c r="A1394" s="16" t="n">
        <v>43400</v>
      </c>
      <c r="B1394" s="23" t="n">
        <f aca="false">YEAR(A1394)</f>
        <v>2018</v>
      </c>
      <c r="C1394" s="17" t="n">
        <v>6409.12</v>
      </c>
      <c r="D1394" s="23" t="n">
        <f aca="false">A1394-A1393</f>
        <v>1</v>
      </c>
      <c r="E1394" s="24" t="n">
        <f aca="false">LN(C1394)</f>
        <v>8.76547725499878</v>
      </c>
      <c r="F1394" s="25" t="n">
        <f aca="false">LN(C1394/C1393)</f>
        <v>0.000663337517172974</v>
      </c>
      <c r="G1394" s="25" t="n">
        <f aca="false">IF(AND(D1394=1,A1394&gt;=$R$2),F1394,"")</f>
        <v>0.000663337517172974</v>
      </c>
      <c r="H1394" s="27" t="n">
        <f aca="false">IF(G1394="","",G1394^2)</f>
        <v>4.40016661689205E-007</v>
      </c>
      <c r="I1394" s="25" t="n">
        <f aca="false">IF(G1394="","",C1394/C1393-1)</f>
        <v>0.00066355757415848</v>
      </c>
      <c r="J1394" s="17" t="n">
        <f aca="false">AVERAGE(C1195:C1394)</f>
        <v>7174.2951</v>
      </c>
      <c r="K1394" s="17" t="n">
        <f aca="false">MAX(K1393,C1394)</f>
        <v>19650.01</v>
      </c>
      <c r="L1394" s="25" t="n">
        <f aca="false">C1394/K1394-1</f>
        <v>-0.673836298302138</v>
      </c>
      <c r="M1394" s="25" t="n">
        <f aca="false">IF(COUNT(G1365:G1394)&lt;20,"",_xlfn.STDEV.S(G1365:G1394)*SQRT($R$3))</f>
        <v>0.271727842495814</v>
      </c>
      <c r="N1394" s="25" t="n">
        <f aca="false">IF(A1394-7&lt;$R$2,"",C1394/INDEX(Clean_Data!$C$2:$C$4314,MATCH(A1394-7,Clean_Data!$A$2:$A$4314,1))-1)</f>
        <v>-0.000760835671967608</v>
      </c>
      <c r="O1394" s="25" t="n">
        <f aca="false">IF(A1394-30&lt;$R$2,"",C1394/INDEX(Clean_Data!$C$2:$C$4314,MATCH(A1394-30,Clean_Data!$A$2:$A$4314,1))-1)</f>
        <v>-0.0405523345024933</v>
      </c>
    </row>
    <row r="1395" customFormat="false" ht="15" hidden="false" customHeight="false" outlineLevel="0" collapsed="false">
      <c r="A1395" s="16" t="n">
        <v>43401</v>
      </c>
      <c r="B1395" s="23" t="n">
        <f aca="false">YEAR(A1395)</f>
        <v>2018</v>
      </c>
      <c r="C1395" s="17" t="n">
        <v>6403.62</v>
      </c>
      <c r="D1395" s="23" t="n">
        <f aca="false">A1395-A1394</f>
        <v>1</v>
      </c>
      <c r="E1395" s="24" t="n">
        <f aca="false">LN(C1395)</f>
        <v>8.76461873444224</v>
      </c>
      <c r="F1395" s="25" t="n">
        <f aca="false">LN(C1395/C1394)</f>
        <v>-0.000858520556542625</v>
      </c>
      <c r="G1395" s="25" t="n">
        <f aca="false">IF(AND(D1395=1,A1395&gt;=$R$2),F1395,"")</f>
        <v>-0.000858520556542625</v>
      </c>
      <c r="H1395" s="27" t="n">
        <f aca="false">IF(G1395="","",G1395^2)</f>
        <v>7.37057546006259E-007</v>
      </c>
      <c r="I1395" s="25" t="n">
        <f aca="false">IF(G1395="","",C1395/C1394-1)</f>
        <v>-0.000858152133210166</v>
      </c>
      <c r="J1395" s="17" t="n">
        <f aca="false">AVERAGE(C1196:C1395)</f>
        <v>7171.59825</v>
      </c>
      <c r="K1395" s="17" t="n">
        <f aca="false">MAX(K1394,C1395)</f>
        <v>19650.01</v>
      </c>
      <c r="L1395" s="25" t="n">
        <f aca="false">C1395/K1395-1</f>
        <v>-0.674116196378526</v>
      </c>
      <c r="M1395" s="25" t="n">
        <f aca="false">IF(COUNT(G1366:G1395)&lt;20,"",_xlfn.STDEV.S(G1366:G1395)*SQRT($R$3))</f>
        <v>0.27032630277453</v>
      </c>
      <c r="N1395" s="25" t="n">
        <f aca="false">IF(A1395-7&lt;$R$2,"",C1395/INDEX(Clean_Data!$C$2:$C$4314,MATCH(A1395-7,Clean_Data!$A$2:$A$4314,1))-1)</f>
        <v>-0.0019108836200179</v>
      </c>
      <c r="O1395" s="25" t="n">
        <f aca="false">IF(A1395-30&lt;$R$2,"",C1395/INDEX(Clean_Data!$C$2:$C$4314,MATCH(A1395-30,Clean_Data!$A$2:$A$4314,1))-1)</f>
        <v>-0.0326872618017194</v>
      </c>
    </row>
    <row r="1396" customFormat="false" ht="15" hidden="false" customHeight="false" outlineLevel="0" collapsed="false">
      <c r="A1396" s="16" t="n">
        <v>43402</v>
      </c>
      <c r="B1396" s="23" t="n">
        <f aca="false">YEAR(A1396)</f>
        <v>2018</v>
      </c>
      <c r="C1396" s="17" t="n">
        <v>6266</v>
      </c>
      <c r="D1396" s="23" t="n">
        <f aca="false">A1396-A1395</f>
        <v>1</v>
      </c>
      <c r="E1396" s="24" t="n">
        <f aca="false">LN(C1396)</f>
        <v>8.74289347151214</v>
      </c>
      <c r="F1396" s="25" t="n">
        <f aca="false">LN(C1396/C1395)</f>
        <v>-0.0217252629301008</v>
      </c>
      <c r="G1396" s="25" t="n">
        <f aca="false">IF(AND(D1396=1,A1396&gt;=$R$2),F1396,"")</f>
        <v>-0.0217252629301008</v>
      </c>
      <c r="H1396" s="27" t="n">
        <f aca="false">IF(G1396="","",G1396^2)</f>
        <v>0.00047198704938201</v>
      </c>
      <c r="I1396" s="25" t="n">
        <f aca="false">IF(G1396="","",C1396/C1395-1)</f>
        <v>-0.0214909691705629</v>
      </c>
      <c r="J1396" s="17" t="n">
        <f aca="false">AVERAGE(C1197:C1396)</f>
        <v>7163.34825</v>
      </c>
      <c r="K1396" s="17" t="n">
        <f aca="false">MAX(K1395,C1396)</f>
        <v>19650.01</v>
      </c>
      <c r="L1396" s="25" t="n">
        <f aca="false">C1396/K1396-1</f>
        <v>-0.681119755155341</v>
      </c>
      <c r="M1396" s="25" t="n">
        <f aca="false">IF(COUNT(G1367:G1396)&lt;20,"",_xlfn.STDEV.S(G1367:G1396)*SQRT($R$3))</f>
        <v>0.27934074651977</v>
      </c>
      <c r="N1396" s="25" t="n">
        <f aca="false">IF(A1396-7&lt;$R$2,"",C1396/INDEX(Clean_Data!$C$2:$C$4314,MATCH(A1396-7,Clean_Data!$A$2:$A$4314,1))-1)</f>
        <v>-0.0221063884575468</v>
      </c>
      <c r="O1396" s="25" t="n">
        <f aca="false">IF(A1396-30&lt;$R$2,"",C1396/INDEX(Clean_Data!$C$2:$C$4314,MATCH(A1396-30,Clean_Data!$A$2:$A$4314,1))-1)</f>
        <v>-0.047865066099377</v>
      </c>
    </row>
    <row r="1397" customFormat="false" ht="15" hidden="false" customHeight="false" outlineLevel="0" collapsed="false">
      <c r="A1397" s="16" t="n">
        <v>43403</v>
      </c>
      <c r="B1397" s="23" t="n">
        <f aca="false">YEAR(A1397)</f>
        <v>2018</v>
      </c>
      <c r="C1397" s="17" t="n">
        <v>6267.63</v>
      </c>
      <c r="D1397" s="23" t="n">
        <f aca="false">A1397-A1396</f>
        <v>1</v>
      </c>
      <c r="E1397" s="24" t="n">
        <f aca="false">LN(C1397)</f>
        <v>8.74315357173995</v>
      </c>
      <c r="F1397" s="25" t="n">
        <f aca="false">LN(C1397/C1396)</f>
        <v>0.000260100227817297</v>
      </c>
      <c r="G1397" s="25" t="n">
        <f aca="false">IF(AND(D1397=1,A1397&gt;=$R$2),F1397,"")</f>
        <v>0.000260100227817297</v>
      </c>
      <c r="H1397" s="27" t="n">
        <f aca="false">IF(G1397="","",G1397^2)</f>
        <v>6.76521285106096E-008</v>
      </c>
      <c r="I1397" s="25" t="n">
        <f aca="false">IF(G1397="","",C1397/C1396-1)</f>
        <v>0.000260134056814465</v>
      </c>
      <c r="J1397" s="17" t="n">
        <f aca="false">AVERAGE(C1198:C1397)</f>
        <v>7155.22045</v>
      </c>
      <c r="K1397" s="17" t="n">
        <f aca="false">MAX(K1396,C1397)</f>
        <v>19650.01</v>
      </c>
      <c r="L1397" s="25" t="n">
        <f aca="false">C1397/K1397-1</f>
        <v>-0.681036803543611</v>
      </c>
      <c r="M1397" s="25" t="n">
        <f aca="false">IF(COUNT(G1368:G1397)&lt;20,"",_xlfn.STDEV.S(G1368:G1397)*SQRT($R$3))</f>
        <v>0.278785609856072</v>
      </c>
      <c r="N1397" s="25" t="n">
        <f aca="false">IF(A1397-7&lt;$R$2,"",C1397/INDEX(Clean_Data!$C$2:$C$4314,MATCH(A1397-7,Clean_Data!$A$2:$A$4314,1))-1)</f>
        <v>-0.0199385783579406</v>
      </c>
      <c r="O1397" s="25" t="n">
        <f aca="false">IF(A1397-30&lt;$R$2,"",C1397/INDEX(Clean_Data!$C$2:$C$4314,MATCH(A1397-30,Clean_Data!$A$2:$A$4314,1))-1)</f>
        <v>-0.0510779712339137</v>
      </c>
    </row>
    <row r="1398" customFormat="false" ht="15" hidden="false" customHeight="false" outlineLevel="0" collapsed="false">
      <c r="A1398" s="16" t="n">
        <v>43404</v>
      </c>
      <c r="B1398" s="23" t="n">
        <f aca="false">YEAR(A1398)</f>
        <v>2018</v>
      </c>
      <c r="C1398" s="17" t="n">
        <v>6304.18</v>
      </c>
      <c r="D1398" s="23" t="n">
        <f aca="false">A1398-A1397</f>
        <v>1</v>
      </c>
      <c r="E1398" s="24" t="n">
        <f aca="false">LN(C1398)</f>
        <v>8.74896818442957</v>
      </c>
      <c r="F1398" s="25" t="n">
        <f aca="false">LN(C1398/C1397)</f>
        <v>0.00581461268961538</v>
      </c>
      <c r="G1398" s="25" t="n">
        <f aca="false">IF(AND(D1398=1,A1398&gt;=$R$2),F1398,"")</f>
        <v>0.00581461268961538</v>
      </c>
      <c r="H1398" s="27" t="n">
        <f aca="false">IF(G1398="","",G1398^2)</f>
        <v>3.38097207302362E-005</v>
      </c>
      <c r="I1398" s="25" t="n">
        <f aca="false">IF(G1398="","",C1398/C1397-1)</f>
        <v>0.00583155036273686</v>
      </c>
      <c r="J1398" s="17" t="n">
        <f aca="false">AVERAGE(C1199:C1398)</f>
        <v>7146.7258</v>
      </c>
      <c r="K1398" s="17" t="n">
        <f aca="false">MAX(K1397,C1398)</f>
        <v>19650.01</v>
      </c>
      <c r="L1398" s="25" t="n">
        <f aca="false">C1398/K1398-1</f>
        <v>-0.679176753599617</v>
      </c>
      <c r="M1398" s="25" t="n">
        <f aca="false">IF(COUNT(G1369:G1398)&lt;20,"",_xlfn.STDEV.S(G1369:G1398)*SQRT($R$3))</f>
        <v>0.2797668582801</v>
      </c>
      <c r="N1398" s="25" t="n">
        <f aca="false">IF(A1398-7&lt;$R$2,"",C1398/INDEX(Clean_Data!$C$2:$C$4314,MATCH(A1398-7,Clean_Data!$A$2:$A$4314,1))-1)</f>
        <v>-0.0174252413505028</v>
      </c>
      <c r="O1398" s="25" t="n">
        <f aca="false">IF(A1398-30&lt;$R$2,"",C1398/INDEX(Clean_Data!$C$2:$C$4314,MATCH(A1398-30,Clean_Data!$A$2:$A$4314,1))-1)</f>
        <v>-0.0408728051691585</v>
      </c>
    </row>
    <row r="1399" customFormat="false" ht="15" hidden="false" customHeight="false" outlineLevel="0" collapsed="false">
      <c r="A1399" s="16" t="n">
        <v>43405</v>
      </c>
      <c r="B1399" s="23" t="n">
        <f aca="false">YEAR(A1399)</f>
        <v>2018</v>
      </c>
      <c r="C1399" s="17" t="n">
        <v>6344</v>
      </c>
      <c r="D1399" s="23" t="n">
        <f aca="false">A1399-A1398</f>
        <v>1</v>
      </c>
      <c r="E1399" s="24" t="n">
        <f aca="false">LN(C1399)</f>
        <v>8.75526476331469</v>
      </c>
      <c r="F1399" s="25" t="n">
        <f aca="false">LN(C1399/C1398)</f>
        <v>0.00629657888511411</v>
      </c>
      <c r="G1399" s="25" t="n">
        <f aca="false">IF(AND(D1399=1,A1399&gt;=$R$2),F1399,"")</f>
        <v>0.00629657888511411</v>
      </c>
      <c r="H1399" s="27" t="n">
        <f aca="false">IF(G1399="","",G1399^2)</f>
        <v>3.96469056564648E-005</v>
      </c>
      <c r="I1399" s="25" t="n">
        <f aca="false">IF(G1399="","",C1399/C1398-1)</f>
        <v>0.00631644401016462</v>
      </c>
      <c r="J1399" s="17" t="n">
        <f aca="false">AVERAGE(C1200:C1399)</f>
        <v>7136.66955</v>
      </c>
      <c r="K1399" s="17" t="n">
        <f aca="false">MAX(K1398,C1399)</f>
        <v>19650.01</v>
      </c>
      <c r="L1399" s="25" t="n">
        <f aca="false">C1399/K1399-1</f>
        <v>-0.677150291526569</v>
      </c>
      <c r="M1399" s="25" t="n">
        <f aca="false">IF(COUNT(G1370:G1399)&lt;20,"",_xlfn.STDEV.S(G1370:G1399)*SQRT($R$3))</f>
        <v>0.278615510549943</v>
      </c>
      <c r="N1399" s="25" t="n">
        <f aca="false">IF(A1399-7&lt;$R$2,"",C1399/INDEX(Clean_Data!$C$2:$C$4314,MATCH(A1399-7,Clean_Data!$A$2:$A$4314,1))-1)</f>
        <v>-0.00806494485253873</v>
      </c>
      <c r="O1399" s="25" t="n">
        <f aca="false">IF(A1399-30&lt;$R$2,"",C1399/INDEX(Clean_Data!$C$2:$C$4314,MATCH(A1399-30,Clean_Data!$A$2:$A$4314,1))-1)</f>
        <v>-0.0237687082785768</v>
      </c>
    </row>
    <row r="1400" customFormat="false" ht="15" hidden="false" customHeight="false" outlineLevel="0" collapsed="false">
      <c r="A1400" s="16" t="n">
        <v>43406</v>
      </c>
      <c r="B1400" s="23" t="n">
        <f aca="false">YEAR(A1400)</f>
        <v>2018</v>
      </c>
      <c r="C1400" s="17" t="n">
        <v>6349.8</v>
      </c>
      <c r="D1400" s="23" t="n">
        <f aca="false">A1400-A1399</f>
        <v>1</v>
      </c>
      <c r="E1400" s="24" t="n">
        <f aca="false">LN(C1400)</f>
        <v>8.75617859532773</v>
      </c>
      <c r="F1400" s="25" t="n">
        <f aca="false">LN(C1400/C1399)</f>
        <v>0.000913832013049806</v>
      </c>
      <c r="G1400" s="25" t="n">
        <f aca="false">IF(AND(D1400=1,A1400&gt;=$R$2),F1400,"")</f>
        <v>0.000913832013049806</v>
      </c>
      <c r="H1400" s="27" t="n">
        <f aca="false">IF(G1400="","",G1400^2)</f>
        <v>8.35088948074661E-007</v>
      </c>
      <c r="I1400" s="25" t="n">
        <f aca="false">IF(G1400="","",C1400/C1399-1)</f>
        <v>0.000914249684741408</v>
      </c>
      <c r="J1400" s="17" t="n">
        <f aca="false">AVERAGE(C1201:C1400)</f>
        <v>7128.1739</v>
      </c>
      <c r="K1400" s="17" t="n">
        <f aca="false">MAX(K1399,C1400)</f>
        <v>19650.01</v>
      </c>
      <c r="L1400" s="25" t="n">
        <f aca="false">C1400/K1400-1</f>
        <v>-0.676855126282378</v>
      </c>
      <c r="M1400" s="25" t="n">
        <f aca="false">IF(COUNT(G1371:G1400)&lt;20,"",_xlfn.STDEV.S(G1371:G1400)*SQRT($R$3))</f>
        <v>0.278256774615147</v>
      </c>
      <c r="N1400" s="25" t="n">
        <f aca="false">IF(A1400-7&lt;$R$2,"",C1400/INDEX(Clean_Data!$C$2:$C$4314,MATCH(A1400-7,Clean_Data!$A$2:$A$4314,1))-1)</f>
        <v>-0.00859814484915378</v>
      </c>
      <c r="O1400" s="25" t="n">
        <f aca="false">IF(A1400-30&lt;$R$2,"",C1400/INDEX(Clean_Data!$C$2:$C$4314,MATCH(A1400-30,Clean_Data!$A$2:$A$4314,1))-1)</f>
        <v>-0.0179754810911795</v>
      </c>
    </row>
    <row r="1401" customFormat="false" ht="15" hidden="false" customHeight="false" outlineLevel="0" collapsed="false">
      <c r="A1401" s="16" t="n">
        <v>43407</v>
      </c>
      <c r="B1401" s="23" t="n">
        <f aca="false">YEAR(A1401)</f>
        <v>2018</v>
      </c>
      <c r="C1401" s="17" t="n">
        <v>6331.96</v>
      </c>
      <c r="D1401" s="23" t="n">
        <f aca="false">A1401-A1400</f>
        <v>1</v>
      </c>
      <c r="E1401" s="24" t="n">
        <f aca="false">LN(C1401)</f>
        <v>8.75336510386156</v>
      </c>
      <c r="F1401" s="25" t="n">
        <f aca="false">LN(C1401/C1400)</f>
        <v>-0.00281349146617772</v>
      </c>
      <c r="G1401" s="25" t="n">
        <f aca="false">IF(AND(D1401=1,A1401&gt;=$R$2),F1401,"")</f>
        <v>-0.00281349146617772</v>
      </c>
      <c r="H1401" s="27" t="n">
        <f aca="false">IF(G1401="","",G1401^2)</f>
        <v>7.91573423025484E-006</v>
      </c>
      <c r="I1401" s="25" t="n">
        <f aca="false">IF(G1401="","",C1401/C1400-1)</f>
        <v>-0.00280953730826172</v>
      </c>
      <c r="J1401" s="17" t="n">
        <f aca="false">AVERAGE(C1202:C1401)</f>
        <v>7120.3732</v>
      </c>
      <c r="K1401" s="17" t="n">
        <f aca="false">MAX(K1400,C1401)</f>
        <v>19650.01</v>
      </c>
      <c r="L1401" s="25" t="n">
        <f aca="false">C1401/K1401-1</f>
        <v>-0.677763013861062</v>
      </c>
      <c r="M1401" s="25" t="n">
        <f aca="false">IF(COUNT(G1372:G1401)&lt;20,"",_xlfn.STDEV.S(G1372:G1401)*SQRT($R$3))</f>
        <v>0.274269640836713</v>
      </c>
      <c r="N1401" s="25" t="n">
        <f aca="false">IF(A1401-7&lt;$R$2,"",C1401/INDEX(Clean_Data!$C$2:$C$4314,MATCH(A1401-7,Clean_Data!$A$2:$A$4314,1))-1)</f>
        <v>-0.0120390942906359</v>
      </c>
      <c r="O1401" s="25" t="n">
        <f aca="false">IF(A1401-30&lt;$R$2,"",C1401/INDEX(Clean_Data!$C$2:$C$4314,MATCH(A1401-30,Clean_Data!$A$2:$A$4314,1))-1)</f>
        <v>-0.0329120497292839</v>
      </c>
    </row>
    <row r="1402" customFormat="false" ht="15" hidden="false" customHeight="false" outlineLevel="0" collapsed="false">
      <c r="A1402" s="16" t="n">
        <v>43408</v>
      </c>
      <c r="B1402" s="23" t="n">
        <f aca="false">YEAR(A1402)</f>
        <v>2018</v>
      </c>
      <c r="C1402" s="17" t="n">
        <v>6423.28</v>
      </c>
      <c r="D1402" s="23" t="n">
        <f aca="false">A1402-A1401</f>
        <v>1</v>
      </c>
      <c r="E1402" s="24" t="n">
        <f aca="false">LN(C1402)</f>
        <v>8.76768416964408</v>
      </c>
      <c r="F1402" s="25" t="n">
        <f aca="false">LN(C1402/C1401)</f>
        <v>0.0143190657825216</v>
      </c>
      <c r="G1402" s="25" t="n">
        <f aca="false">IF(AND(D1402=1,A1402&gt;=$R$2),F1402,"")</f>
        <v>0.0143190657825216</v>
      </c>
      <c r="H1402" s="27" t="n">
        <f aca="false">IF(G1402="","",G1402^2)</f>
        <v>0.00020503564488418</v>
      </c>
      <c r="I1402" s="25" t="n">
        <f aca="false">IF(G1402="","",C1402/C1401-1)</f>
        <v>0.0144220746814572</v>
      </c>
      <c r="J1402" s="17" t="n">
        <f aca="false">AVERAGE(C1203:C1402)</f>
        <v>7111.72935</v>
      </c>
      <c r="K1402" s="17" t="n">
        <f aca="false">MAX(K1401,C1402)</f>
        <v>19650.01</v>
      </c>
      <c r="L1402" s="25" t="n">
        <f aca="false">C1402/K1402-1</f>
        <v>-0.673115687981838</v>
      </c>
      <c r="M1402" s="25" t="n">
        <f aca="false">IF(COUNT(G1373:G1402)&lt;20,"",_xlfn.STDEV.S(G1373:G1402)*SQRT($R$3))</f>
        <v>0.278129054092014</v>
      </c>
      <c r="N1402" s="25" t="n">
        <f aca="false">IF(A1402-7&lt;$R$2,"",C1402/INDEX(Clean_Data!$C$2:$C$4314,MATCH(A1402-7,Clean_Data!$A$2:$A$4314,1))-1)</f>
        <v>0.00307013845293747</v>
      </c>
      <c r="O1402" s="25" t="n">
        <f aca="false">IF(A1402-30&lt;$R$2,"",C1402/INDEX(Clean_Data!$C$2:$C$4314,MATCH(A1402-30,Clean_Data!$A$2:$A$4314,1))-1)</f>
        <v>-0.0258813395329651</v>
      </c>
    </row>
    <row r="1403" customFormat="false" ht="15" hidden="false" customHeight="false" outlineLevel="0" collapsed="false">
      <c r="A1403" s="16" t="n">
        <v>43409</v>
      </c>
      <c r="B1403" s="23" t="n">
        <f aca="false">YEAR(A1403)</f>
        <v>2018</v>
      </c>
      <c r="C1403" s="17" t="n">
        <v>6404</v>
      </c>
      <c r="D1403" s="23" t="n">
        <f aca="false">A1403-A1402</f>
        <v>1</v>
      </c>
      <c r="E1403" s="24" t="n">
        <f aca="false">LN(C1403)</f>
        <v>8.76467807411661</v>
      </c>
      <c r="F1403" s="25" t="n">
        <f aca="false">LN(C1403/C1402)</f>
        <v>-0.00300609552747239</v>
      </c>
      <c r="G1403" s="25" t="n">
        <f aca="false">IF(AND(D1403=1,A1403&gt;=$R$2),F1403,"")</f>
        <v>-0.00300609552747239</v>
      </c>
      <c r="H1403" s="27" t="n">
        <f aca="false">IF(G1403="","",G1403^2)</f>
        <v>9.0366103202895E-006</v>
      </c>
      <c r="I1403" s="25" t="n">
        <f aca="false">IF(G1403="","",C1403/C1402-1)</f>
        <v>-0.00300158174639742</v>
      </c>
      <c r="J1403" s="17" t="n">
        <f aca="false">AVERAGE(C1204:C1403)</f>
        <v>7102.37935</v>
      </c>
      <c r="K1403" s="17" t="n">
        <f aca="false">MAX(K1402,C1403)</f>
        <v>19650.01</v>
      </c>
      <c r="L1403" s="25" t="n">
        <f aca="false">C1403/K1403-1</f>
        <v>-0.674096857965976</v>
      </c>
      <c r="M1403" s="25" t="n">
        <f aca="false">IF(COUNT(G1374:G1403)&lt;20,"",_xlfn.STDEV.S(G1374:G1403)*SQRT($R$3))</f>
        <v>0.277553201728682</v>
      </c>
      <c r="N1403" s="25" t="n">
        <f aca="false">IF(A1403-7&lt;$R$2,"",C1403/INDEX(Clean_Data!$C$2:$C$4314,MATCH(A1403-7,Clean_Data!$A$2:$A$4314,1))-1)</f>
        <v>0.0220236195339929</v>
      </c>
      <c r="O1403" s="25" t="n">
        <f aca="false">IF(A1403-30&lt;$R$2,"",C1403/INDEX(Clean_Data!$C$2:$C$4314,MATCH(A1403-30,Clean_Data!$A$2:$A$4314,1))-1)</f>
        <v>-0.022652664736594</v>
      </c>
    </row>
    <row r="1404" customFormat="false" ht="15" hidden="false" customHeight="false" outlineLevel="0" collapsed="false">
      <c r="A1404" s="16" t="n">
        <v>43410</v>
      </c>
      <c r="B1404" s="23" t="n">
        <f aca="false">YEAR(A1404)</f>
        <v>2018</v>
      </c>
      <c r="C1404" s="17" t="n">
        <v>6448.5</v>
      </c>
      <c r="D1404" s="23" t="n">
        <f aca="false">A1404-A1403</f>
        <v>1</v>
      </c>
      <c r="E1404" s="24" t="n">
        <f aca="false">LN(C1404)</f>
        <v>8.77160282460445</v>
      </c>
      <c r="F1404" s="25" t="n">
        <f aca="false">LN(C1404/C1403)</f>
        <v>0.00692475048784069</v>
      </c>
      <c r="G1404" s="25" t="n">
        <f aca="false">IF(AND(D1404=1,A1404&gt;=$R$2),F1404,"")</f>
        <v>0.00692475048784069</v>
      </c>
      <c r="H1404" s="27" t="n">
        <f aca="false">IF(G1404="","",G1404^2)</f>
        <v>4.79521693188499E-005</v>
      </c>
      <c r="I1404" s="25" t="n">
        <f aca="false">IF(G1404="","",C1404/C1403-1)</f>
        <v>0.00694878201124305</v>
      </c>
      <c r="J1404" s="17" t="n">
        <f aca="false">AVERAGE(C1205:C1404)</f>
        <v>7090.2905</v>
      </c>
      <c r="K1404" s="17" t="n">
        <f aca="false">MAX(K1403,C1404)</f>
        <v>19650.01</v>
      </c>
      <c r="L1404" s="25" t="n">
        <f aca="false">C1404/K1404-1</f>
        <v>-0.671832228075202</v>
      </c>
      <c r="M1404" s="25" t="n">
        <f aca="false">IF(COUNT(G1375:G1404)&lt;20,"",_xlfn.STDEV.S(G1375:G1404)*SQRT($R$3))</f>
        <v>0.278609304884398</v>
      </c>
      <c r="N1404" s="25" t="n">
        <f aca="false">IF(A1404-7&lt;$R$2,"",C1404/INDEX(Clean_Data!$C$2:$C$4314,MATCH(A1404-7,Clean_Data!$A$2:$A$4314,1))-1)</f>
        <v>0.0288577979236171</v>
      </c>
      <c r="O1404" s="25" t="n">
        <f aca="false">IF(A1404-30&lt;$R$2,"",C1404/INDEX(Clean_Data!$C$2:$C$4314,MATCH(A1404-30,Clean_Data!$A$2:$A$4314,1))-1)</f>
        <v>-0.0184931506849315</v>
      </c>
    </row>
    <row r="1405" customFormat="false" ht="15" hidden="false" customHeight="false" outlineLevel="0" collapsed="false">
      <c r="A1405" s="16" t="n">
        <v>43411</v>
      </c>
      <c r="B1405" s="23" t="n">
        <f aca="false">YEAR(A1405)</f>
        <v>2018</v>
      </c>
      <c r="C1405" s="17" t="n">
        <v>6503.12</v>
      </c>
      <c r="D1405" s="23" t="n">
        <f aca="false">A1405-A1404</f>
        <v>1</v>
      </c>
      <c r="E1405" s="24" t="n">
        <f aca="false">LN(C1405)</f>
        <v>8.78003734072058</v>
      </c>
      <c r="F1405" s="25" t="n">
        <f aca="false">LN(C1405/C1404)</f>
        <v>0.00843451611613328</v>
      </c>
      <c r="G1405" s="25" t="n">
        <f aca="false">IF(AND(D1405=1,A1405&gt;=$R$2),F1405,"")</f>
        <v>0.00843451611613328</v>
      </c>
      <c r="H1405" s="27" t="n">
        <f aca="false">IF(G1405="","",G1405^2)</f>
        <v>7.11410621133121E-005</v>
      </c>
      <c r="I1405" s="25" t="n">
        <f aca="false">IF(G1405="","",C1405/C1404-1)</f>
        <v>0.00847018686516243</v>
      </c>
      <c r="J1405" s="17" t="n">
        <f aca="false">AVERAGE(C1206:C1405)</f>
        <v>7078.229</v>
      </c>
      <c r="K1405" s="17" t="n">
        <f aca="false">MAX(K1404,C1405)</f>
        <v>19650.01</v>
      </c>
      <c r="L1405" s="25" t="n">
        <f aca="false">C1405/K1405-1</f>
        <v>-0.669052585723875</v>
      </c>
      <c r="M1405" s="25" t="n">
        <f aca="false">IF(COUNT(G1376:G1405)&lt;20,"",_xlfn.STDEV.S(G1376:G1405)*SQRT($R$3))</f>
        <v>0.279530009252591</v>
      </c>
      <c r="N1405" s="25" t="n">
        <f aca="false">IF(A1405-7&lt;$R$2,"",C1405/INDEX(Clean_Data!$C$2:$C$4314,MATCH(A1405-7,Clean_Data!$A$2:$A$4314,1))-1)</f>
        <v>0.0315568400648458</v>
      </c>
      <c r="O1405" s="25" t="n">
        <f aca="false">IF(A1405-30&lt;$R$2,"",C1405/INDEX(Clean_Data!$C$2:$C$4314,MATCH(A1405-30,Clean_Data!$A$2:$A$4314,1))-1)</f>
        <v>-0.0158820956799791</v>
      </c>
    </row>
    <row r="1406" customFormat="false" ht="15" hidden="false" customHeight="false" outlineLevel="0" collapsed="false">
      <c r="A1406" s="16" t="n">
        <v>43412</v>
      </c>
      <c r="B1406" s="23" t="n">
        <f aca="false">YEAR(A1406)</f>
        <v>2018</v>
      </c>
      <c r="C1406" s="17" t="n">
        <v>6406.24</v>
      </c>
      <c r="D1406" s="23" t="n">
        <f aca="false">A1406-A1405</f>
        <v>1</v>
      </c>
      <c r="E1406" s="24" t="n">
        <f aca="false">LN(C1406)</f>
        <v>8.76502779434399</v>
      </c>
      <c r="F1406" s="25" t="n">
        <f aca="false">LN(C1406/C1405)</f>
        <v>-0.0150095463765887</v>
      </c>
      <c r="G1406" s="25" t="n">
        <f aca="false">IF(AND(D1406=1,A1406&gt;=$R$2),F1406,"")</f>
        <v>-0.0150095463765887</v>
      </c>
      <c r="H1406" s="27" t="n">
        <f aca="false">IF(G1406="","",G1406^2)</f>
        <v>0.000225286482430966</v>
      </c>
      <c r="I1406" s="25" t="n">
        <f aca="false">IF(G1406="","",C1406/C1405-1)</f>
        <v>-0.0148974646016067</v>
      </c>
      <c r="J1406" s="17" t="n">
        <f aca="false">AVERAGE(C1207:C1406)</f>
        <v>7066.28515</v>
      </c>
      <c r="K1406" s="17" t="n">
        <f aca="false">MAX(K1405,C1406)</f>
        <v>19650.01</v>
      </c>
      <c r="L1406" s="25" t="n">
        <f aca="false">C1406/K1406-1</f>
        <v>-0.673982863113047</v>
      </c>
      <c r="M1406" s="25" t="n">
        <f aca="false">IF(COUNT(G1377:G1406)&lt;20,"",_xlfn.STDEV.S(G1377:G1406)*SQRT($R$3))</f>
        <v>0.283983251601454</v>
      </c>
      <c r="N1406" s="25" t="n">
        <f aca="false">IF(A1406-7&lt;$R$2,"",C1406/INDEX(Clean_Data!$C$2:$C$4314,MATCH(A1406-7,Clean_Data!$A$2:$A$4314,1))-1)</f>
        <v>0.00981084489281203</v>
      </c>
      <c r="O1406" s="25" t="n">
        <f aca="false">IF(A1406-30&lt;$R$2,"",C1406/INDEX(Clean_Data!$C$2:$C$4314,MATCH(A1406-30,Clean_Data!$A$2:$A$4314,1))-1)</f>
        <v>-0.0278079605674499</v>
      </c>
    </row>
    <row r="1407" customFormat="false" ht="15" hidden="false" customHeight="false" outlineLevel="0" collapsed="false">
      <c r="A1407" s="16" t="n">
        <v>43413</v>
      </c>
      <c r="B1407" s="23" t="n">
        <f aca="false">YEAR(A1407)</f>
        <v>2018</v>
      </c>
      <c r="C1407" s="17" t="n">
        <v>6334.89</v>
      </c>
      <c r="D1407" s="23" t="n">
        <f aca="false">A1407-A1406</f>
        <v>1</v>
      </c>
      <c r="E1407" s="24" t="n">
        <f aca="false">LN(C1407)</f>
        <v>8.75382772875287</v>
      </c>
      <c r="F1407" s="25" t="n">
        <f aca="false">LN(C1407/C1406)</f>
        <v>-0.0112000655911225</v>
      </c>
      <c r="G1407" s="25" t="n">
        <f aca="false">IF(AND(D1407=1,A1407&gt;=$R$2),F1407,"")</f>
        <v>-0.0112000655911225</v>
      </c>
      <c r="H1407" s="27" t="n">
        <f aca="false">IF(G1407="","",G1407^2)</f>
        <v>0.000125441469245447</v>
      </c>
      <c r="I1407" s="25" t="n">
        <f aca="false">IF(G1407="","",C1407/C1406-1)</f>
        <v>-0.0111375783610979</v>
      </c>
      <c r="J1407" s="17" t="n">
        <f aca="false">AVERAGE(C1208:C1407)</f>
        <v>7053.3031</v>
      </c>
      <c r="K1407" s="17" t="n">
        <f aca="false">MAX(K1406,C1407)</f>
        <v>19650.01</v>
      </c>
      <c r="L1407" s="25" t="n">
        <f aca="false">C1407/K1407-1</f>
        <v>-0.677613904522186</v>
      </c>
      <c r="M1407" s="25" t="n">
        <f aca="false">IF(COUNT(G1378:G1407)&lt;20,"",_xlfn.STDEV.S(G1378:G1407)*SQRT($R$3))</f>
        <v>0.284534822826995</v>
      </c>
      <c r="N1407" s="25" t="n">
        <f aca="false">IF(A1407-7&lt;$R$2,"",C1407/INDEX(Clean_Data!$C$2:$C$4314,MATCH(A1407-7,Clean_Data!$A$2:$A$4314,1))-1)</f>
        <v>-0.00234810545214015</v>
      </c>
      <c r="O1407" s="25" t="n">
        <f aca="false">IF(A1407-30&lt;$R$2,"",C1407/INDEX(Clean_Data!$C$2:$C$4314,MATCH(A1407-30,Clean_Data!$A$2:$A$4314,1))-1)</f>
        <v>-0.0290701595203354</v>
      </c>
    </row>
    <row r="1408" customFormat="false" ht="15" hidden="false" customHeight="false" outlineLevel="0" collapsed="false">
      <c r="A1408" s="16" t="n">
        <v>43414</v>
      </c>
      <c r="B1408" s="23" t="n">
        <f aca="false">YEAR(A1408)</f>
        <v>2018</v>
      </c>
      <c r="C1408" s="17" t="n">
        <v>6347.42</v>
      </c>
      <c r="D1408" s="23" t="n">
        <f aca="false">A1408-A1407</f>
        <v>1</v>
      </c>
      <c r="E1408" s="24" t="n">
        <f aca="false">LN(C1408)</f>
        <v>8.75580371011225</v>
      </c>
      <c r="F1408" s="25" t="n">
        <f aca="false">LN(C1408/C1407)</f>
        <v>0.0019759813593817</v>
      </c>
      <c r="G1408" s="25" t="n">
        <f aca="false">IF(AND(D1408=1,A1408&gt;=$R$2),F1408,"")</f>
        <v>0.0019759813593817</v>
      </c>
      <c r="H1408" s="27" t="n">
        <f aca="false">IF(G1408="","",G1408^2)</f>
        <v>3.90450233262394E-006</v>
      </c>
      <c r="I1408" s="25" t="n">
        <f aca="false">IF(G1408="","",C1408/C1407-1)</f>
        <v>0.00197793489705411</v>
      </c>
      <c r="J1408" s="17" t="n">
        <f aca="false">AVERAGE(C1209:C1408)</f>
        <v>7036.7902</v>
      </c>
      <c r="K1408" s="17" t="n">
        <f aca="false">MAX(K1407,C1408)</f>
        <v>19650.01</v>
      </c>
      <c r="L1408" s="25" t="n">
        <f aca="false">C1408/K1408-1</f>
        <v>-0.676976245813615</v>
      </c>
      <c r="M1408" s="25" t="n">
        <f aca="false">IF(COUNT(G1379:G1408)&lt;20,"",_xlfn.STDEV.S(G1379:G1408)*SQRT($R$3))</f>
        <v>0.195216599678052</v>
      </c>
      <c r="N1408" s="25" t="n">
        <f aca="false">IF(A1408-7&lt;$R$2,"",C1408/INDEX(Clean_Data!$C$2:$C$4314,MATCH(A1408-7,Clean_Data!$A$2:$A$4314,1))-1)</f>
        <v>0.00244158206937506</v>
      </c>
      <c r="O1408" s="25" t="n">
        <f aca="false">IF(A1408-30&lt;$R$2,"",C1408/INDEX(Clean_Data!$C$2:$C$4314,MATCH(A1408-30,Clean_Data!$A$2:$A$4314,1))-1)</f>
        <v>0.0313143310223587</v>
      </c>
    </row>
    <row r="1409" customFormat="false" ht="15" hidden="false" customHeight="false" outlineLevel="0" collapsed="false">
      <c r="A1409" s="16" t="n">
        <v>43415</v>
      </c>
      <c r="B1409" s="23" t="n">
        <f aca="false">YEAR(A1409)</f>
        <v>2018</v>
      </c>
      <c r="C1409" s="17" t="n">
        <v>6357.6</v>
      </c>
      <c r="D1409" s="23" t="n">
        <f aca="false">A1409-A1408</f>
        <v>1</v>
      </c>
      <c r="E1409" s="24" t="n">
        <f aca="false">LN(C1409)</f>
        <v>8.75740622662597</v>
      </c>
      <c r="F1409" s="25" t="n">
        <f aca="false">LN(C1409/C1408)</f>
        <v>0.00160251651371978</v>
      </c>
      <c r="G1409" s="25" t="n">
        <f aca="false">IF(AND(D1409=1,A1409&gt;=$R$2),F1409,"")</f>
        <v>0.00160251651371978</v>
      </c>
      <c r="H1409" s="27" t="n">
        <f aca="false">IF(G1409="","",G1409^2)</f>
        <v>2.56805917674459E-006</v>
      </c>
      <c r="I1409" s="25" t="n">
        <f aca="false">IF(G1409="","",C1409/C1408-1)</f>
        <v>0.0016038012294759</v>
      </c>
      <c r="J1409" s="17" t="n">
        <f aca="false">AVERAGE(C1210:C1409)</f>
        <v>7024.2483</v>
      </c>
      <c r="K1409" s="17" t="n">
        <f aca="false">MAX(K1408,C1409)</f>
        <v>19650.01</v>
      </c>
      <c r="L1409" s="25" t="n">
        <f aca="false">C1409/K1409-1</f>
        <v>-0.676458179919501</v>
      </c>
      <c r="M1409" s="25" t="n">
        <f aca="false">IF(COUNT(G1380:G1409)&lt;20,"",_xlfn.STDEV.S(G1380:G1409)*SQRT($R$3))</f>
        <v>0.194594768581993</v>
      </c>
      <c r="N1409" s="25" t="n">
        <f aca="false">IF(A1409-7&lt;$R$2,"",C1409/INDEX(Clean_Data!$C$2:$C$4314,MATCH(A1409-7,Clean_Data!$A$2:$A$4314,1))-1)</f>
        <v>-0.0102253054514203</v>
      </c>
      <c r="O1409" s="25" t="n">
        <f aca="false">IF(A1409-30&lt;$R$2,"",C1409/INDEX(Clean_Data!$C$2:$C$4314,MATCH(A1409-30,Clean_Data!$A$2:$A$4314,1))-1)</f>
        <v>0.0274062259110766</v>
      </c>
    </row>
    <row r="1410" customFormat="false" ht="15" hidden="false" customHeight="false" outlineLevel="0" collapsed="false">
      <c r="A1410" s="16" t="n">
        <v>43416</v>
      </c>
      <c r="B1410" s="23" t="n">
        <f aca="false">YEAR(A1410)</f>
        <v>2018</v>
      </c>
      <c r="C1410" s="17" t="n">
        <v>6327.87</v>
      </c>
      <c r="D1410" s="23" t="n">
        <f aca="false">A1410-A1409</f>
        <v>1</v>
      </c>
      <c r="E1410" s="24" t="n">
        <f aca="false">LN(C1410)</f>
        <v>8.75271896562079</v>
      </c>
      <c r="F1410" s="25" t="n">
        <f aca="false">LN(C1410/C1409)</f>
        <v>-0.00468726100517927</v>
      </c>
      <c r="G1410" s="25" t="n">
        <f aca="false">IF(AND(D1410=1,A1410&gt;=$R$2),F1410,"")</f>
        <v>-0.00468726100517927</v>
      </c>
      <c r="H1410" s="27" t="n">
        <f aca="false">IF(G1410="","",G1410^2)</f>
        <v>2.19704157306742E-005</v>
      </c>
      <c r="I1410" s="25" t="n">
        <f aca="false">IF(G1410="","",C1410/C1409-1)</f>
        <v>-0.00467629294073246</v>
      </c>
      <c r="J1410" s="17" t="n">
        <f aca="false">AVERAGE(C1211:C1410)</f>
        <v>7009.5271</v>
      </c>
      <c r="K1410" s="17" t="n">
        <f aca="false">MAX(K1409,C1410)</f>
        <v>19650.01</v>
      </c>
      <c r="L1410" s="25" t="n">
        <f aca="false">C1410/K1410-1</f>
        <v>-0.677971156248775</v>
      </c>
      <c r="M1410" s="25" t="n">
        <f aca="false">IF(COUNT(G1381:G1410)&lt;20,"",_xlfn.STDEV.S(G1381:G1410)*SQRT($R$3))</f>
        <v>0.195558973659893</v>
      </c>
      <c r="N1410" s="25" t="n">
        <f aca="false">IF(A1410-7&lt;$R$2,"",C1410/INDEX(Clean_Data!$C$2:$C$4314,MATCH(A1410-7,Clean_Data!$A$2:$A$4314,1))-1)</f>
        <v>-0.0118878825733917</v>
      </c>
      <c r="O1410" s="25" t="n">
        <f aca="false">IF(A1410-30&lt;$R$2,"",C1410/INDEX(Clean_Data!$C$2:$C$4314,MATCH(A1410-30,Clean_Data!$A$2:$A$4314,1))-1)</f>
        <v>0.0212830858618462</v>
      </c>
    </row>
    <row r="1411" customFormat="false" ht="15" hidden="false" customHeight="false" outlineLevel="0" collapsed="false">
      <c r="A1411" s="16" t="n">
        <v>43417</v>
      </c>
      <c r="B1411" s="23" t="n">
        <f aca="false">YEAR(A1411)</f>
        <v>2018</v>
      </c>
      <c r="C1411" s="17" t="n">
        <v>6259.34</v>
      </c>
      <c r="D1411" s="23" t="n">
        <f aca="false">A1411-A1410</f>
        <v>1</v>
      </c>
      <c r="E1411" s="24" t="n">
        <f aca="false">LN(C1411)</f>
        <v>8.74183002722597</v>
      </c>
      <c r="F1411" s="25" t="n">
        <f aca="false">LN(C1411/C1410)</f>
        <v>-0.0108889383948217</v>
      </c>
      <c r="G1411" s="25" t="n">
        <f aca="false">IF(AND(D1411=1,A1411&gt;=$R$2),F1411,"")</f>
        <v>-0.0108889383948217</v>
      </c>
      <c r="H1411" s="27" t="n">
        <f aca="false">IF(G1411="","",G1411^2)</f>
        <v>0.000118568979366221</v>
      </c>
      <c r="I1411" s="25" t="n">
        <f aca="false">IF(G1411="","",C1411/C1410-1)</f>
        <v>-0.0108298685023555</v>
      </c>
      <c r="J1411" s="17" t="n">
        <f aca="false">AVERAGE(C1212:C1411)</f>
        <v>6996.21105</v>
      </c>
      <c r="K1411" s="17" t="n">
        <f aca="false">MAX(K1410,C1411)</f>
        <v>19650.01</v>
      </c>
      <c r="L1411" s="25" t="n">
        <f aca="false">C1411/K1411-1</f>
        <v>-0.681458686280567</v>
      </c>
      <c r="M1411" s="25" t="n">
        <f aca="false">IF(COUNT(G1382:G1411)&lt;20,"",_xlfn.STDEV.S(G1382:G1411)*SQRT($R$3))</f>
        <v>0.19951928263702</v>
      </c>
      <c r="N1411" s="25" t="n">
        <f aca="false">IF(A1411-7&lt;$R$2,"",C1411/INDEX(Clean_Data!$C$2:$C$4314,MATCH(A1411-7,Clean_Data!$A$2:$A$4314,1))-1)</f>
        <v>-0.0293339536326277</v>
      </c>
      <c r="O1411" s="25" t="n">
        <f aca="false">IF(A1411-30&lt;$R$2,"",C1411/INDEX(Clean_Data!$C$2:$C$4314,MATCH(A1411-30,Clean_Data!$A$2:$A$4314,1))-1)</f>
        <v>0.0122665355648672</v>
      </c>
    </row>
    <row r="1412" customFormat="false" ht="15" hidden="false" customHeight="false" outlineLevel="0" collapsed="false">
      <c r="A1412" s="16" t="n">
        <v>43418</v>
      </c>
      <c r="B1412" s="23" t="n">
        <f aca="false">YEAR(A1412)</f>
        <v>2018</v>
      </c>
      <c r="C1412" s="17" t="n">
        <v>5605.46</v>
      </c>
      <c r="D1412" s="23" t="n">
        <f aca="false">A1412-A1411</f>
        <v>1</v>
      </c>
      <c r="E1412" s="24" t="n">
        <f aca="false">LN(C1412)</f>
        <v>8.63149640171947</v>
      </c>
      <c r="F1412" s="25" t="n">
        <f aca="false">LN(C1412/C1411)</f>
        <v>-0.110333625506501</v>
      </c>
      <c r="G1412" s="25" t="n">
        <f aca="false">IF(AND(D1412=1,A1412&gt;=$R$2),F1412,"")</f>
        <v>-0.110333625506501</v>
      </c>
      <c r="H1412" s="27" t="n">
        <f aca="false">IF(G1412="","",G1412^2)</f>
        <v>0.0121735089174088</v>
      </c>
      <c r="I1412" s="25" t="n">
        <f aca="false">IF(G1412="","",C1412/C1411-1)</f>
        <v>-0.104464687970297</v>
      </c>
      <c r="J1412" s="17" t="n">
        <f aca="false">AVERAGE(C1213:C1412)</f>
        <v>6977.5884</v>
      </c>
      <c r="K1412" s="17" t="n">
        <f aca="false">MAX(K1411,C1412)</f>
        <v>19650.01</v>
      </c>
      <c r="L1412" s="25" t="n">
        <f aca="false">C1412/K1412-1</f>
        <v>-0.714735005223916</v>
      </c>
      <c r="M1412" s="25" t="n">
        <f aca="false">IF(COUNT(G1383:G1412)&lt;20,"",_xlfn.STDEV.S(G1383:G1412)*SQRT($R$3))</f>
        <v>0.405141624708105</v>
      </c>
      <c r="N1412" s="25" t="n">
        <f aca="false">IF(A1412-7&lt;$R$2,"",C1412/INDEX(Clean_Data!$C$2:$C$4314,MATCH(A1412-7,Clean_Data!$A$2:$A$4314,1))-1)</f>
        <v>-0.138035281526406</v>
      </c>
      <c r="O1412" s="25" t="n">
        <f aca="false">IF(A1412-30&lt;$R$2,"",C1412/INDEX(Clean_Data!$C$2:$C$4314,MATCH(A1412-30,Clean_Data!$A$2:$A$4314,1))-1)</f>
        <v>-0.129643718887899</v>
      </c>
    </row>
    <row r="1413" customFormat="false" ht="15" hidden="false" customHeight="false" outlineLevel="0" collapsed="false">
      <c r="A1413" s="16" t="n">
        <v>43419</v>
      </c>
      <c r="B1413" s="23" t="n">
        <f aca="false">YEAR(A1413)</f>
        <v>2018</v>
      </c>
      <c r="C1413" s="17" t="n">
        <v>5579.52</v>
      </c>
      <c r="D1413" s="23" t="n">
        <f aca="false">A1413-A1412</f>
        <v>1</v>
      </c>
      <c r="E1413" s="24" t="n">
        <f aca="false">LN(C1413)</f>
        <v>8.62685803016992</v>
      </c>
      <c r="F1413" s="25" t="n">
        <f aca="false">LN(C1413/C1412)</f>
        <v>-0.0046383715495495</v>
      </c>
      <c r="G1413" s="25" t="n">
        <f aca="false">IF(AND(D1413=1,A1413&gt;=$R$2),F1413,"")</f>
        <v>-0.0046383715495495</v>
      </c>
      <c r="H1413" s="27" t="n">
        <f aca="false">IF(G1413="","",G1413^2)</f>
        <v>2.15144906316702E-005</v>
      </c>
      <c r="I1413" s="25" t="n">
        <f aca="false">IF(G1413="","",C1413/C1412-1)</f>
        <v>-0.00462763091699869</v>
      </c>
      <c r="J1413" s="17" t="n">
        <f aca="false">AVERAGE(C1214:C1413)</f>
        <v>6958.54095</v>
      </c>
      <c r="K1413" s="17" t="n">
        <f aca="false">MAX(K1412,C1413)</f>
        <v>19650.01</v>
      </c>
      <c r="L1413" s="25" t="n">
        <f aca="false">C1413/K1413-1</f>
        <v>-0.716055106333279</v>
      </c>
      <c r="M1413" s="25" t="n">
        <f aca="false">IF(COUNT(G1384:G1413)&lt;20,"",_xlfn.STDEV.S(G1384:G1413)*SQRT($R$3))</f>
        <v>0.404304789204625</v>
      </c>
      <c r="N1413" s="25" t="n">
        <f aca="false">IF(A1413-7&lt;$R$2,"",C1413/INDEX(Clean_Data!$C$2:$C$4314,MATCH(A1413-7,Clean_Data!$A$2:$A$4314,1))-1)</f>
        <v>-0.129049177052374</v>
      </c>
      <c r="O1413" s="25" t="n">
        <f aca="false">IF(A1413-30&lt;$R$2,"",C1413/INDEX(Clean_Data!$C$2:$C$4314,MATCH(A1413-30,Clean_Data!$A$2:$A$4314,1))-1)</f>
        <v>-0.13591064733294</v>
      </c>
    </row>
    <row r="1414" customFormat="false" ht="15" hidden="false" customHeight="false" outlineLevel="0" collapsed="false">
      <c r="A1414" s="16" t="n">
        <v>43420</v>
      </c>
      <c r="B1414" s="23" t="n">
        <f aca="false">YEAR(A1414)</f>
        <v>2018</v>
      </c>
      <c r="C1414" s="17" t="n">
        <v>5512.24</v>
      </c>
      <c r="D1414" s="23" t="n">
        <f aca="false">A1414-A1413</f>
        <v>1</v>
      </c>
      <c r="E1414" s="24" t="n">
        <f aca="false">LN(C1414)</f>
        <v>8.61472635310989</v>
      </c>
      <c r="F1414" s="25" t="n">
        <f aca="false">LN(C1414/C1413)</f>
        <v>-0.0121316770600256</v>
      </c>
      <c r="G1414" s="25" t="n">
        <f aca="false">IF(AND(D1414=1,A1414&gt;=$R$2),F1414,"")</f>
        <v>-0.0121316770600256</v>
      </c>
      <c r="H1414" s="27" t="n">
        <f aca="false">IF(G1414="","",G1414^2)</f>
        <v>0.000147177588288752</v>
      </c>
      <c r="I1414" s="25" t="n">
        <f aca="false">IF(G1414="","",C1414/C1413-1)</f>
        <v>-0.0120583849506769</v>
      </c>
      <c r="J1414" s="17" t="n">
        <f aca="false">AVERAGE(C1215:C1414)</f>
        <v>6939.88305</v>
      </c>
      <c r="K1414" s="17" t="n">
        <f aca="false">MAX(K1413,C1414)</f>
        <v>19650.01</v>
      </c>
      <c r="L1414" s="25" t="n">
        <f aca="false">C1414/K1414-1</f>
        <v>-0.719479023165892</v>
      </c>
      <c r="M1414" s="25" t="n">
        <f aca="false">IF(COUNT(G1385:G1414)&lt;20,"",_xlfn.STDEV.S(G1385:G1414)*SQRT($R$3))</f>
        <v>0.40495158934394</v>
      </c>
      <c r="N1414" s="25" t="n">
        <f aca="false">IF(A1414-7&lt;$R$2,"",C1414/INDEX(Clean_Data!$C$2:$C$4314,MATCH(A1414-7,Clean_Data!$A$2:$A$4314,1))-1)</f>
        <v>-0.129860186996144</v>
      </c>
      <c r="O1414" s="25" t="n">
        <f aca="false">IF(A1414-30&lt;$R$2,"",C1414/INDEX(Clean_Data!$C$2:$C$4314,MATCH(A1414-30,Clean_Data!$A$2:$A$4314,1))-1)</f>
        <v>-0.144553594984248</v>
      </c>
    </row>
    <row r="1415" customFormat="false" ht="15" hidden="false" customHeight="false" outlineLevel="0" collapsed="false">
      <c r="A1415" s="16" t="n">
        <v>43421</v>
      </c>
      <c r="B1415" s="23" t="n">
        <f aca="false">YEAR(A1415)</f>
        <v>2018</v>
      </c>
      <c r="C1415" s="17" t="n">
        <v>5504.17</v>
      </c>
      <c r="D1415" s="23" t="n">
        <f aca="false">A1415-A1414</f>
        <v>1</v>
      </c>
      <c r="E1415" s="24" t="n">
        <f aca="false">LN(C1415)</f>
        <v>8.6132612657641</v>
      </c>
      <c r="F1415" s="25" t="n">
        <f aca="false">LN(C1415/C1414)</f>
        <v>-0.00146508734578835</v>
      </c>
      <c r="G1415" s="25" t="n">
        <f aca="false">IF(AND(D1415=1,A1415&gt;=$R$2),F1415,"")</f>
        <v>-0.00146508734578835</v>
      </c>
      <c r="H1415" s="27" t="n">
        <f aca="false">IF(G1415="","",G1415^2)</f>
        <v>2.14648093078915E-006</v>
      </c>
      <c r="I1415" s="25" t="n">
        <f aca="false">IF(G1415="","",C1415/C1414-1)</f>
        <v>-0.00146401462926138</v>
      </c>
      <c r="J1415" s="17" t="n">
        <f aca="false">AVERAGE(C1216:C1415)</f>
        <v>6922.04245</v>
      </c>
      <c r="K1415" s="17" t="n">
        <f aca="false">MAX(K1414,C1415)</f>
        <v>19650.01</v>
      </c>
      <c r="L1415" s="25" t="n">
        <f aca="false">C1415/K1415-1</f>
        <v>-0.719889709979791</v>
      </c>
      <c r="M1415" s="25" t="n">
        <f aca="false">IF(COUNT(G1386:G1415)&lt;20,"",_xlfn.STDEV.S(G1386:G1415)*SQRT($R$3))</f>
        <v>0.405060771868783</v>
      </c>
      <c r="N1415" s="25" t="n">
        <f aca="false">IF(A1415-7&lt;$R$2,"",C1415/INDEX(Clean_Data!$C$2:$C$4314,MATCH(A1415-7,Clean_Data!$A$2:$A$4314,1))-1)</f>
        <v>-0.132849252137089</v>
      </c>
      <c r="O1415" s="25" t="n">
        <f aca="false">IF(A1415-30&lt;$R$2,"",C1415/INDEX(Clean_Data!$C$2:$C$4314,MATCH(A1415-30,Clean_Data!$A$2:$A$4314,1))-1)</f>
        <v>-0.139295632810839</v>
      </c>
    </row>
    <row r="1416" customFormat="false" ht="15" hidden="false" customHeight="false" outlineLevel="0" collapsed="false">
      <c r="A1416" s="16" t="n">
        <v>43422</v>
      </c>
      <c r="B1416" s="23" t="n">
        <f aca="false">YEAR(A1416)</f>
        <v>2018</v>
      </c>
      <c r="C1416" s="17" t="n">
        <v>5560</v>
      </c>
      <c r="D1416" s="23" t="n">
        <f aca="false">A1416-A1415</f>
        <v>1</v>
      </c>
      <c r="E1416" s="24" t="n">
        <f aca="false">LN(C1416)</f>
        <v>8.62335338724463</v>
      </c>
      <c r="F1416" s="25" t="n">
        <f aca="false">LN(C1416/C1415)</f>
        <v>0.0100921214805235</v>
      </c>
      <c r="G1416" s="25" t="n">
        <f aca="false">IF(AND(D1416=1,A1416&gt;=$R$2),F1416,"")</f>
        <v>0.0100921214805235</v>
      </c>
      <c r="H1416" s="27" t="n">
        <f aca="false">IF(G1416="","",G1416^2)</f>
        <v>0.000101850915977645</v>
      </c>
      <c r="I1416" s="25" t="n">
        <f aca="false">IF(G1416="","",C1416/C1415-1)</f>
        <v>0.0101432186869228</v>
      </c>
      <c r="J1416" s="17" t="n">
        <f aca="false">AVERAGE(C1217:C1416)</f>
        <v>6903.89005</v>
      </c>
      <c r="K1416" s="17" t="n">
        <f aca="false">MAX(K1415,C1416)</f>
        <v>19650.01</v>
      </c>
      <c r="L1416" s="25" t="n">
        <f aca="false">C1416/K1416-1</f>
        <v>-0.717048490051659</v>
      </c>
      <c r="M1416" s="25" t="n">
        <f aca="false">IF(COUNT(G1387:G1416)&lt;20,"",_xlfn.STDEV.S(G1387:G1416)*SQRT($R$3))</f>
        <v>0.4083600894066</v>
      </c>
      <c r="N1416" s="25" t="n">
        <f aca="false">IF(A1416-7&lt;$R$2,"",C1416/INDEX(Clean_Data!$C$2:$C$4314,MATCH(A1416-7,Clean_Data!$A$2:$A$4314,1))-1)</f>
        <v>-0.125456146973701</v>
      </c>
      <c r="O1416" s="25" t="n">
        <f aca="false">IF(A1416-30&lt;$R$2,"",C1416/INDEX(Clean_Data!$C$2:$C$4314,MATCH(A1416-30,Clean_Data!$A$2:$A$4314,1))-1)</f>
        <v>-0.128934872215059</v>
      </c>
    </row>
    <row r="1417" customFormat="false" ht="15" hidden="false" customHeight="false" outlineLevel="0" collapsed="false">
      <c r="A1417" s="16" t="n">
        <v>43423</v>
      </c>
      <c r="B1417" s="23" t="n">
        <f aca="false">YEAR(A1417)</f>
        <v>2018</v>
      </c>
      <c r="C1417" s="17" t="n">
        <v>4733.5</v>
      </c>
      <c r="D1417" s="23" t="n">
        <f aca="false">A1417-A1416</f>
        <v>1</v>
      </c>
      <c r="E1417" s="24" t="n">
        <f aca="false">LN(C1417)</f>
        <v>8.46242016556895</v>
      </c>
      <c r="F1417" s="25" t="n">
        <f aca="false">LN(C1417/C1416)</f>
        <v>-0.160933221675682</v>
      </c>
      <c r="G1417" s="25" t="n">
        <f aca="false">IF(AND(D1417=1,A1417&gt;=$R$2),F1417,"")</f>
        <v>-0.160933221675682</v>
      </c>
      <c r="H1417" s="27" t="n">
        <f aca="false">IF(G1417="","",G1417^2)</f>
        <v>0.0258995018389142</v>
      </c>
      <c r="I1417" s="25" t="n">
        <f aca="false">IF(G1417="","",C1417/C1416-1)</f>
        <v>-0.148651079136691</v>
      </c>
      <c r="J1417" s="17" t="n">
        <f aca="false">AVERAGE(C1218:C1417)</f>
        <v>6878.92885</v>
      </c>
      <c r="K1417" s="17" t="n">
        <f aca="false">MAX(K1416,C1417)</f>
        <v>19650.01</v>
      </c>
      <c r="L1417" s="25" t="n">
        <f aca="false">C1417/K1417-1</f>
        <v>-0.759109537348836</v>
      </c>
      <c r="M1417" s="25" t="n">
        <f aca="false">IF(COUNT(G1388:G1417)&lt;20,"",_xlfn.STDEV.S(G1388:G1417)*SQRT($R$3))</f>
        <v>0.679490350640588</v>
      </c>
      <c r="N1417" s="25" t="n">
        <f aca="false">IF(A1417-7&lt;$R$2,"",C1417/INDEX(Clean_Data!$C$2:$C$4314,MATCH(A1417-7,Clean_Data!$A$2:$A$4314,1))-1)</f>
        <v>-0.251959980214511</v>
      </c>
      <c r="O1417" s="25" t="n">
        <f aca="false">IF(A1417-30&lt;$R$2,"",C1417/INDEX(Clean_Data!$C$2:$C$4314,MATCH(A1417-30,Clean_Data!$A$2:$A$4314,1))-1)</f>
        <v>-0.262004989086374</v>
      </c>
    </row>
    <row r="1418" customFormat="false" ht="15" hidden="false" customHeight="false" outlineLevel="0" collapsed="false">
      <c r="A1418" s="16" t="n">
        <v>43424</v>
      </c>
      <c r="B1418" s="23" t="n">
        <f aca="false">YEAR(A1418)</f>
        <v>2018</v>
      </c>
      <c r="C1418" s="17" t="n">
        <v>4349.23</v>
      </c>
      <c r="D1418" s="23" t="n">
        <f aca="false">A1418-A1417</f>
        <v>1</v>
      </c>
      <c r="E1418" s="24" t="n">
        <f aca="false">LN(C1418)</f>
        <v>8.37775409692009</v>
      </c>
      <c r="F1418" s="25" t="n">
        <f aca="false">LN(C1418/C1417)</f>
        <v>-0.0846660686488527</v>
      </c>
      <c r="G1418" s="25" t="n">
        <f aca="false">IF(AND(D1418=1,A1418&gt;=$R$2),F1418,"")</f>
        <v>-0.0846660686488527</v>
      </c>
      <c r="H1418" s="27" t="n">
        <f aca="false">IF(G1418="","",G1418^2)</f>
        <v>0.00716834318045223</v>
      </c>
      <c r="I1418" s="25" t="n">
        <f aca="false">IF(G1418="","",C1418/C1417-1)</f>
        <v>-0.0811809443329461</v>
      </c>
      <c r="J1418" s="17" t="n">
        <f aca="false">AVERAGE(C1219:C1418)</f>
        <v>6852.25</v>
      </c>
      <c r="K1418" s="17" t="n">
        <f aca="false">MAX(K1417,C1418)</f>
        <v>19650.01</v>
      </c>
      <c r="L1418" s="25" t="n">
        <f aca="false">C1418/K1418-1</f>
        <v>-0.778665252587658</v>
      </c>
      <c r="M1418" s="25" t="n">
        <f aca="false">IF(COUNT(G1389:G1418)&lt;20,"",_xlfn.STDEV.S(G1389:G1418)*SQRT($R$3))</f>
        <v>0.726114030756694</v>
      </c>
      <c r="N1418" s="25" t="n">
        <f aca="false">IF(A1418-7&lt;$R$2,"",C1418/INDEX(Clean_Data!$C$2:$C$4314,MATCH(A1418-7,Clean_Data!$A$2:$A$4314,1))-1)</f>
        <v>-0.30516156655494</v>
      </c>
      <c r="O1418" s="25" t="n">
        <f aca="false">IF(A1418-30&lt;$R$2,"",C1418/INDEX(Clean_Data!$C$2:$C$4314,MATCH(A1418-30,Clean_Data!$A$2:$A$4314,1))-1)</f>
        <v>-0.322114815114996</v>
      </c>
    </row>
    <row r="1419" customFormat="false" ht="15" hidden="false" customHeight="false" outlineLevel="0" collapsed="false">
      <c r="A1419" s="16" t="n">
        <v>43425</v>
      </c>
      <c r="B1419" s="23" t="n">
        <f aca="false">YEAR(A1419)</f>
        <v>2018</v>
      </c>
      <c r="C1419" s="17" t="n">
        <v>4545.11</v>
      </c>
      <c r="D1419" s="23" t="n">
        <f aca="false">A1419-A1418</f>
        <v>1</v>
      </c>
      <c r="E1419" s="24" t="n">
        <f aca="false">LN(C1419)</f>
        <v>8.42180720873895</v>
      </c>
      <c r="F1419" s="25" t="n">
        <f aca="false">LN(C1419/C1418)</f>
        <v>0.044053111818854</v>
      </c>
      <c r="G1419" s="25" t="n">
        <f aca="false">IF(AND(D1419=1,A1419&gt;=$R$2),F1419,"")</f>
        <v>0.044053111818854</v>
      </c>
      <c r="H1419" s="27" t="n">
        <f aca="false">IF(G1419="","",G1419^2)</f>
        <v>0.00194067666092446</v>
      </c>
      <c r="I1419" s="25" t="n">
        <f aca="false">IF(G1419="","",C1419/C1418-1)</f>
        <v>0.0450378572758856</v>
      </c>
      <c r="J1419" s="17" t="n">
        <f aca="false">AVERAGE(C1220:C1419)</f>
        <v>6825.97555</v>
      </c>
      <c r="K1419" s="17" t="n">
        <f aca="false">MAX(K1418,C1419)</f>
        <v>19650.01</v>
      </c>
      <c r="L1419" s="25" t="n">
        <f aca="false">C1419/K1419-1</f>
        <v>-0.768696809823506</v>
      </c>
      <c r="M1419" s="25" t="n">
        <f aca="false">IF(COUNT(G1390:G1419)&lt;20,"",_xlfn.STDEV.S(G1390:G1419)*SQRT($R$3))</f>
        <v>0.752046413059874</v>
      </c>
      <c r="N1419" s="25" t="n">
        <f aca="false">IF(A1419-7&lt;$R$2,"",C1419/INDEX(Clean_Data!$C$2:$C$4314,MATCH(A1419-7,Clean_Data!$A$2:$A$4314,1))-1)</f>
        <v>-0.189163779600604</v>
      </c>
      <c r="O1419" s="25" t="n">
        <f aca="false">IF(A1419-30&lt;$R$2,"",C1419/INDEX(Clean_Data!$C$2:$C$4314,MATCH(A1419-30,Clean_Data!$A$2:$A$4314,1))-1)</f>
        <v>-0.290674428222515</v>
      </c>
    </row>
    <row r="1420" customFormat="false" ht="15" hidden="false" customHeight="false" outlineLevel="0" collapsed="false">
      <c r="A1420" s="16" t="n">
        <v>43426</v>
      </c>
      <c r="B1420" s="23" t="n">
        <f aca="false">YEAR(A1420)</f>
        <v>2018</v>
      </c>
      <c r="C1420" s="17" t="n">
        <v>4265.36</v>
      </c>
      <c r="D1420" s="23" t="n">
        <f aca="false">A1420-A1419</f>
        <v>1</v>
      </c>
      <c r="E1420" s="24" t="n">
        <f aca="false">LN(C1420)</f>
        <v>8.35828186433549</v>
      </c>
      <c r="F1420" s="25" t="n">
        <f aca="false">LN(C1420/C1419)</f>
        <v>-0.0635253444034563</v>
      </c>
      <c r="G1420" s="25" t="n">
        <f aca="false">IF(AND(D1420=1,A1420&gt;=$R$2),F1420,"")</f>
        <v>-0.0635253444034563</v>
      </c>
      <c r="H1420" s="27" t="n">
        <f aca="false">IF(G1420="","",G1420^2)</f>
        <v>0.00403546938157774</v>
      </c>
      <c r="I1420" s="25" t="n">
        <f aca="false">IF(G1420="","",C1420/C1419-1)</f>
        <v>-0.0615496654646422</v>
      </c>
      <c r="J1420" s="17" t="n">
        <f aca="false">AVERAGE(C1221:C1420)</f>
        <v>6799.30235</v>
      </c>
      <c r="K1420" s="17" t="n">
        <f aca="false">MAX(K1419,C1420)</f>
        <v>19650.01</v>
      </c>
      <c r="L1420" s="25" t="n">
        <f aca="false">C1420/K1420-1</f>
        <v>-0.782933443799774</v>
      </c>
      <c r="M1420" s="25" t="n">
        <f aca="false">IF(COUNT(G1391:G1420)&lt;20,"",_xlfn.STDEV.S(G1391:G1420)*SQRT($R$3))</f>
        <v>0.772646949675144</v>
      </c>
      <c r="N1420" s="25" t="n">
        <f aca="false">IF(A1420-7&lt;$R$2,"",C1420/INDEX(Clean_Data!$C$2:$C$4314,MATCH(A1420-7,Clean_Data!$A$2:$A$4314,1))-1)</f>
        <v>-0.235532805689378</v>
      </c>
      <c r="O1420" s="25" t="n">
        <f aca="false">IF(A1420-30&lt;$R$2,"",C1420/INDEX(Clean_Data!$C$2:$C$4314,MATCH(A1420-30,Clean_Data!$A$2:$A$4314,1))-1)</f>
        <v>-0.33303102043114</v>
      </c>
    </row>
    <row r="1421" customFormat="false" ht="15" hidden="false" customHeight="false" outlineLevel="0" collapsed="false">
      <c r="A1421" s="16" t="n">
        <v>43427</v>
      </c>
      <c r="B1421" s="23" t="n">
        <f aca="false">YEAR(A1421)</f>
        <v>2018</v>
      </c>
      <c r="C1421" s="17" t="n">
        <v>4283.8</v>
      </c>
      <c r="D1421" s="23" t="n">
        <f aca="false">A1421-A1420</f>
        <v>1</v>
      </c>
      <c r="E1421" s="24" t="n">
        <f aca="false">LN(C1421)</f>
        <v>8.36259574513704</v>
      </c>
      <c r="F1421" s="25" t="n">
        <f aca="false">LN(C1421/C1420)</f>
        <v>0.00431388080155103</v>
      </c>
      <c r="G1421" s="25" t="n">
        <f aca="false">IF(AND(D1421=1,A1421&gt;=$R$2),F1421,"")</f>
        <v>0.00431388080155103</v>
      </c>
      <c r="H1421" s="27" t="n">
        <f aca="false">IF(G1421="","",G1421^2)</f>
        <v>1.86095675699905E-005</v>
      </c>
      <c r="I1421" s="25" t="n">
        <f aca="false">IF(G1421="","",C1421/C1420-1)</f>
        <v>0.00432319897968769</v>
      </c>
      <c r="J1421" s="17" t="n">
        <f aca="false">AVERAGE(C1222:C1421)</f>
        <v>6773.9401</v>
      </c>
      <c r="K1421" s="17" t="n">
        <f aca="false">MAX(K1420,C1421)</f>
        <v>19650.01</v>
      </c>
      <c r="L1421" s="25" t="n">
        <f aca="false">C1421/K1421-1</f>
        <v>-0.781995021885485</v>
      </c>
      <c r="M1421" s="25" t="n">
        <f aca="false">IF(COUNT(G1392:G1421)&lt;20,"",_xlfn.STDEV.S(G1392:G1421)*SQRT($R$3))</f>
        <v>0.772945160228158</v>
      </c>
      <c r="N1421" s="25" t="n">
        <f aca="false">IF(A1421-7&lt;$R$2,"",C1421/INDEX(Clean_Data!$C$2:$C$4314,MATCH(A1421-7,Clean_Data!$A$2:$A$4314,1))-1)</f>
        <v>-0.222856769661698</v>
      </c>
      <c r="O1421" s="25" t="n">
        <f aca="false">IF(A1421-30&lt;$R$2,"",C1421/INDEX(Clean_Data!$C$2:$C$4314,MATCH(A1421-30,Clean_Data!$A$2:$A$4314,1))-1)</f>
        <v>-0.332323355122678</v>
      </c>
    </row>
    <row r="1422" customFormat="false" ht="15" hidden="false" customHeight="false" outlineLevel="0" collapsed="false">
      <c r="A1422" s="16" t="n">
        <v>43428</v>
      </c>
      <c r="B1422" s="23" t="n">
        <f aca="false">YEAR(A1422)</f>
        <v>2018</v>
      </c>
      <c r="C1422" s="17" t="n">
        <v>3774.99</v>
      </c>
      <c r="D1422" s="23" t="n">
        <f aca="false">A1422-A1421</f>
        <v>1</v>
      </c>
      <c r="E1422" s="24" t="n">
        <f aca="false">LN(C1422)</f>
        <v>8.23615301267299</v>
      </c>
      <c r="F1422" s="25" t="n">
        <f aca="false">LN(C1422/C1421)</f>
        <v>-0.126442732464048</v>
      </c>
      <c r="G1422" s="25" t="n">
        <f aca="false">IF(AND(D1422=1,A1422&gt;=$R$2),F1422,"")</f>
        <v>-0.126442732464048</v>
      </c>
      <c r="H1422" s="27" t="n">
        <f aca="false">IF(G1422="","",G1422^2)</f>
        <v>0.0159877645929748</v>
      </c>
      <c r="I1422" s="25" t="n">
        <f aca="false">IF(G1422="","",C1422/C1421-1)</f>
        <v>-0.118775386339232</v>
      </c>
      <c r="J1422" s="17" t="n">
        <f aca="false">AVERAGE(C1223:C1422)</f>
        <v>6746.926</v>
      </c>
      <c r="K1422" s="17" t="n">
        <f aca="false">MAX(K1421,C1422)</f>
        <v>19650.01</v>
      </c>
      <c r="L1422" s="25" t="n">
        <f aca="false">C1422/K1422-1</f>
        <v>-0.807888647384912</v>
      </c>
      <c r="M1422" s="25" t="n">
        <f aca="false">IF(COUNT(G1393:G1422)&lt;20,"",_xlfn.STDEV.S(G1393:G1422)*SQRT($R$3))</f>
        <v>0.866250513904556</v>
      </c>
      <c r="N1422" s="25" t="n">
        <f aca="false">IF(A1422-7&lt;$R$2,"",C1422/INDEX(Clean_Data!$C$2:$C$4314,MATCH(A1422-7,Clean_Data!$A$2:$A$4314,1))-1)</f>
        <v>-0.314158174620333</v>
      </c>
      <c r="O1422" s="25" t="n">
        <f aca="false">IF(A1422-30&lt;$R$2,"",C1422/INDEX(Clean_Data!$C$2:$C$4314,MATCH(A1422-30,Clean_Data!$A$2:$A$4314,1))-1)</f>
        <v>-0.409750171211993</v>
      </c>
    </row>
    <row r="1423" customFormat="false" ht="15" hidden="false" customHeight="false" outlineLevel="0" collapsed="false">
      <c r="A1423" s="16" t="n">
        <v>43429</v>
      </c>
      <c r="B1423" s="23" t="n">
        <f aca="false">YEAR(A1423)</f>
        <v>2018</v>
      </c>
      <c r="C1423" s="17" t="n">
        <v>3936.69</v>
      </c>
      <c r="D1423" s="23" t="n">
        <f aca="false">A1423-A1422</f>
        <v>1</v>
      </c>
      <c r="E1423" s="24" t="n">
        <f aca="false">LN(C1423)</f>
        <v>8.27809554768609</v>
      </c>
      <c r="F1423" s="25" t="n">
        <f aca="false">LN(C1423/C1422)</f>
        <v>0.0419425350130944</v>
      </c>
      <c r="G1423" s="25" t="n">
        <f aca="false">IF(AND(D1423=1,A1423&gt;=$R$2),F1423,"")</f>
        <v>0.0419425350130944</v>
      </c>
      <c r="H1423" s="27" t="n">
        <f aca="false">IF(G1423="","",G1423^2)</f>
        <v>0.00175917624332465</v>
      </c>
      <c r="I1423" s="25" t="n">
        <f aca="false">IF(G1423="","",C1423/C1422-1)</f>
        <v>0.0428345505551009</v>
      </c>
      <c r="J1423" s="17" t="n">
        <f aca="false">AVERAGE(C1224:C1423)</f>
        <v>6720.10905</v>
      </c>
      <c r="K1423" s="17" t="n">
        <f aca="false">MAX(K1422,C1423)</f>
        <v>19650.01</v>
      </c>
      <c r="L1423" s="25" t="n">
        <f aca="false">C1423/K1423-1</f>
        <v>-0.799659643939113</v>
      </c>
      <c r="M1423" s="25" t="n">
        <f aca="false">IF(COUNT(G1394:G1423)&lt;20,"",_xlfn.STDEV.S(G1394:G1423)*SQRT($R$3))</f>
        <v>0.888666981476443</v>
      </c>
      <c r="N1423" s="25" t="n">
        <f aca="false">IF(A1423-7&lt;$R$2,"",C1423/INDEX(Clean_Data!$C$2:$C$4314,MATCH(A1423-7,Clean_Data!$A$2:$A$4314,1))-1)</f>
        <v>-0.291962230215827</v>
      </c>
      <c r="O1423" s="25" t="n">
        <f aca="false">IF(A1423-30&lt;$R$2,"",C1423/INDEX(Clean_Data!$C$2:$C$4314,MATCH(A1423-30,Clean_Data!$A$2:$A$4314,1))-1)</f>
        <v>-0.385359890208544</v>
      </c>
    </row>
    <row r="1424" customFormat="false" ht="15" hidden="false" customHeight="false" outlineLevel="0" collapsed="false">
      <c r="A1424" s="16" t="n">
        <v>43430</v>
      </c>
      <c r="B1424" s="23" t="n">
        <f aca="false">YEAR(A1424)</f>
        <v>2018</v>
      </c>
      <c r="C1424" s="17" t="n">
        <v>3731.32</v>
      </c>
      <c r="D1424" s="23" t="n">
        <f aca="false">A1424-A1423</f>
        <v>1</v>
      </c>
      <c r="E1424" s="24" t="n">
        <f aca="false">LN(C1424)</f>
        <v>8.22451733743395</v>
      </c>
      <c r="F1424" s="25" t="n">
        <f aca="false">LN(C1424/C1423)</f>
        <v>-0.0535782102521397</v>
      </c>
      <c r="G1424" s="25" t="n">
        <f aca="false">IF(AND(D1424=1,A1424&gt;=$R$2),F1424,"")</f>
        <v>-0.0535782102521397</v>
      </c>
      <c r="H1424" s="27" t="n">
        <f aca="false">IF(G1424="","",G1424^2)</f>
        <v>0.00287062461382249</v>
      </c>
      <c r="I1424" s="25" t="n">
        <f aca="false">IF(G1424="","",C1424/C1423-1)</f>
        <v>-0.0521681920598269</v>
      </c>
      <c r="J1424" s="17" t="n">
        <f aca="false">AVERAGE(C1225:C1424)</f>
        <v>6693.7131</v>
      </c>
      <c r="K1424" s="17" t="n">
        <f aca="false">MAX(K1423,C1424)</f>
        <v>19650.01</v>
      </c>
      <c r="L1424" s="25" t="n">
        <f aca="false">C1424/K1424-1</f>
        <v>-0.810111038111431</v>
      </c>
      <c r="M1424" s="25" t="n">
        <f aca="false">IF(COUNT(G1395:G1424)&lt;20,"",_xlfn.STDEV.S(G1395:G1424)*SQRT($R$3))</f>
        <v>0.895805430020795</v>
      </c>
      <c r="N1424" s="25" t="n">
        <f aca="false">IF(A1424-7&lt;$R$2,"",C1424/INDEX(Clean_Data!$C$2:$C$4314,MATCH(A1424-7,Clean_Data!$A$2:$A$4314,1))-1)</f>
        <v>-0.211720714059364</v>
      </c>
      <c r="O1424" s="25" t="n">
        <f aca="false">IF(A1424-30&lt;$R$2,"",C1424/INDEX(Clean_Data!$C$2:$C$4314,MATCH(A1424-30,Clean_Data!$A$2:$A$4314,1))-1)</f>
        <v>-0.417810869510947</v>
      </c>
    </row>
    <row r="1425" customFormat="false" ht="15" hidden="false" customHeight="false" outlineLevel="0" collapsed="false">
      <c r="A1425" s="16" t="n">
        <v>43431</v>
      </c>
      <c r="B1425" s="23" t="n">
        <f aca="false">YEAR(A1425)</f>
        <v>2018</v>
      </c>
      <c r="C1425" s="17" t="n">
        <v>3775</v>
      </c>
      <c r="D1425" s="23" t="n">
        <f aca="false">A1425-A1424</f>
        <v>1</v>
      </c>
      <c r="E1425" s="24" t="n">
        <f aca="false">LN(C1425)</f>
        <v>8.23615566168312</v>
      </c>
      <c r="F1425" s="25" t="n">
        <f aca="false">LN(C1425/C1424)</f>
        <v>0.0116383242491765</v>
      </c>
      <c r="G1425" s="25" t="n">
        <f aca="false">IF(AND(D1425=1,A1425&gt;=$R$2),F1425,"")</f>
        <v>0.0116383242491765</v>
      </c>
      <c r="H1425" s="27" t="n">
        <f aca="false">IF(G1425="","",G1425^2)</f>
        <v>0.000135450591328969</v>
      </c>
      <c r="I1425" s="25" t="n">
        <f aca="false">IF(G1425="","",C1425/C1424-1)</f>
        <v>0.0117063130473933</v>
      </c>
      <c r="J1425" s="17" t="n">
        <f aca="false">AVERAGE(C1226:C1425)</f>
        <v>6670.57145</v>
      </c>
      <c r="K1425" s="17" t="n">
        <f aca="false">MAX(K1424,C1425)</f>
        <v>19650.01</v>
      </c>
      <c r="L1425" s="25" t="n">
        <f aca="false">C1425/K1425-1</f>
        <v>-0.807888138479319</v>
      </c>
      <c r="M1425" s="25" t="n">
        <f aca="false">IF(COUNT(G1396:G1425)&lt;20,"",_xlfn.STDEV.S(G1396:G1425)*SQRT($R$3))</f>
        <v>0.899872107482206</v>
      </c>
      <c r="N1425" s="25" t="n">
        <f aca="false">IF(A1425-7&lt;$R$2,"",C1425/INDEX(Clean_Data!$C$2:$C$4314,MATCH(A1425-7,Clean_Data!$A$2:$A$4314,1))-1)</f>
        <v>-0.132030267426648</v>
      </c>
      <c r="O1425" s="25" t="n">
        <f aca="false">IF(A1425-30&lt;$R$2,"",C1425/INDEX(Clean_Data!$C$2:$C$4314,MATCH(A1425-30,Clean_Data!$A$2:$A$4314,1))-1)</f>
        <v>-0.410489691768094</v>
      </c>
    </row>
    <row r="1426" customFormat="false" ht="15" hidden="false" customHeight="false" outlineLevel="0" collapsed="false">
      <c r="A1426" s="16" t="n">
        <v>43432</v>
      </c>
      <c r="B1426" s="23" t="n">
        <f aca="false">YEAR(A1426)</f>
        <v>2018</v>
      </c>
      <c r="C1426" s="17" t="n">
        <v>4225.03</v>
      </c>
      <c r="D1426" s="23" t="n">
        <f aca="false">A1426-A1425</f>
        <v>1</v>
      </c>
      <c r="E1426" s="24" t="n">
        <f aca="false">LN(C1426)</f>
        <v>8.34878164035778</v>
      </c>
      <c r="F1426" s="25" t="n">
        <f aca="false">LN(C1426/C1425)</f>
        <v>0.112625978674656</v>
      </c>
      <c r="G1426" s="25" t="n">
        <f aca="false">IF(AND(D1426=1,A1426&gt;=$R$2),F1426,"")</f>
        <v>0.112625978674656</v>
      </c>
      <c r="H1426" s="27" t="n">
        <f aca="false">IF(G1426="","",G1426^2)</f>
        <v>0.0126846110724241</v>
      </c>
      <c r="I1426" s="25" t="n">
        <f aca="false">IF(G1426="","",C1426/C1425-1)</f>
        <v>0.119213245033112</v>
      </c>
      <c r="J1426" s="17" t="n">
        <f aca="false">AVERAGE(C1227:C1426)</f>
        <v>6649.3216</v>
      </c>
      <c r="K1426" s="17" t="n">
        <f aca="false">MAX(K1425,C1426)</f>
        <v>19650.01</v>
      </c>
      <c r="L1426" s="25" t="n">
        <f aca="false">C1426/K1426-1</f>
        <v>-0.784985860058087</v>
      </c>
      <c r="M1426" s="25" t="n">
        <f aca="false">IF(COUNT(G1397:G1426)&lt;20,"",_xlfn.STDEV.S(G1397:G1426)*SQRT($R$3))</f>
        <v>1.0077112928045</v>
      </c>
      <c r="N1426" s="25" t="n">
        <f aca="false">IF(A1426-7&lt;$R$2,"",C1426/INDEX(Clean_Data!$C$2:$C$4314,MATCH(A1426-7,Clean_Data!$A$2:$A$4314,1))-1)</f>
        <v>-0.0704229380587048</v>
      </c>
      <c r="O1426" s="25" t="n">
        <f aca="false">IF(A1426-30&lt;$R$2,"",C1426/INDEX(Clean_Data!$C$2:$C$4314,MATCH(A1426-30,Clean_Data!$A$2:$A$4314,1))-1)</f>
        <v>-0.325721353335461</v>
      </c>
    </row>
    <row r="1427" customFormat="false" ht="15" hidden="false" customHeight="false" outlineLevel="0" collapsed="false">
      <c r="A1427" s="16" t="n">
        <v>43433</v>
      </c>
      <c r="B1427" s="23" t="n">
        <f aca="false">YEAR(A1427)</f>
        <v>2018</v>
      </c>
      <c r="C1427" s="17" t="n">
        <v>4248</v>
      </c>
      <c r="D1427" s="23" t="n">
        <f aca="false">A1427-A1426</f>
        <v>1</v>
      </c>
      <c r="E1427" s="24" t="n">
        <f aca="false">LN(C1427)</f>
        <v>8.35420356292178</v>
      </c>
      <c r="F1427" s="25" t="n">
        <f aca="false">LN(C1427/C1426)</f>
        <v>0.00542192256399373</v>
      </c>
      <c r="G1427" s="25" t="n">
        <f aca="false">IF(AND(D1427=1,A1427&gt;=$R$2),F1427,"")</f>
        <v>0.00542192256399373</v>
      </c>
      <c r="H1427" s="27" t="n">
        <f aca="false">IF(G1427="","",G1427^2)</f>
        <v>2.93972442899443E-005</v>
      </c>
      <c r="I1427" s="25" t="n">
        <f aca="false">IF(G1427="","",C1427/C1426-1)</f>
        <v>0.00543664778711639</v>
      </c>
      <c r="J1427" s="17" t="n">
        <f aca="false">AVERAGE(C1228:C1427)</f>
        <v>6627.1311</v>
      </c>
      <c r="K1427" s="17" t="n">
        <f aca="false">MAX(K1426,C1427)</f>
        <v>19650.01</v>
      </c>
      <c r="L1427" s="25" t="n">
        <f aca="false">C1427/K1427-1</f>
        <v>-0.783816903909973</v>
      </c>
      <c r="M1427" s="25" t="n">
        <f aca="false">IF(COUNT(G1398:G1427)&lt;20,"",_xlfn.STDEV.S(G1398:G1427)*SQRT($R$3))</f>
        <v>1.00873534215791</v>
      </c>
      <c r="N1427" s="25" t="n">
        <f aca="false">IF(A1427-7&lt;$R$2,"",C1427/INDEX(Clean_Data!$C$2:$C$4314,MATCH(A1427-7,Clean_Data!$A$2:$A$4314,1))-1)</f>
        <v>-0.0040699964364086</v>
      </c>
      <c r="O1427" s="25" t="n">
        <f aca="false">IF(A1427-30&lt;$R$2,"",C1427/INDEX(Clean_Data!$C$2:$C$4314,MATCH(A1427-30,Clean_Data!$A$2:$A$4314,1))-1)</f>
        <v>-0.322231848402028</v>
      </c>
    </row>
    <row r="1428" customFormat="false" ht="15" hidden="false" customHeight="false" outlineLevel="0" collapsed="false">
      <c r="A1428" s="16" t="n">
        <v>43434</v>
      </c>
      <c r="B1428" s="23" t="n">
        <f aca="false">YEAR(A1428)</f>
        <v>2018</v>
      </c>
      <c r="C1428" s="17" t="n">
        <v>3976</v>
      </c>
      <c r="D1428" s="23" t="n">
        <f aca="false">A1428-A1427</f>
        <v>1</v>
      </c>
      <c r="E1428" s="24" t="n">
        <f aca="false">LN(C1428)</f>
        <v>8.28803156777646</v>
      </c>
      <c r="F1428" s="25" t="n">
        <f aca="false">LN(C1428/C1427)</f>
        <v>-0.0661719951453101</v>
      </c>
      <c r="G1428" s="25" t="n">
        <f aca="false">IF(AND(D1428=1,A1428&gt;=$R$2),F1428,"")</f>
        <v>-0.0661719951453101</v>
      </c>
      <c r="H1428" s="27" t="n">
        <f aca="false">IF(G1428="","",G1428^2)</f>
        <v>0.00437873294151094</v>
      </c>
      <c r="I1428" s="25" t="n">
        <f aca="false">IF(G1428="","",C1428/C1427-1)</f>
        <v>-0.064030131826742</v>
      </c>
      <c r="J1428" s="17" t="n">
        <f aca="false">AVERAGE(C1229:C1428)</f>
        <v>6603.6611</v>
      </c>
      <c r="K1428" s="17" t="n">
        <f aca="false">MAX(K1427,C1428)</f>
        <v>19650.01</v>
      </c>
      <c r="L1428" s="25" t="n">
        <f aca="false">C1428/K1428-1</f>
        <v>-0.79765913605133</v>
      </c>
      <c r="M1428" s="25" t="n">
        <f aca="false">IF(COUNT(G1399:G1428)&lt;20,"",_xlfn.STDEV.S(G1399:G1428)*SQRT($R$3))</f>
        <v>1.0230178057496</v>
      </c>
      <c r="N1428" s="25" t="n">
        <f aca="false">IF(A1428-7&lt;$R$2,"",C1428/INDEX(Clean_Data!$C$2:$C$4314,MATCH(A1428-7,Clean_Data!$A$2:$A$4314,1))-1)</f>
        <v>-0.0718520939352911</v>
      </c>
      <c r="O1428" s="25" t="n">
        <f aca="false">IF(A1428-30&lt;$R$2,"",C1428/INDEX(Clean_Data!$C$2:$C$4314,MATCH(A1428-30,Clean_Data!$A$2:$A$4314,1))-1)</f>
        <v>-0.36930734845769</v>
      </c>
    </row>
    <row r="1429" customFormat="false" ht="15" hidden="false" customHeight="false" outlineLevel="0" collapsed="false">
      <c r="A1429" s="16" t="n">
        <v>43435</v>
      </c>
      <c r="B1429" s="23" t="n">
        <f aca="false">YEAR(A1429)</f>
        <v>2018</v>
      </c>
      <c r="C1429" s="17" t="n">
        <v>4142.01</v>
      </c>
      <c r="D1429" s="23" t="n">
        <f aca="false">A1429-A1428</f>
        <v>1</v>
      </c>
      <c r="E1429" s="24" t="n">
        <f aca="false">LN(C1429)</f>
        <v>8.32893645624523</v>
      </c>
      <c r="F1429" s="25" t="n">
        <f aca="false">LN(C1429/C1428)</f>
        <v>0.0409048884687628</v>
      </c>
      <c r="G1429" s="25" t="n">
        <f aca="false">IF(AND(D1429=1,A1429&gt;=$R$2),F1429,"")</f>
        <v>0.0409048884687628</v>
      </c>
      <c r="H1429" s="27" t="n">
        <f aca="false">IF(G1429="","",G1429^2)</f>
        <v>0.00167320990064193</v>
      </c>
      <c r="I1429" s="25" t="n">
        <f aca="false">IF(G1429="","",C1429/C1428-1)</f>
        <v>0.0417530181086521</v>
      </c>
      <c r="J1429" s="17" t="n">
        <f aca="false">AVERAGE(C1230:C1429)</f>
        <v>6581.98385</v>
      </c>
      <c r="K1429" s="17" t="n">
        <f aca="false">MAX(K1428,C1429)</f>
        <v>19650.01</v>
      </c>
      <c r="L1429" s="25" t="n">
        <f aca="false">C1429/K1429-1</f>
        <v>-0.789210794294761</v>
      </c>
      <c r="M1429" s="25" t="n">
        <f aca="false">IF(COUNT(G1400:G1429)&lt;20,"",_xlfn.STDEV.S(G1400:G1429)*SQRT($R$3))</f>
        <v>1.0392345765618</v>
      </c>
      <c r="N1429" s="25" t="n">
        <f aca="false">IF(A1429-7&lt;$R$2,"",C1429/INDEX(Clean_Data!$C$2:$C$4314,MATCH(A1429-7,Clean_Data!$A$2:$A$4314,1))-1)</f>
        <v>0.0972240986068838</v>
      </c>
      <c r="O1429" s="25" t="n">
        <f aca="false">IF(A1429-30&lt;$R$2,"",C1429/INDEX(Clean_Data!$C$2:$C$4314,MATCH(A1429-30,Clean_Data!$A$2:$A$4314,1))-1)</f>
        <v>-0.347098045397226</v>
      </c>
    </row>
    <row r="1430" customFormat="false" ht="15" hidden="false" customHeight="false" outlineLevel="0" collapsed="false">
      <c r="A1430" s="16" t="n">
        <v>43436</v>
      </c>
      <c r="B1430" s="23" t="n">
        <f aca="false">YEAR(A1430)</f>
        <v>2018</v>
      </c>
      <c r="C1430" s="17" t="n">
        <v>4103.19</v>
      </c>
      <c r="D1430" s="23" t="n">
        <f aca="false">A1430-A1429</f>
        <v>1</v>
      </c>
      <c r="E1430" s="24" t="n">
        <f aca="false">LN(C1430)</f>
        <v>8.31951999894984</v>
      </c>
      <c r="F1430" s="25" t="n">
        <f aca="false">LN(C1430/C1429)</f>
        <v>-0.00941645729538464</v>
      </c>
      <c r="G1430" s="25" t="n">
        <f aca="false">IF(AND(D1430=1,A1430&gt;=$R$2),F1430,"")</f>
        <v>-0.00941645729538464</v>
      </c>
      <c r="H1430" s="27" t="n">
        <f aca="false">IF(G1430="","",G1430^2)</f>
        <v>8.86696679958026E-005</v>
      </c>
      <c r="I1430" s="25" t="n">
        <f aca="false">IF(G1430="","",C1430/C1429-1)</f>
        <v>-0.00937226129343016</v>
      </c>
      <c r="J1430" s="17" t="n">
        <f aca="false">AVERAGE(C1231:C1430)</f>
        <v>6560.7798</v>
      </c>
      <c r="K1430" s="17" t="n">
        <f aca="false">MAX(K1429,C1430)</f>
        <v>19650.01</v>
      </c>
      <c r="L1430" s="25" t="n">
        <f aca="false">C1430/K1430-1</f>
        <v>-0.791186365808465</v>
      </c>
      <c r="M1430" s="25" t="n">
        <f aca="false">IF(COUNT(G1401:G1430)&lt;20,"",_xlfn.STDEV.S(G1401:G1430)*SQRT($R$3))</f>
        <v>1.0379662076736</v>
      </c>
      <c r="N1430" s="25" t="n">
        <f aca="false">IF(A1430-7&lt;$R$2,"",C1430/INDEX(Clean_Data!$C$2:$C$4314,MATCH(A1430-7,Clean_Data!$A$2:$A$4314,1))-1)</f>
        <v>0.0422944148510549</v>
      </c>
      <c r="O1430" s="25" t="n">
        <f aca="false">IF(A1430-30&lt;$R$2,"",C1430/INDEX(Clean_Data!$C$2:$C$4314,MATCH(A1430-30,Clean_Data!$A$2:$A$4314,1))-1)</f>
        <v>-0.353807993952566</v>
      </c>
    </row>
    <row r="1431" customFormat="false" ht="15" hidden="false" customHeight="false" outlineLevel="0" collapsed="false">
      <c r="A1431" s="16" t="n">
        <v>43437</v>
      </c>
      <c r="B1431" s="23" t="n">
        <f aca="false">YEAR(A1431)</f>
        <v>2018</v>
      </c>
      <c r="C1431" s="17" t="n">
        <v>3833.47</v>
      </c>
      <c r="D1431" s="23" t="n">
        <f aca="false">A1431-A1430</f>
        <v>1</v>
      </c>
      <c r="E1431" s="24" t="n">
        <f aca="false">LN(C1431)</f>
        <v>8.25152567722162</v>
      </c>
      <c r="F1431" s="25" t="n">
        <f aca="false">LN(C1431/C1430)</f>
        <v>-0.0679943217282217</v>
      </c>
      <c r="G1431" s="25" t="n">
        <f aca="false">IF(AND(D1431=1,A1431&gt;=$R$2),F1431,"")</f>
        <v>-0.0679943217282217</v>
      </c>
      <c r="H1431" s="27" t="n">
        <f aca="false">IF(G1431="","",G1431^2)</f>
        <v>0.00462322778728092</v>
      </c>
      <c r="I1431" s="25" t="n">
        <f aca="false">IF(G1431="","",C1431/C1430-1)</f>
        <v>-0.0657342214228441</v>
      </c>
      <c r="J1431" s="17" t="n">
        <f aca="false">AVERAGE(C1232:C1431)</f>
        <v>6539.65215</v>
      </c>
      <c r="K1431" s="17" t="n">
        <f aca="false">MAX(K1430,C1431)</f>
        <v>19650.01</v>
      </c>
      <c r="L1431" s="25" t="n">
        <f aca="false">C1431/K1431-1</f>
        <v>-0.80491256747452</v>
      </c>
      <c r="M1431" s="25" t="n">
        <f aca="false">IF(COUNT(G1402:G1431)&lt;20,"",_xlfn.STDEV.S(G1402:G1431)*SQRT($R$3))</f>
        <v>1.05346996730611</v>
      </c>
      <c r="N1431" s="25" t="n">
        <f aca="false">IF(A1431-7&lt;$R$2,"",C1431/INDEX(Clean_Data!$C$2:$C$4314,MATCH(A1431-7,Clean_Data!$A$2:$A$4314,1))-1)</f>
        <v>0.0273763708285539</v>
      </c>
      <c r="O1431" s="25" t="n">
        <f aca="false">IF(A1431-30&lt;$R$2,"",C1431/INDEX(Clean_Data!$C$2:$C$4314,MATCH(A1431-30,Clean_Data!$A$2:$A$4314,1))-1)</f>
        <v>-0.394583983474311</v>
      </c>
    </row>
    <row r="1432" customFormat="false" ht="15" hidden="false" customHeight="false" outlineLevel="0" collapsed="false">
      <c r="A1432" s="16" t="n">
        <v>43438</v>
      </c>
      <c r="B1432" s="23" t="n">
        <f aca="false">YEAR(A1432)</f>
        <v>2018</v>
      </c>
      <c r="C1432" s="17" t="n">
        <v>3901.84</v>
      </c>
      <c r="D1432" s="23" t="n">
        <f aca="false">A1432-A1431</f>
        <v>1</v>
      </c>
      <c r="E1432" s="24" t="n">
        <f aca="false">LN(C1432)</f>
        <v>8.26920351572933</v>
      </c>
      <c r="F1432" s="25" t="n">
        <f aca="false">LN(C1432/C1431)</f>
        <v>0.0176778385077044</v>
      </c>
      <c r="G1432" s="25" t="n">
        <f aca="false">IF(AND(D1432=1,A1432&gt;=$R$2),F1432,"")</f>
        <v>0.0176778385077044</v>
      </c>
      <c r="H1432" s="27" t="n">
        <f aca="false">IF(G1432="","",G1432^2)</f>
        <v>0.000312505974304478</v>
      </c>
      <c r="I1432" s="25" t="n">
        <f aca="false">IF(G1432="","",C1432/C1431-1)</f>
        <v>0.0178350163168097</v>
      </c>
      <c r="J1432" s="17" t="n">
        <f aca="false">AVERAGE(C1233:C1432)</f>
        <v>6517.9688</v>
      </c>
      <c r="K1432" s="17" t="n">
        <f aca="false">MAX(K1431,C1432)</f>
        <v>19650.01</v>
      </c>
      <c r="L1432" s="25" t="n">
        <f aca="false">C1432/K1432-1</f>
        <v>-0.801433179932224</v>
      </c>
      <c r="M1432" s="25" t="n">
        <f aca="false">IF(COUNT(G1403:G1432)&lt;20,"",_xlfn.STDEV.S(G1403:G1432)*SQRT($R$3))</f>
        <v>1.05478017005295</v>
      </c>
      <c r="N1432" s="25" t="n">
        <f aca="false">IF(A1432-7&lt;$R$2,"",C1432/INDEX(Clean_Data!$C$2:$C$4314,MATCH(A1432-7,Clean_Data!$A$2:$A$4314,1))-1)</f>
        <v>0.0336000000000001</v>
      </c>
      <c r="O1432" s="25" t="n">
        <f aca="false">IF(A1432-30&lt;$R$2,"",C1432/INDEX(Clean_Data!$C$2:$C$4314,MATCH(A1432-30,Clean_Data!$A$2:$A$4314,1))-1)</f>
        <v>-0.392547109887783</v>
      </c>
    </row>
    <row r="1433" customFormat="false" ht="15" hidden="false" customHeight="false" outlineLevel="0" collapsed="false">
      <c r="A1433" s="16" t="n">
        <v>43439</v>
      </c>
      <c r="B1433" s="23" t="n">
        <f aca="false">YEAR(A1433)</f>
        <v>2018</v>
      </c>
      <c r="C1433" s="17" t="n">
        <v>3694.39</v>
      </c>
      <c r="D1433" s="23" t="n">
        <f aca="false">A1433-A1432</f>
        <v>1</v>
      </c>
      <c r="E1433" s="24" t="n">
        <f aca="false">LN(C1433)</f>
        <v>8.21457073179709</v>
      </c>
      <c r="F1433" s="25" t="n">
        <f aca="false">LN(C1433/C1432)</f>
        <v>-0.0546327839322382</v>
      </c>
      <c r="G1433" s="25" t="n">
        <f aca="false">IF(AND(D1433=1,A1433&gt;=$R$2),F1433,"")</f>
        <v>-0.0546327839322382</v>
      </c>
      <c r="H1433" s="27" t="n">
        <f aca="false">IF(G1433="","",G1433^2)</f>
        <v>0.00298474108018663</v>
      </c>
      <c r="I1433" s="25" t="n">
        <f aca="false">IF(G1433="","",C1433/C1432-1)</f>
        <v>-0.0531672236688332</v>
      </c>
      <c r="J1433" s="17" t="n">
        <f aca="false">AVERAGE(C1234:C1433)</f>
        <v>6495.26275</v>
      </c>
      <c r="K1433" s="17" t="n">
        <f aca="false">MAX(K1432,C1433)</f>
        <v>19650.01</v>
      </c>
      <c r="L1433" s="25" t="n">
        <f aca="false">C1433/K1433-1</f>
        <v>-0.811990426467976</v>
      </c>
      <c r="M1433" s="25" t="n">
        <f aca="false">IF(COUNT(G1404:G1433)&lt;20,"",_xlfn.STDEV.S(G1404:G1433)*SQRT($R$3))</f>
        <v>1.06174487338395</v>
      </c>
      <c r="N1433" s="25" t="n">
        <f aca="false">IF(A1433-7&lt;$R$2,"",C1433/INDEX(Clean_Data!$C$2:$C$4314,MATCH(A1433-7,Clean_Data!$A$2:$A$4314,1))-1)</f>
        <v>-0.125594374477814</v>
      </c>
      <c r="O1433" s="25" t="n">
        <f aca="false">IF(A1433-30&lt;$R$2,"",C1433/INDEX(Clean_Data!$C$2:$C$4314,MATCH(A1433-30,Clean_Data!$A$2:$A$4314,1))-1)</f>
        <v>-0.423112117426608</v>
      </c>
    </row>
    <row r="1434" customFormat="false" ht="15" hidden="false" customHeight="false" outlineLevel="0" collapsed="false">
      <c r="A1434" s="16" t="n">
        <v>43440</v>
      </c>
      <c r="B1434" s="23" t="n">
        <f aca="false">YEAR(A1434)</f>
        <v>2018</v>
      </c>
      <c r="C1434" s="17" t="n">
        <v>3433.26</v>
      </c>
      <c r="D1434" s="23" t="n">
        <f aca="false">A1434-A1433</f>
        <v>1</v>
      </c>
      <c r="E1434" s="24" t="n">
        <f aca="false">LN(C1434)</f>
        <v>8.14126552609821</v>
      </c>
      <c r="F1434" s="25" t="n">
        <f aca="false">LN(C1434/C1433)</f>
        <v>-0.0733052056988821</v>
      </c>
      <c r="G1434" s="25" t="n">
        <f aca="false">IF(AND(D1434=1,A1434&gt;=$R$2),F1434,"")</f>
        <v>-0.0733052056988821</v>
      </c>
      <c r="H1434" s="27" t="n">
        <f aca="false">IF(G1434="","",G1434^2)</f>
        <v>0.00537365318255542</v>
      </c>
      <c r="I1434" s="25" t="n">
        <f aca="false">IF(G1434="","",C1434/C1433-1)</f>
        <v>-0.0706828461532214</v>
      </c>
      <c r="J1434" s="17" t="n">
        <f aca="false">AVERAGE(C1235:C1434)</f>
        <v>6469.84475</v>
      </c>
      <c r="K1434" s="17" t="n">
        <f aca="false">MAX(K1433,C1434)</f>
        <v>19650.01</v>
      </c>
      <c r="L1434" s="25" t="n">
        <f aca="false">C1434/K1434-1</f>
        <v>-0.825279478229273</v>
      </c>
      <c r="M1434" s="25" t="n">
        <f aca="false">IF(COUNT(G1405:G1434)&lt;20,"",_xlfn.STDEV.S(G1405:G1434)*SQRT($R$3))</f>
        <v>1.07452275233015</v>
      </c>
      <c r="N1434" s="25" t="n">
        <f aca="false">IF(A1434-7&lt;$R$2,"",C1434/INDEX(Clean_Data!$C$2:$C$4314,MATCH(A1434-7,Clean_Data!$A$2:$A$4314,1))-1)</f>
        <v>-0.191793785310734</v>
      </c>
      <c r="O1434" s="25" t="n">
        <f aca="false">IF(A1434-30&lt;$R$2,"",C1434/INDEX(Clean_Data!$C$2:$C$4314,MATCH(A1434-30,Clean_Data!$A$2:$A$4314,1))-1)</f>
        <v>-0.467587811118865</v>
      </c>
    </row>
    <row r="1435" customFormat="false" ht="15" hidden="false" customHeight="false" outlineLevel="0" collapsed="false">
      <c r="A1435" s="16" t="n">
        <v>43441</v>
      </c>
      <c r="B1435" s="23" t="n">
        <f aca="false">YEAR(A1435)</f>
        <v>2018</v>
      </c>
      <c r="C1435" s="17" t="n">
        <v>3380.01</v>
      </c>
      <c r="D1435" s="23" t="n">
        <f aca="false">A1435-A1434</f>
        <v>1</v>
      </c>
      <c r="E1435" s="24" t="n">
        <f aca="false">LN(C1435)</f>
        <v>8.12563394705257</v>
      </c>
      <c r="F1435" s="25" t="n">
        <f aca="false">LN(C1435/C1434)</f>
        <v>-0.0156315790456354</v>
      </c>
      <c r="G1435" s="25" t="n">
        <f aca="false">IF(AND(D1435=1,A1435&gt;=$R$2),F1435,"")</f>
        <v>-0.0156315790456354</v>
      </c>
      <c r="H1435" s="27" t="n">
        <f aca="false">IF(G1435="","",G1435^2)</f>
        <v>0.000244346263459949</v>
      </c>
      <c r="I1435" s="25" t="n">
        <f aca="false">IF(G1435="","",C1435/C1434-1)</f>
        <v>-0.0155100400202722</v>
      </c>
      <c r="J1435" s="17" t="n">
        <f aca="false">AVERAGE(C1236:C1435)</f>
        <v>6444.7776</v>
      </c>
      <c r="K1435" s="17" t="n">
        <f aca="false">MAX(K1434,C1435)</f>
        <v>19650.01</v>
      </c>
      <c r="L1435" s="25" t="n">
        <f aca="false">C1435/K1435-1</f>
        <v>-0.8279894005143</v>
      </c>
      <c r="M1435" s="25" t="n">
        <f aca="false">IF(COUNT(G1406:G1435)&lt;20,"",_xlfn.STDEV.S(G1406:G1435)*SQRT($R$3))</f>
        <v>1.06948936728131</v>
      </c>
      <c r="N1435" s="25" t="n">
        <f aca="false">IF(A1435-7&lt;$R$2,"",C1435/INDEX(Clean_Data!$C$2:$C$4314,MATCH(A1435-7,Clean_Data!$A$2:$A$4314,1))-1)</f>
        <v>-0.149896881287726</v>
      </c>
      <c r="O1435" s="25" t="n">
        <f aca="false">IF(A1435-30&lt;$R$2,"",C1435/INDEX(Clean_Data!$C$2:$C$4314,MATCH(A1435-30,Clean_Data!$A$2:$A$4314,1))-1)</f>
        <v>-0.480247942526049</v>
      </c>
    </row>
    <row r="1436" customFormat="false" ht="15" hidden="false" customHeight="false" outlineLevel="0" collapsed="false">
      <c r="A1436" s="16" t="n">
        <v>43442</v>
      </c>
      <c r="B1436" s="23" t="n">
        <f aca="false">YEAR(A1436)</f>
        <v>2018</v>
      </c>
      <c r="C1436" s="17" t="n">
        <v>3401</v>
      </c>
      <c r="D1436" s="23" t="n">
        <f aca="false">A1436-A1435</f>
        <v>1</v>
      </c>
      <c r="E1436" s="24" t="n">
        <f aca="false">LN(C1436)</f>
        <v>8.1318247850072</v>
      </c>
      <c r="F1436" s="25" t="n">
        <f aca="false">LN(C1436/C1435)</f>
        <v>0.00619083795462587</v>
      </c>
      <c r="G1436" s="25" t="n">
        <f aca="false">IF(AND(D1436=1,A1436&gt;=$R$2),F1436,"")</f>
        <v>0.00619083795462587</v>
      </c>
      <c r="H1436" s="27" t="n">
        <f aca="false">IF(G1436="","",G1436^2)</f>
        <v>3.83264745804362E-005</v>
      </c>
      <c r="I1436" s="25" t="n">
        <f aca="false">IF(G1436="","",C1436/C1435-1)</f>
        <v>0.0062100407986958</v>
      </c>
      <c r="J1436" s="17" t="n">
        <f aca="false">AVERAGE(C1237:C1436)</f>
        <v>6421.8441</v>
      </c>
      <c r="K1436" s="17" t="n">
        <f aca="false">MAX(K1435,C1436)</f>
        <v>19650.01</v>
      </c>
      <c r="L1436" s="25" t="n">
        <f aca="false">C1436/K1436-1</f>
        <v>-0.826921207673686</v>
      </c>
      <c r="M1436" s="25" t="n">
        <f aca="false">IF(COUNT(G1407:G1436)&lt;20,"",_xlfn.STDEV.S(G1407:G1436)*SQRT($R$3))</f>
        <v>1.07373502036317</v>
      </c>
      <c r="N1436" s="25" t="n">
        <f aca="false">IF(A1436-7&lt;$R$2,"",C1436/INDEX(Clean_Data!$C$2:$C$4314,MATCH(A1436-7,Clean_Data!$A$2:$A$4314,1))-1)</f>
        <v>-0.1789010649419</v>
      </c>
      <c r="O1436" s="25" t="n">
        <f aca="false">IF(A1436-30&lt;$R$2,"",C1436/INDEX(Clean_Data!$C$2:$C$4314,MATCH(A1436-30,Clean_Data!$A$2:$A$4314,1))-1)</f>
        <v>-0.469111366417743</v>
      </c>
    </row>
    <row r="1437" customFormat="false" ht="15" hidden="false" customHeight="false" outlineLevel="0" collapsed="false">
      <c r="A1437" s="16" t="n">
        <v>43443</v>
      </c>
      <c r="B1437" s="23" t="n">
        <f aca="false">YEAR(A1437)</f>
        <v>2018</v>
      </c>
      <c r="C1437" s="17" t="n">
        <v>3531.18</v>
      </c>
      <c r="D1437" s="23" t="n">
        <f aca="false">A1437-A1436</f>
        <v>1</v>
      </c>
      <c r="E1437" s="24" t="n">
        <f aca="false">LN(C1437)</f>
        <v>8.16938737168942</v>
      </c>
      <c r="F1437" s="25" t="n">
        <f aca="false">LN(C1437/C1436)</f>
        <v>0.0375625866822276</v>
      </c>
      <c r="G1437" s="25" t="n">
        <f aca="false">IF(AND(D1437=1,A1437&gt;=$R$2),F1437,"")</f>
        <v>0.0375625866822276</v>
      </c>
      <c r="H1437" s="27" t="n">
        <f aca="false">IF(G1437="","",G1437^2)</f>
        <v>0.00141094791825986</v>
      </c>
      <c r="I1437" s="25" t="n">
        <f aca="false">IF(G1437="","",C1437/C1436-1)</f>
        <v>0.0382769773596001</v>
      </c>
      <c r="J1437" s="17" t="n">
        <f aca="false">AVERAGE(C1238:C1437)</f>
        <v>6401.975</v>
      </c>
      <c r="K1437" s="17" t="n">
        <f aca="false">MAX(K1436,C1437)</f>
        <v>19650.01</v>
      </c>
      <c r="L1437" s="25" t="n">
        <f aca="false">C1437/K1437-1</f>
        <v>-0.820296274658384</v>
      </c>
      <c r="M1437" s="25" t="n">
        <f aca="false">IF(COUNT(G1408:G1437)&lt;20,"",_xlfn.STDEV.S(G1408:G1437)*SQRT($R$3))</f>
        <v>1.09270168089356</v>
      </c>
      <c r="N1437" s="25" t="n">
        <f aca="false">IF(A1437-7&lt;$R$2,"",C1437/INDEX(Clean_Data!$C$2:$C$4314,MATCH(A1437-7,Clean_Data!$A$2:$A$4314,1))-1)</f>
        <v>-0.139406169346289</v>
      </c>
      <c r="O1437" s="25" t="n">
        <f aca="false">IF(A1437-30&lt;$R$2,"",C1437/INDEX(Clean_Data!$C$2:$C$4314,MATCH(A1437-30,Clean_Data!$A$2:$A$4314,1))-1)</f>
        <v>-0.442582270568234</v>
      </c>
    </row>
    <row r="1438" customFormat="false" ht="15" hidden="false" customHeight="false" outlineLevel="0" collapsed="false">
      <c r="A1438" s="16" t="n">
        <v>43444</v>
      </c>
      <c r="B1438" s="23" t="n">
        <f aca="false">YEAR(A1438)</f>
        <v>2018</v>
      </c>
      <c r="C1438" s="17" t="n">
        <v>3410.15</v>
      </c>
      <c r="D1438" s="23" t="n">
        <f aca="false">A1438-A1437</f>
        <v>1</v>
      </c>
      <c r="E1438" s="24" t="n">
        <f aca="false">LN(C1438)</f>
        <v>8.1345115575799</v>
      </c>
      <c r="F1438" s="25" t="n">
        <f aca="false">LN(C1438/C1437)</f>
        <v>-0.0348758141095213</v>
      </c>
      <c r="G1438" s="25" t="n">
        <f aca="false">IF(AND(D1438=1,A1438&gt;=$R$2),F1438,"")</f>
        <v>-0.0348758141095213</v>
      </c>
      <c r="H1438" s="27" t="n">
        <f aca="false">IF(G1438="","",G1438^2)</f>
        <v>0.00121632240980189</v>
      </c>
      <c r="I1438" s="25" t="n">
        <f aca="false">IF(G1438="","",C1438/C1437-1)</f>
        <v>-0.0342746617278076</v>
      </c>
      <c r="J1438" s="17" t="n">
        <f aca="false">AVERAGE(C1239:C1438)</f>
        <v>6381.105</v>
      </c>
      <c r="K1438" s="17" t="n">
        <f aca="false">MAX(K1437,C1438)</f>
        <v>19650.01</v>
      </c>
      <c r="L1438" s="25" t="n">
        <f aca="false">C1438/K1438-1</f>
        <v>-0.826455559055695</v>
      </c>
      <c r="M1438" s="25" t="n">
        <f aca="false">IF(COUNT(G1409:G1438)&lt;20,"",_xlfn.STDEV.S(G1409:G1438)*SQRT($R$3))</f>
        <v>1.09115310745969</v>
      </c>
      <c r="N1438" s="25" t="n">
        <f aca="false">IF(A1438-7&lt;$R$2,"",C1438/INDEX(Clean_Data!$C$2:$C$4314,MATCH(A1438-7,Clean_Data!$A$2:$A$4314,1))-1)</f>
        <v>-0.11042736737212</v>
      </c>
      <c r="O1438" s="25" t="n">
        <f aca="false">IF(A1438-30&lt;$R$2,"",C1438/INDEX(Clean_Data!$C$2:$C$4314,MATCH(A1438-30,Clean_Data!$A$2:$A$4314,1))-1)</f>
        <v>-0.462750219774334</v>
      </c>
    </row>
    <row r="1439" customFormat="false" ht="15" hidden="false" customHeight="false" outlineLevel="0" collapsed="false">
      <c r="A1439" s="16" t="n">
        <v>43445</v>
      </c>
      <c r="B1439" s="23" t="n">
        <f aca="false">YEAR(A1439)</f>
        <v>2018</v>
      </c>
      <c r="C1439" s="17" t="n">
        <v>3349.36</v>
      </c>
      <c r="D1439" s="23" t="n">
        <f aca="false">A1439-A1438</f>
        <v>1</v>
      </c>
      <c r="E1439" s="24" t="n">
        <f aca="false">LN(C1439)</f>
        <v>8.11652456179161</v>
      </c>
      <c r="F1439" s="25" t="n">
        <f aca="false">LN(C1439/C1438)</f>
        <v>-0.0179869957882868</v>
      </c>
      <c r="G1439" s="25" t="n">
        <f aca="false">IF(AND(D1439=1,A1439&gt;=$R$2),F1439,"")</f>
        <v>-0.0179869957882868</v>
      </c>
      <c r="H1439" s="27" t="n">
        <f aca="false">IF(G1439="","",G1439^2)</f>
        <v>0.000323532017487846</v>
      </c>
      <c r="I1439" s="25" t="n">
        <f aca="false">IF(G1439="","",C1439/C1438-1)</f>
        <v>-0.0178261953286513</v>
      </c>
      <c r="J1439" s="17" t="n">
        <f aca="false">AVERAGE(C1240:C1439)</f>
        <v>6360.55625</v>
      </c>
      <c r="K1439" s="17" t="n">
        <f aca="false">MAX(K1438,C1439)</f>
        <v>19650.01</v>
      </c>
      <c r="L1439" s="25" t="n">
        <f aca="false">C1439/K1439-1</f>
        <v>-0.82954919615817</v>
      </c>
      <c r="M1439" s="25" t="n">
        <f aca="false">IF(COUNT(G1410:G1439)&lt;20,"",_xlfn.STDEV.S(G1410:G1439)*SQRT($R$3))</f>
        <v>1.0882470011404</v>
      </c>
      <c r="N1439" s="25" t="n">
        <f aca="false">IF(A1439-7&lt;$R$2,"",C1439/INDEX(Clean_Data!$C$2:$C$4314,MATCH(A1439-7,Clean_Data!$A$2:$A$4314,1))-1)</f>
        <v>-0.141594734791791</v>
      </c>
      <c r="O1439" s="25" t="n">
        <f aca="false">IF(A1439-30&lt;$R$2,"",C1439/INDEX(Clean_Data!$C$2:$C$4314,MATCH(A1439-30,Clean_Data!$A$2:$A$4314,1))-1)</f>
        <v>-0.473172266263999</v>
      </c>
    </row>
    <row r="1440" customFormat="false" ht="15" hidden="false" customHeight="false" outlineLevel="0" collapsed="false">
      <c r="A1440" s="16" t="n">
        <v>43446</v>
      </c>
      <c r="B1440" s="23" t="n">
        <f aca="false">YEAR(A1440)</f>
        <v>2018</v>
      </c>
      <c r="C1440" s="17" t="n">
        <v>3430.24</v>
      </c>
      <c r="D1440" s="23" t="n">
        <f aca="false">A1440-A1439</f>
        <v>1</v>
      </c>
      <c r="E1440" s="24" t="n">
        <f aca="false">LN(C1440)</f>
        <v>8.14038550855762</v>
      </c>
      <c r="F1440" s="25" t="n">
        <f aca="false">LN(C1440/C1439)</f>
        <v>0.0238609467660062</v>
      </c>
      <c r="G1440" s="25" t="n">
        <f aca="false">IF(AND(D1440=1,A1440&gt;=$R$2),F1440,"")</f>
        <v>0.0238609467660062</v>
      </c>
      <c r="H1440" s="27" t="n">
        <f aca="false">IF(G1440="","",G1440^2)</f>
        <v>0.000569344780570182</v>
      </c>
      <c r="I1440" s="25" t="n">
        <f aca="false">IF(G1440="","",C1440/C1439-1)</f>
        <v>0.0241478969116486</v>
      </c>
      <c r="J1440" s="17" t="n">
        <f aca="false">AVERAGE(C1241:C1440)</f>
        <v>6341.0177</v>
      </c>
      <c r="K1440" s="17" t="n">
        <f aca="false">MAX(K1439,C1440)</f>
        <v>19650.01</v>
      </c>
      <c r="L1440" s="25" t="n">
        <f aca="false">C1440/K1440-1</f>
        <v>-0.82543316771849</v>
      </c>
      <c r="M1440" s="25" t="n">
        <f aca="false">IF(COUNT(G1411:G1440)&lt;20,"",_xlfn.STDEV.S(G1411:G1440)*SQRT($R$3))</f>
        <v>1.09826263364771</v>
      </c>
      <c r="N1440" s="25" t="n">
        <f aca="false">IF(A1440-7&lt;$R$2,"",C1440/INDEX(Clean_Data!$C$2:$C$4314,MATCH(A1440-7,Clean_Data!$A$2:$A$4314,1))-1)</f>
        <v>-0.0715003018089591</v>
      </c>
      <c r="O1440" s="25" t="n">
        <f aca="false">IF(A1440-30&lt;$R$2,"",C1440/INDEX(Clean_Data!$C$2:$C$4314,MATCH(A1440-30,Clean_Data!$A$2:$A$4314,1))-1)</f>
        <v>-0.45791553871998</v>
      </c>
    </row>
    <row r="1441" customFormat="false" ht="15" hidden="false" customHeight="false" outlineLevel="0" collapsed="false">
      <c r="A1441" s="16" t="n">
        <v>43447</v>
      </c>
      <c r="B1441" s="23" t="n">
        <f aca="false">YEAR(A1441)</f>
        <v>2018</v>
      </c>
      <c r="C1441" s="17" t="n">
        <v>3265</v>
      </c>
      <c r="D1441" s="23" t="n">
        <f aca="false">A1441-A1440</f>
        <v>1</v>
      </c>
      <c r="E1441" s="24" t="n">
        <f aca="false">LN(C1441)</f>
        <v>8.09101504171053</v>
      </c>
      <c r="F1441" s="25" t="n">
        <f aca="false">LN(C1441/C1440)</f>
        <v>-0.0493704668470897</v>
      </c>
      <c r="G1441" s="25" t="n">
        <f aca="false">IF(AND(D1441=1,A1441&gt;=$R$2),F1441,"")</f>
        <v>-0.0493704668470897</v>
      </c>
      <c r="H1441" s="27" t="n">
        <f aca="false">IF(G1441="","",G1441^2)</f>
        <v>0.00243744299669959</v>
      </c>
      <c r="I1441" s="25" t="n">
        <f aca="false">IF(G1441="","",C1441/C1440-1)</f>
        <v>-0.0481715565091655</v>
      </c>
      <c r="J1441" s="17" t="n">
        <f aca="false">AVERAGE(C1242:C1441)</f>
        <v>6320.6095</v>
      </c>
      <c r="K1441" s="17" t="n">
        <f aca="false">MAX(K1440,C1441)</f>
        <v>19650.01</v>
      </c>
      <c r="L1441" s="25" t="n">
        <f aca="false">C1441/K1441-1</f>
        <v>-0.833842323744365</v>
      </c>
      <c r="M1441" s="25" t="n">
        <f aca="false">IF(COUNT(G1412:G1441)&lt;20,"",_xlfn.STDEV.S(G1412:G1441)*SQRT($R$3))</f>
        <v>1.10225844443133</v>
      </c>
      <c r="N1441" s="25" t="n">
        <f aca="false">IF(A1441-7&lt;$R$2,"",C1441/INDEX(Clean_Data!$C$2:$C$4314,MATCH(A1441-7,Clean_Data!$A$2:$A$4314,1))-1)</f>
        <v>-0.0490088137804886</v>
      </c>
      <c r="O1441" s="25" t="n">
        <f aca="false">IF(A1441-30&lt;$R$2,"",C1441/INDEX(Clean_Data!$C$2:$C$4314,MATCH(A1441-30,Clean_Data!$A$2:$A$4314,1))-1)</f>
        <v>-0.478379509660763</v>
      </c>
    </row>
    <row r="1442" customFormat="false" ht="15" hidden="false" customHeight="false" outlineLevel="0" collapsed="false">
      <c r="A1442" s="16" t="n">
        <v>43448</v>
      </c>
      <c r="B1442" s="23" t="n">
        <f aca="false">YEAR(A1442)</f>
        <v>2018</v>
      </c>
      <c r="C1442" s="17" t="n">
        <v>3195.71</v>
      </c>
      <c r="D1442" s="23" t="n">
        <f aca="false">A1442-A1441</f>
        <v>1</v>
      </c>
      <c r="E1442" s="24" t="n">
        <f aca="false">LN(C1442)</f>
        <v>8.06956456434616</v>
      </c>
      <c r="F1442" s="25" t="n">
        <f aca="false">LN(C1442/C1441)</f>
        <v>-0.0214504773643746</v>
      </c>
      <c r="G1442" s="25" t="n">
        <f aca="false">IF(AND(D1442=1,A1442&gt;=$R$2),F1442,"")</f>
        <v>-0.0214504773643746</v>
      </c>
      <c r="H1442" s="27" t="n">
        <f aca="false">IF(G1442="","",G1442^2)</f>
        <v>0.000460122979159548</v>
      </c>
      <c r="I1442" s="25" t="n">
        <f aca="false">IF(G1442="","",C1442/C1441-1)</f>
        <v>-0.0212220520673813</v>
      </c>
      <c r="J1442" s="17" t="n">
        <f aca="false">AVERAGE(C1243:C1442)</f>
        <v>6301.04835</v>
      </c>
      <c r="K1442" s="17" t="n">
        <f aca="false">MAX(K1441,C1442)</f>
        <v>19650.01</v>
      </c>
      <c r="L1442" s="25" t="n">
        <f aca="false">C1442/K1442-1</f>
        <v>-0.837368530601257</v>
      </c>
      <c r="M1442" s="25" t="n">
        <f aca="false">IF(COUNT(G1413:G1442)&lt;20,"",_xlfn.STDEV.S(G1413:G1442)*SQRT($R$3))</f>
        <v>1.05487912903425</v>
      </c>
      <c r="N1442" s="25" t="n">
        <f aca="false">IF(A1442-7&lt;$R$2,"",C1442/INDEX(Clean_Data!$C$2:$C$4314,MATCH(A1442-7,Clean_Data!$A$2:$A$4314,1))-1)</f>
        <v>-0.0545264658980299</v>
      </c>
      <c r="O1442" s="25" t="n">
        <f aca="false">IF(A1442-30&lt;$R$2,"",C1442/INDEX(Clean_Data!$C$2:$C$4314,MATCH(A1442-30,Clean_Data!$A$2:$A$4314,1))-1)</f>
        <v>-0.42989335397987</v>
      </c>
    </row>
    <row r="1443" customFormat="false" ht="15" hidden="false" customHeight="false" outlineLevel="0" collapsed="false">
      <c r="A1443" s="16" t="n">
        <v>43449</v>
      </c>
      <c r="B1443" s="23" t="n">
        <f aca="false">YEAR(A1443)</f>
        <v>2018</v>
      </c>
      <c r="C1443" s="17" t="n">
        <v>3183</v>
      </c>
      <c r="D1443" s="23" t="n">
        <f aca="false">A1443-A1442</f>
        <v>1</v>
      </c>
      <c r="E1443" s="24" t="n">
        <f aca="false">LN(C1443)</f>
        <v>8.06557942728209</v>
      </c>
      <c r="F1443" s="25" t="n">
        <f aca="false">LN(C1443/C1442)</f>
        <v>-0.00398513706406391</v>
      </c>
      <c r="G1443" s="25" t="n">
        <f aca="false">IF(AND(D1443=1,A1443&gt;=$R$2),F1443,"")</f>
        <v>-0.00398513706406391</v>
      </c>
      <c r="H1443" s="27" t="n">
        <f aca="false">IF(G1443="","",G1443^2)</f>
        <v>1.5881317419376E-005</v>
      </c>
      <c r="I1443" s="25" t="n">
        <f aca="false">IF(G1443="","",C1443/C1442-1)</f>
        <v>-0.00397720694305803</v>
      </c>
      <c r="J1443" s="17" t="n">
        <f aca="false">AVERAGE(C1244:C1443)</f>
        <v>6279.66335</v>
      </c>
      <c r="K1443" s="17" t="n">
        <f aca="false">MAX(K1442,C1443)</f>
        <v>19650.01</v>
      </c>
      <c r="L1443" s="25" t="n">
        <f aca="false">C1443/K1443-1</f>
        <v>-0.838015349610509</v>
      </c>
      <c r="M1443" s="25" t="n">
        <f aca="false">IF(COUNT(G1414:G1443)&lt;20,"",_xlfn.STDEV.S(G1414:G1443)*SQRT($R$3))</f>
        <v>1.05499142250522</v>
      </c>
      <c r="N1443" s="25" t="n">
        <f aca="false">IF(A1443-7&lt;$R$2,"",C1443/INDEX(Clean_Data!$C$2:$C$4314,MATCH(A1443-7,Clean_Data!$A$2:$A$4314,1))-1)</f>
        <v>-0.064098794472214</v>
      </c>
      <c r="O1443" s="25" t="n">
        <f aca="false">IF(A1443-30&lt;$R$2,"",C1443/INDEX(Clean_Data!$C$2:$C$4314,MATCH(A1443-30,Clean_Data!$A$2:$A$4314,1))-1)</f>
        <v>-0.429520818995182</v>
      </c>
    </row>
    <row r="1444" customFormat="false" ht="15" hidden="false" customHeight="false" outlineLevel="0" collapsed="false">
      <c r="A1444" s="16" t="n">
        <v>43450</v>
      </c>
      <c r="B1444" s="23" t="n">
        <f aca="false">YEAR(A1444)</f>
        <v>2018</v>
      </c>
      <c r="C1444" s="17" t="n">
        <v>3195</v>
      </c>
      <c r="D1444" s="23" t="n">
        <f aca="false">A1444-A1443</f>
        <v>1</v>
      </c>
      <c r="E1444" s="24" t="n">
        <f aca="false">LN(C1444)</f>
        <v>8.06934236681164</v>
      </c>
      <c r="F1444" s="25" t="n">
        <f aca="false">LN(C1444/C1443)</f>
        <v>0.00376293952954229</v>
      </c>
      <c r="G1444" s="25" t="n">
        <f aca="false">IF(AND(D1444=1,A1444&gt;=$R$2),F1444,"")</f>
        <v>0.00376293952954229</v>
      </c>
      <c r="H1444" s="27" t="n">
        <f aca="false">IF(G1444="","",G1444^2)</f>
        <v>1.41597139029919E-005</v>
      </c>
      <c r="I1444" s="25" t="n">
        <f aca="false">IF(G1444="","",C1444/C1443-1)</f>
        <v>0.003770028275212</v>
      </c>
      <c r="J1444" s="17" t="n">
        <f aca="false">AVERAGE(C1245:C1444)</f>
        <v>6258.7383</v>
      </c>
      <c r="K1444" s="17" t="n">
        <f aca="false">MAX(K1443,C1444)</f>
        <v>19650.01</v>
      </c>
      <c r="L1444" s="25" t="n">
        <f aca="false">C1444/K1444-1</f>
        <v>-0.83740466289839</v>
      </c>
      <c r="M1444" s="25" t="n">
        <f aca="false">IF(COUNT(G1415:G1444)&lt;20,"",_xlfn.STDEV.S(G1415:G1444)*SQRT($R$3))</f>
        <v>1.05769202242253</v>
      </c>
      <c r="N1444" s="25" t="n">
        <f aca="false">IF(A1444-7&lt;$R$2,"",C1444/INDEX(Clean_Data!$C$2:$C$4314,MATCH(A1444-7,Clean_Data!$A$2:$A$4314,1))-1)</f>
        <v>-0.0952033031451243</v>
      </c>
      <c r="O1444" s="25" t="n">
        <f aca="false">IF(A1444-30&lt;$R$2,"",C1444/INDEX(Clean_Data!$C$2:$C$4314,MATCH(A1444-30,Clean_Data!$A$2:$A$4314,1))-1)</f>
        <v>-0.42038082521806</v>
      </c>
    </row>
    <row r="1445" customFormat="false" ht="15" hidden="false" customHeight="false" outlineLevel="0" collapsed="false">
      <c r="A1445" s="16" t="n">
        <v>43451</v>
      </c>
      <c r="B1445" s="23" t="n">
        <f aca="false">YEAR(A1445)</f>
        <v>2018</v>
      </c>
      <c r="C1445" s="17" t="n">
        <v>3496.82</v>
      </c>
      <c r="D1445" s="23" t="n">
        <f aca="false">A1445-A1444</f>
        <v>1</v>
      </c>
      <c r="E1445" s="24" t="n">
        <f aca="false">LN(C1445)</f>
        <v>8.15960926304773</v>
      </c>
      <c r="F1445" s="25" t="n">
        <f aca="false">LN(C1445/C1444)</f>
        <v>0.0902668962360984</v>
      </c>
      <c r="G1445" s="25" t="n">
        <f aca="false">IF(AND(D1445=1,A1445&gt;=$R$2),F1445,"")</f>
        <v>0.0902668962360984</v>
      </c>
      <c r="H1445" s="27" t="n">
        <f aca="false">IF(G1445="","",G1445^2)</f>
        <v>0.00814811255609856</v>
      </c>
      <c r="I1445" s="25" t="n">
        <f aca="false">IF(G1445="","",C1445/C1444-1)</f>
        <v>0.0944663536776214</v>
      </c>
      <c r="J1445" s="17" t="n">
        <f aca="false">AVERAGE(C1246:C1445)</f>
        <v>6238.7974</v>
      </c>
      <c r="K1445" s="17" t="n">
        <f aca="false">MAX(K1444,C1445)</f>
        <v>19650.01</v>
      </c>
      <c r="L1445" s="25" t="n">
        <f aca="false">C1445/K1445-1</f>
        <v>-0.822044874277418</v>
      </c>
      <c r="M1445" s="25" t="n">
        <f aca="false">IF(COUNT(G1416:G1445)&lt;20,"",_xlfn.STDEV.S(G1416:G1445)*SQRT($R$3))</f>
        <v>1.12235795803273</v>
      </c>
      <c r="N1445" s="25" t="n">
        <f aca="false">IF(A1445-7&lt;$R$2,"",C1445/INDEX(Clean_Data!$C$2:$C$4314,MATCH(A1445-7,Clean_Data!$A$2:$A$4314,1))-1)</f>
        <v>0.025415304312127</v>
      </c>
      <c r="O1445" s="25" t="n">
        <f aca="false">IF(A1445-30&lt;$R$2,"",C1445/INDEX(Clean_Data!$C$2:$C$4314,MATCH(A1445-30,Clean_Data!$A$2:$A$4314,1))-1)</f>
        <v>-0.364696221228632</v>
      </c>
    </row>
    <row r="1446" customFormat="false" ht="15" hidden="false" customHeight="false" outlineLevel="0" collapsed="false">
      <c r="A1446" s="16" t="n">
        <v>43452</v>
      </c>
      <c r="B1446" s="23" t="n">
        <f aca="false">YEAR(A1446)</f>
        <v>2018</v>
      </c>
      <c r="C1446" s="17" t="n">
        <v>3667.77</v>
      </c>
      <c r="D1446" s="23" t="n">
        <f aca="false">A1446-A1445</f>
        <v>1</v>
      </c>
      <c r="E1446" s="24" t="n">
        <f aca="false">LN(C1446)</f>
        <v>8.20733912693925</v>
      </c>
      <c r="F1446" s="25" t="n">
        <f aca="false">LN(C1446/C1445)</f>
        <v>0.047729863891513</v>
      </c>
      <c r="G1446" s="25" t="n">
        <f aca="false">IF(AND(D1446=1,A1446&gt;=$R$2),F1446,"")</f>
        <v>0.047729863891513</v>
      </c>
      <c r="H1446" s="27" t="n">
        <f aca="false">IF(G1446="","",G1446^2)</f>
        <v>0.00227813990710235</v>
      </c>
      <c r="I1446" s="25" t="n">
        <f aca="false">IF(G1446="","",C1446/C1445-1)</f>
        <v>0.048887274723892</v>
      </c>
      <c r="J1446" s="17" t="n">
        <f aca="false">AVERAGE(C1247:C1446)</f>
        <v>6219.56465</v>
      </c>
      <c r="K1446" s="17" t="n">
        <f aca="false">MAX(K1445,C1446)</f>
        <v>19650.01</v>
      </c>
      <c r="L1446" s="25" t="n">
        <f aca="false">C1446/K1446-1</f>
        <v>-0.813345133157693</v>
      </c>
      <c r="M1446" s="25" t="n">
        <f aca="false">IF(COUNT(G1417:G1446)&lt;20,"",_xlfn.STDEV.S(G1417:G1446)*SQRT($R$3))</f>
        <v>1.14053106733614</v>
      </c>
      <c r="N1446" s="25" t="n">
        <f aca="false">IF(A1446-7&lt;$R$2,"",C1446/INDEX(Clean_Data!$C$2:$C$4314,MATCH(A1446-7,Clean_Data!$A$2:$A$4314,1))-1)</f>
        <v>0.0950659230420139</v>
      </c>
      <c r="O1446" s="25" t="n">
        <f aca="false">IF(A1446-30&lt;$R$2,"",C1446/INDEX(Clean_Data!$C$2:$C$4314,MATCH(A1446-30,Clean_Data!$A$2:$A$4314,1))-1)</f>
        <v>-0.340329136690647</v>
      </c>
    </row>
    <row r="1447" customFormat="false" ht="15" hidden="false" customHeight="false" outlineLevel="0" collapsed="false">
      <c r="A1447" s="16" t="n">
        <v>43453</v>
      </c>
      <c r="B1447" s="23" t="n">
        <f aca="false">YEAR(A1447)</f>
        <v>2018</v>
      </c>
      <c r="C1447" s="17" t="n">
        <v>3682.51</v>
      </c>
      <c r="D1447" s="23" t="n">
        <f aca="false">A1447-A1446</f>
        <v>1</v>
      </c>
      <c r="E1447" s="24" t="n">
        <f aca="false">LN(C1447)</f>
        <v>8.2113498638796</v>
      </c>
      <c r="F1447" s="25" t="n">
        <f aca="false">LN(C1447/C1446)</f>
        <v>0.00401073694035556</v>
      </c>
      <c r="G1447" s="25" t="n">
        <f aca="false">IF(AND(D1447=1,A1447&gt;=$R$2),F1447,"")</f>
        <v>0.00401073694035556</v>
      </c>
      <c r="H1447" s="27" t="n">
        <f aca="false">IF(G1447="","",G1447^2)</f>
        <v>1.60860108047326E-005</v>
      </c>
      <c r="I1447" s="25" t="n">
        <f aca="false">IF(G1447="","",C1447/C1446-1)</f>
        <v>0.00401879070934119</v>
      </c>
      <c r="J1447" s="17" t="n">
        <f aca="false">AVERAGE(C1248:C1447)</f>
        <v>6199.7951</v>
      </c>
      <c r="K1447" s="17" t="n">
        <f aca="false">MAX(K1446,C1447)</f>
        <v>19650.01</v>
      </c>
      <c r="L1447" s="25" t="n">
        <f aca="false">C1447/K1447-1</f>
        <v>-0.812595006312974</v>
      </c>
      <c r="M1447" s="25" t="n">
        <f aca="false">IF(COUNT(G1418:G1447)&lt;20,"",_xlfn.STDEV.S(G1418:G1447)*SQRT($R$3))</f>
        <v>1.0105442881203</v>
      </c>
      <c r="N1447" s="25" t="n">
        <f aca="false">IF(A1447-7&lt;$R$2,"",C1447/INDEX(Clean_Data!$C$2:$C$4314,MATCH(A1447-7,Clean_Data!$A$2:$A$4314,1))-1)</f>
        <v>0.0735429590932415</v>
      </c>
      <c r="O1447" s="25" t="n">
        <f aca="false">IF(A1447-30&lt;$R$2,"",C1447/INDEX(Clean_Data!$C$2:$C$4314,MATCH(A1447-30,Clean_Data!$A$2:$A$4314,1))-1)</f>
        <v>-0.222032322805535</v>
      </c>
    </row>
    <row r="1448" customFormat="false" ht="15" hidden="false" customHeight="false" outlineLevel="0" collapsed="false">
      <c r="A1448" s="16" t="n">
        <v>43454</v>
      </c>
      <c r="B1448" s="23" t="n">
        <f aca="false">YEAR(A1448)</f>
        <v>2018</v>
      </c>
      <c r="C1448" s="17" t="n">
        <v>4075.34</v>
      </c>
      <c r="D1448" s="23" t="n">
        <f aca="false">A1448-A1447</f>
        <v>1</v>
      </c>
      <c r="E1448" s="24" t="n">
        <f aca="false">LN(C1448)</f>
        <v>8.31270945777723</v>
      </c>
      <c r="F1448" s="25" t="n">
        <f aca="false">LN(C1448/C1447)</f>
        <v>0.101359593897629</v>
      </c>
      <c r="G1448" s="25" t="n">
        <f aca="false">IF(AND(D1448=1,A1448&gt;=$R$2),F1448,"")</f>
        <v>0.101359593897629</v>
      </c>
      <c r="H1448" s="27" t="n">
        <f aca="false">IF(G1448="","",G1448^2)</f>
        <v>0.0102737672750922</v>
      </c>
      <c r="I1448" s="25" t="n">
        <f aca="false">IF(G1448="","",C1448/C1447-1)</f>
        <v>0.106674523626548</v>
      </c>
      <c r="J1448" s="17" t="n">
        <f aca="false">AVERAGE(C1249:C1448)</f>
        <v>6181.63995</v>
      </c>
      <c r="K1448" s="17" t="n">
        <f aca="false">MAX(K1447,C1448)</f>
        <v>19650.01</v>
      </c>
      <c r="L1448" s="25" t="n">
        <f aca="false">C1448/K1448-1</f>
        <v>-0.792603667886174</v>
      </c>
      <c r="M1448" s="25" t="n">
        <f aca="false">IF(COUNT(G1419:G1448)&lt;20,"",_xlfn.STDEV.S(G1419:G1448)*SQRT($R$3))</f>
        <v>1.0416124700442</v>
      </c>
      <c r="N1448" s="25" t="n">
        <f aca="false">IF(A1448-7&lt;$R$2,"",C1448/INDEX(Clean_Data!$C$2:$C$4314,MATCH(A1448-7,Clean_Data!$A$2:$A$4314,1))-1)</f>
        <v>0.24818989280245</v>
      </c>
      <c r="O1448" s="25" t="n">
        <f aca="false">IF(A1448-30&lt;$R$2,"",C1448/INDEX(Clean_Data!$C$2:$C$4314,MATCH(A1448-30,Clean_Data!$A$2:$A$4314,1))-1)</f>
        <v>-0.0629743655773549</v>
      </c>
    </row>
    <row r="1449" customFormat="false" ht="15" hidden="false" customHeight="false" outlineLevel="0" collapsed="false">
      <c r="A1449" s="16" t="n">
        <v>43455</v>
      </c>
      <c r="B1449" s="23" t="n">
        <f aca="false">YEAR(A1449)</f>
        <v>2018</v>
      </c>
      <c r="C1449" s="17" t="n">
        <v>3839.06</v>
      </c>
      <c r="D1449" s="23" t="n">
        <f aca="false">A1449-A1448</f>
        <v>1</v>
      </c>
      <c r="E1449" s="24" t="n">
        <f aca="false">LN(C1449)</f>
        <v>8.25298282394874</v>
      </c>
      <c r="F1449" s="25" t="n">
        <f aca="false">LN(C1449/C1448)</f>
        <v>-0.0597266338284952</v>
      </c>
      <c r="G1449" s="25" t="n">
        <f aca="false">IF(AND(D1449=1,A1449&gt;=$R$2),F1449,"")</f>
        <v>-0.0597266338284952</v>
      </c>
      <c r="H1449" s="27" t="n">
        <f aca="false">IF(G1449="","",G1449^2)</f>
        <v>0.00356727078848315</v>
      </c>
      <c r="I1449" s="25" t="n">
        <f aca="false">IF(G1449="","",C1449/C1448-1)</f>
        <v>-0.0579779846589488</v>
      </c>
      <c r="J1449" s="17" t="n">
        <f aca="false">AVERAGE(C1250:C1449)</f>
        <v>6163.3984</v>
      </c>
      <c r="K1449" s="17" t="n">
        <f aca="false">MAX(K1448,C1449)</f>
        <v>19650.01</v>
      </c>
      <c r="L1449" s="25" t="n">
        <f aca="false">C1449/K1449-1</f>
        <v>-0.804628089247792</v>
      </c>
      <c r="M1449" s="25" t="n">
        <f aca="false">IF(COUNT(G1420:G1449)&lt;20,"",_xlfn.STDEV.S(G1420:G1449)*SQRT($R$3))</f>
        <v>1.04654029187301</v>
      </c>
      <c r="N1449" s="25" t="n">
        <f aca="false">IF(A1449-7&lt;$R$2,"",C1449/INDEX(Clean_Data!$C$2:$C$4314,MATCH(A1449-7,Clean_Data!$A$2:$A$4314,1))-1)</f>
        <v>0.201316765288465</v>
      </c>
      <c r="O1449" s="25" t="n">
        <f aca="false">IF(A1449-30&lt;$R$2,"",C1449/INDEX(Clean_Data!$C$2:$C$4314,MATCH(A1449-30,Clean_Data!$A$2:$A$4314,1))-1)</f>
        <v>-0.155342774982344</v>
      </c>
    </row>
    <row r="1450" customFormat="false" ht="15" hidden="false" customHeight="false" outlineLevel="0" collapsed="false">
      <c r="A1450" s="16" t="n">
        <v>43456</v>
      </c>
      <c r="B1450" s="23" t="n">
        <f aca="false">YEAR(A1450)</f>
        <v>2018</v>
      </c>
      <c r="C1450" s="17" t="n">
        <v>3980.46</v>
      </c>
      <c r="D1450" s="23" t="n">
        <f aca="false">A1450-A1449</f>
        <v>1</v>
      </c>
      <c r="E1450" s="24" t="n">
        <f aca="false">LN(C1450)</f>
        <v>8.28915266948932</v>
      </c>
      <c r="F1450" s="25" t="n">
        <f aca="false">LN(C1450/C1449)</f>
        <v>0.0361698455405857</v>
      </c>
      <c r="G1450" s="25" t="n">
        <f aca="false">IF(AND(D1450=1,A1450&gt;=$R$2),F1450,"")</f>
        <v>0.0361698455405857</v>
      </c>
      <c r="H1450" s="27" t="n">
        <f aca="false">IF(G1450="","",G1450^2)</f>
        <v>0.00130825772642982</v>
      </c>
      <c r="I1450" s="25" t="n">
        <f aca="false">IF(G1450="","",C1450/C1449-1)</f>
        <v>0.0368319328168876</v>
      </c>
      <c r="J1450" s="17" t="n">
        <f aca="false">AVERAGE(C1251:C1450)</f>
        <v>6145.23815</v>
      </c>
      <c r="K1450" s="17" t="n">
        <f aca="false">MAX(K1449,C1450)</f>
        <v>19650.01</v>
      </c>
      <c r="L1450" s="25" t="n">
        <f aca="false">C1450/K1450-1</f>
        <v>-0.797432164156659</v>
      </c>
      <c r="M1450" s="25" t="n">
        <f aca="false">IF(COUNT(G1421:G1450)&lt;20,"",_xlfn.STDEV.S(G1421:G1450)*SQRT($R$3))</f>
        <v>1.03483042707416</v>
      </c>
      <c r="N1450" s="25" t="n">
        <f aca="false">IF(A1450-7&lt;$R$2,"",C1450/INDEX(Clean_Data!$C$2:$C$4314,MATCH(A1450-7,Clean_Data!$A$2:$A$4314,1))-1)</f>
        <v>0.250537229029218</v>
      </c>
      <c r="O1450" s="25" t="n">
        <f aca="false">IF(A1450-30&lt;$R$2,"",C1450/INDEX(Clean_Data!$C$2:$C$4314,MATCH(A1450-30,Clean_Data!$A$2:$A$4314,1))-1)</f>
        <v>-0.0667938931297709</v>
      </c>
    </row>
    <row r="1451" customFormat="false" ht="15" hidden="false" customHeight="false" outlineLevel="0" collapsed="false">
      <c r="A1451" s="16" t="n">
        <v>43457</v>
      </c>
      <c r="B1451" s="23" t="n">
        <f aca="false">YEAR(A1451)</f>
        <v>2018</v>
      </c>
      <c r="C1451" s="17" t="n">
        <v>3944.93</v>
      </c>
      <c r="D1451" s="23" t="n">
        <f aca="false">A1451-A1450</f>
        <v>1</v>
      </c>
      <c r="E1451" s="24" t="n">
        <f aca="false">LN(C1451)</f>
        <v>8.28018648914283</v>
      </c>
      <c r="F1451" s="25" t="n">
        <f aca="false">LN(C1451/C1450)</f>
        <v>-0.00896618034649387</v>
      </c>
      <c r="G1451" s="25" t="n">
        <f aca="false">IF(AND(D1451=1,A1451&gt;=$R$2),F1451,"")</f>
        <v>-0.00896618034649387</v>
      </c>
      <c r="H1451" s="27" t="n">
        <f aca="false">IF(G1451="","",G1451^2)</f>
        <v>8.0392390005853E-005</v>
      </c>
      <c r="I1451" s="25" t="n">
        <f aca="false">IF(G1451="","",C1451/C1450-1)</f>
        <v>-0.00892610401812866</v>
      </c>
      <c r="J1451" s="17" t="n">
        <f aca="false">AVERAGE(C1252:C1451)</f>
        <v>6126.6878</v>
      </c>
      <c r="K1451" s="17" t="n">
        <f aca="false">MAX(K1450,C1451)</f>
        <v>19650.01</v>
      </c>
      <c r="L1451" s="25" t="n">
        <f aca="false">C1451/K1451-1</f>
        <v>-0.799240305730124</v>
      </c>
      <c r="M1451" s="25" t="n">
        <f aca="false">IF(COUNT(G1422:G1451)&lt;20,"",_xlfn.STDEV.S(G1422:G1451)*SQRT($R$3))</f>
        <v>1.03479820481522</v>
      </c>
      <c r="N1451" s="25" t="n">
        <f aca="false">IF(A1451-7&lt;$R$2,"",C1451/INDEX(Clean_Data!$C$2:$C$4314,MATCH(A1451-7,Clean_Data!$A$2:$A$4314,1))-1)</f>
        <v>0.234719874804382</v>
      </c>
      <c r="O1451" s="25" t="n">
        <f aca="false">IF(A1451-30&lt;$R$2,"",C1451/INDEX(Clean_Data!$C$2:$C$4314,MATCH(A1451-30,Clean_Data!$A$2:$A$4314,1))-1)</f>
        <v>-0.0791050002334377</v>
      </c>
    </row>
    <row r="1452" customFormat="false" ht="15" hidden="false" customHeight="false" outlineLevel="0" collapsed="false">
      <c r="A1452" s="16" t="n">
        <v>43458</v>
      </c>
      <c r="B1452" s="23" t="n">
        <f aca="false">YEAR(A1452)</f>
        <v>2018</v>
      </c>
      <c r="C1452" s="17" t="n">
        <v>4034</v>
      </c>
      <c r="D1452" s="23" t="n">
        <f aca="false">A1452-A1451</f>
        <v>1</v>
      </c>
      <c r="E1452" s="24" t="n">
        <f aca="false">LN(C1452)</f>
        <v>8.30251371851416</v>
      </c>
      <c r="F1452" s="25" t="n">
        <f aca="false">LN(C1452/C1451)</f>
        <v>0.0223272293713299</v>
      </c>
      <c r="G1452" s="25" t="n">
        <f aca="false">IF(AND(D1452=1,A1452&gt;=$R$2),F1452,"")</f>
        <v>0.0223272293713299</v>
      </c>
      <c r="H1452" s="27" t="n">
        <f aca="false">IF(G1452="","",G1452^2)</f>
        <v>0.000498505171399976</v>
      </c>
      <c r="I1452" s="25" t="n">
        <f aca="false">IF(G1452="","",C1452/C1451-1)</f>
        <v>0.0225783473977992</v>
      </c>
      <c r="J1452" s="17" t="n">
        <f aca="false">AVERAGE(C1253:C1452)</f>
        <v>6108.43315</v>
      </c>
      <c r="K1452" s="17" t="n">
        <f aca="false">MAX(K1451,C1452)</f>
        <v>19650.01</v>
      </c>
      <c r="L1452" s="25" t="n">
        <f aca="false">C1452/K1452-1</f>
        <v>-0.794707483609423</v>
      </c>
      <c r="M1452" s="25" t="n">
        <f aca="false">IF(COUNT(G1423:G1452)&lt;20,"",_xlfn.STDEV.S(G1423:G1452)*SQRT($R$3))</f>
        <v>0.936406947291261</v>
      </c>
      <c r="N1452" s="25" t="n">
        <f aca="false">IF(A1452-7&lt;$R$2,"",C1452/INDEX(Clean_Data!$C$2:$C$4314,MATCH(A1452-7,Clean_Data!$A$2:$A$4314,1))-1)</f>
        <v>0.153619574356129</v>
      </c>
      <c r="O1452" s="25" t="n">
        <f aca="false">IF(A1452-30&lt;$R$2,"",C1452/INDEX(Clean_Data!$C$2:$C$4314,MATCH(A1452-30,Clean_Data!$A$2:$A$4314,1))-1)</f>
        <v>0.0686121022837147</v>
      </c>
    </row>
    <row r="1453" customFormat="false" ht="15" hidden="false" customHeight="false" outlineLevel="0" collapsed="false">
      <c r="A1453" s="16" t="n">
        <v>43459</v>
      </c>
      <c r="B1453" s="23" t="n">
        <f aca="false">YEAR(A1453)</f>
        <v>2018</v>
      </c>
      <c r="C1453" s="17" t="n">
        <v>3780</v>
      </c>
      <c r="D1453" s="23" t="n">
        <f aca="false">A1453-A1452</f>
        <v>1</v>
      </c>
      <c r="E1453" s="24" t="n">
        <f aca="false">LN(C1453)</f>
        <v>8.23747928861363</v>
      </c>
      <c r="F1453" s="25" t="n">
        <f aca="false">LN(C1453/C1452)</f>
        <v>-0.0650344299005237</v>
      </c>
      <c r="G1453" s="25" t="n">
        <f aca="false">IF(AND(D1453=1,A1453&gt;=$R$2),F1453,"")</f>
        <v>-0.0650344299005237</v>
      </c>
      <c r="H1453" s="27" t="n">
        <f aca="false">IF(G1453="","",G1453^2)</f>
        <v>0.00422947707248613</v>
      </c>
      <c r="I1453" s="25" t="n">
        <f aca="false">IF(G1453="","",C1453/C1452-1)</f>
        <v>-0.0629647992067427</v>
      </c>
      <c r="J1453" s="17" t="n">
        <f aca="false">AVERAGE(C1254:C1453)</f>
        <v>6089.239</v>
      </c>
      <c r="K1453" s="17" t="n">
        <f aca="false">MAX(K1452,C1453)</f>
        <v>19650.01</v>
      </c>
      <c r="L1453" s="25" t="n">
        <f aca="false">C1453/K1453-1</f>
        <v>-0.807633685682603</v>
      </c>
      <c r="M1453" s="25" t="n">
        <f aca="false">IF(COUNT(G1424:G1453)&lt;20,"",_xlfn.STDEV.S(G1424:G1453)*SQRT($R$3))</f>
        <v>0.9534700458846</v>
      </c>
      <c r="N1453" s="25" t="n">
        <f aca="false">IF(A1453-7&lt;$R$2,"",C1453/INDEX(Clean_Data!$C$2:$C$4314,MATCH(A1453-7,Clean_Data!$A$2:$A$4314,1))-1)</f>
        <v>0.0305989743086399</v>
      </c>
      <c r="O1453" s="25" t="n">
        <f aca="false">IF(A1453-30&lt;$R$2,"",C1453/INDEX(Clean_Data!$C$2:$C$4314,MATCH(A1453-30,Clean_Data!$A$2:$A$4314,1))-1)</f>
        <v>-0.0398024736517226</v>
      </c>
    </row>
    <row r="1454" customFormat="false" ht="15" hidden="false" customHeight="false" outlineLevel="0" collapsed="false">
      <c r="A1454" s="16" t="n">
        <v>43460</v>
      </c>
      <c r="B1454" s="23" t="n">
        <f aca="false">YEAR(A1454)</f>
        <v>2018</v>
      </c>
      <c r="C1454" s="17" t="n">
        <v>3809.88</v>
      </c>
      <c r="D1454" s="23" t="n">
        <f aca="false">A1454-A1453</f>
        <v>1</v>
      </c>
      <c r="E1454" s="24" t="n">
        <f aca="false">LN(C1454)</f>
        <v>8.24535297156174</v>
      </c>
      <c r="F1454" s="25" t="n">
        <f aca="false">LN(C1454/C1453)</f>
        <v>0.0078736829481097</v>
      </c>
      <c r="G1454" s="25" t="n">
        <f aca="false">IF(AND(D1454=1,A1454&gt;=$R$2),F1454,"")</f>
        <v>0.0078736829481097</v>
      </c>
      <c r="H1454" s="27" t="n">
        <f aca="false">IF(G1454="","",G1454^2)</f>
        <v>6.19948831673534E-005</v>
      </c>
      <c r="I1454" s="25" t="n">
        <f aca="false">IF(G1454="","",C1454/C1453-1)</f>
        <v>0.00790476190476186</v>
      </c>
      <c r="J1454" s="17" t="n">
        <f aca="false">AVERAGE(C1255:C1454)</f>
        <v>6070.8064</v>
      </c>
      <c r="K1454" s="17" t="n">
        <f aca="false">MAX(K1453,C1454)</f>
        <v>19650.01</v>
      </c>
      <c r="L1454" s="25" t="n">
        <f aca="false">C1454/K1454-1</f>
        <v>-0.806113075769427</v>
      </c>
      <c r="M1454" s="25" t="n">
        <f aca="false">IF(COUNT(G1425:G1454)&lt;20,"",_xlfn.STDEV.S(G1425:G1454)*SQRT($R$3))</f>
        <v>0.935021448157356</v>
      </c>
      <c r="N1454" s="25" t="n">
        <f aca="false">IF(A1454-7&lt;$R$2,"",C1454/INDEX(Clean_Data!$C$2:$C$4314,MATCH(A1454-7,Clean_Data!$A$2:$A$4314,1))-1)</f>
        <v>0.0345878218932196</v>
      </c>
      <c r="O1454" s="25" t="n">
        <f aca="false">IF(A1454-30&lt;$R$2,"",C1454/INDEX(Clean_Data!$C$2:$C$4314,MATCH(A1454-30,Clean_Data!$A$2:$A$4314,1))-1)</f>
        <v>0.021054211378279</v>
      </c>
    </row>
    <row r="1455" customFormat="false" ht="15" hidden="false" customHeight="false" outlineLevel="0" collapsed="false">
      <c r="A1455" s="16" t="n">
        <v>43461</v>
      </c>
      <c r="B1455" s="23" t="n">
        <f aca="false">YEAR(A1455)</f>
        <v>2018</v>
      </c>
      <c r="C1455" s="17" t="n">
        <v>3589.89</v>
      </c>
      <c r="D1455" s="23" t="n">
        <f aca="false">A1455-A1454</f>
        <v>1</v>
      </c>
      <c r="E1455" s="24" t="n">
        <f aca="false">LN(C1455)</f>
        <v>8.18587684034437</v>
      </c>
      <c r="F1455" s="25" t="n">
        <f aca="false">LN(C1455/C1454)</f>
        <v>-0.0594761312173772</v>
      </c>
      <c r="G1455" s="25" t="n">
        <f aca="false">IF(AND(D1455=1,A1455&gt;=$R$2),F1455,"")</f>
        <v>-0.0594761312173772</v>
      </c>
      <c r="H1455" s="27" t="n">
        <f aca="false">IF(G1455="","",G1455^2)</f>
        <v>0.00353741018458667</v>
      </c>
      <c r="I1455" s="25" t="n">
        <f aca="false">IF(G1455="","",C1455/C1454-1)</f>
        <v>-0.0577419761252324</v>
      </c>
      <c r="J1455" s="17" t="n">
        <f aca="false">AVERAGE(C1256:C1455)</f>
        <v>6054.9043</v>
      </c>
      <c r="K1455" s="17" t="n">
        <f aca="false">MAX(K1454,C1455)</f>
        <v>19650.01</v>
      </c>
      <c r="L1455" s="25" t="n">
        <f aca="false">C1455/K1455-1</f>
        <v>-0.817308489919344</v>
      </c>
      <c r="M1455" s="25" t="n">
        <f aca="false">IF(COUNT(G1426:G1455)&lt;20,"",_xlfn.STDEV.S(G1426:G1455)*SQRT($R$3))</f>
        <v>0.957185680668727</v>
      </c>
      <c r="N1455" s="25" t="n">
        <f aca="false">IF(A1455-7&lt;$R$2,"",C1455/INDEX(Clean_Data!$C$2:$C$4314,MATCH(A1455-7,Clean_Data!$A$2:$A$4314,1))-1)</f>
        <v>-0.119118895601349</v>
      </c>
      <c r="O1455" s="25" t="n">
        <f aca="false">IF(A1455-30&lt;$R$2,"",C1455/INDEX(Clean_Data!$C$2:$C$4314,MATCH(A1455-30,Clean_Data!$A$2:$A$4314,1))-1)</f>
        <v>-0.049035761589404</v>
      </c>
    </row>
    <row r="1456" customFormat="false" ht="15" hidden="false" customHeight="false" outlineLevel="0" collapsed="false">
      <c r="A1456" s="16" t="n">
        <v>43462</v>
      </c>
      <c r="B1456" s="23" t="n">
        <f aca="false">YEAR(A1456)</f>
        <v>2018</v>
      </c>
      <c r="C1456" s="17" t="n">
        <v>3888.06</v>
      </c>
      <c r="D1456" s="23" t="n">
        <f aca="false">A1456-A1455</f>
        <v>1</v>
      </c>
      <c r="E1456" s="24" t="n">
        <f aca="false">LN(C1456)</f>
        <v>8.26566559756002</v>
      </c>
      <c r="F1456" s="25" t="n">
        <f aca="false">LN(C1456/C1455)</f>
        <v>0.0797887572156556</v>
      </c>
      <c r="G1456" s="25" t="n">
        <f aca="false">IF(AND(D1456=1,A1456&gt;=$R$2),F1456,"")</f>
        <v>0.0797887572156556</v>
      </c>
      <c r="H1456" s="27" t="n">
        <f aca="false">IF(G1456="","",G1456^2)</f>
        <v>0.00636624577801884</v>
      </c>
      <c r="I1456" s="25" t="n">
        <f aca="false">IF(G1456="","",C1456/C1455-1)</f>
        <v>0.0830582552668746</v>
      </c>
      <c r="J1456" s="17" t="n">
        <f aca="false">AVERAGE(C1257:C1456)</f>
        <v>6039.9396</v>
      </c>
      <c r="K1456" s="17" t="n">
        <f aca="false">MAX(K1455,C1456)</f>
        <v>19650.01</v>
      </c>
      <c r="L1456" s="25" t="n">
        <f aca="false">C1456/K1456-1</f>
        <v>-0.802134451839974</v>
      </c>
      <c r="M1456" s="25" t="n">
        <f aca="false">IF(COUNT(G1427:G1456)&lt;20,"",_xlfn.STDEV.S(G1427:G1456)*SQRT($R$3))</f>
        <v>0.913697135467015</v>
      </c>
      <c r="N1456" s="25" t="n">
        <f aca="false">IF(A1456-7&lt;$R$2,"",C1456/INDEX(Clean_Data!$C$2:$C$4314,MATCH(A1456-7,Clean_Data!$A$2:$A$4314,1))-1)</f>
        <v>0.012763541075159</v>
      </c>
      <c r="O1456" s="25" t="n">
        <f aca="false">IF(A1456-30&lt;$R$2,"",C1456/INDEX(Clean_Data!$C$2:$C$4314,MATCH(A1456-30,Clean_Data!$A$2:$A$4314,1))-1)</f>
        <v>-0.0797556467054671</v>
      </c>
    </row>
    <row r="1457" customFormat="false" ht="15" hidden="false" customHeight="false" outlineLevel="0" collapsed="false">
      <c r="A1457" s="16" t="n">
        <v>43463</v>
      </c>
      <c r="B1457" s="23" t="n">
        <f aca="false">YEAR(A1457)</f>
        <v>2018</v>
      </c>
      <c r="C1457" s="17" t="n">
        <v>3729.31</v>
      </c>
      <c r="D1457" s="23" t="n">
        <f aca="false">A1457-A1456</f>
        <v>1</v>
      </c>
      <c r="E1457" s="24" t="n">
        <f aca="false">LN(C1457)</f>
        <v>8.22397850893056</v>
      </c>
      <c r="F1457" s="25" t="n">
        <f aca="false">LN(C1457/C1456)</f>
        <v>-0.0416870886294651</v>
      </c>
      <c r="G1457" s="25" t="n">
        <f aca="false">IF(AND(D1457=1,A1457&gt;=$R$2),F1457,"")</f>
        <v>-0.0416870886294651</v>
      </c>
      <c r="H1457" s="27" t="n">
        <f aca="false">IF(G1457="","",G1457^2)</f>
        <v>0.00173781335840088</v>
      </c>
      <c r="I1457" s="25" t="n">
        <f aca="false">IF(G1457="","",C1457/C1456-1)</f>
        <v>-0.0408301312222548</v>
      </c>
      <c r="J1457" s="17" t="n">
        <f aca="false">AVERAGE(C1258:C1457)</f>
        <v>6025.8612</v>
      </c>
      <c r="K1457" s="17" t="n">
        <f aca="false">MAX(K1456,C1457)</f>
        <v>19650.01</v>
      </c>
      <c r="L1457" s="25" t="n">
        <f aca="false">C1457/K1457-1</f>
        <v>-0.810213328135711</v>
      </c>
      <c r="M1457" s="25" t="n">
        <f aca="false">IF(COUNT(G1428:G1457)&lt;20,"",_xlfn.STDEV.S(G1428:G1457)*SQRT($R$3))</f>
        <v>0.923108029350497</v>
      </c>
      <c r="N1457" s="25" t="n">
        <f aca="false">IF(A1457-7&lt;$R$2,"",C1457/INDEX(Clean_Data!$C$2:$C$4314,MATCH(A1457-7,Clean_Data!$A$2:$A$4314,1))-1)</f>
        <v>-0.0630957226049251</v>
      </c>
      <c r="O1457" s="25" t="n">
        <f aca="false">IF(A1457-30&lt;$R$2,"",C1457/INDEX(Clean_Data!$C$2:$C$4314,MATCH(A1457-30,Clean_Data!$A$2:$A$4314,1))-1)</f>
        <v>-0.122102165725047</v>
      </c>
    </row>
    <row r="1458" customFormat="false" ht="15" hidden="false" customHeight="false" outlineLevel="0" collapsed="false">
      <c r="A1458" s="16" t="n">
        <v>43464</v>
      </c>
      <c r="B1458" s="23" t="n">
        <f aca="false">YEAR(A1458)</f>
        <v>2018</v>
      </c>
      <c r="C1458" s="17" t="n">
        <v>3829</v>
      </c>
      <c r="D1458" s="23" t="n">
        <f aca="false">A1458-A1457</f>
        <v>1</v>
      </c>
      <c r="E1458" s="24" t="n">
        <f aca="false">LN(C1458)</f>
        <v>8.25035895147729</v>
      </c>
      <c r="F1458" s="25" t="n">
        <f aca="false">LN(C1458/C1457)</f>
        <v>0.0263804425467382</v>
      </c>
      <c r="G1458" s="25" t="n">
        <f aca="false">IF(AND(D1458=1,A1458&gt;=$R$2),F1458,"")</f>
        <v>0.0263804425467382</v>
      </c>
      <c r="H1458" s="27" t="n">
        <f aca="false">IF(G1458="","",G1458^2)</f>
        <v>0.000695927748961757</v>
      </c>
      <c r="I1458" s="25" t="n">
        <f aca="false">IF(G1458="","",C1458/C1457-1)</f>
        <v>0.0267314865216355</v>
      </c>
      <c r="J1458" s="17" t="n">
        <f aca="false">AVERAGE(C1259:C1458)</f>
        <v>6013.4946</v>
      </c>
      <c r="K1458" s="17" t="n">
        <f aca="false">MAX(K1457,C1458)</f>
        <v>19650.01</v>
      </c>
      <c r="L1458" s="25" t="n">
        <f aca="false">C1458/K1458-1</f>
        <v>-0.805140048274785</v>
      </c>
      <c r="M1458" s="25" t="n">
        <f aca="false">IF(COUNT(G1429:G1458)&lt;20,"",_xlfn.STDEV.S(G1429:G1458)*SQRT($R$3))</f>
        <v>0.90127424430933</v>
      </c>
      <c r="N1458" s="25" t="n">
        <f aca="false">IF(A1458-7&lt;$R$2,"",C1458/INDEX(Clean_Data!$C$2:$C$4314,MATCH(A1458-7,Clean_Data!$A$2:$A$4314,1))-1)</f>
        <v>-0.0293870867163676</v>
      </c>
      <c r="O1458" s="25" t="n">
        <f aca="false">IF(A1458-30&lt;$R$2,"",C1458/INDEX(Clean_Data!$C$2:$C$4314,MATCH(A1458-30,Clean_Data!$A$2:$A$4314,1))-1)</f>
        <v>-0.0369718309859155</v>
      </c>
    </row>
    <row r="1459" customFormat="false" ht="15" hidden="false" customHeight="false" outlineLevel="0" collapsed="false">
      <c r="A1459" s="16" t="n">
        <v>43465</v>
      </c>
      <c r="B1459" s="23" t="n">
        <f aca="false">YEAR(A1459)</f>
        <v>2018</v>
      </c>
      <c r="C1459" s="17" t="n">
        <v>3691.86</v>
      </c>
      <c r="D1459" s="23" t="n">
        <f aca="false">A1459-A1458</f>
        <v>1</v>
      </c>
      <c r="E1459" s="24" t="n">
        <f aca="false">LN(C1459)</f>
        <v>8.21388567507712</v>
      </c>
      <c r="F1459" s="25" t="n">
        <f aca="false">LN(C1459/C1458)</f>
        <v>-0.0364732764001787</v>
      </c>
      <c r="G1459" s="25" t="n">
        <f aca="false">IF(AND(D1459=1,A1459&gt;=$R$2),F1459,"")</f>
        <v>-0.0364732764001787</v>
      </c>
      <c r="H1459" s="27" t="n">
        <f aca="false">IF(G1459="","",G1459^2)</f>
        <v>0.00133029989136383</v>
      </c>
      <c r="I1459" s="25" t="n">
        <f aca="false">IF(G1459="","",C1459/C1458-1)</f>
        <v>-0.0358161399843301</v>
      </c>
      <c r="J1459" s="17" t="n">
        <f aca="false">AVERAGE(C1260:C1459)</f>
        <v>5998.76145</v>
      </c>
      <c r="K1459" s="17" t="n">
        <f aca="false">MAX(K1458,C1459)</f>
        <v>19650.01</v>
      </c>
      <c r="L1459" s="25" t="n">
        <f aca="false">C1459/K1459-1</f>
        <v>-0.812119179583115</v>
      </c>
      <c r="M1459" s="25" t="n">
        <f aca="false">IF(COUNT(G1430:G1459)&lt;20,"",_xlfn.STDEV.S(G1430:G1459)*SQRT($R$3))</f>
        <v>0.896114629290746</v>
      </c>
      <c r="N1459" s="25" t="n">
        <f aca="false">IF(A1459-7&lt;$R$2,"",C1459/INDEX(Clean_Data!$C$2:$C$4314,MATCH(A1459-7,Clean_Data!$A$2:$A$4314,1))-1)</f>
        <v>-0.0848140803173029</v>
      </c>
      <c r="O1459" s="25" t="n">
        <f aca="false">IF(A1459-30&lt;$R$2,"",C1459/INDEX(Clean_Data!$C$2:$C$4314,MATCH(A1459-30,Clean_Data!$A$2:$A$4314,1))-1)</f>
        <v>-0.108679119557896</v>
      </c>
    </row>
    <row r="1460" customFormat="false" ht="15" hidden="false" customHeight="false" outlineLevel="0" collapsed="false">
      <c r="A1460" s="16" t="n">
        <v>43466</v>
      </c>
      <c r="B1460" s="23" t="n">
        <f aca="false">YEAR(A1460)</f>
        <v>2019</v>
      </c>
      <c r="C1460" s="17" t="n">
        <v>3826.1</v>
      </c>
      <c r="D1460" s="23" t="n">
        <f aca="false">A1460-A1459</f>
        <v>1</v>
      </c>
      <c r="E1460" s="24" t="n">
        <f aca="false">LN(C1460)</f>
        <v>8.24960128661629</v>
      </c>
      <c r="F1460" s="25" t="n">
        <f aca="false">LN(C1460/C1459)</f>
        <v>0.0357156115391761</v>
      </c>
      <c r="G1460" s="25" t="n">
        <f aca="false">IF(AND(D1460=1,A1460&gt;=$R$2),F1460,"")</f>
        <v>0.0357156115391761</v>
      </c>
      <c r="H1460" s="27" t="n">
        <f aca="false">IF(G1460="","",G1460^2)</f>
        <v>0.00127560490761733</v>
      </c>
      <c r="I1460" s="25" t="n">
        <f aca="false">IF(G1460="","",C1460/C1459-1)</f>
        <v>0.0363610754470645</v>
      </c>
      <c r="J1460" s="17" t="n">
        <f aca="false">AVERAGE(C1261:C1460)</f>
        <v>5985.93585</v>
      </c>
      <c r="K1460" s="17" t="n">
        <f aca="false">MAX(K1459,C1460)</f>
        <v>19650.01</v>
      </c>
      <c r="L1460" s="25" t="n">
        <f aca="false">C1460/K1460-1</f>
        <v>-0.80528763089688</v>
      </c>
      <c r="M1460" s="25" t="n">
        <f aca="false">IF(COUNT(G1431:G1460)&lt;20,"",_xlfn.STDEV.S(G1431:G1460)*SQRT($R$3))</f>
        <v>0.906345842724737</v>
      </c>
      <c r="N1460" s="25" t="n">
        <f aca="false">IF(A1460-7&lt;$R$2,"",C1460/INDEX(Clean_Data!$C$2:$C$4314,MATCH(A1460-7,Clean_Data!$A$2:$A$4314,1))-1)</f>
        <v>0.0121957671957671</v>
      </c>
      <c r="O1460" s="25" t="n">
        <f aca="false">IF(A1460-30&lt;$R$2,"",C1460/INDEX(Clean_Data!$C$2:$C$4314,MATCH(A1460-30,Clean_Data!$A$2:$A$4314,1))-1)</f>
        <v>-0.0675303848956543</v>
      </c>
    </row>
    <row r="1461" customFormat="false" ht="15" hidden="false" customHeight="false" outlineLevel="0" collapsed="false">
      <c r="A1461" s="16" t="n">
        <v>43467</v>
      </c>
      <c r="B1461" s="23" t="n">
        <f aca="false">YEAR(A1461)</f>
        <v>2019</v>
      </c>
      <c r="C1461" s="17" t="n">
        <v>3890.79</v>
      </c>
      <c r="D1461" s="23" t="n">
        <f aca="false">A1461-A1460</f>
        <v>1</v>
      </c>
      <c r="E1461" s="24" t="n">
        <f aca="false">LN(C1461)</f>
        <v>8.26636750082646</v>
      </c>
      <c r="F1461" s="25" t="n">
        <f aca="false">LN(C1461/C1460)</f>
        <v>0.0167662142101718</v>
      </c>
      <c r="G1461" s="25" t="n">
        <f aca="false">IF(AND(D1461=1,A1461&gt;=$R$2),F1461,"")</f>
        <v>0.0167662142101718</v>
      </c>
      <c r="H1461" s="27" t="n">
        <f aca="false">IF(G1461="","",G1461^2)</f>
        <v>0.000281105938941367</v>
      </c>
      <c r="I1461" s="25" t="n">
        <f aca="false">IF(G1461="","",C1461/C1460-1)</f>
        <v>0.0169075559969683</v>
      </c>
      <c r="J1461" s="17" t="n">
        <f aca="false">AVERAGE(C1262:C1461)</f>
        <v>5972.96835</v>
      </c>
      <c r="K1461" s="17" t="n">
        <f aca="false">MAX(K1460,C1461)</f>
        <v>19650.01</v>
      </c>
      <c r="L1461" s="25" t="n">
        <f aca="false">C1461/K1461-1</f>
        <v>-0.801995520612967</v>
      </c>
      <c r="M1461" s="25" t="n">
        <f aca="false">IF(COUNT(G1432:G1461)&lt;20,"",_xlfn.STDEV.S(G1432:G1461)*SQRT($R$3))</f>
        <v>0.876795587283395</v>
      </c>
      <c r="N1461" s="25" t="n">
        <f aca="false">IF(A1461-7&lt;$R$2,"",C1461/INDEX(Clean_Data!$C$2:$C$4314,MATCH(A1461-7,Clean_Data!$A$2:$A$4314,1))-1)</f>
        <v>0.0212368893508457</v>
      </c>
      <c r="O1461" s="25" t="n">
        <f aca="false">IF(A1461-30&lt;$R$2,"",C1461/INDEX(Clean_Data!$C$2:$C$4314,MATCH(A1461-30,Clean_Data!$A$2:$A$4314,1))-1)</f>
        <v>0.01495251038876</v>
      </c>
    </row>
    <row r="1462" customFormat="false" ht="15" hidden="false" customHeight="false" outlineLevel="0" collapsed="false">
      <c r="A1462" s="16" t="n">
        <v>43468</v>
      </c>
      <c r="B1462" s="23" t="n">
        <f aca="false">YEAR(A1462)</f>
        <v>2019</v>
      </c>
      <c r="C1462" s="17" t="n">
        <v>3787.57</v>
      </c>
      <c r="D1462" s="23" t="n">
        <f aca="false">A1462-A1461</f>
        <v>1</v>
      </c>
      <c r="E1462" s="24" t="n">
        <f aca="false">LN(C1462)</f>
        <v>8.23947993149502</v>
      </c>
      <c r="F1462" s="25" t="n">
        <f aca="false">LN(C1462/C1461)</f>
        <v>-0.0268875693314415</v>
      </c>
      <c r="G1462" s="25" t="n">
        <f aca="false">IF(AND(D1462=1,A1462&gt;=$R$2),F1462,"")</f>
        <v>-0.0268875693314415</v>
      </c>
      <c r="H1462" s="27" t="n">
        <f aca="false">IF(G1462="","",G1462^2)</f>
        <v>0.000722941384553076</v>
      </c>
      <c r="I1462" s="25" t="n">
        <f aca="false">IF(G1462="","",C1462/C1461-1)</f>
        <v>-0.0265293166683372</v>
      </c>
      <c r="J1462" s="17" t="n">
        <f aca="false">AVERAGE(C1263:C1462)</f>
        <v>5959.6704</v>
      </c>
      <c r="K1462" s="17" t="n">
        <f aca="false">MAX(K1461,C1462)</f>
        <v>19650.01</v>
      </c>
      <c r="L1462" s="25" t="n">
        <f aca="false">C1462/K1462-1</f>
        <v>-0.807248444148375</v>
      </c>
      <c r="M1462" s="25" t="n">
        <f aca="false">IF(COUNT(G1433:G1462)&lt;20,"",_xlfn.STDEV.S(G1433:G1462)*SQRT($R$3))</f>
        <v>0.879578355161304</v>
      </c>
      <c r="N1462" s="25" t="n">
        <f aca="false">IF(A1462-7&lt;$R$2,"",C1462/INDEX(Clean_Data!$C$2:$C$4314,MATCH(A1462-7,Clean_Data!$A$2:$A$4314,1))-1)</f>
        <v>0.0550657541038864</v>
      </c>
      <c r="O1462" s="25" t="n">
        <f aca="false">IF(A1462-30&lt;$R$2,"",C1462/INDEX(Clean_Data!$C$2:$C$4314,MATCH(A1462-30,Clean_Data!$A$2:$A$4314,1))-1)</f>
        <v>-0.0292861829290796</v>
      </c>
    </row>
    <row r="1463" customFormat="false" ht="15" hidden="false" customHeight="false" outlineLevel="0" collapsed="false">
      <c r="A1463" s="16" t="n">
        <v>43469</v>
      </c>
      <c r="B1463" s="23" t="n">
        <f aca="false">YEAR(A1463)</f>
        <v>2019</v>
      </c>
      <c r="C1463" s="17" t="n">
        <v>3820.25</v>
      </c>
      <c r="D1463" s="23" t="n">
        <f aca="false">A1463-A1462</f>
        <v>1</v>
      </c>
      <c r="E1463" s="24" t="n">
        <f aca="false">LN(C1463)</f>
        <v>8.24807114448537</v>
      </c>
      <c r="F1463" s="25" t="n">
        <f aca="false">LN(C1463/C1462)</f>
        <v>0.00859121299034434</v>
      </c>
      <c r="G1463" s="25" t="n">
        <f aca="false">IF(AND(D1463=1,A1463&gt;=$R$2),F1463,"")</f>
        <v>0.00859121299034434</v>
      </c>
      <c r="H1463" s="27" t="n">
        <f aca="false">IF(G1463="","",G1463^2)</f>
        <v>7.38089406454613E-005</v>
      </c>
      <c r="I1463" s="25" t="n">
        <f aca="false">IF(G1463="","",C1463/C1462-1)</f>
        <v>0.00862822337276925</v>
      </c>
      <c r="J1463" s="17" t="n">
        <f aca="false">AVERAGE(C1264:C1463)</f>
        <v>5945.22655</v>
      </c>
      <c r="K1463" s="17" t="n">
        <f aca="false">MAX(K1462,C1463)</f>
        <v>19650.01</v>
      </c>
      <c r="L1463" s="25" t="n">
        <f aca="false">C1463/K1463-1</f>
        <v>-0.805585340669038</v>
      </c>
      <c r="M1463" s="25" t="n">
        <f aca="false">IF(COUNT(G1434:G1463)&lt;20,"",_xlfn.STDEV.S(G1434:G1463)*SQRT($R$3))</f>
        <v>0.858440625952023</v>
      </c>
      <c r="N1463" s="25" t="n">
        <f aca="false">IF(A1463-7&lt;$R$2,"",C1463/INDEX(Clean_Data!$C$2:$C$4314,MATCH(A1463-7,Clean_Data!$A$2:$A$4314,1))-1)</f>
        <v>-0.0174405744767313</v>
      </c>
      <c r="O1463" s="25" t="n">
        <f aca="false">IF(A1463-30&lt;$R$2,"",C1463/INDEX(Clean_Data!$C$2:$C$4314,MATCH(A1463-30,Clean_Data!$A$2:$A$4314,1))-1)</f>
        <v>0.0340678704738806</v>
      </c>
    </row>
    <row r="1464" customFormat="false" ht="15" hidden="false" customHeight="false" outlineLevel="0" collapsed="false">
      <c r="A1464" s="16" t="n">
        <v>43470</v>
      </c>
      <c r="B1464" s="23" t="n">
        <f aca="false">YEAR(A1464)</f>
        <v>2019</v>
      </c>
      <c r="C1464" s="17" t="n">
        <v>3798.62</v>
      </c>
      <c r="D1464" s="23" t="n">
        <f aca="false">A1464-A1463</f>
        <v>1</v>
      </c>
      <c r="E1464" s="24" t="n">
        <f aca="false">LN(C1464)</f>
        <v>8.24239312186194</v>
      </c>
      <c r="F1464" s="25" t="n">
        <f aca="false">LN(C1464/C1463)</f>
        <v>-0.00567802262342383</v>
      </c>
      <c r="G1464" s="25" t="n">
        <f aca="false">IF(AND(D1464=1,A1464&gt;=$R$2),F1464,"")</f>
        <v>-0.00567802262342383</v>
      </c>
      <c r="H1464" s="27" t="n">
        <f aca="false">IF(G1464="","",G1464^2)</f>
        <v>3.22399409121128E-005</v>
      </c>
      <c r="I1464" s="25" t="n">
        <f aca="false">IF(G1464="","",C1464/C1463-1)</f>
        <v>-0.00566193311956031</v>
      </c>
      <c r="J1464" s="17" t="n">
        <f aca="false">AVERAGE(C1265:C1464)</f>
        <v>5930.5376</v>
      </c>
      <c r="K1464" s="17" t="n">
        <f aca="false">MAX(K1463,C1464)</f>
        <v>19650.01</v>
      </c>
      <c r="L1464" s="25" t="n">
        <f aca="false">C1464/K1464-1</f>
        <v>-0.806686103467632</v>
      </c>
      <c r="M1464" s="25" t="n">
        <f aca="false">IF(COUNT(G1435:G1464)&lt;20,"",_xlfn.STDEV.S(G1435:G1464)*SQRT($R$3))</f>
        <v>0.816010089790079</v>
      </c>
      <c r="N1464" s="25" t="n">
        <f aca="false">IF(A1464-7&lt;$R$2,"",C1464/INDEX(Clean_Data!$C$2:$C$4314,MATCH(A1464-7,Clean_Data!$A$2:$A$4314,1))-1)</f>
        <v>0.0185852074512443</v>
      </c>
      <c r="O1464" s="25" t="n">
        <f aca="false">IF(A1464-30&lt;$R$2,"",C1464/INDEX(Clean_Data!$C$2:$C$4314,MATCH(A1464-30,Clean_Data!$A$2:$A$4314,1))-1)</f>
        <v>0.106417806982285</v>
      </c>
    </row>
    <row r="1465" customFormat="false" ht="15" hidden="false" customHeight="false" outlineLevel="0" collapsed="false">
      <c r="A1465" s="16" t="n">
        <v>43471</v>
      </c>
      <c r="B1465" s="23" t="n">
        <f aca="false">YEAR(A1465)</f>
        <v>2019</v>
      </c>
      <c r="C1465" s="17" t="n">
        <v>4040.99</v>
      </c>
      <c r="D1465" s="23" t="n">
        <f aca="false">A1465-A1464</f>
        <v>1</v>
      </c>
      <c r="E1465" s="24" t="n">
        <f aca="false">LN(C1465)</f>
        <v>8.30424499044042</v>
      </c>
      <c r="F1465" s="25" t="n">
        <f aca="false">LN(C1465/C1464)</f>
        <v>0.0618518685784776</v>
      </c>
      <c r="G1465" s="25" t="n">
        <f aca="false">IF(AND(D1465=1,A1465&gt;=$R$2),F1465,"")</f>
        <v>0.0618518685784776</v>
      </c>
      <c r="H1465" s="27" t="n">
        <f aca="false">IF(G1465="","",G1465^2)</f>
        <v>0.00382565364664926</v>
      </c>
      <c r="I1465" s="25" t="n">
        <f aca="false">IF(G1465="","",C1465/C1464-1)</f>
        <v>0.0638047501461057</v>
      </c>
      <c r="J1465" s="17" t="n">
        <f aca="false">AVERAGE(C1266:C1465)</f>
        <v>5916.96205</v>
      </c>
      <c r="K1465" s="17" t="n">
        <f aca="false">MAX(K1464,C1465)</f>
        <v>19650.01</v>
      </c>
      <c r="L1465" s="25" t="n">
        <f aca="false">C1465/K1465-1</f>
        <v>-0.794351758599614</v>
      </c>
      <c r="M1465" s="25" t="n">
        <f aca="false">IF(COUNT(G1436:G1465)&lt;20,"",_xlfn.STDEV.S(G1436:G1465)*SQRT($R$3))</f>
        <v>0.837767246872284</v>
      </c>
      <c r="N1465" s="25" t="n">
        <f aca="false">IF(A1465-7&lt;$R$2,"",C1465/INDEX(Clean_Data!$C$2:$C$4314,MATCH(A1465-7,Clean_Data!$A$2:$A$4314,1))-1)</f>
        <v>0.055364324889005</v>
      </c>
      <c r="O1465" s="25" t="n">
        <f aca="false">IF(A1465-30&lt;$R$2,"",C1465/INDEX(Clean_Data!$C$2:$C$4314,MATCH(A1465-30,Clean_Data!$A$2:$A$4314,1))-1)</f>
        <v>0.195555634450786</v>
      </c>
    </row>
    <row r="1466" customFormat="false" ht="15" hidden="false" customHeight="false" outlineLevel="0" collapsed="false">
      <c r="A1466" s="16" t="n">
        <v>43472</v>
      </c>
      <c r="B1466" s="23" t="n">
        <f aca="false">YEAR(A1466)</f>
        <v>2019</v>
      </c>
      <c r="C1466" s="17" t="n">
        <v>4006.01</v>
      </c>
      <c r="D1466" s="23" t="n">
        <f aca="false">A1466-A1465</f>
        <v>1</v>
      </c>
      <c r="E1466" s="24" t="n">
        <f aca="false">LN(C1466)</f>
        <v>8.29555101247827</v>
      </c>
      <c r="F1466" s="25" t="n">
        <f aca="false">LN(C1466/C1465)</f>
        <v>-0.00869397796215579</v>
      </c>
      <c r="G1466" s="25" t="n">
        <f aca="false">IF(AND(D1466=1,A1466&gt;=$R$2),F1466,"")</f>
        <v>-0.00869397796215579</v>
      </c>
      <c r="H1466" s="27" t="n">
        <f aca="false">IF(G1466="","",G1466^2)</f>
        <v>7.55852528064506E-005</v>
      </c>
      <c r="I1466" s="25" t="n">
        <f aca="false">IF(G1466="","",C1466/C1465-1)</f>
        <v>-0.00865629462087247</v>
      </c>
      <c r="J1466" s="17" t="n">
        <f aca="false">AVERAGE(C1267:C1466)</f>
        <v>5903.39705</v>
      </c>
      <c r="K1466" s="17" t="n">
        <f aca="false">MAX(K1465,C1466)</f>
        <v>19650.01</v>
      </c>
      <c r="L1466" s="25" t="n">
        <f aca="false">C1466/K1466-1</f>
        <v>-0.79613191036544</v>
      </c>
      <c r="M1466" s="25" t="n">
        <f aca="false">IF(COUNT(G1437:G1466)&lt;20,"",_xlfn.STDEV.S(G1437:G1466)*SQRT($R$3))</f>
        <v>0.839321587506685</v>
      </c>
      <c r="N1466" s="25" t="n">
        <f aca="false">IF(A1466-7&lt;$R$2,"",C1466/INDEX(Clean_Data!$C$2:$C$4314,MATCH(A1466-7,Clean_Data!$A$2:$A$4314,1))-1)</f>
        <v>0.0850926091455255</v>
      </c>
      <c r="O1466" s="25" t="n">
        <f aca="false">IF(A1466-30&lt;$R$2,"",C1466/INDEX(Clean_Data!$C$2:$C$4314,MATCH(A1466-30,Clean_Data!$A$2:$A$4314,1))-1)</f>
        <v>0.177891796530432</v>
      </c>
    </row>
    <row r="1467" customFormat="false" ht="15" hidden="false" customHeight="false" outlineLevel="0" collapsed="false">
      <c r="A1467" s="16" t="n">
        <v>43473</v>
      </c>
      <c r="B1467" s="23" t="n">
        <f aca="false">YEAR(A1467)</f>
        <v>2019</v>
      </c>
      <c r="C1467" s="17" t="n">
        <v>3993.86</v>
      </c>
      <c r="D1467" s="23" t="n">
        <f aca="false">A1467-A1466</f>
        <v>1</v>
      </c>
      <c r="E1467" s="24" t="n">
        <f aca="false">LN(C1467)</f>
        <v>8.29251346078254</v>
      </c>
      <c r="F1467" s="25" t="n">
        <f aca="false">LN(C1467/C1466)</f>
        <v>-0.00303755169572832</v>
      </c>
      <c r="G1467" s="25" t="n">
        <f aca="false">IF(AND(D1467=1,A1467&gt;=$R$2),F1467,"")</f>
        <v>-0.00303755169572832</v>
      </c>
      <c r="H1467" s="27" t="n">
        <f aca="false">IF(G1467="","",G1467^2)</f>
        <v>9.226720304222E-006</v>
      </c>
      <c r="I1467" s="25" t="n">
        <f aca="false">IF(G1467="","",C1467/C1466-1)</f>
        <v>-0.00303294300313783</v>
      </c>
      <c r="J1467" s="17" t="n">
        <f aca="false">AVERAGE(C1268:C1467)</f>
        <v>5893.06725</v>
      </c>
      <c r="K1467" s="17" t="n">
        <f aca="false">MAX(K1466,C1467)</f>
        <v>19650.01</v>
      </c>
      <c r="L1467" s="25" t="n">
        <f aca="false">C1467/K1467-1</f>
        <v>-0.79675023066146</v>
      </c>
      <c r="M1467" s="25" t="n">
        <f aca="false">IF(COUNT(G1438:G1467)&lt;20,"",_xlfn.STDEV.S(G1438:G1467)*SQRT($R$3))</f>
        <v>0.831687707029935</v>
      </c>
      <c r="N1467" s="25" t="n">
        <f aca="false">IF(A1467-7&lt;$R$2,"",C1467/INDEX(Clean_Data!$C$2:$C$4314,MATCH(A1467-7,Clean_Data!$A$2:$A$4314,1))-1)</f>
        <v>0.0438462141606335</v>
      </c>
      <c r="O1467" s="25" t="n">
        <f aca="false">IF(A1467-30&lt;$R$2,"",C1467/INDEX(Clean_Data!$C$2:$C$4314,MATCH(A1467-30,Clean_Data!$A$2:$A$4314,1))-1)</f>
        <v>0.13102702212858</v>
      </c>
    </row>
    <row r="1468" customFormat="false" ht="15" hidden="false" customHeight="false" outlineLevel="0" collapsed="false">
      <c r="A1468" s="16" t="n">
        <v>43474</v>
      </c>
      <c r="B1468" s="23" t="n">
        <f aca="false">YEAR(A1468)</f>
        <v>2019</v>
      </c>
      <c r="C1468" s="17" t="n">
        <v>4004.12</v>
      </c>
      <c r="D1468" s="23" t="n">
        <f aca="false">A1468-A1467</f>
        <v>1</v>
      </c>
      <c r="E1468" s="24" t="n">
        <f aca="false">LN(C1468)</f>
        <v>8.29507911001599</v>
      </c>
      <c r="F1468" s="25" t="n">
        <f aca="false">LN(C1468/C1467)</f>
        <v>0.00256564923345264</v>
      </c>
      <c r="G1468" s="25" t="n">
        <f aca="false">IF(AND(D1468=1,A1468&gt;=$R$2),F1468,"")</f>
        <v>0.00256564923345264</v>
      </c>
      <c r="H1468" s="27" t="n">
        <f aca="false">IF(G1468="","",G1468^2)</f>
        <v>6.58255598911613E-006</v>
      </c>
      <c r="I1468" s="25" t="n">
        <f aca="false">IF(G1468="","",C1468/C1467-1)</f>
        <v>0.0025689433280085</v>
      </c>
      <c r="J1468" s="17" t="n">
        <f aca="false">AVERAGE(C1269:C1468)</f>
        <v>5882.1964</v>
      </c>
      <c r="K1468" s="17" t="n">
        <f aca="false">MAX(K1467,C1468)</f>
        <v>19650.01</v>
      </c>
      <c r="L1468" s="25" t="n">
        <f aca="false">C1468/K1468-1</f>
        <v>-0.796228093522599</v>
      </c>
      <c r="M1468" s="25" t="n">
        <f aca="false">IF(COUNT(G1439:G1468)&lt;20,"",_xlfn.STDEV.S(G1439:G1468)*SQRT($R$3))</f>
        <v>0.819769534341549</v>
      </c>
      <c r="N1468" s="25" t="n">
        <f aca="false">IF(A1468-7&lt;$R$2,"",C1468/INDEX(Clean_Data!$C$2:$C$4314,MATCH(A1468-7,Clean_Data!$A$2:$A$4314,1))-1)</f>
        <v>0.0291277606861331</v>
      </c>
      <c r="O1468" s="25" t="n">
        <f aca="false">IF(A1468-30&lt;$R$2,"",C1468/INDEX(Clean_Data!$C$2:$C$4314,MATCH(A1468-30,Clean_Data!$A$2:$A$4314,1))-1)</f>
        <v>0.174177088984355</v>
      </c>
    </row>
    <row r="1469" customFormat="false" ht="15" hidden="false" customHeight="false" outlineLevel="0" collapsed="false">
      <c r="A1469" s="16" t="n">
        <v>43475</v>
      </c>
      <c r="B1469" s="23" t="n">
        <f aca="false">YEAR(A1469)</f>
        <v>2019</v>
      </c>
      <c r="C1469" s="17" t="n">
        <v>3626.12</v>
      </c>
      <c r="D1469" s="23" t="n">
        <f aca="false">A1469-A1468</f>
        <v>1</v>
      </c>
      <c r="E1469" s="24" t="n">
        <f aca="false">LN(C1469)</f>
        <v>8.195918485086</v>
      </c>
      <c r="F1469" s="25" t="n">
        <f aca="false">LN(C1469/C1468)</f>
        <v>-0.0991606249299887</v>
      </c>
      <c r="G1469" s="25" t="n">
        <f aca="false">IF(AND(D1469=1,A1469&gt;=$R$2),F1469,"")</f>
        <v>-0.0991606249299887</v>
      </c>
      <c r="H1469" s="27" t="n">
        <f aca="false">IF(G1469="","",G1469^2)</f>
        <v>0.0098328295365059</v>
      </c>
      <c r="I1469" s="25" t="n">
        <f aca="false">IF(G1469="","",C1469/C1468-1)</f>
        <v>-0.0944027651518935</v>
      </c>
      <c r="J1469" s="17" t="n">
        <f aca="false">AVERAGE(C1270:C1469)</f>
        <v>5869.57705</v>
      </c>
      <c r="K1469" s="17" t="n">
        <f aca="false">MAX(K1468,C1469)</f>
        <v>19650.01</v>
      </c>
      <c r="L1469" s="25" t="n">
        <f aca="false">C1469/K1469-1</f>
        <v>-0.815464724954338</v>
      </c>
      <c r="M1469" s="25" t="n">
        <f aca="false">IF(COUNT(G1440:G1469)&lt;20,"",_xlfn.STDEV.S(G1440:G1469)*SQRT($R$3))</f>
        <v>0.89436016694055</v>
      </c>
      <c r="N1469" s="25" t="n">
        <f aca="false">IF(A1469-7&lt;$R$2,"",C1469/INDEX(Clean_Data!$C$2:$C$4314,MATCH(A1469-7,Clean_Data!$A$2:$A$4314,1))-1)</f>
        <v>-0.0426262748939295</v>
      </c>
      <c r="O1469" s="25" t="n">
        <f aca="false">IF(A1469-30&lt;$R$2,"",C1469/INDEX(Clean_Data!$C$2:$C$4314,MATCH(A1469-30,Clean_Data!$A$2:$A$4314,1))-1)</f>
        <v>0.0826307115389209</v>
      </c>
    </row>
    <row r="1470" customFormat="false" ht="15" hidden="false" customHeight="false" outlineLevel="0" collapsed="false">
      <c r="A1470" s="16" t="n">
        <v>43476</v>
      </c>
      <c r="B1470" s="23" t="n">
        <f aca="false">YEAR(A1470)</f>
        <v>2019</v>
      </c>
      <c r="C1470" s="17" t="n">
        <v>3635.69</v>
      </c>
      <c r="D1470" s="23" t="n">
        <f aca="false">A1470-A1469</f>
        <v>1</v>
      </c>
      <c r="E1470" s="24" t="n">
        <f aca="false">LN(C1470)</f>
        <v>8.1985541931368</v>
      </c>
      <c r="F1470" s="25" t="n">
        <f aca="false">LN(C1470/C1469)</f>
        <v>0.00263570805080215</v>
      </c>
      <c r="G1470" s="25" t="n">
        <f aca="false">IF(AND(D1470=1,A1470&gt;=$R$2),F1470,"")</f>
        <v>0.00263570805080215</v>
      </c>
      <c r="H1470" s="27" t="n">
        <f aca="false">IF(G1470="","",G1470^2)</f>
        <v>6.94695692906326E-006</v>
      </c>
      <c r="I1470" s="25" t="n">
        <f aca="false">IF(G1470="","",C1470/C1469-1)</f>
        <v>0.0026391845829703</v>
      </c>
      <c r="J1470" s="17" t="n">
        <f aca="false">AVERAGE(C1271:C1470)</f>
        <v>5856.52545</v>
      </c>
      <c r="K1470" s="17" t="n">
        <f aca="false">MAX(K1469,C1470)</f>
        <v>19650.01</v>
      </c>
      <c r="L1470" s="25" t="n">
        <f aca="false">C1470/K1470-1</f>
        <v>-0.814977702301424</v>
      </c>
      <c r="M1470" s="25" t="n">
        <f aca="false">IF(COUNT(G1441:G1470)&lt;20,"",_xlfn.STDEV.S(G1441:G1470)*SQRT($R$3))</f>
        <v>0.891081716829029</v>
      </c>
      <c r="N1470" s="25" t="n">
        <f aca="false">IF(A1470-7&lt;$R$2,"",C1470/INDEX(Clean_Data!$C$2:$C$4314,MATCH(A1470-7,Clean_Data!$A$2:$A$4314,1))-1)</f>
        <v>-0.0483109744126693</v>
      </c>
      <c r="O1470" s="25" t="n">
        <f aca="false">IF(A1470-30&lt;$R$2,"",C1470/INDEX(Clean_Data!$C$2:$C$4314,MATCH(A1470-30,Clean_Data!$A$2:$A$4314,1))-1)</f>
        <v>0.0598937683660619</v>
      </c>
    </row>
    <row r="1471" customFormat="false" ht="15" hidden="false" customHeight="false" outlineLevel="0" collapsed="false">
      <c r="A1471" s="16" t="n">
        <v>43477</v>
      </c>
      <c r="B1471" s="23" t="n">
        <f aca="false">YEAR(A1471)</f>
        <v>2019</v>
      </c>
      <c r="C1471" s="17" t="n">
        <v>3619.41</v>
      </c>
      <c r="D1471" s="23" t="n">
        <f aca="false">A1471-A1470</f>
        <v>1</v>
      </c>
      <c r="E1471" s="24" t="n">
        <f aca="false">LN(C1471)</f>
        <v>8.19406630811116</v>
      </c>
      <c r="F1471" s="25" t="n">
        <f aca="false">LN(C1471/C1470)</f>
        <v>-0.00448788502564158</v>
      </c>
      <c r="G1471" s="25" t="n">
        <f aca="false">IF(AND(D1471=1,A1471&gt;=$R$2),F1471,"")</f>
        <v>-0.00448788502564158</v>
      </c>
      <c r="H1471" s="27" t="n">
        <f aca="false">IF(G1471="","",G1471^2)</f>
        <v>2.01411120033779E-005</v>
      </c>
      <c r="I1471" s="25" t="n">
        <f aca="false">IF(G1471="","",C1471/C1470-1)</f>
        <v>-0.0044778295179182</v>
      </c>
      <c r="J1471" s="17" t="n">
        <f aca="false">AVERAGE(C1272:C1471)</f>
        <v>5844.2525</v>
      </c>
      <c r="K1471" s="17" t="n">
        <f aca="false">MAX(K1470,C1471)</f>
        <v>19650.01</v>
      </c>
      <c r="L1471" s="25" t="n">
        <f aca="false">C1471/K1471-1</f>
        <v>-0.815806200607532</v>
      </c>
      <c r="M1471" s="25" t="n">
        <f aca="false">IF(COUNT(G1442:G1471)&lt;20,"",_xlfn.STDEV.S(G1442:G1471)*SQRT($R$3))</f>
        <v>0.872104457554926</v>
      </c>
      <c r="N1471" s="25" t="n">
        <f aca="false">IF(A1471-7&lt;$R$2,"",C1471/INDEX(Clean_Data!$C$2:$C$4314,MATCH(A1471-7,Clean_Data!$A$2:$A$4314,1))-1)</f>
        <v>-0.0471776592552032</v>
      </c>
      <c r="O1471" s="25" t="n">
        <f aca="false">IF(A1471-30&lt;$R$2,"",C1471/INDEX(Clean_Data!$C$2:$C$4314,MATCH(A1471-30,Clean_Data!$A$2:$A$4314,1))-1)</f>
        <v>0.108548238897397</v>
      </c>
    </row>
    <row r="1472" customFormat="false" ht="15" hidden="false" customHeight="false" outlineLevel="0" collapsed="false">
      <c r="A1472" s="16" t="n">
        <v>43478</v>
      </c>
      <c r="B1472" s="23" t="n">
        <f aca="false">YEAR(A1472)</f>
        <v>2019</v>
      </c>
      <c r="C1472" s="17" t="n">
        <v>3514.24</v>
      </c>
      <c r="D1472" s="23" t="n">
        <f aca="false">A1472-A1471</f>
        <v>1</v>
      </c>
      <c r="E1472" s="24" t="n">
        <f aca="false">LN(C1472)</f>
        <v>8.16457856465045</v>
      </c>
      <c r="F1472" s="25" t="n">
        <f aca="false">LN(C1472/C1471)</f>
        <v>-0.0294877434607074</v>
      </c>
      <c r="G1472" s="25" t="n">
        <f aca="false">IF(AND(D1472=1,A1472&gt;=$R$2),F1472,"")</f>
        <v>-0.0294877434607074</v>
      </c>
      <c r="H1472" s="27" t="n">
        <f aca="false">IF(G1472="","",G1472^2)</f>
        <v>0.000869527014404495</v>
      </c>
      <c r="I1472" s="25" t="n">
        <f aca="false">IF(G1472="","",C1472/C1471-1)</f>
        <v>-0.0290572220334253</v>
      </c>
      <c r="J1472" s="17" t="n">
        <f aca="false">AVERAGE(C1273:C1472)</f>
        <v>5831.16285</v>
      </c>
      <c r="K1472" s="17" t="n">
        <f aca="false">MAX(K1471,C1472)</f>
        <v>19650.01</v>
      </c>
      <c r="L1472" s="25" t="n">
        <f aca="false">C1472/K1472-1</f>
        <v>-0.821158360733659</v>
      </c>
      <c r="M1472" s="25" t="n">
        <f aca="false">IF(COUNT(G1443:G1472)&lt;20,"",_xlfn.STDEV.S(G1443:G1472)*SQRT($R$3))</f>
        <v>0.875435261019194</v>
      </c>
      <c r="N1472" s="25" t="n">
        <f aca="false">IF(A1472-7&lt;$R$2,"",C1472/INDEX(Clean_Data!$C$2:$C$4314,MATCH(A1472-7,Clean_Data!$A$2:$A$4314,1))-1)</f>
        <v>-0.130351720741699</v>
      </c>
      <c r="O1472" s="25" t="n">
        <f aca="false">IF(A1472-30&lt;$R$2,"",C1472/INDEX(Clean_Data!$C$2:$C$4314,MATCH(A1472-30,Clean_Data!$A$2:$A$4314,1))-1)</f>
        <v>0.0996742507924686</v>
      </c>
    </row>
    <row r="1473" customFormat="false" ht="15" hidden="false" customHeight="false" outlineLevel="0" collapsed="false">
      <c r="A1473" s="16" t="n">
        <v>43479</v>
      </c>
      <c r="B1473" s="23" t="n">
        <f aca="false">YEAR(A1473)</f>
        <v>2019</v>
      </c>
      <c r="C1473" s="17" t="n">
        <v>3664.19</v>
      </c>
      <c r="D1473" s="23" t="n">
        <f aca="false">A1473-A1472</f>
        <v>1</v>
      </c>
      <c r="E1473" s="24" t="n">
        <f aca="false">LN(C1473)</f>
        <v>8.20636258034475</v>
      </c>
      <c r="F1473" s="25" t="n">
        <f aca="false">LN(C1473/C1472)</f>
        <v>0.0417840156942939</v>
      </c>
      <c r="G1473" s="25" t="n">
        <f aca="false">IF(AND(D1473=1,A1473&gt;=$R$2),F1473,"")</f>
        <v>0.0417840156942939</v>
      </c>
      <c r="H1473" s="27" t="n">
        <f aca="false">IF(G1473="","",G1473^2)</f>
        <v>0.001745903967541</v>
      </c>
      <c r="I1473" s="25" t="n">
        <f aca="false">IF(G1473="","",C1473/C1472-1)</f>
        <v>0.0426692542342015</v>
      </c>
      <c r="J1473" s="17" t="n">
        <f aca="false">AVERAGE(C1274:C1473)</f>
        <v>5820.2255</v>
      </c>
      <c r="K1473" s="17" t="n">
        <f aca="false">MAX(K1472,C1473)</f>
        <v>19650.01</v>
      </c>
      <c r="L1473" s="25" t="n">
        <f aca="false">C1473/K1473-1</f>
        <v>-0.813527321360142</v>
      </c>
      <c r="M1473" s="25" t="n">
        <f aca="false">IF(COUNT(G1444:G1473)&lt;20,"",_xlfn.STDEV.S(G1444:G1473)*SQRT($R$3))</f>
        <v>0.88523078465552</v>
      </c>
      <c r="N1473" s="25" t="n">
        <f aca="false">IF(A1473-7&lt;$R$2,"",C1473/INDEX(Clean_Data!$C$2:$C$4314,MATCH(A1473-7,Clean_Data!$A$2:$A$4314,1))-1)</f>
        <v>-0.0853267964882764</v>
      </c>
      <c r="O1473" s="25" t="n">
        <f aca="false">IF(A1473-30&lt;$R$2,"",C1473/INDEX(Clean_Data!$C$2:$C$4314,MATCH(A1473-30,Clean_Data!$A$2:$A$4314,1))-1)</f>
        <v>0.151174992145774</v>
      </c>
    </row>
    <row r="1474" customFormat="false" ht="15" hidden="false" customHeight="false" outlineLevel="0" collapsed="false">
      <c r="A1474" s="16" t="n">
        <v>43480</v>
      </c>
      <c r="B1474" s="23" t="n">
        <f aca="false">YEAR(A1474)</f>
        <v>2019</v>
      </c>
      <c r="C1474" s="17" t="n">
        <v>3580.76</v>
      </c>
      <c r="D1474" s="23" t="n">
        <f aca="false">A1474-A1473</f>
        <v>1</v>
      </c>
      <c r="E1474" s="24" t="n">
        <f aca="false">LN(C1474)</f>
        <v>8.1833303473671</v>
      </c>
      <c r="F1474" s="25" t="n">
        <f aca="false">LN(C1474/C1473)</f>
        <v>-0.0230322329776478</v>
      </c>
      <c r="G1474" s="25" t="n">
        <f aca="false">IF(AND(D1474=1,A1474&gt;=$R$2),F1474,"")</f>
        <v>-0.0230322329776478</v>
      </c>
      <c r="H1474" s="27" t="n">
        <f aca="false">IF(G1474="","",G1474^2)</f>
        <v>0.000530483755936645</v>
      </c>
      <c r="I1474" s="25" t="n">
        <f aca="false">IF(G1474="","",C1474/C1473-1)</f>
        <v>-0.0227690157988532</v>
      </c>
      <c r="J1474" s="17" t="n">
        <f aca="false">AVERAGE(C1275:C1474)</f>
        <v>5807.1175</v>
      </c>
      <c r="K1474" s="17" t="n">
        <f aca="false">MAX(K1473,C1474)</f>
        <v>19650.01</v>
      </c>
      <c r="L1474" s="25" t="n">
        <f aca="false">C1474/K1474-1</f>
        <v>-0.817773120726147</v>
      </c>
      <c r="M1474" s="25" t="n">
        <f aca="false">IF(COUNT(G1445:G1474)&lt;20,"",_xlfn.STDEV.S(G1445:G1474)*SQRT($R$3))</f>
        <v>0.890503313838108</v>
      </c>
      <c r="N1474" s="25" t="n">
        <f aca="false">IF(A1474-7&lt;$R$2,"",C1474/INDEX(Clean_Data!$C$2:$C$4314,MATCH(A1474-7,Clean_Data!$A$2:$A$4314,1))-1)</f>
        <v>-0.103433770838237</v>
      </c>
      <c r="O1474" s="25" t="n">
        <f aca="false">IF(A1474-30&lt;$R$2,"",C1474/INDEX(Clean_Data!$C$2:$C$4314,MATCH(A1474-30,Clean_Data!$A$2:$A$4314,1))-1)</f>
        <v>0.120738654147105</v>
      </c>
    </row>
    <row r="1475" customFormat="false" ht="15" hidden="false" customHeight="false" outlineLevel="0" collapsed="false">
      <c r="A1475" s="16" t="n">
        <v>43481</v>
      </c>
      <c r="B1475" s="23" t="n">
        <f aca="false">YEAR(A1475)</f>
        <v>2019</v>
      </c>
      <c r="C1475" s="17" t="n">
        <v>3609.71</v>
      </c>
      <c r="D1475" s="23" t="n">
        <f aca="false">A1475-A1474</f>
        <v>1</v>
      </c>
      <c r="E1475" s="24" t="n">
        <f aca="false">LN(C1475)</f>
        <v>8.19138271569013</v>
      </c>
      <c r="F1475" s="25" t="n">
        <f aca="false">LN(C1475/C1474)</f>
        <v>0.00805236832303421</v>
      </c>
      <c r="G1475" s="25" t="n">
        <f aca="false">IF(AND(D1475=1,A1475&gt;=$R$2),F1475,"")</f>
        <v>0.00805236832303421</v>
      </c>
      <c r="H1475" s="27" t="n">
        <f aca="false">IF(G1475="","",G1475^2)</f>
        <v>6.48406356098047E-005</v>
      </c>
      <c r="I1475" s="25" t="n">
        <f aca="false">IF(G1475="","",C1475/C1474-1)</f>
        <v>0.00808487583641449</v>
      </c>
      <c r="J1475" s="17" t="n">
        <f aca="false">AVERAGE(C1276:C1475)</f>
        <v>5793.2501</v>
      </c>
      <c r="K1475" s="17" t="n">
        <f aca="false">MAX(K1474,C1475)</f>
        <v>19650.01</v>
      </c>
      <c r="L1475" s="25" t="n">
        <f aca="false">C1475/K1475-1</f>
        <v>-0.816299839033161</v>
      </c>
      <c r="M1475" s="25" t="n">
        <f aca="false">IF(COUNT(G1446:G1475)&lt;20,"",_xlfn.STDEV.S(G1446:G1475)*SQRT($R$3))</f>
        <v>0.834437574974569</v>
      </c>
      <c r="N1475" s="25" t="n">
        <f aca="false">IF(A1475-7&lt;$R$2,"",C1475/INDEX(Clean_Data!$C$2:$C$4314,MATCH(A1475-7,Clean_Data!$A$2:$A$4314,1))-1)</f>
        <v>-0.0985010439247575</v>
      </c>
      <c r="O1475" s="25" t="n">
        <f aca="false">IF(A1475-30&lt;$R$2,"",C1475/INDEX(Clean_Data!$C$2:$C$4314,MATCH(A1475-30,Clean_Data!$A$2:$A$4314,1))-1)</f>
        <v>0.032283617686927</v>
      </c>
    </row>
    <row r="1476" customFormat="false" ht="15" hidden="false" customHeight="false" outlineLevel="0" collapsed="false">
      <c r="A1476" s="16" t="n">
        <v>43482</v>
      </c>
      <c r="B1476" s="23" t="n">
        <f aca="false">YEAR(A1476)</f>
        <v>2019</v>
      </c>
      <c r="C1476" s="17" t="n">
        <v>3640.65</v>
      </c>
      <c r="D1476" s="23" t="n">
        <f aca="false">A1476-A1475</f>
        <v>1</v>
      </c>
      <c r="E1476" s="24" t="n">
        <f aca="false">LN(C1476)</f>
        <v>8.19991751611738</v>
      </c>
      <c r="F1476" s="25" t="n">
        <f aca="false">LN(C1476/C1475)</f>
        <v>0.00853480042724454</v>
      </c>
      <c r="G1476" s="25" t="n">
        <f aca="false">IF(AND(D1476=1,A1476&gt;=$R$2),F1476,"")</f>
        <v>0.00853480042724454</v>
      </c>
      <c r="H1476" s="27" t="n">
        <f aca="false">IF(G1476="","",G1476^2)</f>
        <v>7.28428183328935E-005</v>
      </c>
      <c r="I1476" s="25" t="n">
        <f aca="false">IF(G1476="","",C1476/C1475-1)</f>
        <v>0.00857132567436159</v>
      </c>
      <c r="J1476" s="17" t="n">
        <f aca="false">AVERAGE(C1277:C1476)</f>
        <v>5779.70585</v>
      </c>
      <c r="K1476" s="17" t="n">
        <f aca="false">MAX(K1475,C1476)</f>
        <v>19650.01</v>
      </c>
      <c r="L1476" s="25" t="n">
        <f aca="false">C1476/K1476-1</f>
        <v>-0.814725285127081</v>
      </c>
      <c r="M1476" s="25" t="n">
        <f aca="false">IF(COUNT(G1447:G1476)&lt;20,"",_xlfn.STDEV.S(G1447:G1476)*SQRT($R$3))</f>
        <v>0.817881519841409</v>
      </c>
      <c r="N1476" s="25" t="n">
        <f aca="false">IF(A1476-7&lt;$R$2,"",C1476/INDEX(Clean_Data!$C$2:$C$4314,MATCH(A1476-7,Clean_Data!$A$2:$A$4314,1))-1)</f>
        <v>0.00400703782555456</v>
      </c>
      <c r="O1476" s="25" t="n">
        <f aca="false">IF(A1476-30&lt;$R$2,"",C1476/INDEX(Clean_Data!$C$2:$C$4314,MATCH(A1476-30,Clean_Data!$A$2:$A$4314,1))-1)</f>
        <v>-0.00739413867281746</v>
      </c>
    </row>
    <row r="1477" customFormat="false" ht="15" hidden="false" customHeight="false" outlineLevel="0" collapsed="false">
      <c r="A1477" s="16" t="n">
        <v>43483</v>
      </c>
      <c r="B1477" s="23" t="n">
        <f aca="false">YEAR(A1477)</f>
        <v>2019</v>
      </c>
      <c r="C1477" s="17" t="n">
        <v>3607.85</v>
      </c>
      <c r="D1477" s="23" t="n">
        <f aca="false">A1477-A1476</f>
        <v>1</v>
      </c>
      <c r="E1477" s="24" t="n">
        <f aca="false">LN(C1477)</f>
        <v>8.1908673060389</v>
      </c>
      <c r="F1477" s="25" t="n">
        <f aca="false">LN(C1477/C1476)</f>
        <v>-0.00905021007847723</v>
      </c>
      <c r="G1477" s="25" t="n">
        <f aca="false">IF(AND(D1477=1,A1477&gt;=$R$2),F1477,"")</f>
        <v>-0.00905021007847723</v>
      </c>
      <c r="H1477" s="27" t="n">
        <f aca="false">IF(G1477="","",G1477^2)</f>
        <v>8.19063024645709E-005</v>
      </c>
      <c r="I1477" s="25" t="n">
        <f aca="false">IF(G1477="","",C1477/C1476-1)</f>
        <v>-0.00900938019309738</v>
      </c>
      <c r="J1477" s="17" t="n">
        <f aca="false">AVERAGE(C1278:C1477)</f>
        <v>5764.68615</v>
      </c>
      <c r="K1477" s="17" t="n">
        <f aca="false">MAX(K1476,C1477)</f>
        <v>19650.01</v>
      </c>
      <c r="L1477" s="25" t="n">
        <f aca="false">C1477/K1477-1</f>
        <v>-0.816394495473539</v>
      </c>
      <c r="M1477" s="25" t="n">
        <f aca="false">IF(COUNT(G1448:G1477)&lt;20,"",_xlfn.STDEV.S(G1448:G1477)*SQRT($R$3))</f>
        <v>0.818294387630515</v>
      </c>
      <c r="N1477" s="25" t="n">
        <f aca="false">IF(A1477-7&lt;$R$2,"",C1477/INDEX(Clean_Data!$C$2:$C$4314,MATCH(A1477-7,Clean_Data!$A$2:$A$4314,1))-1)</f>
        <v>-0.00765741853678403</v>
      </c>
      <c r="O1477" s="25" t="n">
        <f aca="false">IF(A1477-30&lt;$R$2,"",C1477/INDEX(Clean_Data!$C$2:$C$4314,MATCH(A1477-30,Clean_Data!$A$2:$A$4314,1))-1)</f>
        <v>-0.0202742151413031</v>
      </c>
    </row>
    <row r="1478" customFormat="false" ht="15" hidden="false" customHeight="false" outlineLevel="0" collapsed="false">
      <c r="A1478" s="16" t="n">
        <v>43484</v>
      </c>
      <c r="B1478" s="23" t="n">
        <f aca="false">YEAR(A1478)</f>
        <v>2019</v>
      </c>
      <c r="C1478" s="17" t="n">
        <v>3682.65</v>
      </c>
      <c r="D1478" s="23" t="n">
        <f aca="false">A1478-A1477</f>
        <v>1</v>
      </c>
      <c r="E1478" s="24" t="n">
        <f aca="false">LN(C1478)</f>
        <v>8.21138788070477</v>
      </c>
      <c r="F1478" s="25" t="n">
        <f aca="false">LN(C1478/C1477)</f>
        <v>0.0205205746658665</v>
      </c>
      <c r="G1478" s="25" t="n">
        <f aca="false">IF(AND(D1478=1,A1478&gt;=$R$2),F1478,"")</f>
        <v>0.0205205746658665</v>
      </c>
      <c r="H1478" s="27" t="n">
        <f aca="false">IF(G1478="","",G1478^2)</f>
        <v>0.000421093984617403</v>
      </c>
      <c r="I1478" s="25" t="n">
        <f aca="false">IF(G1478="","",C1478/C1477-1)</f>
        <v>0.0207325692586999</v>
      </c>
      <c r="J1478" s="17" t="n">
        <f aca="false">AVERAGE(C1279:C1478)</f>
        <v>5750.5863</v>
      </c>
      <c r="K1478" s="17" t="n">
        <f aca="false">MAX(K1477,C1478)</f>
        <v>19650.01</v>
      </c>
      <c r="L1478" s="25" t="n">
        <f aca="false">C1478/K1478-1</f>
        <v>-0.812587881634666</v>
      </c>
      <c r="M1478" s="25" t="n">
        <f aca="false">IF(COUNT(G1449:G1478)&lt;20,"",_xlfn.STDEV.S(G1449:G1478)*SQRT($R$3))</f>
        <v>0.735844349159739</v>
      </c>
      <c r="N1478" s="25" t="n">
        <f aca="false">IF(A1478-7&lt;$R$2,"",C1478/INDEX(Clean_Data!$C$2:$C$4314,MATCH(A1478-7,Clean_Data!$A$2:$A$4314,1))-1)</f>
        <v>0.0174724609812098</v>
      </c>
      <c r="O1478" s="25" t="n">
        <f aca="false">IF(A1478-30&lt;$R$2,"",C1478/INDEX(Clean_Data!$C$2:$C$4314,MATCH(A1478-30,Clean_Data!$A$2:$A$4314,1))-1)</f>
        <v>-0.0963576045188868</v>
      </c>
    </row>
    <row r="1479" customFormat="false" ht="15" hidden="false" customHeight="false" outlineLevel="0" collapsed="false">
      <c r="A1479" s="16" t="n">
        <v>43485</v>
      </c>
      <c r="B1479" s="23" t="n">
        <f aca="false">YEAR(A1479)</f>
        <v>2019</v>
      </c>
      <c r="C1479" s="17" t="n">
        <v>3536.19</v>
      </c>
      <c r="D1479" s="23" t="n">
        <f aca="false">A1479-A1478</f>
        <v>1</v>
      </c>
      <c r="E1479" s="24" t="n">
        <f aca="false">LN(C1479)</f>
        <v>8.17080515534564</v>
      </c>
      <c r="F1479" s="25" t="n">
        <f aca="false">LN(C1479/C1478)</f>
        <v>-0.0405827253591265</v>
      </c>
      <c r="G1479" s="25" t="n">
        <f aca="false">IF(AND(D1479=1,A1479&gt;=$R$2),F1479,"")</f>
        <v>-0.0405827253591265</v>
      </c>
      <c r="H1479" s="27" t="n">
        <f aca="false">IF(G1479="","",G1479^2)</f>
        <v>0.00164695759757429</v>
      </c>
      <c r="I1479" s="25" t="n">
        <f aca="false">IF(G1479="","",C1479/C1478-1)</f>
        <v>-0.0397702741232536</v>
      </c>
      <c r="J1479" s="17" t="n">
        <f aca="false">AVERAGE(C1280:C1479)</f>
        <v>5735.3299</v>
      </c>
      <c r="K1479" s="17" t="n">
        <f aca="false">MAX(K1478,C1479)</f>
        <v>19650.01</v>
      </c>
      <c r="L1479" s="25" t="n">
        <f aca="false">C1479/K1479-1</f>
        <v>-0.820041312956075</v>
      </c>
      <c r="M1479" s="25" t="n">
        <f aca="false">IF(COUNT(G1450:G1479)&lt;20,"",_xlfn.STDEV.S(G1450:G1479)*SQRT($R$3))</f>
        <v>0.720257764207291</v>
      </c>
      <c r="N1479" s="25" t="n">
        <f aca="false">IF(A1479-7&lt;$R$2,"",C1479/INDEX(Clean_Data!$C$2:$C$4314,MATCH(A1479-7,Clean_Data!$A$2:$A$4314,1))-1)</f>
        <v>0.00624601620834109</v>
      </c>
      <c r="O1479" s="25" t="n">
        <f aca="false">IF(A1479-30&lt;$R$2,"",C1479/INDEX(Clean_Data!$C$2:$C$4314,MATCH(A1479-30,Clean_Data!$A$2:$A$4314,1))-1)</f>
        <v>-0.078891707865988</v>
      </c>
    </row>
    <row r="1480" customFormat="false" ht="15" hidden="false" customHeight="false" outlineLevel="0" collapsed="false">
      <c r="A1480" s="16" t="n">
        <v>43486</v>
      </c>
      <c r="B1480" s="23" t="n">
        <f aca="false">YEAR(A1480)</f>
        <v>2019</v>
      </c>
      <c r="C1480" s="17" t="n">
        <v>3531.76</v>
      </c>
      <c r="D1480" s="23" t="n">
        <f aca="false">A1480-A1479</f>
        <v>1</v>
      </c>
      <c r="E1480" s="24" t="n">
        <f aca="false">LN(C1480)</f>
        <v>8.16955160924526</v>
      </c>
      <c r="F1480" s="25" t="n">
        <f aca="false">LN(C1480/C1479)</f>
        <v>-0.00125354610038273</v>
      </c>
      <c r="G1480" s="25" t="n">
        <f aca="false">IF(AND(D1480=1,A1480&gt;=$R$2),F1480,"")</f>
        <v>-0.00125354610038273</v>
      </c>
      <c r="H1480" s="27" t="n">
        <f aca="false">IF(G1480="","",G1480^2)</f>
        <v>1.57137782578475E-006</v>
      </c>
      <c r="I1480" s="25" t="n">
        <f aca="false">IF(G1480="","",C1480/C1479-1)</f>
        <v>-0.00125276073966607</v>
      </c>
      <c r="J1480" s="17" t="n">
        <f aca="false">AVERAGE(C1281:C1480)</f>
        <v>5720.32395</v>
      </c>
      <c r="K1480" s="17" t="n">
        <f aca="false">MAX(K1479,C1480)</f>
        <v>19650.01</v>
      </c>
      <c r="L1480" s="25" t="n">
        <f aca="false">C1480/K1480-1</f>
        <v>-0.820266758133965</v>
      </c>
      <c r="M1480" s="25" t="n">
        <f aca="false">IF(COUNT(G1451:G1480)&lt;20,"",_xlfn.STDEV.S(G1451:G1480)*SQRT($R$3))</f>
        <v>0.706510418436476</v>
      </c>
      <c r="N1480" s="25" t="n">
        <f aca="false">IF(A1480-7&lt;$R$2,"",C1480/INDEX(Clean_Data!$C$2:$C$4314,MATCH(A1480-7,Clean_Data!$A$2:$A$4314,1))-1)</f>
        <v>-0.0361416847925462</v>
      </c>
      <c r="O1480" s="25" t="n">
        <f aca="false">IF(A1480-30&lt;$R$2,"",C1480/INDEX(Clean_Data!$C$2:$C$4314,MATCH(A1480-30,Clean_Data!$A$2:$A$4314,1))-1)</f>
        <v>-0.112725664872904</v>
      </c>
    </row>
    <row r="1481" customFormat="false" ht="15" hidden="false" customHeight="false" outlineLevel="0" collapsed="false">
      <c r="A1481" s="16" t="n">
        <v>43487</v>
      </c>
      <c r="B1481" s="23" t="n">
        <f aca="false">YEAR(A1481)</f>
        <v>2019</v>
      </c>
      <c r="C1481" s="17" t="n">
        <v>3577.03</v>
      </c>
      <c r="D1481" s="23" t="n">
        <f aca="false">A1481-A1480</f>
        <v>1</v>
      </c>
      <c r="E1481" s="24" t="n">
        <f aca="false">LN(C1481)</f>
        <v>8.18228812614026</v>
      </c>
      <c r="F1481" s="25" t="n">
        <f aca="false">LN(C1481/C1480)</f>
        <v>0.0127365168950004</v>
      </c>
      <c r="G1481" s="25" t="n">
        <f aca="false">IF(AND(D1481=1,A1481&gt;=$R$2),F1481,"")</f>
        <v>0.0127365168950004</v>
      </c>
      <c r="H1481" s="27" t="n">
        <f aca="false">IF(G1481="","",G1481^2)</f>
        <v>0.00016221886261663</v>
      </c>
      <c r="I1481" s="25" t="n">
        <f aca="false">IF(G1481="","",C1481/C1480-1)</f>
        <v>0.0128179717761117</v>
      </c>
      <c r="J1481" s="17" t="n">
        <f aca="false">AVERAGE(C1282:C1481)</f>
        <v>5705.2091</v>
      </c>
      <c r="K1481" s="17" t="n">
        <f aca="false">MAX(K1480,C1481)</f>
        <v>19650.01</v>
      </c>
      <c r="L1481" s="25" t="n">
        <f aca="false">C1481/K1481-1</f>
        <v>-0.817962942512498</v>
      </c>
      <c r="M1481" s="25" t="n">
        <f aca="false">IF(COUNT(G1452:G1481)&lt;20,"",_xlfn.STDEV.S(G1452:G1481)*SQRT($R$3))</f>
        <v>0.708637581662895</v>
      </c>
      <c r="N1481" s="25" t="n">
        <f aca="false">IF(A1481-7&lt;$R$2,"",C1481/INDEX(Clean_Data!$C$2:$C$4314,MATCH(A1481-7,Clean_Data!$A$2:$A$4314,1))-1)</f>
        <v>-0.00104167830293012</v>
      </c>
      <c r="O1481" s="25" t="n">
        <f aca="false">IF(A1481-30&lt;$R$2,"",C1481/INDEX(Clean_Data!$C$2:$C$4314,MATCH(A1481-30,Clean_Data!$A$2:$A$4314,1))-1)</f>
        <v>-0.0932589424907412</v>
      </c>
    </row>
    <row r="1482" customFormat="false" ht="15" hidden="false" customHeight="false" outlineLevel="0" collapsed="false">
      <c r="A1482" s="16" t="n">
        <v>43488</v>
      </c>
      <c r="B1482" s="23" t="n">
        <f aca="false">YEAR(A1482)</f>
        <v>2019</v>
      </c>
      <c r="C1482" s="17" t="n">
        <v>3553.01</v>
      </c>
      <c r="D1482" s="23" t="n">
        <f aca="false">A1482-A1481</f>
        <v>1</v>
      </c>
      <c r="E1482" s="24" t="n">
        <f aca="false">LN(C1482)</f>
        <v>8.17555041054001</v>
      </c>
      <c r="F1482" s="25" t="n">
        <f aca="false">LN(C1482/C1481)</f>
        <v>-0.00673771560025346</v>
      </c>
      <c r="G1482" s="25" t="n">
        <f aca="false">IF(AND(D1482=1,A1482&gt;=$R$2),F1482,"")</f>
        <v>-0.00673771560025346</v>
      </c>
      <c r="H1482" s="27" t="n">
        <f aca="false">IF(G1482="","",G1482^2)</f>
        <v>4.53968115098988E-005</v>
      </c>
      <c r="I1482" s="25" t="n">
        <f aca="false">IF(G1482="","",C1482/C1481-1)</f>
        <v>-0.00671506808721201</v>
      </c>
      <c r="J1482" s="17" t="n">
        <f aca="false">AVERAGE(C1283:C1482)</f>
        <v>5689.20775</v>
      </c>
      <c r="K1482" s="17" t="n">
        <f aca="false">MAX(K1481,C1482)</f>
        <v>19650.01</v>
      </c>
      <c r="L1482" s="25" t="n">
        <f aca="false">C1482/K1482-1</f>
        <v>-0.819185333747922</v>
      </c>
      <c r="M1482" s="25" t="n">
        <f aca="false">IF(COUNT(G1453:G1482)&lt;20,"",_xlfn.STDEV.S(G1453:G1482)*SQRT($R$3))</f>
        <v>0.702653800083444</v>
      </c>
      <c r="N1482" s="25" t="n">
        <f aca="false">IF(A1482-7&lt;$R$2,"",C1482/INDEX(Clean_Data!$C$2:$C$4314,MATCH(A1482-7,Clean_Data!$A$2:$A$4314,1))-1)</f>
        <v>-0.0157076330231514</v>
      </c>
      <c r="O1482" s="25" t="n">
        <f aca="false">IF(A1482-30&lt;$R$2,"",C1482/INDEX(Clean_Data!$C$2:$C$4314,MATCH(A1482-30,Clean_Data!$A$2:$A$4314,1))-1)</f>
        <v>-0.119234010907288</v>
      </c>
    </row>
    <row r="1483" customFormat="false" ht="15" hidden="false" customHeight="false" outlineLevel="0" collapsed="false">
      <c r="A1483" s="16" t="n">
        <v>43489</v>
      </c>
      <c r="B1483" s="23" t="n">
        <f aca="false">YEAR(A1483)</f>
        <v>2019</v>
      </c>
      <c r="C1483" s="17" t="n">
        <v>3568.97</v>
      </c>
      <c r="D1483" s="23" t="n">
        <f aca="false">A1483-A1482</f>
        <v>1</v>
      </c>
      <c r="E1483" s="24" t="n">
        <f aca="false">LN(C1483)</f>
        <v>8.18003231773895</v>
      </c>
      <c r="F1483" s="25" t="n">
        <f aca="false">LN(C1483/C1482)</f>
        <v>0.0044819071989405</v>
      </c>
      <c r="G1483" s="25" t="n">
        <f aca="false">IF(AND(D1483=1,A1483&gt;=$R$2),F1483,"")</f>
        <v>0.0044819071989405</v>
      </c>
      <c r="H1483" s="27" t="n">
        <f aca="false">IF(G1483="","",G1483^2)</f>
        <v>2.00874921399147E-005</v>
      </c>
      <c r="I1483" s="25" t="n">
        <f aca="false">IF(G1483="","",C1483/C1482-1)</f>
        <v>0.00449196596688428</v>
      </c>
      <c r="J1483" s="17" t="n">
        <f aca="false">AVERAGE(C1284:C1483)</f>
        <v>5673.54275</v>
      </c>
      <c r="K1483" s="17" t="n">
        <f aca="false">MAX(K1482,C1483)</f>
        <v>19650.01</v>
      </c>
      <c r="L1483" s="25" t="n">
        <f aca="false">C1483/K1483-1</f>
        <v>-0.818373120420804</v>
      </c>
      <c r="M1483" s="25" t="n">
        <f aca="false">IF(COUNT(G1454:G1483)&lt;20,"",_xlfn.STDEV.S(G1454:G1483)*SQRT($R$3))</f>
        <v>0.667922467024154</v>
      </c>
      <c r="N1483" s="25" t="n">
        <f aca="false">IF(A1483-7&lt;$R$2,"",C1483/INDEX(Clean_Data!$C$2:$C$4314,MATCH(A1483-7,Clean_Data!$A$2:$A$4314,1))-1)</f>
        <v>-0.0196887918366226</v>
      </c>
      <c r="O1483" s="25" t="n">
        <f aca="false">IF(A1483-30&lt;$R$2,"",C1483/INDEX(Clean_Data!$C$2:$C$4314,MATCH(A1483-30,Clean_Data!$A$2:$A$4314,1))-1)</f>
        <v>-0.0558280423280424</v>
      </c>
    </row>
    <row r="1484" customFormat="false" ht="15" hidden="false" customHeight="false" outlineLevel="0" collapsed="false">
      <c r="A1484" s="16" t="n">
        <v>43490</v>
      </c>
      <c r="B1484" s="23" t="n">
        <f aca="false">YEAR(A1484)</f>
        <v>2019</v>
      </c>
      <c r="C1484" s="17" t="n">
        <v>3562.17</v>
      </c>
      <c r="D1484" s="23" t="n">
        <f aca="false">A1484-A1483</f>
        <v>1</v>
      </c>
      <c r="E1484" s="24" t="n">
        <f aca="false">LN(C1484)</f>
        <v>8.17812518870739</v>
      </c>
      <c r="F1484" s="25" t="n">
        <f aca="false">LN(C1484/C1483)</f>
        <v>-0.00190712903155633</v>
      </c>
      <c r="G1484" s="25" t="n">
        <f aca="false">IF(AND(D1484=1,A1484&gt;=$R$2),F1484,"")</f>
        <v>-0.00190712903155633</v>
      </c>
      <c r="H1484" s="27" t="n">
        <f aca="false">IF(G1484="","",G1484^2)</f>
        <v>3.63714114300498E-006</v>
      </c>
      <c r="I1484" s="25" t="n">
        <f aca="false">IF(G1484="","",C1484/C1483-1)</f>
        <v>-0.00190531161651675</v>
      </c>
      <c r="J1484" s="17" t="n">
        <f aca="false">AVERAGE(C1285:C1484)</f>
        <v>5658.03355</v>
      </c>
      <c r="K1484" s="17" t="n">
        <f aca="false">MAX(K1483,C1484)</f>
        <v>19650.01</v>
      </c>
      <c r="L1484" s="25" t="n">
        <f aca="false">C1484/K1484-1</f>
        <v>-0.818719176224338</v>
      </c>
      <c r="M1484" s="25" t="n">
        <f aca="false">IF(COUNT(G1455:G1484)&lt;20,"",_xlfn.STDEV.S(G1455:G1484)*SQRT($R$3))</f>
        <v>0.666988998003033</v>
      </c>
      <c r="N1484" s="25" t="n">
        <f aca="false">IF(A1484-7&lt;$R$2,"",C1484/INDEX(Clean_Data!$C$2:$C$4314,MATCH(A1484-7,Clean_Data!$A$2:$A$4314,1))-1)</f>
        <v>-0.012661280263869</v>
      </c>
      <c r="O1484" s="25" t="n">
        <f aca="false">IF(A1484-30&lt;$R$2,"",C1484/INDEX(Clean_Data!$C$2:$C$4314,MATCH(A1484-30,Clean_Data!$A$2:$A$4314,1))-1)</f>
        <v>-0.0650177958360894</v>
      </c>
    </row>
    <row r="1485" customFormat="false" ht="15" hidden="false" customHeight="false" outlineLevel="0" collapsed="false">
      <c r="A1485" s="16" t="n">
        <v>43491</v>
      </c>
      <c r="B1485" s="23" t="n">
        <f aca="false">YEAR(A1485)</f>
        <v>2019</v>
      </c>
      <c r="C1485" s="17" t="n">
        <v>3556.07</v>
      </c>
      <c r="D1485" s="23" t="n">
        <f aca="false">A1485-A1484</f>
        <v>1</v>
      </c>
      <c r="E1485" s="24" t="n">
        <f aca="false">LN(C1485)</f>
        <v>8.17641128147942</v>
      </c>
      <c r="F1485" s="25" t="n">
        <f aca="false">LN(C1485/C1484)</f>
        <v>-0.00171390722797147</v>
      </c>
      <c r="G1485" s="25" t="n">
        <f aca="false">IF(AND(D1485=1,A1485&gt;=$R$2),F1485,"")</f>
        <v>-0.00171390722797147</v>
      </c>
      <c r="H1485" s="27" t="n">
        <f aca="false">IF(G1485="","",G1485^2)</f>
        <v>2.93747798609286E-006</v>
      </c>
      <c r="I1485" s="25" t="n">
        <f aca="false">IF(G1485="","",C1485/C1484-1)</f>
        <v>-0.00171243932771314</v>
      </c>
      <c r="J1485" s="17" t="n">
        <f aca="false">AVERAGE(C1286:C1485)</f>
        <v>5644.2954</v>
      </c>
      <c r="K1485" s="17" t="n">
        <f aca="false">MAX(K1484,C1485)</f>
        <v>19650.01</v>
      </c>
      <c r="L1485" s="25" t="n">
        <f aca="false">C1485/K1485-1</f>
        <v>-0.819029608636332</v>
      </c>
      <c r="M1485" s="25" t="n">
        <f aca="false">IF(COUNT(G1456:G1485)&lt;20,"",_xlfn.STDEV.S(G1456:G1485)*SQRT($R$3))</f>
        <v>0.634229668718617</v>
      </c>
      <c r="N1485" s="25" t="n">
        <f aca="false">IF(A1485-7&lt;$R$2,"",C1485/INDEX(Clean_Data!$C$2:$C$4314,MATCH(A1485-7,Clean_Data!$A$2:$A$4314,1))-1)</f>
        <v>-0.0343719875633036</v>
      </c>
      <c r="O1485" s="25" t="n">
        <f aca="false">IF(A1485-30&lt;$R$2,"",C1485/INDEX(Clean_Data!$C$2:$C$4314,MATCH(A1485-30,Clean_Data!$A$2:$A$4314,1))-1)</f>
        <v>-0.00942090147608976</v>
      </c>
    </row>
    <row r="1486" customFormat="false" ht="15" hidden="false" customHeight="false" outlineLevel="0" collapsed="false">
      <c r="A1486" s="16" t="n">
        <v>43492</v>
      </c>
      <c r="B1486" s="23" t="n">
        <f aca="false">YEAR(A1486)</f>
        <v>2019</v>
      </c>
      <c r="C1486" s="17" t="n">
        <v>3531.02</v>
      </c>
      <c r="D1486" s="23" t="n">
        <f aca="false">A1486-A1485</f>
        <v>1</v>
      </c>
      <c r="E1486" s="24" t="n">
        <f aca="false">LN(C1486)</f>
        <v>8.16934206003016</v>
      </c>
      <c r="F1486" s="25" t="n">
        <f aca="false">LN(C1486/C1485)</f>
        <v>-0.00706922144925849</v>
      </c>
      <c r="G1486" s="25" t="n">
        <f aca="false">IF(AND(D1486=1,A1486&gt;=$R$2),F1486,"")</f>
        <v>-0.00706922144925849</v>
      </c>
      <c r="H1486" s="27" t="n">
        <f aca="false">IF(G1486="","",G1486^2)</f>
        <v>4.99738918986563E-005</v>
      </c>
      <c r="I1486" s="25" t="n">
        <f aca="false">IF(G1486="","",C1486/C1485-1)</f>
        <v>-0.00704429327881628</v>
      </c>
      <c r="J1486" s="17" t="n">
        <f aca="false">AVERAGE(C1287:C1486)</f>
        <v>5630.0003</v>
      </c>
      <c r="K1486" s="17" t="n">
        <f aca="false">MAX(K1485,C1486)</f>
        <v>19650.01</v>
      </c>
      <c r="L1486" s="25" t="n">
        <f aca="false">C1486/K1486-1</f>
        <v>-0.820304417147879</v>
      </c>
      <c r="M1486" s="25" t="n">
        <f aca="false">IF(COUNT(G1457:G1486)&lt;20,"",_xlfn.STDEV.S(G1457:G1486)*SQRT($R$3))</f>
        <v>0.564707330564128</v>
      </c>
      <c r="N1486" s="25" t="n">
        <f aca="false">IF(A1486-7&lt;$R$2,"",C1486/INDEX(Clean_Data!$C$2:$C$4314,MATCH(A1486-7,Clean_Data!$A$2:$A$4314,1))-1)</f>
        <v>-0.00146202551333496</v>
      </c>
      <c r="O1486" s="25" t="n">
        <f aca="false">IF(A1486-30&lt;$R$2,"",C1486/INDEX(Clean_Data!$C$2:$C$4314,MATCH(A1486-30,Clean_Data!$A$2:$A$4314,1))-1)</f>
        <v>-0.0918298585927172</v>
      </c>
    </row>
    <row r="1487" customFormat="false" ht="15" hidden="false" customHeight="false" outlineLevel="0" collapsed="false">
      <c r="A1487" s="16" t="n">
        <v>43493</v>
      </c>
      <c r="B1487" s="23" t="n">
        <f aca="false">YEAR(A1487)</f>
        <v>2019</v>
      </c>
      <c r="C1487" s="17" t="n">
        <v>3429.95</v>
      </c>
      <c r="D1487" s="23" t="n">
        <f aca="false">A1487-A1486</f>
        <v>1</v>
      </c>
      <c r="E1487" s="24" t="n">
        <f aca="false">LN(C1487)</f>
        <v>8.14030096279426</v>
      </c>
      <c r="F1487" s="25" t="n">
        <f aca="false">LN(C1487/C1486)</f>
        <v>-0.0290410972358979</v>
      </c>
      <c r="G1487" s="25" t="n">
        <f aca="false">IF(AND(D1487=1,A1487&gt;=$R$2),F1487,"")</f>
        <v>-0.0290410972358979</v>
      </c>
      <c r="H1487" s="27" t="n">
        <f aca="false">IF(G1487="","",G1487^2)</f>
        <v>0.000843385328664878</v>
      </c>
      <c r="I1487" s="25" t="n">
        <f aca="false">IF(G1487="","",C1487/C1486-1)</f>
        <v>-0.0286234572446489</v>
      </c>
      <c r="J1487" s="17" t="n">
        <f aca="false">AVERAGE(C1288:C1487)</f>
        <v>5615.9013</v>
      </c>
      <c r="K1487" s="17" t="n">
        <f aca="false">MAX(K1486,C1487)</f>
        <v>19650.01</v>
      </c>
      <c r="L1487" s="25" t="n">
        <f aca="false">C1487/K1487-1</f>
        <v>-0.825447925980699</v>
      </c>
      <c r="M1487" s="25" t="n">
        <f aca="false">IF(COUNT(G1458:G1487)&lt;20,"",_xlfn.STDEV.S(G1458:G1487)*SQRT($R$3))</f>
        <v>0.555510494131724</v>
      </c>
      <c r="N1487" s="25" t="n">
        <f aca="false">IF(A1487-7&lt;$R$2,"",C1487/INDEX(Clean_Data!$C$2:$C$4314,MATCH(A1487-7,Clean_Data!$A$2:$A$4314,1))-1)</f>
        <v>-0.0288269871112421</v>
      </c>
      <c r="O1487" s="25" t="n">
        <f aca="false">IF(A1487-30&lt;$R$2,"",C1487/INDEX(Clean_Data!$C$2:$C$4314,MATCH(A1487-30,Clean_Data!$A$2:$A$4314,1))-1)</f>
        <v>-0.0802722219391792</v>
      </c>
    </row>
    <row r="1488" customFormat="false" ht="15" hidden="false" customHeight="false" outlineLevel="0" collapsed="false">
      <c r="A1488" s="16" t="n">
        <v>43494</v>
      </c>
      <c r="B1488" s="23" t="n">
        <f aca="false">YEAR(A1488)</f>
        <v>2019</v>
      </c>
      <c r="C1488" s="17" t="n">
        <v>3397.42</v>
      </c>
      <c r="D1488" s="23" t="n">
        <f aca="false">A1488-A1487</f>
        <v>1</v>
      </c>
      <c r="E1488" s="24" t="n">
        <f aca="false">LN(C1488)</f>
        <v>8.13077159902254</v>
      </c>
      <c r="F1488" s="25" t="n">
        <f aca="false">LN(C1488/C1487)</f>
        <v>-0.0095293637717242</v>
      </c>
      <c r="G1488" s="25" t="n">
        <f aca="false">IF(AND(D1488=1,A1488&gt;=$R$2),F1488,"")</f>
        <v>-0.0095293637717242</v>
      </c>
      <c r="H1488" s="27" t="n">
        <f aca="false">IF(G1488="","",G1488^2)</f>
        <v>9.08087738938497E-005</v>
      </c>
      <c r="I1488" s="25" t="n">
        <f aca="false">IF(G1488="","",C1488/C1487-1)</f>
        <v>-0.00948410326681137</v>
      </c>
      <c r="J1488" s="17" t="n">
        <f aca="false">AVERAGE(C1289:C1488)</f>
        <v>5601.80695</v>
      </c>
      <c r="K1488" s="17" t="n">
        <f aca="false">MAX(K1487,C1488)</f>
        <v>19650.01</v>
      </c>
      <c r="L1488" s="25" t="n">
        <f aca="false">C1488/K1488-1</f>
        <v>-0.827103395876135</v>
      </c>
      <c r="M1488" s="25" t="n">
        <f aca="false">IF(COUNT(G1459:G1488)&lt;20,"",_xlfn.STDEV.S(G1459:G1488)*SQRT($R$3))</f>
        <v>0.545814480487657</v>
      </c>
      <c r="N1488" s="25" t="n">
        <f aca="false">IF(A1488-7&lt;$R$2,"",C1488/INDEX(Clean_Data!$C$2:$C$4314,MATCH(A1488-7,Clean_Data!$A$2:$A$4314,1))-1)</f>
        <v>-0.050212047424819</v>
      </c>
      <c r="O1488" s="25" t="n">
        <f aca="false">IF(A1488-30&lt;$R$2,"",C1488/INDEX(Clean_Data!$C$2:$C$4314,MATCH(A1488-30,Clean_Data!$A$2:$A$4314,1))-1)</f>
        <v>-0.112713502219901</v>
      </c>
    </row>
    <row r="1489" customFormat="false" ht="15" hidden="false" customHeight="false" outlineLevel="0" collapsed="false">
      <c r="A1489" s="16" t="n">
        <v>43495</v>
      </c>
      <c r="B1489" s="23" t="n">
        <f aca="false">YEAR(A1489)</f>
        <v>2019</v>
      </c>
      <c r="C1489" s="17" t="n">
        <v>3437.55</v>
      </c>
      <c r="D1489" s="23" t="n">
        <f aca="false">A1489-A1488</f>
        <v>1</v>
      </c>
      <c r="E1489" s="24" t="n">
        <f aca="false">LN(C1489)</f>
        <v>8.14251428732359</v>
      </c>
      <c r="F1489" s="25" t="n">
        <f aca="false">LN(C1489/C1488)</f>
        <v>0.0117426883010513</v>
      </c>
      <c r="G1489" s="25" t="n">
        <f aca="false">IF(AND(D1489=1,A1489&gt;=$R$2),F1489,"")</f>
        <v>0.0117426883010513</v>
      </c>
      <c r="H1489" s="27" t="n">
        <f aca="false">IF(G1489="","",G1489^2)</f>
        <v>0.000137890728535648</v>
      </c>
      <c r="I1489" s="25" t="n">
        <f aca="false">IF(G1489="","",C1489/C1488-1)</f>
        <v>0.0118119043274014</v>
      </c>
      <c r="J1489" s="17" t="n">
        <f aca="false">AVERAGE(C1290:C1489)</f>
        <v>5587.75145</v>
      </c>
      <c r="K1489" s="17" t="n">
        <f aca="false">MAX(K1488,C1489)</f>
        <v>19650.01</v>
      </c>
      <c r="L1489" s="25" t="n">
        <f aca="false">C1489/K1489-1</f>
        <v>-0.825061157729691</v>
      </c>
      <c r="M1489" s="25" t="n">
        <f aca="false">IF(COUNT(G1460:G1489)&lt;20,"",_xlfn.STDEV.S(G1460:G1489)*SQRT($R$3))</f>
        <v>0.535507567273176</v>
      </c>
      <c r="N1489" s="25" t="n">
        <f aca="false">IF(A1489-7&lt;$R$2,"",C1489/INDEX(Clean_Data!$C$2:$C$4314,MATCH(A1489-7,Clean_Data!$A$2:$A$4314,1))-1)</f>
        <v>-0.0324963903844909</v>
      </c>
      <c r="O1489" s="25" t="n">
        <f aca="false">IF(A1489-30&lt;$R$2,"",C1489/INDEX(Clean_Data!$C$2:$C$4314,MATCH(A1489-30,Clean_Data!$A$2:$A$4314,1))-1)</f>
        <v>-0.0688839771822334</v>
      </c>
    </row>
    <row r="1490" customFormat="false" ht="15" hidden="false" customHeight="false" outlineLevel="0" collapsed="false">
      <c r="A1490" s="16" t="n">
        <v>43496</v>
      </c>
      <c r="B1490" s="23" t="n">
        <f aca="false">YEAR(A1490)</f>
        <v>2019</v>
      </c>
      <c r="C1490" s="17" t="n">
        <v>3411.5</v>
      </c>
      <c r="D1490" s="23" t="n">
        <f aca="false">A1490-A1489</f>
        <v>1</v>
      </c>
      <c r="E1490" s="24" t="n">
        <f aca="false">LN(C1490)</f>
        <v>8.13490735625548</v>
      </c>
      <c r="F1490" s="25" t="n">
        <f aca="false">LN(C1490/C1489)</f>
        <v>-0.00760693106810983</v>
      </c>
      <c r="G1490" s="25" t="n">
        <f aca="false">IF(AND(D1490=1,A1490&gt;=$R$2),F1490,"")</f>
        <v>-0.00760693106810983</v>
      </c>
      <c r="H1490" s="27" t="n">
        <f aca="false">IF(G1490="","",G1490^2)</f>
        <v>5.78654002749746E-005</v>
      </c>
      <c r="I1490" s="25" t="n">
        <f aca="false">IF(G1490="","",C1490/C1489-1)</f>
        <v>-0.007578071591686</v>
      </c>
      <c r="J1490" s="17" t="n">
        <f aca="false">AVERAGE(C1291:C1490)</f>
        <v>5573.0653</v>
      </c>
      <c r="K1490" s="17" t="n">
        <f aca="false">MAX(K1489,C1490)</f>
        <v>19650.01</v>
      </c>
      <c r="L1490" s="25" t="n">
        <f aca="false">C1490/K1490-1</f>
        <v>-0.826386856800582</v>
      </c>
      <c r="M1490" s="25" t="n">
        <f aca="false">IF(COUNT(G1461:G1490)&lt;20,"",_xlfn.STDEV.S(G1461:G1490)*SQRT($R$3))</f>
        <v>0.517744911925314</v>
      </c>
      <c r="N1490" s="25" t="n">
        <f aca="false">IF(A1490-7&lt;$R$2,"",C1490/INDEX(Clean_Data!$C$2:$C$4314,MATCH(A1490-7,Clean_Data!$A$2:$A$4314,1))-1)</f>
        <v>-0.0441219735666032</v>
      </c>
      <c r="O1490" s="25" t="n">
        <f aca="false">IF(A1490-30&lt;$R$2,"",C1490/INDEX(Clean_Data!$C$2:$C$4314,MATCH(A1490-30,Clean_Data!$A$2:$A$4314,1))-1)</f>
        <v>-0.108360994223883</v>
      </c>
    </row>
    <row r="1491" customFormat="false" ht="15" hidden="false" customHeight="false" outlineLevel="0" collapsed="false">
      <c r="A1491" s="16" t="n">
        <v>43497</v>
      </c>
      <c r="B1491" s="23" t="n">
        <f aca="false">YEAR(A1491)</f>
        <v>2019</v>
      </c>
      <c r="C1491" s="17" t="n">
        <v>3437.5</v>
      </c>
      <c r="D1491" s="23" t="n">
        <f aca="false">A1491-A1490</f>
        <v>1</v>
      </c>
      <c r="E1491" s="24" t="n">
        <f aca="false">LN(C1491)</f>
        <v>8.14249974197483</v>
      </c>
      <c r="F1491" s="25" t="n">
        <f aca="false">LN(C1491/C1490)</f>
        <v>0.00759238571934849</v>
      </c>
      <c r="G1491" s="25" t="n">
        <f aca="false">IF(AND(D1491=1,A1491&gt;=$R$2),F1491,"")</f>
        <v>0.00759238571934849</v>
      </c>
      <c r="H1491" s="27" t="n">
        <f aca="false">IF(G1491="","",G1491^2)</f>
        <v>5.76443209113669E-005</v>
      </c>
      <c r="I1491" s="25" t="n">
        <f aca="false">IF(G1491="","",C1491/C1490-1)</f>
        <v>0.00762128096145398</v>
      </c>
      <c r="J1491" s="17" t="n">
        <f aca="false">AVERAGE(C1292:C1491)</f>
        <v>5556.60875</v>
      </c>
      <c r="K1491" s="17" t="n">
        <f aca="false">MAX(K1490,C1491)</f>
        <v>19650.01</v>
      </c>
      <c r="L1491" s="25" t="n">
        <f aca="false">C1491/K1491-1</f>
        <v>-0.825063702257658</v>
      </c>
      <c r="M1491" s="25" t="n">
        <f aca="false">IF(COUNT(G1462:G1491)&lt;20,"",_xlfn.STDEV.S(G1462:G1491)*SQRT($R$3))</f>
        <v>0.514129444591122</v>
      </c>
      <c r="N1491" s="25" t="n">
        <f aca="false">IF(A1491-7&lt;$R$2,"",C1491/INDEX(Clean_Data!$C$2:$C$4314,MATCH(A1491-7,Clean_Data!$A$2:$A$4314,1))-1)</f>
        <v>-0.0349983296698361</v>
      </c>
      <c r="O1491" s="25" t="n">
        <f aca="false">IF(A1491-30&lt;$R$2,"",C1491/INDEX(Clean_Data!$C$2:$C$4314,MATCH(A1491-30,Clean_Data!$A$2:$A$4314,1))-1)</f>
        <v>-0.116503332228159</v>
      </c>
    </row>
    <row r="1492" customFormat="false" ht="15" hidden="false" customHeight="false" outlineLevel="0" collapsed="false">
      <c r="A1492" s="16" t="n">
        <v>43498</v>
      </c>
      <c r="B1492" s="23" t="n">
        <f aca="false">YEAR(A1492)</f>
        <v>2019</v>
      </c>
      <c r="C1492" s="17" t="n">
        <v>3468.43</v>
      </c>
      <c r="D1492" s="23" t="n">
        <f aca="false">A1492-A1491</f>
        <v>1</v>
      </c>
      <c r="E1492" s="24" t="n">
        <f aca="false">LN(C1492)</f>
        <v>8.15145732098699</v>
      </c>
      <c r="F1492" s="25" t="n">
        <f aca="false">LN(C1492/C1491)</f>
        <v>0.00895757901216495</v>
      </c>
      <c r="G1492" s="25" t="n">
        <f aca="false">IF(AND(D1492=1,A1492&gt;=$R$2),F1492,"")</f>
        <v>0.00895757901216495</v>
      </c>
      <c r="H1492" s="27" t="n">
        <f aca="false">IF(G1492="","",G1492^2)</f>
        <v>8.02382217591779E-005</v>
      </c>
      <c r="I1492" s="25" t="n">
        <f aca="false">IF(G1492="","",C1492/C1491-1)</f>
        <v>0.00899781818181822</v>
      </c>
      <c r="J1492" s="17" t="n">
        <f aca="false">AVERAGE(C1293:C1492)</f>
        <v>5537.37585</v>
      </c>
      <c r="K1492" s="17" t="n">
        <f aca="false">MAX(K1491,C1492)</f>
        <v>19650.01</v>
      </c>
      <c r="L1492" s="25" t="n">
        <f aca="false">C1492/K1492-1</f>
        <v>-0.823489657257172</v>
      </c>
      <c r="M1492" s="25" t="n">
        <f aca="false">IF(COUNT(G1463:G1492)&lt;20,"",_xlfn.STDEV.S(G1463:G1492)*SQRT($R$3))</f>
        <v>0.509339179990879</v>
      </c>
      <c r="N1492" s="25" t="n">
        <f aca="false">IF(A1492-7&lt;$R$2,"",C1492/INDEX(Clean_Data!$C$2:$C$4314,MATCH(A1492-7,Clean_Data!$A$2:$A$4314,1))-1)</f>
        <v>-0.0246451841499185</v>
      </c>
      <c r="O1492" s="25" t="n">
        <f aca="false">IF(A1492-30&lt;$R$2,"",C1492/INDEX(Clean_Data!$C$2:$C$4314,MATCH(A1492-30,Clean_Data!$A$2:$A$4314,1))-1)</f>
        <v>-0.0842598288612488</v>
      </c>
    </row>
    <row r="1493" customFormat="false" ht="15" hidden="false" customHeight="false" outlineLevel="0" collapsed="false">
      <c r="A1493" s="16" t="n">
        <v>43499</v>
      </c>
      <c r="B1493" s="23" t="n">
        <f aca="false">YEAR(A1493)</f>
        <v>2019</v>
      </c>
      <c r="C1493" s="17" t="n">
        <v>3414.78</v>
      </c>
      <c r="D1493" s="23" t="n">
        <f aca="false">A1493-A1492</f>
        <v>1</v>
      </c>
      <c r="E1493" s="24" t="n">
        <f aca="false">LN(C1493)</f>
        <v>8.13586834826062</v>
      </c>
      <c r="F1493" s="25" t="n">
        <f aca="false">LN(C1493/C1492)</f>
        <v>-0.0155889727263728</v>
      </c>
      <c r="G1493" s="25" t="n">
        <f aca="false">IF(AND(D1493=1,A1493&gt;=$R$2),F1493,"")</f>
        <v>-0.0155889727263728</v>
      </c>
      <c r="H1493" s="27" t="n">
        <f aca="false">IF(G1493="","",G1493^2)</f>
        <v>0.000243016070663596</v>
      </c>
      <c r="I1493" s="25" t="n">
        <f aca="false">IF(G1493="","",C1493/C1492-1)</f>
        <v>-0.0154680936331423</v>
      </c>
      <c r="J1493" s="17" t="n">
        <f aca="false">AVERAGE(C1294:C1493)</f>
        <v>5517.5548</v>
      </c>
      <c r="K1493" s="17" t="n">
        <f aca="false">MAX(K1492,C1493)</f>
        <v>19650.01</v>
      </c>
      <c r="L1493" s="25" t="n">
        <f aca="false">C1493/K1493-1</f>
        <v>-0.826219935765936</v>
      </c>
      <c r="M1493" s="25" t="n">
        <f aca="false">IF(COUNT(G1464:G1493)&lt;20,"",_xlfn.STDEV.S(G1464:G1493)*SQRT($R$3))</f>
        <v>0.509435842313272</v>
      </c>
      <c r="N1493" s="25" t="n">
        <f aca="false">IF(A1493-7&lt;$R$2,"",C1493/INDEX(Clean_Data!$C$2:$C$4314,MATCH(A1493-7,Clean_Data!$A$2:$A$4314,1))-1)</f>
        <v>-0.0329196662720687</v>
      </c>
      <c r="O1493" s="25" t="n">
        <f aca="false">IF(A1493-30&lt;$R$2,"",C1493/INDEX(Clean_Data!$C$2:$C$4314,MATCH(A1493-30,Clean_Data!$A$2:$A$4314,1))-1)</f>
        <v>-0.106137032916694</v>
      </c>
    </row>
    <row r="1494" customFormat="false" ht="15" hidden="false" customHeight="false" outlineLevel="0" collapsed="false">
      <c r="A1494" s="16" t="n">
        <v>43500</v>
      </c>
      <c r="B1494" s="23" t="n">
        <f aca="false">YEAR(A1494)</f>
        <v>2019</v>
      </c>
      <c r="C1494" s="17" t="n">
        <v>3409.57</v>
      </c>
      <c r="D1494" s="23" t="n">
        <f aca="false">A1494-A1493</f>
        <v>1</v>
      </c>
      <c r="E1494" s="24" t="n">
        <f aca="false">LN(C1494)</f>
        <v>8.13434146261958</v>
      </c>
      <c r="F1494" s="25" t="n">
        <f aca="false">LN(C1494/C1493)</f>
        <v>-0.0015268856410376</v>
      </c>
      <c r="G1494" s="25" t="n">
        <f aca="false">IF(AND(D1494=1,A1494&gt;=$R$2),F1494,"")</f>
        <v>-0.0015268856410376</v>
      </c>
      <c r="H1494" s="27" t="n">
        <f aca="false">IF(G1494="","",G1494^2)</f>
        <v>2.33137976080681E-006</v>
      </c>
      <c r="I1494" s="25" t="n">
        <f aca="false">IF(G1494="","",C1494/C1493-1)</f>
        <v>-0.00152572054422251</v>
      </c>
      <c r="J1494" s="17" t="n">
        <f aca="false">AVERAGE(C1295:C1494)</f>
        <v>5497.2526</v>
      </c>
      <c r="K1494" s="17" t="n">
        <f aca="false">MAX(K1493,C1494)</f>
        <v>19650.01</v>
      </c>
      <c r="L1494" s="25" t="n">
        <f aca="false">C1494/K1494-1</f>
        <v>-0.826485075580114</v>
      </c>
      <c r="M1494" s="25" t="n">
        <f aca="false">IF(COUNT(G1465:G1494)&lt;20,"",_xlfn.STDEV.S(G1465:G1494)*SQRT($R$3))</f>
        <v>0.509442862761469</v>
      </c>
      <c r="N1494" s="25" t="n">
        <f aca="false">IF(A1494-7&lt;$R$2,"",C1494/INDEX(Clean_Data!$C$2:$C$4314,MATCH(A1494-7,Clean_Data!$A$2:$A$4314,1))-1)</f>
        <v>-0.00594177757693248</v>
      </c>
      <c r="O1494" s="25" t="n">
        <f aca="false">IF(A1494-30&lt;$R$2,"",C1494/INDEX(Clean_Data!$C$2:$C$4314,MATCH(A1494-30,Clean_Data!$A$2:$A$4314,1))-1)</f>
        <v>-0.102418773133401</v>
      </c>
    </row>
    <row r="1495" customFormat="false" ht="15" hidden="false" customHeight="false" outlineLevel="0" collapsed="false">
      <c r="A1495" s="16" t="n">
        <v>43501</v>
      </c>
      <c r="B1495" s="23" t="n">
        <f aca="false">YEAR(A1495)</f>
        <v>2019</v>
      </c>
      <c r="C1495" s="17" t="n">
        <v>3428.4</v>
      </c>
      <c r="D1495" s="23" t="n">
        <f aca="false">A1495-A1494</f>
        <v>1</v>
      </c>
      <c r="E1495" s="24" t="n">
        <f aca="false">LN(C1495)</f>
        <v>8.13984895902473</v>
      </c>
      <c r="F1495" s="25" t="n">
        <f aca="false">LN(C1495/C1494)</f>
        <v>0.00550749640514642</v>
      </c>
      <c r="G1495" s="25" t="n">
        <f aca="false">IF(AND(D1495=1,A1495&gt;=$R$2),F1495,"")</f>
        <v>0.00550749640514642</v>
      </c>
      <c r="H1495" s="27" t="n">
        <f aca="false">IF(G1495="","",G1495^2)</f>
        <v>3.03325166527008E-005</v>
      </c>
      <c r="I1495" s="25" t="n">
        <f aca="false">IF(G1495="","",C1495/C1494-1)</f>
        <v>0.00552269054455534</v>
      </c>
      <c r="J1495" s="17" t="n">
        <f aca="false">AVERAGE(C1296:C1495)</f>
        <v>5477.7223</v>
      </c>
      <c r="K1495" s="17" t="n">
        <f aca="false">MAX(K1494,C1495)</f>
        <v>19650.01</v>
      </c>
      <c r="L1495" s="25" t="n">
        <f aca="false">C1495/K1495-1</f>
        <v>-0.825526806347681</v>
      </c>
      <c r="M1495" s="25" t="n">
        <f aca="false">IF(COUNT(G1466:G1495)&lt;20,"",_xlfn.STDEV.S(G1466:G1495)*SQRT($R$3))</f>
        <v>0.453125827785463</v>
      </c>
      <c r="N1495" s="25" t="n">
        <f aca="false">IF(A1495-7&lt;$R$2,"",C1495/INDEX(Clean_Data!$C$2:$C$4314,MATCH(A1495-7,Clean_Data!$A$2:$A$4314,1))-1)</f>
        <v>0.009118684177994</v>
      </c>
      <c r="O1495" s="25" t="n">
        <f aca="false">IF(A1495-30&lt;$R$2,"",C1495/INDEX(Clean_Data!$C$2:$C$4314,MATCH(A1495-30,Clean_Data!$A$2:$A$4314,1))-1)</f>
        <v>-0.151594040074338</v>
      </c>
    </row>
    <row r="1496" customFormat="false" ht="15" hidden="false" customHeight="false" outlineLevel="0" collapsed="false">
      <c r="A1496" s="16" t="n">
        <v>43502</v>
      </c>
      <c r="B1496" s="23" t="n">
        <f aca="false">YEAR(A1496)</f>
        <v>2019</v>
      </c>
      <c r="C1496" s="17" t="n">
        <v>3367.36</v>
      </c>
      <c r="D1496" s="23" t="n">
        <f aca="false">A1496-A1495</f>
        <v>1</v>
      </c>
      <c r="E1496" s="24" t="n">
        <f aca="false">LN(C1496)</f>
        <v>8.12188433355245</v>
      </c>
      <c r="F1496" s="25" t="n">
        <f aca="false">LN(C1496/C1495)</f>
        <v>-0.0179646254722803</v>
      </c>
      <c r="G1496" s="25" t="n">
        <f aca="false">IF(AND(D1496=1,A1496&gt;=$R$2),F1496,"")</f>
        <v>-0.0179646254722803</v>
      </c>
      <c r="H1496" s="27" t="n">
        <f aca="false">IF(G1496="","",G1496^2)</f>
        <v>0.000322727768359301</v>
      </c>
      <c r="I1496" s="25" t="n">
        <f aca="false">IF(G1496="","",C1496/C1495-1)</f>
        <v>-0.0178042235445105</v>
      </c>
      <c r="J1496" s="17" t="n">
        <f aca="false">AVERAGE(C1297:C1496)</f>
        <v>5457.5191</v>
      </c>
      <c r="K1496" s="17" t="n">
        <f aca="false">MAX(K1495,C1496)</f>
        <v>19650.01</v>
      </c>
      <c r="L1496" s="25" t="n">
        <f aca="false">C1496/K1496-1</f>
        <v>-0.828633166089992</v>
      </c>
      <c r="M1496" s="25" t="n">
        <f aca="false">IF(COUNT(G1467:G1496)&lt;20,"",_xlfn.STDEV.S(G1467:G1496)*SQRT($R$3))</f>
        <v>0.455102997455672</v>
      </c>
      <c r="N1496" s="25" t="n">
        <f aca="false">IF(A1496-7&lt;$R$2,"",C1496/INDEX(Clean_Data!$C$2:$C$4314,MATCH(A1496-7,Clean_Data!$A$2:$A$4314,1))-1)</f>
        <v>-0.0204186120929151</v>
      </c>
      <c r="O1496" s="25" t="n">
        <f aca="false">IF(A1496-30&lt;$R$2,"",C1496/INDEX(Clean_Data!$C$2:$C$4314,MATCH(A1496-30,Clean_Data!$A$2:$A$4314,1))-1)</f>
        <v>-0.159422966992094</v>
      </c>
    </row>
    <row r="1497" customFormat="false" ht="15" hidden="false" customHeight="false" outlineLevel="0" collapsed="false">
      <c r="A1497" s="16" t="n">
        <v>43503</v>
      </c>
      <c r="B1497" s="23" t="n">
        <f aca="false">YEAR(A1497)</f>
        <v>2019</v>
      </c>
      <c r="C1497" s="17" t="n">
        <v>3359</v>
      </c>
      <c r="D1497" s="23" t="n">
        <f aca="false">A1497-A1496</f>
        <v>1</v>
      </c>
      <c r="E1497" s="24" t="n">
        <f aca="false">LN(C1497)</f>
        <v>8.11939858961229</v>
      </c>
      <c r="F1497" s="25" t="n">
        <f aca="false">LN(C1497/C1496)</f>
        <v>-0.00248574394015468</v>
      </c>
      <c r="G1497" s="25" t="n">
        <f aca="false">IF(AND(D1497=1,A1497&gt;=$R$2),F1497,"")</f>
        <v>-0.00248574394015468</v>
      </c>
      <c r="H1497" s="27" t="n">
        <f aca="false">IF(G1497="","",G1497^2)</f>
        <v>6.17892293601571E-006</v>
      </c>
      <c r="I1497" s="25" t="n">
        <f aca="false">IF(G1497="","",C1497/C1496-1)</f>
        <v>-0.00248265703696671</v>
      </c>
      <c r="J1497" s="17" t="n">
        <f aca="false">AVERAGE(C1298:C1497)</f>
        <v>5437.3251</v>
      </c>
      <c r="K1497" s="17" t="n">
        <f aca="false">MAX(K1496,C1497)</f>
        <v>19650.01</v>
      </c>
      <c r="L1497" s="25" t="n">
        <f aca="false">C1497/K1497-1</f>
        <v>-0.829058611166101</v>
      </c>
      <c r="M1497" s="25" t="n">
        <f aca="false">IF(COUNT(G1468:G1497)&lt;20,"",_xlfn.STDEV.S(G1468:G1497)*SQRT($R$3))</f>
        <v>0.455149052442469</v>
      </c>
      <c r="N1497" s="25" t="n">
        <f aca="false">IF(A1497-7&lt;$R$2,"",C1497/INDEX(Clean_Data!$C$2:$C$4314,MATCH(A1497-7,Clean_Data!$A$2:$A$4314,1))-1)</f>
        <v>-0.0153891250183203</v>
      </c>
      <c r="O1497" s="25" t="n">
        <f aca="false">IF(A1497-30&lt;$R$2,"",C1497/INDEX(Clean_Data!$C$2:$C$4314,MATCH(A1497-30,Clean_Data!$A$2:$A$4314,1))-1)</f>
        <v>-0.158959002068175</v>
      </c>
    </row>
    <row r="1498" customFormat="false" ht="15" hidden="false" customHeight="false" outlineLevel="0" collapsed="false">
      <c r="A1498" s="16" t="n">
        <v>43504</v>
      </c>
      <c r="B1498" s="23" t="n">
        <f aca="false">YEAR(A1498)</f>
        <v>2019</v>
      </c>
      <c r="C1498" s="17" t="n">
        <v>3621.99</v>
      </c>
      <c r="D1498" s="23" t="n">
        <f aca="false">A1498-A1497</f>
        <v>1</v>
      </c>
      <c r="E1498" s="24" t="n">
        <f aca="false">LN(C1498)</f>
        <v>8.19477887753397</v>
      </c>
      <c r="F1498" s="25" t="n">
        <f aca="false">LN(C1498/C1497)</f>
        <v>0.0753802879216777</v>
      </c>
      <c r="G1498" s="25" t="n">
        <f aca="false">IF(AND(D1498=1,A1498&gt;=$R$2),F1498,"")</f>
        <v>0.0753802879216777</v>
      </c>
      <c r="H1498" s="27" t="n">
        <f aca="false">IF(G1498="","",G1498^2)</f>
        <v>0.00568218780715502</v>
      </c>
      <c r="I1498" s="25" t="n">
        <f aca="false">IF(G1498="","",C1498/C1497-1)</f>
        <v>0.0782941351592736</v>
      </c>
      <c r="J1498" s="17" t="n">
        <f aca="false">AVERAGE(C1299:C1498)</f>
        <v>5416.8346</v>
      </c>
      <c r="K1498" s="17" t="n">
        <f aca="false">MAX(K1497,C1498)</f>
        <v>19650.01</v>
      </c>
      <c r="L1498" s="25" t="n">
        <f aca="false">C1498/K1498-1</f>
        <v>-0.815674902964426</v>
      </c>
      <c r="M1498" s="25" t="n">
        <f aca="false">IF(COUNT(G1469:G1498)&lt;20,"",_xlfn.STDEV.S(G1469:G1498)*SQRT($R$3))</f>
        <v>0.535674779822247</v>
      </c>
      <c r="N1498" s="25" t="n">
        <f aca="false">IF(A1498-7&lt;$R$2,"",C1498/INDEX(Clean_Data!$C$2:$C$4314,MATCH(A1498-7,Clean_Data!$A$2:$A$4314,1))-1)</f>
        <v>0.053669818181818</v>
      </c>
      <c r="O1498" s="25" t="n">
        <f aca="false">IF(A1498-30&lt;$R$2,"",C1498/INDEX(Clean_Data!$C$2:$C$4314,MATCH(A1498-30,Clean_Data!$A$2:$A$4314,1))-1)</f>
        <v>-0.0954342027711458</v>
      </c>
    </row>
    <row r="1499" customFormat="false" ht="15" hidden="false" customHeight="false" outlineLevel="0" collapsed="false">
      <c r="A1499" s="16" t="n">
        <v>43505</v>
      </c>
      <c r="B1499" s="23" t="n">
        <f aca="false">YEAR(A1499)</f>
        <v>2019</v>
      </c>
      <c r="C1499" s="17" t="n">
        <v>3623.73</v>
      </c>
      <c r="D1499" s="23" t="n">
        <f aca="false">A1499-A1498</f>
        <v>1</v>
      </c>
      <c r="E1499" s="24" t="n">
        <f aca="false">LN(C1499)</f>
        <v>8.1952591610761</v>
      </c>
      <c r="F1499" s="25" t="n">
        <f aca="false">LN(C1499/C1498)</f>
        <v>0.000480283542131909</v>
      </c>
      <c r="G1499" s="25" t="n">
        <f aca="false">IF(AND(D1499=1,A1499&gt;=$R$2),F1499,"")</f>
        <v>0.000480283542131909</v>
      </c>
      <c r="H1499" s="27" t="n">
        <f aca="false">IF(G1499="","",G1499^2)</f>
        <v>2.30672280842774E-007</v>
      </c>
      <c r="I1499" s="25" t="n">
        <f aca="false">IF(G1499="","",C1499/C1498-1)</f>
        <v>0.000480398896739231</v>
      </c>
      <c r="J1499" s="17" t="n">
        <f aca="false">AVERAGE(C1300:C1499)</f>
        <v>5393.02575</v>
      </c>
      <c r="K1499" s="17" t="n">
        <f aca="false">MAX(K1498,C1499)</f>
        <v>19650.01</v>
      </c>
      <c r="L1499" s="25" t="n">
        <f aca="false">C1499/K1499-1</f>
        <v>-0.815586353391169</v>
      </c>
      <c r="M1499" s="25" t="n">
        <f aca="false">IF(COUNT(G1470:G1499)&lt;20,"",_xlfn.STDEV.S(G1470:G1499)*SQRT($R$3))</f>
        <v>0.409161087789443</v>
      </c>
      <c r="N1499" s="25" t="n">
        <f aca="false">IF(A1499-7&lt;$R$2,"",C1499/INDEX(Clean_Data!$C$2:$C$4314,MATCH(A1499-7,Clean_Data!$A$2:$A$4314,1))-1)</f>
        <v>0.044775301793607</v>
      </c>
      <c r="O1499" s="25" t="n">
        <f aca="false">IF(A1499-30&lt;$R$2,"",C1499/INDEX(Clean_Data!$C$2:$C$4314,MATCH(A1499-30,Clean_Data!$A$2:$A$4314,1))-1)</f>
        <v>-0.000659106703583934</v>
      </c>
    </row>
    <row r="1500" customFormat="false" ht="15" hidden="false" customHeight="false" outlineLevel="0" collapsed="false">
      <c r="A1500" s="16" t="n">
        <v>43506</v>
      </c>
      <c r="B1500" s="23" t="n">
        <f aca="false">YEAR(A1500)</f>
        <v>2019</v>
      </c>
      <c r="C1500" s="17" t="n">
        <v>3648.84</v>
      </c>
      <c r="D1500" s="23" t="n">
        <f aca="false">A1500-A1499</f>
        <v>1</v>
      </c>
      <c r="E1500" s="24" t="n">
        <f aca="false">LN(C1500)</f>
        <v>8.20216458784562</v>
      </c>
      <c r="F1500" s="25" t="n">
        <f aca="false">LN(C1500/C1499)</f>
        <v>0.00690542676952269</v>
      </c>
      <c r="G1500" s="25" t="n">
        <f aca="false">IF(AND(D1500=1,A1500&gt;=$R$2),F1500,"")</f>
        <v>0.00690542676952269</v>
      </c>
      <c r="H1500" s="27" t="n">
        <f aca="false">IF(G1500="","",G1500^2)</f>
        <v>4.76849188692406E-005</v>
      </c>
      <c r="I1500" s="25" t="n">
        <f aca="false">IF(G1500="","",C1500/C1499-1)</f>
        <v>0.006929324204618</v>
      </c>
      <c r="J1500" s="17" t="n">
        <f aca="false">AVERAGE(C1301:C1500)</f>
        <v>5370.4842</v>
      </c>
      <c r="K1500" s="17" t="n">
        <f aca="false">MAX(K1499,C1500)</f>
        <v>19650.01</v>
      </c>
      <c r="L1500" s="25" t="n">
        <f aca="false">C1500/K1500-1</f>
        <v>-0.81430849144606</v>
      </c>
      <c r="M1500" s="25" t="n">
        <f aca="false">IF(COUNT(G1471:G1500)&lt;20,"",_xlfn.STDEV.S(G1471:G1500)*SQRT($R$3))</f>
        <v>0.409780729012749</v>
      </c>
      <c r="N1500" s="25" t="n">
        <f aca="false">IF(A1500-7&lt;$R$2,"",C1500/INDEX(Clean_Data!$C$2:$C$4314,MATCH(A1500-7,Clean_Data!$A$2:$A$4314,1))-1)</f>
        <v>0.0685432150826699</v>
      </c>
      <c r="O1500" s="25" t="n">
        <f aca="false">IF(A1500-30&lt;$R$2,"",C1500/INDEX(Clean_Data!$C$2:$C$4314,MATCH(A1500-30,Clean_Data!$A$2:$A$4314,1))-1)</f>
        <v>0.00361692003443648</v>
      </c>
    </row>
    <row r="1501" customFormat="false" ht="15" hidden="false" customHeight="false" outlineLevel="0" collapsed="false">
      <c r="A1501" s="16" t="n">
        <v>43507</v>
      </c>
      <c r="B1501" s="23" t="n">
        <f aca="false">YEAR(A1501)</f>
        <v>2019</v>
      </c>
      <c r="C1501" s="17" t="n">
        <v>3590.36</v>
      </c>
      <c r="D1501" s="23" t="n">
        <f aca="false">A1501-A1500</f>
        <v>1</v>
      </c>
      <c r="E1501" s="24" t="n">
        <f aca="false">LN(C1501)</f>
        <v>8.1860077550063</v>
      </c>
      <c r="F1501" s="25" t="n">
        <f aca="false">LN(C1501/C1500)</f>
        <v>-0.016156832839326</v>
      </c>
      <c r="G1501" s="25" t="n">
        <f aca="false">IF(AND(D1501=1,A1501&gt;=$R$2),F1501,"")</f>
        <v>-0.016156832839326</v>
      </c>
      <c r="H1501" s="27" t="n">
        <f aca="false">IF(G1501="","",G1501^2)</f>
        <v>0.000261043247397922</v>
      </c>
      <c r="I1501" s="25" t="n">
        <f aca="false">IF(G1501="","",C1501/C1500-1)</f>
        <v>-0.0160270113241469</v>
      </c>
      <c r="J1501" s="17" t="n">
        <f aca="false">AVERAGE(C1302:C1501)</f>
        <v>5348.77605</v>
      </c>
      <c r="K1501" s="17" t="n">
        <f aca="false">MAX(K1500,C1501)</f>
        <v>19650.01</v>
      </c>
      <c r="L1501" s="25" t="n">
        <f aca="false">C1501/K1501-1</f>
        <v>-0.817284571356452</v>
      </c>
      <c r="M1501" s="25" t="n">
        <f aca="false">IF(COUNT(G1472:G1501)&lt;20,"",_xlfn.STDEV.S(G1472:G1501)*SQRT($R$3))</f>
        <v>0.413437436155455</v>
      </c>
      <c r="N1501" s="25" t="n">
        <f aca="false">IF(A1501-7&lt;$R$2,"",C1501/INDEX(Clean_Data!$C$2:$C$4314,MATCH(A1501-7,Clean_Data!$A$2:$A$4314,1))-1)</f>
        <v>0.0530242816542847</v>
      </c>
      <c r="O1501" s="25" t="n">
        <f aca="false">IF(A1501-30&lt;$R$2,"",C1501/INDEX(Clean_Data!$C$2:$C$4314,MATCH(A1501-30,Clean_Data!$A$2:$A$4314,1))-1)</f>
        <v>-0.00802617001113437</v>
      </c>
    </row>
    <row r="1502" customFormat="false" ht="15" hidden="false" customHeight="false" outlineLevel="0" collapsed="false">
      <c r="A1502" s="16" t="n">
        <v>43508</v>
      </c>
      <c r="B1502" s="23" t="n">
        <f aca="false">YEAR(A1502)</f>
        <v>2019</v>
      </c>
      <c r="C1502" s="17" t="n">
        <v>3588.06</v>
      </c>
      <c r="D1502" s="23" t="n">
        <f aca="false">A1502-A1501</f>
        <v>1</v>
      </c>
      <c r="E1502" s="24" t="n">
        <f aca="false">LN(C1502)</f>
        <v>8.1853669454469</v>
      </c>
      <c r="F1502" s="25" t="n">
        <f aca="false">LN(C1502/C1501)</f>
        <v>-0.000640809559403229</v>
      </c>
      <c r="G1502" s="25" t="n">
        <f aca="false">IF(AND(D1502=1,A1502&gt;=$R$2),F1502,"")</f>
        <v>-0.000640809559403229</v>
      </c>
      <c r="H1502" s="27" t="n">
        <f aca="false">IF(G1502="","",G1502^2)</f>
        <v>4.10636891422561E-007</v>
      </c>
      <c r="I1502" s="25" t="n">
        <f aca="false">IF(G1502="","",C1502/C1501-1)</f>
        <v>-0.000640604284807167</v>
      </c>
      <c r="J1502" s="17" t="n">
        <f aca="false">AVERAGE(C1303:C1502)</f>
        <v>5325.7953</v>
      </c>
      <c r="K1502" s="17" t="n">
        <f aca="false">MAX(K1501,C1502)</f>
        <v>19650.01</v>
      </c>
      <c r="L1502" s="25" t="n">
        <f aca="false">C1502/K1502-1</f>
        <v>-0.817401619642942</v>
      </c>
      <c r="M1502" s="25" t="n">
        <f aca="false">IF(COUNT(G1473:G1502)&lt;20,"",_xlfn.STDEV.S(G1473:G1502)*SQRT($R$3))</f>
        <v>0.399796914665745</v>
      </c>
      <c r="N1502" s="25" t="n">
        <f aca="false">IF(A1502-7&lt;$R$2,"",C1502/INDEX(Clean_Data!$C$2:$C$4314,MATCH(A1502-7,Clean_Data!$A$2:$A$4314,1))-1)</f>
        <v>0.0465698284914244</v>
      </c>
      <c r="O1502" s="25" t="n">
        <f aca="false">IF(A1502-30&lt;$R$2,"",C1502/INDEX(Clean_Data!$C$2:$C$4314,MATCH(A1502-30,Clean_Data!$A$2:$A$4314,1))-1)</f>
        <v>0.0210059643052267</v>
      </c>
    </row>
    <row r="1503" customFormat="false" ht="15" hidden="false" customHeight="false" outlineLevel="0" collapsed="false">
      <c r="A1503" s="16" t="n">
        <v>43509</v>
      </c>
      <c r="B1503" s="23" t="n">
        <f aca="false">YEAR(A1503)</f>
        <v>2019</v>
      </c>
      <c r="C1503" s="17" t="n">
        <v>3576.68</v>
      </c>
      <c r="D1503" s="23" t="n">
        <f aca="false">A1503-A1502</f>
        <v>1</v>
      </c>
      <c r="E1503" s="24" t="n">
        <f aca="false">LN(C1503)</f>
        <v>8.18219027481548</v>
      </c>
      <c r="F1503" s="25" t="n">
        <f aca="false">LN(C1503/C1502)</f>
        <v>-0.00317667063141285</v>
      </c>
      <c r="G1503" s="25" t="n">
        <f aca="false">IF(AND(D1503=1,A1503&gt;=$R$2),F1503,"")</f>
        <v>-0.00317667063141285</v>
      </c>
      <c r="H1503" s="27" t="n">
        <f aca="false">IF(G1503="","",G1503^2)</f>
        <v>1.00912363004809E-005</v>
      </c>
      <c r="I1503" s="25" t="n">
        <f aca="false">IF(G1503="","",C1503/C1502-1)</f>
        <v>-0.00317163035177792</v>
      </c>
      <c r="J1503" s="17" t="n">
        <f aca="false">AVERAGE(C1304:C1503)</f>
        <v>5302.5342</v>
      </c>
      <c r="K1503" s="17" t="n">
        <f aca="false">MAX(K1502,C1503)</f>
        <v>19650.01</v>
      </c>
      <c r="L1503" s="25" t="n">
        <f aca="false">C1503/K1503-1</f>
        <v>-0.817980754208268</v>
      </c>
      <c r="M1503" s="25" t="n">
        <f aca="false">IF(COUNT(G1474:G1503)&lt;20,"",_xlfn.STDEV.S(G1474:G1503)*SQRT($R$3))</f>
        <v>0.371384496789114</v>
      </c>
      <c r="N1503" s="25" t="n">
        <f aca="false">IF(A1503-7&lt;$R$2,"",C1503/INDEX(Clean_Data!$C$2:$C$4314,MATCH(A1503-7,Clean_Data!$A$2:$A$4314,1))-1)</f>
        <v>0.0621614558585955</v>
      </c>
      <c r="O1503" s="25" t="n">
        <f aca="false">IF(A1503-30&lt;$R$2,"",C1503/INDEX(Clean_Data!$C$2:$C$4314,MATCH(A1503-30,Clean_Data!$A$2:$A$4314,1))-1)</f>
        <v>-0.0238824951762873</v>
      </c>
    </row>
    <row r="1504" customFormat="false" ht="15" hidden="false" customHeight="false" outlineLevel="0" collapsed="false">
      <c r="A1504" s="16" t="n">
        <v>43510</v>
      </c>
      <c r="B1504" s="23" t="n">
        <f aca="false">YEAR(A1504)</f>
        <v>2019</v>
      </c>
      <c r="C1504" s="17" t="n">
        <v>3561.5</v>
      </c>
      <c r="D1504" s="23" t="n">
        <f aca="false">A1504-A1503</f>
        <v>1</v>
      </c>
      <c r="E1504" s="24" t="n">
        <f aca="false">LN(C1504)</f>
        <v>8.17793708341841</v>
      </c>
      <c r="F1504" s="25" t="n">
        <f aca="false">LN(C1504/C1503)</f>
        <v>-0.00425319139707428</v>
      </c>
      <c r="G1504" s="25" t="n">
        <f aca="false">IF(AND(D1504=1,A1504&gt;=$R$2),F1504,"")</f>
        <v>-0.00425319139707428</v>
      </c>
      <c r="H1504" s="27" t="n">
        <f aca="false">IF(G1504="","",G1504^2)</f>
        <v>1.80896370601467E-005</v>
      </c>
      <c r="I1504" s="25" t="n">
        <f aca="false">IF(G1504="","",C1504/C1503-1)</f>
        <v>-0.0042441593880358</v>
      </c>
      <c r="J1504" s="17" t="n">
        <f aca="false">AVERAGE(C1305:C1504)</f>
        <v>5279.26</v>
      </c>
      <c r="K1504" s="17" t="n">
        <f aca="false">MAX(K1503,C1504)</f>
        <v>19650.01</v>
      </c>
      <c r="L1504" s="25" t="n">
        <f aca="false">C1504/K1504-1</f>
        <v>-0.818753272899098</v>
      </c>
      <c r="M1504" s="25" t="n">
        <f aca="false">IF(COUNT(G1475:G1504)&lt;20,"",_xlfn.STDEV.S(G1475:G1504)*SQRT($R$3))</f>
        <v>0.362919109825839</v>
      </c>
      <c r="N1504" s="25" t="n">
        <f aca="false">IF(A1504-7&lt;$R$2,"",C1504/INDEX(Clean_Data!$C$2:$C$4314,MATCH(A1504-7,Clean_Data!$A$2:$A$4314,1))-1)</f>
        <v>0.0602857993450432</v>
      </c>
      <c r="O1504" s="25" t="n">
        <f aca="false">IF(A1504-30&lt;$R$2,"",C1504/INDEX(Clean_Data!$C$2:$C$4314,MATCH(A1504-30,Clean_Data!$A$2:$A$4314,1))-1)</f>
        <v>-0.00537874641137637</v>
      </c>
    </row>
    <row r="1505" customFormat="false" ht="15" hidden="false" customHeight="false" outlineLevel="0" collapsed="false">
      <c r="A1505" s="16" t="n">
        <v>43511</v>
      </c>
      <c r="B1505" s="23" t="n">
        <f aca="false">YEAR(A1505)</f>
        <v>2019</v>
      </c>
      <c r="C1505" s="17" t="n">
        <v>3566.59</v>
      </c>
      <c r="D1505" s="23" t="n">
        <f aca="false">A1505-A1504</f>
        <v>1</v>
      </c>
      <c r="E1505" s="24" t="n">
        <f aca="false">LN(C1505)</f>
        <v>8.17936523622376</v>
      </c>
      <c r="F1505" s="25" t="n">
        <f aca="false">LN(C1505/C1504)</f>
        <v>0.00142815280534878</v>
      </c>
      <c r="G1505" s="25" t="n">
        <f aca="false">IF(AND(D1505=1,A1505&gt;=$R$2),F1505,"")</f>
        <v>0.00142815280534878</v>
      </c>
      <c r="H1505" s="27" t="n">
        <f aca="false">IF(G1505="","",G1505^2)</f>
        <v>2.03962043542558E-006</v>
      </c>
      <c r="I1505" s="25" t="n">
        <f aca="false">IF(G1505="","",C1505/C1504-1)</f>
        <v>0.00142917310122148</v>
      </c>
      <c r="J1505" s="17" t="n">
        <f aca="false">AVERAGE(C1306:C1505)</f>
        <v>5256.2429</v>
      </c>
      <c r="K1505" s="17" t="n">
        <f aca="false">MAX(K1504,C1505)</f>
        <v>19650.01</v>
      </c>
      <c r="L1505" s="25" t="n">
        <f aca="false">C1505/K1505-1</f>
        <v>-0.818494239952041</v>
      </c>
      <c r="M1505" s="25" t="n">
        <f aca="false">IF(COUNT(G1476:G1505)&lt;20,"",_xlfn.STDEV.S(G1476:G1505)*SQRT($R$3))</f>
        <v>0.361761616366233</v>
      </c>
      <c r="N1505" s="25" t="n">
        <f aca="false">IF(A1505-7&lt;$R$2,"",C1505/INDEX(Clean_Data!$C$2:$C$4314,MATCH(A1505-7,Clean_Data!$A$2:$A$4314,1))-1)</f>
        <v>-0.0152954591260605</v>
      </c>
      <c r="O1505" s="25" t="n">
        <f aca="false">IF(A1505-30&lt;$R$2,"",C1505/INDEX(Clean_Data!$C$2:$C$4314,MATCH(A1505-30,Clean_Data!$A$2:$A$4314,1))-1)</f>
        <v>-0.011945557953409</v>
      </c>
    </row>
    <row r="1506" customFormat="false" ht="15" hidden="false" customHeight="false" outlineLevel="0" collapsed="false">
      <c r="A1506" s="16" t="n">
        <v>43512</v>
      </c>
      <c r="B1506" s="23" t="n">
        <f aca="false">YEAR(A1506)</f>
        <v>2019</v>
      </c>
      <c r="C1506" s="17" t="n">
        <v>3582.37</v>
      </c>
      <c r="D1506" s="23" t="n">
        <f aca="false">A1506-A1505</f>
        <v>1</v>
      </c>
      <c r="E1506" s="24" t="n">
        <f aca="false">LN(C1506)</f>
        <v>8.1837798715352</v>
      </c>
      <c r="F1506" s="25" t="n">
        <f aca="false">LN(C1506/C1505)</f>
        <v>0.00441463531143909</v>
      </c>
      <c r="G1506" s="25" t="n">
        <f aca="false">IF(AND(D1506=1,A1506&gt;=$R$2),F1506,"")</f>
        <v>0.00441463531143909</v>
      </c>
      <c r="H1506" s="27" t="n">
        <f aca="false">IF(G1506="","",G1506^2)</f>
        <v>1.94890049330049E-005</v>
      </c>
      <c r="I1506" s="25" t="n">
        <f aca="false">IF(G1506="","",C1506/C1505-1)</f>
        <v>0.00442439416922036</v>
      </c>
      <c r="J1506" s="17" t="n">
        <f aca="false">AVERAGE(C1307:C1506)</f>
        <v>5235.5184</v>
      </c>
      <c r="K1506" s="17" t="n">
        <f aca="false">MAX(K1505,C1506)</f>
        <v>19650.01</v>
      </c>
      <c r="L1506" s="25" t="n">
        <f aca="false">C1506/K1506-1</f>
        <v>-0.817691186925605</v>
      </c>
      <c r="M1506" s="25" t="n">
        <f aca="false">IF(COUNT(G1477:G1506)&lt;20,"",_xlfn.STDEV.S(G1477:G1506)*SQRT($R$3))</f>
        <v>0.360764849587134</v>
      </c>
      <c r="N1506" s="25" t="n">
        <f aca="false">IF(A1506-7&lt;$R$2,"",C1506/INDEX(Clean_Data!$C$2:$C$4314,MATCH(A1506-7,Clean_Data!$A$2:$A$4314,1))-1)</f>
        <v>-0.011413653887017</v>
      </c>
      <c r="O1506" s="25" t="n">
        <f aca="false">IF(A1506-30&lt;$R$2,"",C1506/INDEX(Clean_Data!$C$2:$C$4314,MATCH(A1506-30,Clean_Data!$A$2:$A$4314,1))-1)</f>
        <v>-0.0160081304162719</v>
      </c>
    </row>
    <row r="1507" customFormat="false" ht="15" hidden="false" customHeight="false" outlineLevel="0" collapsed="false">
      <c r="A1507" s="16" t="n">
        <v>43513</v>
      </c>
      <c r="B1507" s="23" t="n">
        <f aca="false">YEAR(A1507)</f>
        <v>2019</v>
      </c>
      <c r="C1507" s="17" t="n">
        <v>3625.08</v>
      </c>
      <c r="D1507" s="23" t="n">
        <f aca="false">A1507-A1506</f>
        <v>1</v>
      </c>
      <c r="E1507" s="24" t="n">
        <f aca="false">LN(C1507)</f>
        <v>8.19563163601078</v>
      </c>
      <c r="F1507" s="25" t="n">
        <f aca="false">LN(C1507/C1506)</f>
        <v>0.0118517644755799</v>
      </c>
      <c r="G1507" s="25" t="n">
        <f aca="false">IF(AND(D1507=1,A1507&gt;=$R$2),F1507,"")</f>
        <v>0.0118517644755799</v>
      </c>
      <c r="H1507" s="27" t="n">
        <f aca="false">IF(G1507="","",G1507^2)</f>
        <v>0.000140464321184618</v>
      </c>
      <c r="I1507" s="25" t="n">
        <f aca="false">IF(G1507="","",C1507/C1506-1)</f>
        <v>0.0119222749185595</v>
      </c>
      <c r="J1507" s="17" t="n">
        <f aca="false">AVERAGE(C1308:C1507)</f>
        <v>5215.62385</v>
      </c>
      <c r="K1507" s="17" t="n">
        <f aca="false">MAX(K1506,C1507)</f>
        <v>19650.01</v>
      </c>
      <c r="L1507" s="25" t="n">
        <f aca="false">C1507/K1507-1</f>
        <v>-0.815517651136055</v>
      </c>
      <c r="M1507" s="25" t="n">
        <f aca="false">IF(COUNT(G1478:G1507)&lt;20,"",_xlfn.STDEV.S(G1478:G1507)*SQRT($R$3))</f>
        <v>0.361922692194958</v>
      </c>
      <c r="N1507" s="25" t="n">
        <f aca="false">IF(A1507-7&lt;$R$2,"",C1507/INDEX(Clean_Data!$C$2:$C$4314,MATCH(A1507-7,Clean_Data!$A$2:$A$4314,1))-1)</f>
        <v>-0.0065116584996876</v>
      </c>
      <c r="O1507" s="25" t="n">
        <f aca="false">IF(A1507-30&lt;$R$2,"",C1507/INDEX(Clean_Data!$C$2:$C$4314,MATCH(A1507-30,Clean_Data!$A$2:$A$4314,1))-1)</f>
        <v>0.00477569743753215</v>
      </c>
    </row>
    <row r="1508" customFormat="false" ht="15" hidden="false" customHeight="false" outlineLevel="0" collapsed="false">
      <c r="A1508" s="16" t="n">
        <v>43514</v>
      </c>
      <c r="B1508" s="23" t="n">
        <f aca="false">YEAR(A1508)</f>
        <v>2019</v>
      </c>
      <c r="C1508" s="17" t="n">
        <v>3867</v>
      </c>
      <c r="D1508" s="23" t="n">
        <f aca="false">A1508-A1507</f>
        <v>1</v>
      </c>
      <c r="E1508" s="24" t="n">
        <f aca="false">LN(C1508)</f>
        <v>8.2602342916073</v>
      </c>
      <c r="F1508" s="25" t="n">
        <f aca="false">LN(C1508/C1507)</f>
        <v>0.0646026555965208</v>
      </c>
      <c r="G1508" s="25" t="n">
        <f aca="false">IF(AND(D1508=1,A1508&gt;=$R$2),F1508,"")</f>
        <v>0.0646026555965208</v>
      </c>
      <c r="H1508" s="27" t="n">
        <f aca="false">IF(G1508="","",G1508^2)</f>
        <v>0.00417350311012268</v>
      </c>
      <c r="I1508" s="25" t="n">
        <f aca="false">IF(G1508="","",C1508/C1507-1)</f>
        <v>0.0667350789499819</v>
      </c>
      <c r="J1508" s="17" t="n">
        <f aca="false">AVERAGE(C1309:C1508)</f>
        <v>5197.28925</v>
      </c>
      <c r="K1508" s="17" t="n">
        <f aca="false">MAX(K1507,C1508)</f>
        <v>19650.01</v>
      </c>
      <c r="L1508" s="25" t="n">
        <f aca="false">C1508/K1508-1</f>
        <v>-0.803206207019742</v>
      </c>
      <c r="M1508" s="25" t="n">
        <f aca="false">IF(COUNT(G1479:G1508)&lt;20,"",_xlfn.STDEV.S(G1479:G1508)*SQRT($R$3))</f>
        <v>0.420981168978519</v>
      </c>
      <c r="N1508" s="25" t="n">
        <f aca="false">IF(A1508-7&lt;$R$2,"",C1508/INDEX(Clean_Data!$C$2:$C$4314,MATCH(A1508-7,Clean_Data!$A$2:$A$4314,1))-1)</f>
        <v>0.0770507692821889</v>
      </c>
      <c r="O1508" s="25" t="n">
        <f aca="false">IF(A1508-30&lt;$R$2,"",C1508/INDEX(Clean_Data!$C$2:$C$4314,MATCH(A1508-30,Clean_Data!$A$2:$A$4314,1))-1)</f>
        <v>0.0500590607307239</v>
      </c>
    </row>
    <row r="1509" customFormat="false" ht="15" hidden="false" customHeight="false" outlineLevel="0" collapsed="false">
      <c r="A1509" s="16" t="n">
        <v>43515</v>
      </c>
      <c r="B1509" s="23" t="n">
        <f aca="false">YEAR(A1509)</f>
        <v>2019</v>
      </c>
      <c r="C1509" s="17" t="n">
        <v>3888.01</v>
      </c>
      <c r="D1509" s="23" t="n">
        <f aca="false">A1509-A1508</f>
        <v>1</v>
      </c>
      <c r="E1509" s="24" t="n">
        <f aca="false">LN(C1509)</f>
        <v>8.26565273759348</v>
      </c>
      <c r="F1509" s="25" t="n">
        <f aca="false">LN(C1509/C1508)</f>
        <v>0.00541844598618598</v>
      </c>
      <c r="G1509" s="25" t="n">
        <f aca="false">IF(AND(D1509=1,A1509&gt;=$R$2),F1509,"")</f>
        <v>0.00541844598618598</v>
      </c>
      <c r="H1509" s="27" t="n">
        <f aca="false">IF(G1509="","",G1509^2)</f>
        <v>2.93595569052149E-005</v>
      </c>
      <c r="I1509" s="25" t="n">
        <f aca="false">IF(G1509="","",C1509/C1508-1)</f>
        <v>0.00543315231445574</v>
      </c>
      <c r="J1509" s="17" t="n">
        <f aca="false">AVERAGE(C1310:C1509)</f>
        <v>5179.6589</v>
      </c>
      <c r="K1509" s="17" t="n">
        <f aca="false">MAX(K1508,C1509)</f>
        <v>19650.01</v>
      </c>
      <c r="L1509" s="25" t="n">
        <f aca="false">C1509/K1509-1</f>
        <v>-0.802136996367941</v>
      </c>
      <c r="M1509" s="25" t="n">
        <f aca="false">IF(COUNT(G1480:G1509)&lt;20,"",_xlfn.STDEV.S(G1480:G1509)*SQRT($R$3))</f>
        <v>0.392546203015488</v>
      </c>
      <c r="N1509" s="25" t="n">
        <f aca="false">IF(A1509-7&lt;$R$2,"",C1509/INDEX(Clean_Data!$C$2:$C$4314,MATCH(A1509-7,Clean_Data!$A$2:$A$4314,1))-1)</f>
        <v>0.0835967068555152</v>
      </c>
      <c r="O1509" s="25" t="n">
        <f aca="false">IF(A1509-30&lt;$R$2,"",C1509/INDEX(Clean_Data!$C$2:$C$4314,MATCH(A1509-30,Clean_Data!$A$2:$A$4314,1))-1)</f>
        <v>0.0994912603677971</v>
      </c>
    </row>
    <row r="1510" customFormat="false" ht="15" hidden="false" customHeight="false" outlineLevel="0" collapsed="false">
      <c r="A1510" s="16" t="n">
        <v>43516</v>
      </c>
      <c r="B1510" s="23" t="n">
        <f aca="false">YEAR(A1510)</f>
        <v>2019</v>
      </c>
      <c r="C1510" s="17" t="n">
        <v>3938.99</v>
      </c>
      <c r="D1510" s="23" t="n">
        <f aca="false">A1510-A1509</f>
        <v>1</v>
      </c>
      <c r="E1510" s="24" t="n">
        <f aca="false">LN(C1510)</f>
        <v>8.27867962425227</v>
      </c>
      <c r="F1510" s="25" t="n">
        <f aca="false">LN(C1510/C1509)</f>
        <v>0.0130268866587901</v>
      </c>
      <c r="G1510" s="25" t="n">
        <f aca="false">IF(AND(D1510=1,A1510&gt;=$R$2),F1510,"")</f>
        <v>0.0130268866587901</v>
      </c>
      <c r="H1510" s="27" t="n">
        <f aca="false">IF(G1510="","",G1510^2)</f>
        <v>0.000169699776020965</v>
      </c>
      <c r="I1510" s="25" t="n">
        <f aca="false">IF(G1510="","",C1510/C1509-1)</f>
        <v>0.0131121061931423</v>
      </c>
      <c r="J1510" s="17" t="n">
        <f aca="false">AVERAGE(C1311:C1510)</f>
        <v>5164.32885</v>
      </c>
      <c r="K1510" s="17" t="n">
        <f aca="false">MAX(K1509,C1510)</f>
        <v>19650.01</v>
      </c>
      <c r="L1510" s="25" t="n">
        <f aca="false">C1510/K1510-1</f>
        <v>-0.799542595652623</v>
      </c>
      <c r="M1510" s="25" t="n">
        <f aca="false">IF(COUNT(G1481:G1510)&lt;20,"",_xlfn.STDEV.S(G1481:G1510)*SQRT($R$3))</f>
        <v>0.393683322527341</v>
      </c>
      <c r="N1510" s="25" t="n">
        <f aca="false">IF(A1510-7&lt;$R$2,"",C1510/INDEX(Clean_Data!$C$2:$C$4314,MATCH(A1510-7,Clean_Data!$A$2:$A$4314,1))-1)</f>
        <v>0.10129785163895</v>
      </c>
      <c r="O1510" s="25" t="n">
        <f aca="false">IF(A1510-30&lt;$R$2,"",C1510/INDEX(Clean_Data!$C$2:$C$4314,MATCH(A1510-30,Clean_Data!$A$2:$A$4314,1))-1)</f>
        <v>0.115305116995492</v>
      </c>
    </row>
    <row r="1511" customFormat="false" ht="15" hidden="false" customHeight="false" outlineLevel="0" collapsed="false">
      <c r="A1511" s="16" t="n">
        <v>43517</v>
      </c>
      <c r="B1511" s="23" t="n">
        <f aca="false">YEAR(A1511)</f>
        <v>2019</v>
      </c>
      <c r="C1511" s="17" t="n">
        <v>3897.71</v>
      </c>
      <c r="D1511" s="23" t="n">
        <f aca="false">A1511-A1510</f>
        <v>1</v>
      </c>
      <c r="E1511" s="24" t="n">
        <f aca="false">LN(C1511)</f>
        <v>8.26814448017317</v>
      </c>
      <c r="F1511" s="25" t="n">
        <f aca="false">LN(C1511/C1510)</f>
        <v>-0.0105351440791023</v>
      </c>
      <c r="G1511" s="25" t="n">
        <f aca="false">IF(AND(D1511=1,A1511&gt;=$R$2),F1511,"")</f>
        <v>-0.0105351440791023</v>
      </c>
      <c r="H1511" s="27" t="n">
        <f aca="false">IF(G1511="","",G1511^2)</f>
        <v>0.000110989260767444</v>
      </c>
      <c r="I1511" s="25" t="n">
        <f aca="false">IF(G1511="","",C1511/C1510-1)</f>
        <v>-0.0104798438178314</v>
      </c>
      <c r="J1511" s="17" t="n">
        <f aca="false">AVERAGE(C1312:C1511)</f>
        <v>5148.66735</v>
      </c>
      <c r="K1511" s="17" t="n">
        <f aca="false">MAX(K1510,C1511)</f>
        <v>19650.01</v>
      </c>
      <c r="L1511" s="25" t="n">
        <f aca="false">C1511/K1511-1</f>
        <v>-0.801643357942312</v>
      </c>
      <c r="M1511" s="25" t="n">
        <f aca="false">IF(COUNT(G1482:G1511)&lt;20,"",_xlfn.STDEV.S(G1482:G1511)*SQRT($R$3))</f>
        <v>0.395278992694758</v>
      </c>
      <c r="N1511" s="25" t="n">
        <f aca="false">IF(A1511-7&lt;$R$2,"",C1511/INDEX(Clean_Data!$C$2:$C$4314,MATCH(A1511-7,Clean_Data!$A$2:$A$4314,1))-1)</f>
        <v>0.0944012354345079</v>
      </c>
      <c r="O1511" s="25" t="n">
        <f aca="false">IF(A1511-30&lt;$R$2,"",C1511/INDEX(Clean_Data!$C$2:$C$4314,MATCH(A1511-30,Clean_Data!$A$2:$A$4314,1))-1)</f>
        <v>0.0896497932642444</v>
      </c>
    </row>
    <row r="1512" customFormat="false" ht="15" hidden="false" customHeight="false" outlineLevel="0" collapsed="false">
      <c r="A1512" s="16" t="n">
        <v>43518</v>
      </c>
      <c r="B1512" s="23" t="n">
        <f aca="false">YEAR(A1512)</f>
        <v>2019</v>
      </c>
      <c r="C1512" s="17" t="n">
        <v>3942.02</v>
      </c>
      <c r="D1512" s="23" t="n">
        <f aca="false">A1512-A1511</f>
        <v>1</v>
      </c>
      <c r="E1512" s="24" t="n">
        <f aca="false">LN(C1512)</f>
        <v>8.27944856126651</v>
      </c>
      <c r="F1512" s="25" t="n">
        <f aca="false">LN(C1512/C1511)</f>
        <v>0.0113040810933414</v>
      </c>
      <c r="G1512" s="25" t="n">
        <f aca="false">IF(AND(D1512=1,A1512&gt;=$R$2),F1512,"")</f>
        <v>0.0113040810933414</v>
      </c>
      <c r="H1512" s="27" t="n">
        <f aca="false">IF(G1512="","",G1512^2)</f>
        <v>0.000127782249364839</v>
      </c>
      <c r="I1512" s="25" t="n">
        <f aca="false">IF(G1512="","",C1512/C1511-1)</f>
        <v>0.0113682136433957</v>
      </c>
      <c r="J1512" s="17" t="n">
        <f aca="false">AVERAGE(C1313:C1512)</f>
        <v>5133.68745</v>
      </c>
      <c r="K1512" s="17" t="n">
        <f aca="false">MAX(K1511,C1512)</f>
        <v>19650.01</v>
      </c>
      <c r="L1512" s="25" t="n">
        <f aca="false">C1512/K1512-1</f>
        <v>-0.799388397257813</v>
      </c>
      <c r="M1512" s="25" t="n">
        <f aca="false">IF(COUNT(G1483:G1512)&lt;20,"",_xlfn.STDEV.S(G1483:G1512)*SQRT($R$3))</f>
        <v>0.394773480793641</v>
      </c>
      <c r="N1512" s="25" t="n">
        <f aca="false">IF(A1512-7&lt;$R$2,"",C1512/INDEX(Clean_Data!$C$2:$C$4314,MATCH(A1512-7,Clean_Data!$A$2:$A$4314,1))-1)</f>
        <v>0.10526301032639</v>
      </c>
      <c r="O1512" s="25" t="n">
        <f aca="false">IF(A1512-30&lt;$R$2,"",C1512/INDEX(Clean_Data!$C$2:$C$4314,MATCH(A1512-30,Clean_Data!$A$2:$A$4314,1))-1)</f>
        <v>0.109487448670282</v>
      </c>
    </row>
    <row r="1513" customFormat="false" ht="15" hidden="false" customHeight="false" outlineLevel="0" collapsed="false">
      <c r="A1513" s="16" t="n">
        <v>43519</v>
      </c>
      <c r="B1513" s="23" t="n">
        <f aca="false">YEAR(A1513)</f>
        <v>2019</v>
      </c>
      <c r="C1513" s="17" t="n">
        <v>4110</v>
      </c>
      <c r="D1513" s="23" t="n">
        <f aca="false">A1513-A1512</f>
        <v>1</v>
      </c>
      <c r="E1513" s="24" t="n">
        <f aca="false">LN(C1513)</f>
        <v>8.32117830749028</v>
      </c>
      <c r="F1513" s="25" t="n">
        <f aca="false">LN(C1513/C1512)</f>
        <v>0.0417297462237679</v>
      </c>
      <c r="G1513" s="25" t="n">
        <f aca="false">IF(AND(D1513=1,A1513&gt;=$R$2),F1513,"")</f>
        <v>0.0417297462237679</v>
      </c>
      <c r="H1513" s="27" t="n">
        <f aca="false">IF(G1513="","",G1513^2)</f>
        <v>0.00174137171990007</v>
      </c>
      <c r="I1513" s="25" t="n">
        <f aca="false">IF(G1513="","",C1513/C1512-1)</f>
        <v>0.0426126706612346</v>
      </c>
      <c r="J1513" s="17" t="n">
        <f aca="false">AVERAGE(C1314:C1513)</f>
        <v>5120.64635</v>
      </c>
      <c r="K1513" s="17" t="n">
        <f aca="false">MAX(K1512,C1513)</f>
        <v>19650.01</v>
      </c>
      <c r="L1513" s="25" t="n">
        <f aca="false">C1513/K1513-1</f>
        <v>-0.790839801099338</v>
      </c>
      <c r="M1513" s="25" t="n">
        <f aca="false">IF(COUNT(G1484:G1513)&lt;20,"",_xlfn.STDEV.S(G1484:G1513)*SQRT($R$3))</f>
        <v>0.416750817482625</v>
      </c>
      <c r="N1513" s="25" t="n">
        <f aca="false">IF(A1513-7&lt;$R$2,"",C1513/INDEX(Clean_Data!$C$2:$C$4314,MATCH(A1513-7,Clean_Data!$A$2:$A$4314,1))-1)</f>
        <v>0.14728517713134</v>
      </c>
      <c r="O1513" s="25" t="n">
        <f aca="false">IF(A1513-30&lt;$R$2,"",C1513/INDEX(Clean_Data!$C$2:$C$4314,MATCH(A1513-30,Clean_Data!$A$2:$A$4314,1))-1)</f>
        <v>0.151592756453543</v>
      </c>
    </row>
    <row r="1514" customFormat="false" ht="15" hidden="false" customHeight="false" outlineLevel="0" collapsed="false">
      <c r="A1514" s="16" t="n">
        <v>43520</v>
      </c>
      <c r="B1514" s="23" t="n">
        <f aca="false">YEAR(A1514)</f>
        <v>2019</v>
      </c>
      <c r="C1514" s="17" t="n">
        <v>3734.22</v>
      </c>
      <c r="D1514" s="23" t="n">
        <f aca="false">A1514-A1513</f>
        <v>1</v>
      </c>
      <c r="E1514" s="24" t="n">
        <f aca="false">LN(C1514)</f>
        <v>8.22529424041642</v>
      </c>
      <c r="F1514" s="25" t="n">
        <f aca="false">LN(C1514/C1513)</f>
        <v>-0.0958840670738645</v>
      </c>
      <c r="G1514" s="25" t="n">
        <f aca="false">IF(AND(D1514=1,A1514&gt;=$R$2),F1514,"")</f>
        <v>-0.0958840670738645</v>
      </c>
      <c r="H1514" s="27" t="n">
        <f aca="false">IF(G1514="","",G1514^2)</f>
        <v>0.00919375431862534</v>
      </c>
      <c r="I1514" s="25" t="n">
        <f aca="false">IF(G1514="","",C1514/C1513-1)</f>
        <v>-0.0914306569343066</v>
      </c>
      <c r="J1514" s="17" t="n">
        <f aca="false">AVERAGE(C1315:C1514)</f>
        <v>5107.90495</v>
      </c>
      <c r="K1514" s="17" t="n">
        <f aca="false">MAX(K1513,C1514)</f>
        <v>19650.01</v>
      </c>
      <c r="L1514" s="25" t="n">
        <f aca="false">C1514/K1514-1</f>
        <v>-0.809963455489336</v>
      </c>
      <c r="M1514" s="25" t="n">
        <f aca="false">IF(COUNT(G1485:G1514)&lt;20,"",_xlfn.STDEV.S(G1485:G1514)*SQRT($R$3))</f>
        <v>0.544770297656403</v>
      </c>
      <c r="N1514" s="25" t="n">
        <f aca="false">IF(A1514-7&lt;$R$2,"",C1514/INDEX(Clean_Data!$C$2:$C$4314,MATCH(A1514-7,Clean_Data!$A$2:$A$4314,1))-1)</f>
        <v>0.0301069217782779</v>
      </c>
      <c r="O1514" s="25" t="n">
        <f aca="false">IF(A1514-30&lt;$R$2,"",C1514/INDEX(Clean_Data!$C$2:$C$4314,MATCH(A1514-30,Clean_Data!$A$2:$A$4314,1))-1)</f>
        <v>0.0482992108742704</v>
      </c>
    </row>
    <row r="1515" customFormat="false" ht="15" hidden="false" customHeight="false" outlineLevel="0" collapsed="false">
      <c r="A1515" s="16" t="n">
        <v>43521</v>
      </c>
      <c r="B1515" s="23" t="n">
        <f aca="false">YEAR(A1515)</f>
        <v>2019</v>
      </c>
      <c r="C1515" s="17" t="n">
        <v>3818.79</v>
      </c>
      <c r="D1515" s="23" t="n">
        <f aca="false">A1515-A1514</f>
        <v>1</v>
      </c>
      <c r="E1515" s="24" t="n">
        <f aca="false">LN(C1515)</f>
        <v>8.2476888974968</v>
      </c>
      <c r="F1515" s="25" t="n">
        <f aca="false">LN(C1515/C1514)</f>
        <v>0.0223946570803823</v>
      </c>
      <c r="G1515" s="25" t="n">
        <f aca="false">IF(AND(D1515=1,A1515&gt;=$R$2),F1515,"")</f>
        <v>0.0223946570803823</v>
      </c>
      <c r="H1515" s="27" t="n">
        <f aca="false">IF(G1515="","",G1515^2)</f>
        <v>0.000501520665747915</v>
      </c>
      <c r="I1515" s="25" t="n">
        <f aca="false">IF(G1515="","",C1515/C1514-1)</f>
        <v>0.0226472998377172</v>
      </c>
      <c r="J1515" s="17" t="n">
        <f aca="false">AVERAGE(C1316:C1515)</f>
        <v>5094.26665</v>
      </c>
      <c r="K1515" s="17" t="n">
        <f aca="false">MAX(K1514,C1515)</f>
        <v>19650.01</v>
      </c>
      <c r="L1515" s="25" t="n">
        <f aca="false">C1515/K1515-1</f>
        <v>-0.805659640885679</v>
      </c>
      <c r="M1515" s="25" t="n">
        <f aca="false">IF(COUNT(G1486:G1515)&lt;20,"",_xlfn.STDEV.S(G1486:G1515)*SQRT($R$3))</f>
        <v>0.549410518692876</v>
      </c>
      <c r="N1515" s="25" t="n">
        <f aca="false">IF(A1515-7&lt;$R$2,"",C1515/INDEX(Clean_Data!$C$2:$C$4314,MATCH(A1515-7,Clean_Data!$A$2:$A$4314,1))-1)</f>
        <v>-0.0124670287044221</v>
      </c>
      <c r="O1515" s="25" t="n">
        <f aca="false">IF(A1515-30&lt;$R$2,"",C1515/INDEX(Clean_Data!$C$2:$C$4314,MATCH(A1515-30,Clean_Data!$A$2:$A$4314,1))-1)</f>
        <v>0.0738793105872493</v>
      </c>
    </row>
    <row r="1516" customFormat="false" ht="15" hidden="false" customHeight="false" outlineLevel="0" collapsed="false">
      <c r="A1516" s="16" t="n">
        <v>43522</v>
      </c>
      <c r="B1516" s="23" t="n">
        <f aca="false">YEAR(A1516)</f>
        <v>2019</v>
      </c>
      <c r="C1516" s="17" t="n">
        <v>3799.48</v>
      </c>
      <c r="D1516" s="23" t="n">
        <f aca="false">A1516-A1515</f>
        <v>1</v>
      </c>
      <c r="E1516" s="24" t="n">
        <f aca="false">LN(C1516)</f>
        <v>8.24261949424548</v>
      </c>
      <c r="F1516" s="25" t="n">
        <f aca="false">LN(C1516/C1515)</f>
        <v>-0.00506940325131927</v>
      </c>
      <c r="G1516" s="25" t="n">
        <f aca="false">IF(AND(D1516=1,A1516&gt;=$R$2),F1516,"")</f>
        <v>-0.00506940325131927</v>
      </c>
      <c r="H1516" s="27" t="n">
        <f aca="false">IF(G1516="","",G1516^2)</f>
        <v>2.56988493244864E-005</v>
      </c>
      <c r="I1516" s="25" t="n">
        <f aca="false">IF(G1516="","",C1516/C1515-1)</f>
        <v>-0.00505657551213867</v>
      </c>
      <c r="J1516" s="17" t="n">
        <f aca="false">AVERAGE(C1317:C1516)</f>
        <v>5082.534</v>
      </c>
      <c r="K1516" s="17" t="n">
        <f aca="false">MAX(K1515,C1516)</f>
        <v>19650.01</v>
      </c>
      <c r="L1516" s="25" t="n">
        <f aca="false">C1516/K1516-1</f>
        <v>-0.806642337586597</v>
      </c>
      <c r="M1516" s="25" t="n">
        <f aca="false">IF(COUNT(G1487:G1516)&lt;20,"",_xlfn.STDEV.S(G1487:G1516)*SQRT($R$3))</f>
        <v>0.549021953158333</v>
      </c>
      <c r="N1516" s="25" t="n">
        <f aca="false">IF(A1516-7&lt;$R$2,"",C1516/INDEX(Clean_Data!$C$2:$C$4314,MATCH(A1516-7,Clean_Data!$A$2:$A$4314,1))-1)</f>
        <v>-0.0227700031635721</v>
      </c>
      <c r="O1516" s="25" t="n">
        <f aca="false">IF(A1516-30&lt;$R$2,"",C1516/INDEX(Clean_Data!$C$2:$C$4314,MATCH(A1516-30,Clean_Data!$A$2:$A$4314,1))-1)</f>
        <v>0.0760290227752887</v>
      </c>
    </row>
    <row r="1517" customFormat="false" ht="15" hidden="false" customHeight="false" outlineLevel="0" collapsed="false">
      <c r="A1517" s="16" t="n">
        <v>43523</v>
      </c>
      <c r="B1517" s="23" t="n">
        <f aca="false">YEAR(A1517)</f>
        <v>2019</v>
      </c>
      <c r="C1517" s="17" t="n">
        <v>3799.91</v>
      </c>
      <c r="D1517" s="23" t="n">
        <f aca="false">A1517-A1516</f>
        <v>1</v>
      </c>
      <c r="E1517" s="24" t="n">
        <f aca="false">LN(C1517)</f>
        <v>8.24273266122348</v>
      </c>
      <c r="F1517" s="25" t="n">
        <f aca="false">LN(C1517/C1516)</f>
        <v>0.000113166977996634</v>
      </c>
      <c r="G1517" s="25" t="n">
        <f aca="false">IF(AND(D1517=1,A1517&gt;=$R$2),F1517,"")</f>
        <v>0.000113166977996634</v>
      </c>
      <c r="H1517" s="27" t="n">
        <f aca="false">IF(G1517="","",G1517^2)</f>
        <v>1.28067649088907E-008</v>
      </c>
      <c r="I1517" s="25" t="n">
        <f aca="false">IF(G1517="","",C1517/C1516-1)</f>
        <v>0.000113173381620646</v>
      </c>
      <c r="J1517" s="17" t="n">
        <f aca="false">AVERAGE(C1318:C1517)</f>
        <v>5070.35575</v>
      </c>
      <c r="K1517" s="17" t="n">
        <f aca="false">MAX(K1516,C1517)</f>
        <v>19650.01</v>
      </c>
      <c r="L1517" s="25" t="n">
        <f aca="false">C1517/K1517-1</f>
        <v>-0.806620454646079</v>
      </c>
      <c r="M1517" s="25" t="n">
        <f aca="false">IF(COUNT(G1488:G1517)&lt;20,"",_xlfn.STDEV.S(G1488:G1517)*SQRT($R$3))</f>
        <v>0.537271884289846</v>
      </c>
      <c r="N1517" s="25" t="n">
        <f aca="false">IF(A1517-7&lt;$R$2,"",C1517/INDEX(Clean_Data!$C$2:$C$4314,MATCH(A1517-7,Clean_Data!$A$2:$A$4314,1))-1)</f>
        <v>-0.0353085435606589</v>
      </c>
      <c r="O1517" s="25" t="n">
        <f aca="false">IF(A1517-30&lt;$R$2,"",C1517/INDEX(Clean_Data!$C$2:$C$4314,MATCH(A1517-30,Clean_Data!$A$2:$A$4314,1))-1)</f>
        <v>0.107861630636015</v>
      </c>
    </row>
    <row r="1518" customFormat="false" ht="15" hidden="false" customHeight="false" outlineLevel="0" collapsed="false">
      <c r="A1518" s="16" t="n">
        <v>43524</v>
      </c>
      <c r="B1518" s="23" t="n">
        <f aca="false">YEAR(A1518)</f>
        <v>2019</v>
      </c>
      <c r="C1518" s="17" t="n">
        <v>3792.14</v>
      </c>
      <c r="D1518" s="23" t="n">
        <f aca="false">A1518-A1517</f>
        <v>1</v>
      </c>
      <c r="E1518" s="24" t="n">
        <f aca="false">LN(C1518)</f>
        <v>8.24068578252462</v>
      </c>
      <c r="F1518" s="25" t="n">
        <f aca="false">LN(C1518/C1517)</f>
        <v>-0.0020468786988596</v>
      </c>
      <c r="G1518" s="25" t="n">
        <f aca="false">IF(AND(D1518=1,A1518&gt;=$R$2),F1518,"")</f>
        <v>-0.0020468786988596</v>
      </c>
      <c r="H1518" s="27" t="n">
        <f aca="false">IF(G1518="","",G1518^2)</f>
        <v>4.18971240784517E-006</v>
      </c>
      <c r="I1518" s="25" t="n">
        <f aca="false">IF(G1518="","",C1518/C1517-1)</f>
        <v>-0.00204478527123009</v>
      </c>
      <c r="J1518" s="17" t="n">
        <f aca="false">AVERAGE(C1319:C1518)</f>
        <v>5057.7364</v>
      </c>
      <c r="K1518" s="17" t="n">
        <f aca="false">MAX(K1517,C1518)</f>
        <v>19650.01</v>
      </c>
      <c r="L1518" s="25" t="n">
        <f aca="false">C1518/K1518-1</f>
        <v>-0.807015874292176</v>
      </c>
      <c r="M1518" s="25" t="n">
        <f aca="false">IF(COUNT(G1489:G1518)&lt;20,"",_xlfn.STDEV.S(G1489:G1518)*SQRT($R$3))</f>
        <v>0.535634460506355</v>
      </c>
      <c r="N1518" s="25" t="n">
        <f aca="false">IF(A1518-7&lt;$R$2,"",C1518/INDEX(Clean_Data!$C$2:$C$4314,MATCH(A1518-7,Clean_Data!$A$2:$A$4314,1))-1)</f>
        <v>-0.0270851346046782</v>
      </c>
      <c r="O1518" s="25" t="n">
        <f aca="false">IF(A1518-30&lt;$R$2,"",C1518/INDEX(Clean_Data!$C$2:$C$4314,MATCH(A1518-30,Clean_Data!$A$2:$A$4314,1))-1)</f>
        <v>0.11618227949444</v>
      </c>
    </row>
    <row r="1519" customFormat="false" ht="15" hidden="false" customHeight="false" outlineLevel="0" collapsed="false">
      <c r="A1519" s="16" t="n">
        <v>43525</v>
      </c>
      <c r="B1519" s="23" t="n">
        <f aca="false">YEAR(A1519)</f>
        <v>2019</v>
      </c>
      <c r="C1519" s="17" t="n">
        <v>3806.17</v>
      </c>
      <c r="D1519" s="23" t="n">
        <f aca="false">A1519-A1518</f>
        <v>1</v>
      </c>
      <c r="E1519" s="24" t="n">
        <f aca="false">LN(C1519)</f>
        <v>8.24437871317493</v>
      </c>
      <c r="F1519" s="25" t="n">
        <f aca="false">LN(C1519/C1518)</f>
        <v>0.00369293065031136</v>
      </c>
      <c r="G1519" s="25" t="n">
        <f aca="false">IF(AND(D1519=1,A1519&gt;=$R$2),F1519,"")</f>
        <v>0.00369293065031136</v>
      </c>
      <c r="H1519" s="27" t="n">
        <f aca="false">IF(G1519="","",G1519^2)</f>
        <v>1.36377367880091E-005</v>
      </c>
      <c r="I1519" s="25" t="n">
        <f aca="false">IF(G1519="","",C1519/C1518-1)</f>
        <v>0.00369975792032995</v>
      </c>
      <c r="J1519" s="17" t="n">
        <f aca="false">AVERAGE(C1320:C1519)</f>
        <v>5045.4989</v>
      </c>
      <c r="K1519" s="17" t="n">
        <f aca="false">MAX(K1518,C1519)</f>
        <v>19650.01</v>
      </c>
      <c r="L1519" s="25" t="n">
        <f aca="false">C1519/K1519-1</f>
        <v>-0.80630187974459</v>
      </c>
      <c r="M1519" s="25" t="n">
        <f aca="false">IF(COUNT(G1490:G1519)&lt;20,"",_xlfn.STDEV.S(G1490:G1519)*SQRT($R$3))</f>
        <v>0.534841677079846</v>
      </c>
      <c r="N1519" s="25" t="n">
        <f aca="false">IF(A1519-7&lt;$R$2,"",C1519/INDEX(Clean_Data!$C$2:$C$4314,MATCH(A1519-7,Clean_Data!$A$2:$A$4314,1))-1)</f>
        <v>-0.0344620270825617</v>
      </c>
      <c r="O1519" s="25" t="n">
        <f aca="false">IF(A1519-30&lt;$R$2,"",C1519/INDEX(Clean_Data!$C$2:$C$4314,MATCH(A1519-30,Clean_Data!$A$2:$A$4314,1))-1)</f>
        <v>0.107233349333101</v>
      </c>
    </row>
    <row r="1520" customFormat="false" ht="15" hidden="false" customHeight="false" outlineLevel="0" collapsed="false">
      <c r="A1520" s="16" t="n">
        <v>43526</v>
      </c>
      <c r="B1520" s="23" t="n">
        <f aca="false">YEAR(A1520)</f>
        <v>2019</v>
      </c>
      <c r="C1520" s="17" t="n">
        <v>3809.7</v>
      </c>
      <c r="D1520" s="23" t="n">
        <f aca="false">A1520-A1519</f>
        <v>1</v>
      </c>
      <c r="E1520" s="24" t="n">
        <f aca="false">LN(C1520)</f>
        <v>8.2453057248631</v>
      </c>
      <c r="F1520" s="25" t="n">
        <f aca="false">LN(C1520/C1519)</f>
        <v>0.000927011688170061</v>
      </c>
      <c r="G1520" s="25" t="n">
        <f aca="false">IF(AND(D1520=1,A1520&gt;=$R$2),F1520,"")</f>
        <v>0.000927011688170061</v>
      </c>
      <c r="H1520" s="27" t="n">
        <f aca="false">IF(G1520="","",G1520^2)</f>
        <v>8.59350670003905E-007</v>
      </c>
      <c r="I1520" s="25" t="n">
        <f aca="false">IF(G1520="","",C1520/C1519-1)</f>
        <v>0.000927441496307191</v>
      </c>
      <c r="J1520" s="17" t="n">
        <f aca="false">AVERAGE(C1321:C1520)</f>
        <v>5033.57235</v>
      </c>
      <c r="K1520" s="17" t="n">
        <f aca="false">MAX(K1519,C1520)</f>
        <v>19650.01</v>
      </c>
      <c r="L1520" s="25" t="n">
        <f aca="false">C1520/K1520-1</f>
        <v>-0.806122236070109</v>
      </c>
      <c r="M1520" s="25" t="n">
        <f aca="false">IF(COUNT(G1491:G1520)&lt;20,"",_xlfn.STDEV.S(G1491:G1520)*SQRT($R$3))</f>
        <v>0.533458675312886</v>
      </c>
      <c r="N1520" s="25" t="n">
        <f aca="false">IF(A1520-7&lt;$R$2,"",C1520/INDEX(Clean_Data!$C$2:$C$4314,MATCH(A1520-7,Clean_Data!$A$2:$A$4314,1))-1)</f>
        <v>-0.0730656934306569</v>
      </c>
      <c r="O1520" s="25" t="n">
        <f aca="false">IF(A1520-30&lt;$R$2,"",C1520/INDEX(Clean_Data!$C$2:$C$4314,MATCH(A1520-30,Clean_Data!$A$2:$A$4314,1))-1)</f>
        <v>0.116722849186575</v>
      </c>
    </row>
    <row r="1521" customFormat="false" ht="15" hidden="false" customHeight="false" outlineLevel="0" collapsed="false">
      <c r="A1521" s="16" t="n">
        <v>43527</v>
      </c>
      <c r="B1521" s="23" t="n">
        <f aca="false">YEAR(A1521)</f>
        <v>2019</v>
      </c>
      <c r="C1521" s="17" t="n">
        <v>3786.93</v>
      </c>
      <c r="D1521" s="23" t="n">
        <f aca="false">A1521-A1520</f>
        <v>1</v>
      </c>
      <c r="E1521" s="24" t="n">
        <f aca="false">LN(C1521)</f>
        <v>8.2393109434426</v>
      </c>
      <c r="F1521" s="25" t="n">
        <f aca="false">LN(C1521/C1520)</f>
        <v>-0.00599478142049407</v>
      </c>
      <c r="G1521" s="25" t="n">
        <f aca="false">IF(AND(D1521=1,A1521&gt;=$R$2),F1521,"")</f>
        <v>-0.00599478142049407</v>
      </c>
      <c r="H1521" s="27" t="n">
        <f aca="false">IF(G1521="","",G1521^2)</f>
        <v>3.59374042795009E-005</v>
      </c>
      <c r="I1521" s="25" t="n">
        <f aca="false">IF(G1521="","",C1521/C1520-1)</f>
        <v>-0.00597684857075365</v>
      </c>
      <c r="J1521" s="17" t="n">
        <f aca="false">AVERAGE(C1322:C1521)</f>
        <v>5021.16195</v>
      </c>
      <c r="K1521" s="17" t="n">
        <f aca="false">MAX(K1520,C1521)</f>
        <v>19650.01</v>
      </c>
      <c r="L1521" s="25" t="n">
        <f aca="false">C1521/K1521-1</f>
        <v>-0.807281014106354</v>
      </c>
      <c r="M1521" s="25" t="n">
        <f aca="false">IF(COUNT(G1492:G1521)&lt;20,"",_xlfn.STDEV.S(G1492:G1521)*SQRT($R$3))</f>
        <v>0.534309012029519</v>
      </c>
      <c r="N1521" s="25" t="n">
        <f aca="false">IF(A1521-7&lt;$R$2,"",C1521/INDEX(Clean_Data!$C$2:$C$4314,MATCH(A1521-7,Clean_Data!$A$2:$A$4314,1))-1)</f>
        <v>0.0141153975930717</v>
      </c>
      <c r="O1521" s="25" t="n">
        <f aca="false">IF(A1521-30&lt;$R$2,"",C1521/INDEX(Clean_Data!$C$2:$C$4314,MATCH(A1521-30,Clean_Data!$A$2:$A$4314,1))-1)</f>
        <v>0.101652363636364</v>
      </c>
    </row>
    <row r="1522" customFormat="false" ht="15" hidden="false" customHeight="false" outlineLevel="0" collapsed="false">
      <c r="A1522" s="16" t="n">
        <v>43528</v>
      </c>
      <c r="B1522" s="23" t="n">
        <f aca="false">YEAR(A1522)</f>
        <v>2019</v>
      </c>
      <c r="C1522" s="17" t="n">
        <v>3700.72</v>
      </c>
      <c r="D1522" s="23" t="n">
        <f aca="false">A1522-A1521</f>
        <v>1</v>
      </c>
      <c r="E1522" s="24" t="n">
        <f aca="false">LN(C1522)</f>
        <v>8.21628267429584</v>
      </c>
      <c r="F1522" s="25" t="n">
        <f aca="false">LN(C1522/C1521)</f>
        <v>-0.0230282691467652</v>
      </c>
      <c r="G1522" s="25" t="n">
        <f aca="false">IF(AND(D1522=1,A1522&gt;=$R$2),F1522,"")</f>
        <v>-0.0230282691467652</v>
      </c>
      <c r="H1522" s="27" t="n">
        <f aca="false">IF(G1522="","",G1522^2)</f>
        <v>0.000530301179895857</v>
      </c>
      <c r="I1522" s="25" t="n">
        <f aca="false">IF(G1522="","",C1522/C1521-1)</f>
        <v>-0.0227651422128214</v>
      </c>
      <c r="J1522" s="17" t="n">
        <f aca="false">AVERAGE(C1323:C1522)</f>
        <v>5008.08605</v>
      </c>
      <c r="K1522" s="17" t="n">
        <f aca="false">MAX(K1521,C1522)</f>
        <v>19650.01</v>
      </c>
      <c r="L1522" s="25" t="n">
        <f aca="false">C1522/K1522-1</f>
        <v>-0.811668289227334</v>
      </c>
      <c r="M1522" s="25" t="n">
        <f aca="false">IF(COUNT(G1493:G1522)&lt;20,"",_xlfn.STDEV.S(G1493:G1522)*SQRT($R$3))</f>
        <v>0.541590032551724</v>
      </c>
      <c r="N1522" s="25" t="n">
        <f aca="false">IF(A1522-7&lt;$R$2,"",C1522/INDEX(Clean_Data!$C$2:$C$4314,MATCH(A1522-7,Clean_Data!$A$2:$A$4314,1))-1)</f>
        <v>-0.0309181704152363</v>
      </c>
      <c r="O1522" s="25" t="n">
        <f aca="false">IF(A1522-30&lt;$R$2,"",C1522/INDEX(Clean_Data!$C$2:$C$4314,MATCH(A1522-30,Clean_Data!$A$2:$A$4314,1))-1)</f>
        <v>0.0669726648656597</v>
      </c>
    </row>
    <row r="1523" customFormat="false" ht="15" hidden="false" customHeight="false" outlineLevel="0" collapsed="false">
      <c r="A1523" s="16" t="n">
        <v>43529</v>
      </c>
      <c r="B1523" s="23" t="n">
        <f aca="false">YEAR(A1523)</f>
        <v>2019</v>
      </c>
      <c r="C1523" s="17" t="n">
        <v>3844.59</v>
      </c>
      <c r="D1523" s="23" t="n">
        <f aca="false">A1523-A1522</f>
        <v>1</v>
      </c>
      <c r="E1523" s="24" t="n">
        <f aca="false">LN(C1523)</f>
        <v>8.25442224426455</v>
      </c>
      <c r="F1523" s="25" t="n">
        <f aca="false">LN(C1523/C1522)</f>
        <v>0.0381395699687146</v>
      </c>
      <c r="G1523" s="25" t="n">
        <f aca="false">IF(AND(D1523=1,A1523&gt;=$R$2),F1523,"")</f>
        <v>0.0381395699687146</v>
      </c>
      <c r="H1523" s="27" t="n">
        <f aca="false">IF(G1523="","",G1523^2)</f>
        <v>0.00145462679739848</v>
      </c>
      <c r="I1523" s="25" t="n">
        <f aca="false">IF(G1523="","",C1523/C1522-1)</f>
        <v>0.0388762186817702</v>
      </c>
      <c r="J1523" s="17" t="n">
        <f aca="false">AVERAGE(C1324:C1523)</f>
        <v>4994.38155</v>
      </c>
      <c r="K1523" s="17" t="n">
        <f aca="false">MAX(K1522,C1523)</f>
        <v>19650.01</v>
      </c>
      <c r="L1523" s="25" t="n">
        <f aca="false">C1523/K1523-1</f>
        <v>-0.804346664454624</v>
      </c>
      <c r="M1523" s="25" t="n">
        <f aca="false">IF(COUNT(G1494:G1523)&lt;20,"",_xlfn.STDEV.S(G1494:G1523)*SQRT($R$3))</f>
        <v>0.551756959805779</v>
      </c>
      <c r="N1523" s="25" t="n">
        <f aca="false">IF(A1523-7&lt;$R$2,"",C1523/INDEX(Clean_Data!$C$2:$C$4314,MATCH(A1523-7,Clean_Data!$A$2:$A$4314,1))-1)</f>
        <v>0.0118726773137376</v>
      </c>
      <c r="O1523" s="25" t="n">
        <f aca="false">IF(A1523-30&lt;$R$2,"",C1523/INDEX(Clean_Data!$C$2:$C$4314,MATCH(A1523-30,Clean_Data!$A$2:$A$4314,1))-1)</f>
        <v>0.12586755222884</v>
      </c>
    </row>
    <row r="1524" customFormat="false" ht="15" hidden="false" customHeight="false" outlineLevel="0" collapsed="false">
      <c r="A1524" s="16" t="n">
        <v>43530</v>
      </c>
      <c r="B1524" s="23" t="n">
        <f aca="false">YEAR(A1524)</f>
        <v>2019</v>
      </c>
      <c r="C1524" s="17" t="n">
        <v>3851.89</v>
      </c>
      <c r="D1524" s="23" t="n">
        <f aca="false">A1524-A1523</f>
        <v>1</v>
      </c>
      <c r="E1524" s="24" t="n">
        <f aca="false">LN(C1524)</f>
        <v>8.25631921591629</v>
      </c>
      <c r="F1524" s="25" t="n">
        <f aca="false">LN(C1524/C1523)</f>
        <v>0.00189697165173905</v>
      </c>
      <c r="G1524" s="25" t="n">
        <f aca="false">IF(AND(D1524=1,A1524&gt;=$R$2),F1524,"")</f>
        <v>0.00189697165173905</v>
      </c>
      <c r="H1524" s="27" t="n">
        <f aca="false">IF(G1524="","",G1524^2)</f>
        <v>3.59850144750157E-006</v>
      </c>
      <c r="I1524" s="25" t="n">
        <f aca="false">IF(G1524="","",C1524/C1523-1)</f>
        <v>0.00189877204071176</v>
      </c>
      <c r="J1524" s="17" t="n">
        <f aca="false">AVERAGE(C1325:C1524)</f>
        <v>4981.6578</v>
      </c>
      <c r="K1524" s="17" t="n">
        <f aca="false">MAX(K1523,C1524)</f>
        <v>19650.01</v>
      </c>
      <c r="L1524" s="25" t="n">
        <f aca="false">C1524/K1524-1</f>
        <v>-0.803975163371418</v>
      </c>
      <c r="M1524" s="25" t="n">
        <f aca="false">IF(COUNT(G1495:G1524)&lt;20,"",_xlfn.STDEV.S(G1495:G1524)*SQRT($R$3))</f>
        <v>0.551458230743012</v>
      </c>
      <c r="N1524" s="25" t="n">
        <f aca="false">IF(A1524-7&lt;$R$2,"",C1524/INDEX(Clean_Data!$C$2:$C$4314,MATCH(A1524-7,Clean_Data!$A$2:$A$4314,1))-1)</f>
        <v>0.0136792713511635</v>
      </c>
      <c r="O1524" s="25" t="n">
        <f aca="false">IF(A1524-30&lt;$R$2,"",C1524/INDEX(Clean_Data!$C$2:$C$4314,MATCH(A1524-30,Clean_Data!$A$2:$A$4314,1))-1)</f>
        <v>0.129728968755591</v>
      </c>
    </row>
    <row r="1525" customFormat="false" ht="15" hidden="false" customHeight="false" outlineLevel="0" collapsed="false">
      <c r="A1525" s="16" t="n">
        <v>43531</v>
      </c>
      <c r="B1525" s="23" t="n">
        <f aca="false">YEAR(A1525)</f>
        <v>2019</v>
      </c>
      <c r="C1525" s="17" t="n">
        <v>3857.05</v>
      </c>
      <c r="D1525" s="23" t="n">
        <f aca="false">A1525-A1524</f>
        <v>1</v>
      </c>
      <c r="E1525" s="24" t="n">
        <f aca="false">LN(C1525)</f>
        <v>8.25765792156729</v>
      </c>
      <c r="F1525" s="25" t="n">
        <f aca="false">LN(C1525/C1524)</f>
        <v>0.00133870565100188</v>
      </c>
      <c r="G1525" s="25" t="n">
        <f aca="false">IF(AND(D1525=1,A1525&gt;=$R$2),F1525,"")</f>
        <v>0.00133870565100188</v>
      </c>
      <c r="H1525" s="27" t="n">
        <f aca="false">IF(G1525="","",G1525^2)</f>
        <v>1.79213282002437E-006</v>
      </c>
      <c r="I1525" s="25" t="n">
        <f aca="false">IF(G1525="","",C1525/C1524-1)</f>
        <v>0.00133960211740214</v>
      </c>
      <c r="J1525" s="17" t="n">
        <f aca="false">AVERAGE(C1326:C1525)</f>
        <v>4968.4954</v>
      </c>
      <c r="K1525" s="17" t="n">
        <f aca="false">MAX(K1524,C1525)</f>
        <v>19650.01</v>
      </c>
      <c r="L1525" s="25" t="n">
        <f aca="false">C1525/K1525-1</f>
        <v>-0.803712568085207</v>
      </c>
      <c r="M1525" s="25" t="n">
        <f aca="false">IF(COUNT(G1496:G1525)&lt;20,"",_xlfn.STDEV.S(G1496:G1525)*SQRT($R$3))</f>
        <v>0.551512779682531</v>
      </c>
      <c r="N1525" s="25" t="n">
        <f aca="false">IF(A1525-7&lt;$R$2,"",C1525/INDEX(Clean_Data!$C$2:$C$4314,MATCH(A1525-7,Clean_Data!$A$2:$A$4314,1))-1)</f>
        <v>0.0171169840775922</v>
      </c>
      <c r="O1525" s="25" t="n">
        <f aca="false">IF(A1525-30&lt;$R$2,"",C1525/INDEX(Clean_Data!$C$2:$C$4314,MATCH(A1525-30,Clean_Data!$A$2:$A$4314,1))-1)</f>
        <v>0.125029168125073</v>
      </c>
    </row>
    <row r="1526" customFormat="false" ht="15" hidden="false" customHeight="false" outlineLevel="0" collapsed="false">
      <c r="A1526" s="16" t="n">
        <v>43532</v>
      </c>
      <c r="B1526" s="23" t="n">
        <f aca="false">YEAR(A1526)</f>
        <v>2019</v>
      </c>
      <c r="C1526" s="17" t="n">
        <v>3843.12</v>
      </c>
      <c r="D1526" s="23" t="n">
        <f aca="false">A1526-A1525</f>
        <v>1</v>
      </c>
      <c r="E1526" s="24" t="n">
        <f aca="false">LN(C1526)</f>
        <v>8.25403981568233</v>
      </c>
      <c r="F1526" s="25" t="n">
        <f aca="false">LN(C1526/C1525)</f>
        <v>-0.00361810588496263</v>
      </c>
      <c r="G1526" s="25" t="n">
        <f aca="false">IF(AND(D1526=1,A1526&gt;=$R$2),F1526,"")</f>
        <v>-0.00361810588496263</v>
      </c>
      <c r="H1526" s="27" t="n">
        <f aca="false">IF(G1526="","",G1526^2)</f>
        <v>1.30906901948012E-005</v>
      </c>
      <c r="I1526" s="25" t="n">
        <f aca="false">IF(G1526="","",C1526/C1525-1)</f>
        <v>-0.00361156842664734</v>
      </c>
      <c r="J1526" s="17" t="n">
        <f aca="false">AVERAGE(C1327:C1526)</f>
        <v>4956.4173</v>
      </c>
      <c r="K1526" s="17" t="n">
        <f aca="false">MAX(K1525,C1526)</f>
        <v>19650.01</v>
      </c>
      <c r="L1526" s="25" t="n">
        <f aca="false">C1526/K1526-1</f>
        <v>-0.804421473576858</v>
      </c>
      <c r="M1526" s="25" t="n">
        <f aca="false">IF(COUNT(G1497:G1526)&lt;20,"",_xlfn.STDEV.S(G1497:G1526)*SQRT($R$3))</f>
        <v>0.546593695809383</v>
      </c>
      <c r="N1526" s="25" t="n">
        <f aca="false">IF(A1526-7&lt;$R$2,"",C1526/INDEX(Clean_Data!$C$2:$C$4314,MATCH(A1526-7,Clean_Data!$A$2:$A$4314,1))-1)</f>
        <v>0.00970792161148859</v>
      </c>
      <c r="O1526" s="25" t="n">
        <f aca="false">IF(A1526-30&lt;$R$2,"",C1526/INDEX(Clean_Data!$C$2:$C$4314,MATCH(A1526-30,Clean_Data!$A$2:$A$4314,1))-1)</f>
        <v>0.141285755012829</v>
      </c>
    </row>
    <row r="1527" customFormat="false" ht="15" hidden="false" customHeight="false" outlineLevel="0" collapsed="false">
      <c r="A1527" s="16" t="n">
        <v>43533</v>
      </c>
      <c r="B1527" s="23" t="n">
        <f aca="false">YEAR(A1527)</f>
        <v>2019</v>
      </c>
      <c r="C1527" s="17" t="n">
        <v>3917</v>
      </c>
      <c r="D1527" s="23" t="n">
        <f aca="false">A1527-A1526</f>
        <v>1</v>
      </c>
      <c r="E1527" s="24" t="n">
        <f aca="false">LN(C1527)</f>
        <v>8.27308133366583</v>
      </c>
      <c r="F1527" s="25" t="n">
        <f aca="false">LN(C1527/C1526)</f>
        <v>0.0190415179835004</v>
      </c>
      <c r="G1527" s="25" t="n">
        <f aca="false">IF(AND(D1527=1,A1527&gt;=$R$2),F1527,"")</f>
        <v>0.0190415179835004</v>
      </c>
      <c r="H1527" s="27" t="n">
        <f aca="false">IF(G1527="","",G1527^2)</f>
        <v>0.00036257940711597</v>
      </c>
      <c r="I1527" s="25" t="n">
        <f aca="false">IF(G1527="","",C1527/C1526-1)</f>
        <v>0.019223963862695</v>
      </c>
      <c r="J1527" s="17" t="n">
        <f aca="false">AVERAGE(C1328:C1527)</f>
        <v>4943.62285</v>
      </c>
      <c r="K1527" s="17" t="n">
        <f aca="false">MAX(K1526,C1527)</f>
        <v>19650.01</v>
      </c>
      <c r="L1527" s="25" t="n">
        <f aca="false">C1527/K1527-1</f>
        <v>-0.800661679052581</v>
      </c>
      <c r="M1527" s="25" t="n">
        <f aca="false">IF(COUNT(G1498:G1527)&lt;20,"",_xlfn.STDEV.S(G1498:G1527)*SQRT($R$3))</f>
        <v>0.548332778163168</v>
      </c>
      <c r="N1527" s="25" t="n">
        <f aca="false">IF(A1527-7&lt;$R$2,"",C1527/INDEX(Clean_Data!$C$2:$C$4314,MATCH(A1527-7,Clean_Data!$A$2:$A$4314,1))-1)</f>
        <v>0.028164947371184</v>
      </c>
      <c r="O1527" s="25" t="n">
        <f aca="false">IF(A1527-30&lt;$R$2,"",C1527/INDEX(Clean_Data!$C$2:$C$4314,MATCH(A1527-30,Clean_Data!$A$2:$A$4314,1))-1)</f>
        <v>0.166120869306341</v>
      </c>
    </row>
    <row r="1528" customFormat="false" ht="15" hidden="false" customHeight="false" outlineLevel="0" collapsed="false">
      <c r="A1528" s="16" t="n">
        <v>43534</v>
      </c>
      <c r="B1528" s="23" t="n">
        <f aca="false">YEAR(A1528)</f>
        <v>2019</v>
      </c>
      <c r="C1528" s="17" t="n">
        <v>3900.93</v>
      </c>
      <c r="D1528" s="23" t="n">
        <f aca="false">A1528-A1527</f>
        <v>1</v>
      </c>
      <c r="E1528" s="24" t="n">
        <f aca="false">LN(C1528)</f>
        <v>8.26897026522877</v>
      </c>
      <c r="F1528" s="25" t="n">
        <f aca="false">LN(C1528/C1527)</f>
        <v>-0.00411106843706551</v>
      </c>
      <c r="G1528" s="25" t="n">
        <f aca="false">IF(AND(D1528=1,A1528&gt;=$R$2),F1528,"")</f>
        <v>-0.00411106843706551</v>
      </c>
      <c r="H1528" s="27" t="n">
        <f aca="false">IF(G1528="","",G1528^2)</f>
        <v>1.69008836942363E-005</v>
      </c>
      <c r="I1528" s="25" t="n">
        <f aca="false">IF(G1528="","",C1528/C1527-1)</f>
        <v>-0.00410262956344143</v>
      </c>
      <c r="J1528" s="17" t="n">
        <f aca="false">AVERAGE(C1329:C1528)</f>
        <v>4931.32755</v>
      </c>
      <c r="K1528" s="17" t="n">
        <f aca="false">MAX(K1527,C1528)</f>
        <v>19650.01</v>
      </c>
      <c r="L1528" s="25" t="n">
        <f aca="false">C1528/K1528-1</f>
        <v>-0.801479490341226</v>
      </c>
      <c r="M1528" s="25" t="n">
        <f aca="false">IF(COUNT(G1499:G1528)&lt;20,"",_xlfn.STDEV.S(G1499:G1528)*SQRT($R$3))</f>
        <v>0.486789404132069</v>
      </c>
      <c r="N1528" s="25" t="n">
        <f aca="false">IF(A1528-7&lt;$R$2,"",C1528/INDEX(Clean_Data!$C$2:$C$4314,MATCH(A1528-7,Clean_Data!$A$2:$A$4314,1))-1)</f>
        <v>0.0301035403347831</v>
      </c>
      <c r="O1528" s="25" t="n">
        <f aca="false">IF(A1528-30&lt;$R$2,"",C1528/INDEX(Clean_Data!$C$2:$C$4314,MATCH(A1528-30,Clean_Data!$A$2:$A$4314,1))-1)</f>
        <v>0.0770129127910348</v>
      </c>
    </row>
    <row r="1529" customFormat="false" ht="15" hidden="false" customHeight="false" outlineLevel="0" collapsed="false">
      <c r="A1529" s="16" t="n">
        <v>43535</v>
      </c>
      <c r="B1529" s="23" t="n">
        <f aca="false">YEAR(A1529)</f>
        <v>2019</v>
      </c>
      <c r="C1529" s="17" t="n">
        <v>3849.68</v>
      </c>
      <c r="D1529" s="23" t="n">
        <f aca="false">A1529-A1528</f>
        <v>1</v>
      </c>
      <c r="E1529" s="24" t="n">
        <f aca="false">LN(C1529)</f>
        <v>8.25574530694431</v>
      </c>
      <c r="F1529" s="25" t="n">
        <f aca="false">LN(C1529/C1528)</f>
        <v>-0.0132249582844523</v>
      </c>
      <c r="G1529" s="25" t="n">
        <f aca="false">IF(AND(D1529=1,A1529&gt;=$R$2),F1529,"")</f>
        <v>-0.0132249582844523</v>
      </c>
      <c r="H1529" s="27" t="n">
        <f aca="false">IF(G1529="","",G1529^2)</f>
        <v>0.000174899521625504</v>
      </c>
      <c r="I1529" s="25" t="n">
        <f aca="false">IF(G1529="","",C1529/C1528-1)</f>
        <v>-0.0131378927589062</v>
      </c>
      <c r="J1529" s="17" t="n">
        <f aca="false">AVERAGE(C1330:C1529)</f>
        <v>4917.94415</v>
      </c>
      <c r="K1529" s="17" t="n">
        <f aca="false">MAX(K1528,C1529)</f>
        <v>19650.01</v>
      </c>
      <c r="L1529" s="25" t="n">
        <f aca="false">C1529/K1529-1</f>
        <v>-0.804087631507567</v>
      </c>
      <c r="M1529" s="25" t="n">
        <f aca="false">IF(COUNT(G1500:G1529)&lt;20,"",_xlfn.STDEV.S(G1500:G1529)*SQRT($R$3))</f>
        <v>0.489833364158679</v>
      </c>
      <c r="N1529" s="25" t="n">
        <f aca="false">IF(A1529-7&lt;$R$2,"",C1529/INDEX(Clean_Data!$C$2:$C$4314,MATCH(A1529-7,Clean_Data!$A$2:$A$4314,1))-1)</f>
        <v>0.040251626710478</v>
      </c>
      <c r="O1529" s="25" t="n">
        <f aca="false">IF(A1529-30&lt;$R$2,"",C1529/INDEX(Clean_Data!$C$2:$C$4314,MATCH(A1529-30,Clean_Data!$A$2:$A$4314,1))-1)</f>
        <v>0.0623528794915735</v>
      </c>
    </row>
    <row r="1530" customFormat="false" ht="15" hidden="false" customHeight="false" outlineLevel="0" collapsed="false">
      <c r="A1530" s="16" t="n">
        <v>43536</v>
      </c>
      <c r="B1530" s="23" t="n">
        <f aca="false">YEAR(A1530)</f>
        <v>2019</v>
      </c>
      <c r="C1530" s="17" t="n">
        <v>3860</v>
      </c>
      <c r="D1530" s="23" t="n">
        <f aca="false">A1530-A1529</f>
        <v>1</v>
      </c>
      <c r="E1530" s="24" t="n">
        <f aca="false">LN(C1530)</f>
        <v>8.25842246245888</v>
      </c>
      <c r="F1530" s="25" t="n">
        <f aca="false">LN(C1530/C1529)</f>
        <v>0.0026771555145631</v>
      </c>
      <c r="G1530" s="25" t="n">
        <f aca="false">IF(AND(D1530=1,A1530&gt;=$R$2),F1530,"")</f>
        <v>0.0026771555145631</v>
      </c>
      <c r="H1530" s="27" t="n">
        <f aca="false">IF(G1530="","",G1530^2)</f>
        <v>7.16716164915562E-006</v>
      </c>
      <c r="I1530" s="25" t="n">
        <f aca="false">IF(G1530="","",C1530/C1529-1)</f>
        <v>0.00268074229546356</v>
      </c>
      <c r="J1530" s="17" t="n">
        <f aca="false">AVERAGE(C1331:C1530)</f>
        <v>4903.78975</v>
      </c>
      <c r="K1530" s="17" t="n">
        <f aca="false">MAX(K1529,C1530)</f>
        <v>19650.01</v>
      </c>
      <c r="L1530" s="25" t="n">
        <f aca="false">C1530/K1530-1</f>
        <v>-0.803562440935145</v>
      </c>
      <c r="M1530" s="25" t="n">
        <f aca="false">IF(COUNT(G1501:G1530)&lt;20,"",_xlfn.STDEV.S(G1501:G1530)*SQRT($R$3))</f>
        <v>0.489524111230048</v>
      </c>
      <c r="N1530" s="25" t="n">
        <f aca="false">IF(A1530-7&lt;$R$2,"",C1530/INDEX(Clean_Data!$C$2:$C$4314,MATCH(A1530-7,Clean_Data!$A$2:$A$4314,1))-1)</f>
        <v>0.00400822974621473</v>
      </c>
      <c r="O1530" s="25" t="n">
        <f aca="false">IF(A1530-30&lt;$R$2,"",C1530/INDEX(Clean_Data!$C$2:$C$4314,MATCH(A1530-30,Clean_Data!$A$2:$A$4314,1))-1)</f>
        <v>0.0578704464980651</v>
      </c>
    </row>
    <row r="1531" customFormat="false" ht="15" hidden="false" customHeight="false" outlineLevel="0" collapsed="false">
      <c r="A1531" s="16" t="n">
        <v>43537</v>
      </c>
      <c r="B1531" s="23" t="n">
        <f aca="false">YEAR(A1531)</f>
        <v>2019</v>
      </c>
      <c r="C1531" s="17" t="n">
        <v>3851.02</v>
      </c>
      <c r="D1531" s="23" t="n">
        <f aca="false">A1531-A1530</f>
        <v>1</v>
      </c>
      <c r="E1531" s="24" t="n">
        <f aca="false">LN(C1531)</f>
        <v>8.25609332725767</v>
      </c>
      <c r="F1531" s="25" t="n">
        <f aca="false">LN(C1531/C1530)</f>
        <v>-0.00232913520120845</v>
      </c>
      <c r="G1531" s="25" t="n">
        <f aca="false">IF(AND(D1531=1,A1531&gt;=$R$2),F1531,"")</f>
        <v>-0.00232913520120845</v>
      </c>
      <c r="H1531" s="27" t="n">
        <f aca="false">IF(G1531="","",G1531^2)</f>
        <v>5.42487078550834E-006</v>
      </c>
      <c r="I1531" s="25" t="n">
        <f aca="false">IF(G1531="","",C1531/C1530-1)</f>
        <v>-0.0023264248704663</v>
      </c>
      <c r="J1531" s="17" t="n">
        <f aca="false">AVERAGE(C1332:C1531)</f>
        <v>4889.35725</v>
      </c>
      <c r="K1531" s="17" t="n">
        <f aca="false">MAX(K1530,C1531)</f>
        <v>19650.01</v>
      </c>
      <c r="L1531" s="25" t="n">
        <f aca="false">C1531/K1531-1</f>
        <v>-0.804019438158047</v>
      </c>
      <c r="M1531" s="25" t="n">
        <f aca="false">IF(COUNT(G1502:G1531)&lt;20,"",_xlfn.STDEV.S(G1502:G1531)*SQRT($R$3))</f>
        <v>0.485472590951251</v>
      </c>
      <c r="N1531" s="25" t="n">
        <f aca="false">IF(A1531-7&lt;$R$2,"",C1531/INDEX(Clean_Data!$C$2:$C$4314,MATCH(A1531-7,Clean_Data!$A$2:$A$4314,1))-1)</f>
        <v>-0.000225863147701455</v>
      </c>
      <c r="O1531" s="25" t="n">
        <f aca="false">IF(A1531-30&lt;$R$2,"",C1531/INDEX(Clean_Data!$C$2:$C$4314,MATCH(A1531-30,Clean_Data!$A$2:$A$4314,1))-1)</f>
        <v>0.07259996212079</v>
      </c>
    </row>
    <row r="1532" customFormat="false" ht="15" hidden="false" customHeight="false" outlineLevel="0" collapsed="false">
      <c r="A1532" s="16" t="n">
        <v>43538</v>
      </c>
      <c r="B1532" s="23" t="n">
        <f aca="false">YEAR(A1532)</f>
        <v>2019</v>
      </c>
      <c r="C1532" s="17" t="n">
        <v>3853.95</v>
      </c>
      <c r="D1532" s="23" t="n">
        <f aca="false">A1532-A1531</f>
        <v>1</v>
      </c>
      <c r="E1532" s="24" t="n">
        <f aca="false">LN(C1532)</f>
        <v>8.25685387535616</v>
      </c>
      <c r="F1532" s="25" t="n">
        <f aca="false">LN(C1532/C1531)</f>
        <v>0.000760548098495862</v>
      </c>
      <c r="G1532" s="25" t="n">
        <f aca="false">IF(AND(D1532=1,A1532&gt;=$R$2),F1532,"")</f>
        <v>0.000760548098495862</v>
      </c>
      <c r="H1532" s="27" t="n">
        <f aca="false">IF(G1532="","",G1532^2)</f>
        <v>5.78433410125672E-007</v>
      </c>
      <c r="I1532" s="25" t="n">
        <f aca="false">IF(G1532="","",C1532/C1531-1)</f>
        <v>0.00076083738853594</v>
      </c>
      <c r="J1532" s="17" t="n">
        <f aca="false">AVERAGE(C1333:C1532)</f>
        <v>4875.0771</v>
      </c>
      <c r="K1532" s="17" t="n">
        <f aca="false">MAX(K1531,C1532)</f>
        <v>19650.01</v>
      </c>
      <c r="L1532" s="25" t="n">
        <f aca="false">C1532/K1532-1</f>
        <v>-0.803870328819171</v>
      </c>
      <c r="M1532" s="25" t="n">
        <f aca="false">IF(COUNT(G1503:G1532)&lt;20,"",_xlfn.STDEV.S(G1503:G1532)*SQRT($R$3))</f>
        <v>0.485389034016941</v>
      </c>
      <c r="N1532" s="25" t="n">
        <f aca="false">IF(A1532-7&lt;$R$2,"",C1532/INDEX(Clean_Data!$C$2:$C$4314,MATCH(A1532-7,Clean_Data!$A$2:$A$4314,1))-1)</f>
        <v>-0.000803723052592131</v>
      </c>
      <c r="O1532" s="25" t="n">
        <f aca="false">IF(A1532-30&lt;$R$2,"",C1532/INDEX(Clean_Data!$C$2:$C$4314,MATCH(A1532-30,Clean_Data!$A$2:$A$4314,1))-1)</f>
        <v>0.0741041119713717</v>
      </c>
    </row>
    <row r="1533" customFormat="false" ht="15" hidden="false" customHeight="false" outlineLevel="0" collapsed="false">
      <c r="A1533" s="16" t="n">
        <v>43539</v>
      </c>
      <c r="B1533" s="23" t="n">
        <f aca="false">YEAR(A1533)</f>
        <v>2019</v>
      </c>
      <c r="C1533" s="17" t="n">
        <v>3902.8</v>
      </c>
      <c r="D1533" s="23" t="n">
        <f aca="false">A1533-A1532</f>
        <v>1</v>
      </c>
      <c r="E1533" s="24" t="n">
        <f aca="false">LN(C1533)</f>
        <v>8.2694495232338</v>
      </c>
      <c r="F1533" s="25" t="n">
        <f aca="false">LN(C1533/C1532)</f>
        <v>0.012595647877631</v>
      </c>
      <c r="G1533" s="25" t="n">
        <f aca="false">IF(AND(D1533=1,A1533&gt;=$R$2),F1533,"")</f>
        <v>0.012595647877631</v>
      </c>
      <c r="H1533" s="27" t="n">
        <f aca="false">IF(G1533="","",G1533^2)</f>
        <v>0.000158650345457271</v>
      </c>
      <c r="I1533" s="25" t="n">
        <f aca="false">IF(G1533="","",C1533/C1532-1)</f>
        <v>0.0126753071524022</v>
      </c>
      <c r="J1533" s="17" t="n">
        <f aca="false">AVERAGE(C1334:C1533)</f>
        <v>4860.0316</v>
      </c>
      <c r="K1533" s="17" t="n">
        <f aca="false">MAX(K1532,C1533)</f>
        <v>19650.01</v>
      </c>
      <c r="L1533" s="25" t="n">
        <f aca="false">C1533/K1533-1</f>
        <v>-0.801384324995255</v>
      </c>
      <c r="M1533" s="25" t="n">
        <f aca="false">IF(COUNT(G1504:G1533)&lt;20,"",_xlfn.STDEV.S(G1504:G1533)*SQRT($R$3))</f>
        <v>0.486232318113427</v>
      </c>
      <c r="N1533" s="25" t="n">
        <f aca="false">IF(A1533-7&lt;$R$2,"",C1533/INDEX(Clean_Data!$C$2:$C$4314,MATCH(A1533-7,Clean_Data!$A$2:$A$4314,1))-1)</f>
        <v>0.0155290493140989</v>
      </c>
      <c r="O1533" s="25" t="n">
        <f aca="false">IF(A1533-30&lt;$R$2,"",C1533/INDEX(Clean_Data!$C$2:$C$4314,MATCH(A1533-30,Clean_Data!$A$2:$A$4314,1))-1)</f>
        <v>0.0911795296196474</v>
      </c>
    </row>
    <row r="1534" customFormat="false" ht="15" hidden="false" customHeight="false" outlineLevel="0" collapsed="false">
      <c r="A1534" s="16" t="n">
        <v>43540</v>
      </c>
      <c r="B1534" s="23" t="n">
        <f aca="false">YEAR(A1534)</f>
        <v>2019</v>
      </c>
      <c r="C1534" s="17" t="n">
        <v>3990</v>
      </c>
      <c r="D1534" s="23" t="n">
        <f aca="false">A1534-A1533</f>
        <v>1</v>
      </c>
      <c r="E1534" s="24" t="n">
        <f aca="false">LN(C1534)</f>
        <v>8.29154650988391</v>
      </c>
      <c r="F1534" s="25" t="n">
        <f aca="false">LN(C1534/C1533)</f>
        <v>0.0220969866501142</v>
      </c>
      <c r="G1534" s="25" t="n">
        <f aca="false">IF(AND(D1534=1,A1534&gt;=$R$2),F1534,"")</f>
        <v>0.0220969866501142</v>
      </c>
      <c r="H1534" s="27" t="n">
        <f aca="false">IF(G1534="","",G1534^2)</f>
        <v>0.000488276819015326</v>
      </c>
      <c r="I1534" s="25" t="n">
        <f aca="false">IF(G1534="","",C1534/C1533-1)</f>
        <v>0.0223429332786718</v>
      </c>
      <c r="J1534" s="17" t="n">
        <f aca="false">AVERAGE(C1335:C1534)</f>
        <v>4844.62655</v>
      </c>
      <c r="K1534" s="17" t="n">
        <f aca="false">MAX(K1533,C1534)</f>
        <v>19650.01</v>
      </c>
      <c r="L1534" s="25" t="n">
        <f aca="false">C1534/K1534-1</f>
        <v>-0.796946668220525</v>
      </c>
      <c r="M1534" s="25" t="n">
        <f aca="false">IF(COUNT(G1505:G1534)&lt;20,"",_xlfn.STDEV.S(G1505:G1534)*SQRT($R$3))</f>
        <v>0.490019535542395</v>
      </c>
      <c r="N1534" s="25" t="n">
        <f aca="false">IF(A1534-7&lt;$R$2,"",C1534/INDEX(Clean_Data!$C$2:$C$4314,MATCH(A1534-7,Clean_Data!$A$2:$A$4314,1))-1)</f>
        <v>0.0186367117692112</v>
      </c>
      <c r="O1534" s="25" t="n">
        <f aca="false">IF(A1534-30&lt;$R$2,"",C1534/INDEX(Clean_Data!$C$2:$C$4314,MATCH(A1534-30,Clean_Data!$A$2:$A$4314,1))-1)</f>
        <v>0.120314474238383</v>
      </c>
    </row>
    <row r="1535" customFormat="false" ht="15" hidden="false" customHeight="false" outlineLevel="0" collapsed="false">
      <c r="A1535" s="16" t="n">
        <v>43541</v>
      </c>
      <c r="B1535" s="23" t="n">
        <f aca="false">YEAR(A1535)</f>
        <v>2019</v>
      </c>
      <c r="C1535" s="17" t="n">
        <v>3967.01</v>
      </c>
      <c r="D1535" s="23" t="n">
        <f aca="false">A1535-A1534</f>
        <v>1</v>
      </c>
      <c r="E1535" s="24" t="n">
        <f aca="false">LN(C1535)</f>
        <v>8.28576794130773</v>
      </c>
      <c r="F1535" s="25" t="n">
        <f aca="false">LN(C1535/C1534)</f>
        <v>-0.00577856857618447</v>
      </c>
      <c r="G1535" s="25" t="n">
        <f aca="false">IF(AND(D1535=1,A1535&gt;=$R$2),F1535,"")</f>
        <v>-0.00577856857618447</v>
      </c>
      <c r="H1535" s="27" t="n">
        <f aca="false">IF(G1535="","",G1535^2)</f>
        <v>3.33918547896666E-005</v>
      </c>
      <c r="I1535" s="25" t="n">
        <f aca="false">IF(G1535="","",C1535/C1534-1)</f>
        <v>-0.00576190476190475</v>
      </c>
      <c r="J1535" s="17" t="n">
        <f aca="false">AVERAGE(C1336:C1535)</f>
        <v>4829.3071</v>
      </c>
      <c r="K1535" s="17" t="n">
        <f aca="false">MAX(K1534,C1535)</f>
        <v>19650.01</v>
      </c>
      <c r="L1535" s="25" t="n">
        <f aca="false">C1535/K1535-1</f>
        <v>-0.798116642179826</v>
      </c>
      <c r="M1535" s="25" t="n">
        <f aca="false">IF(COUNT(G1506:G1535)&lt;20,"",_xlfn.STDEV.S(G1506:G1535)*SQRT($R$3))</f>
        <v>0.491099745165093</v>
      </c>
      <c r="N1535" s="25" t="n">
        <f aca="false">IF(A1535-7&lt;$R$2,"",C1535/INDEX(Clean_Data!$C$2:$C$4314,MATCH(A1535-7,Clean_Data!$A$2:$A$4314,1))-1)</f>
        <v>0.0169395503123615</v>
      </c>
      <c r="O1535" s="25" t="n">
        <f aca="false">IF(A1535-30&lt;$R$2,"",C1535/INDEX(Clean_Data!$C$2:$C$4314,MATCH(A1535-30,Clean_Data!$A$2:$A$4314,1))-1)</f>
        <v>0.112269702993616</v>
      </c>
    </row>
    <row r="1536" customFormat="false" ht="15" hidden="false" customHeight="false" outlineLevel="0" collapsed="false">
      <c r="A1536" s="16" t="n">
        <v>43542</v>
      </c>
      <c r="B1536" s="23" t="n">
        <f aca="false">YEAR(A1536)</f>
        <v>2019</v>
      </c>
      <c r="C1536" s="17" t="n">
        <v>3970.5</v>
      </c>
      <c r="D1536" s="23" t="n">
        <f aca="false">A1536-A1535</f>
        <v>1</v>
      </c>
      <c r="E1536" s="24" t="n">
        <f aca="false">LN(C1536)</f>
        <v>8.28664731033527</v>
      </c>
      <c r="F1536" s="25" t="n">
        <f aca="false">LN(C1536/C1535)</f>
        <v>0.000879369027541012</v>
      </c>
      <c r="G1536" s="25" t="n">
        <f aca="false">IF(AND(D1536=1,A1536&gt;=$R$2),F1536,"")</f>
        <v>0.000879369027541012</v>
      </c>
      <c r="H1536" s="27" t="n">
        <f aca="false">IF(G1536="","",G1536^2)</f>
        <v>7.73289886598426E-007</v>
      </c>
      <c r="I1536" s="25" t="n">
        <f aca="false">IF(G1536="","",C1536/C1535-1)</f>
        <v>0.000879755785843761</v>
      </c>
      <c r="J1536" s="17" t="n">
        <f aca="false">AVERAGE(C1337:C1536)</f>
        <v>4814.2446</v>
      </c>
      <c r="K1536" s="17" t="n">
        <f aca="false">MAX(K1535,C1536)</f>
        <v>19650.01</v>
      </c>
      <c r="L1536" s="25" t="n">
        <f aca="false">C1536/K1536-1</f>
        <v>-0.797939034127718</v>
      </c>
      <c r="M1536" s="25" t="n">
        <f aca="false">IF(COUNT(G1507:G1536)&lt;20,"",_xlfn.STDEV.S(G1507:G1536)*SQRT($R$3))</f>
        <v>0.491175922126611</v>
      </c>
      <c r="N1536" s="25" t="n">
        <f aca="false">IF(A1536-7&lt;$R$2,"",C1536/INDEX(Clean_Data!$C$2:$C$4314,MATCH(A1536-7,Clean_Data!$A$2:$A$4314,1))-1)</f>
        <v>0.0313844267575487</v>
      </c>
      <c r="O1536" s="25" t="n">
        <f aca="false">IF(A1536-30&lt;$R$2,"",C1536/INDEX(Clean_Data!$C$2:$C$4314,MATCH(A1536-30,Clean_Data!$A$2:$A$4314,1))-1)</f>
        <v>0.108344475863744</v>
      </c>
    </row>
    <row r="1537" customFormat="false" ht="15" hidden="false" customHeight="false" outlineLevel="0" collapsed="false">
      <c r="A1537" s="16" t="n">
        <v>43543</v>
      </c>
      <c r="B1537" s="23" t="n">
        <f aca="false">YEAR(A1537)</f>
        <v>2019</v>
      </c>
      <c r="C1537" s="17" t="n">
        <v>4000.85</v>
      </c>
      <c r="D1537" s="23" t="n">
        <f aca="false">A1537-A1536</f>
        <v>1</v>
      </c>
      <c r="E1537" s="24" t="n">
        <f aca="false">LN(C1537)</f>
        <v>8.2942621175271</v>
      </c>
      <c r="F1537" s="25" t="n">
        <f aca="false">LN(C1537/C1536)</f>
        <v>0.00761480719183512</v>
      </c>
      <c r="G1537" s="25" t="n">
        <f aca="false">IF(AND(D1537=1,A1537&gt;=$R$2),F1537,"")</f>
        <v>0.00761480719183512</v>
      </c>
      <c r="H1537" s="27" t="n">
        <f aca="false">IF(G1537="","",G1537^2)</f>
        <v>5.79852885688238E-005</v>
      </c>
      <c r="I1537" s="25" t="n">
        <f aca="false">IF(G1537="","",C1537/C1536-1)</f>
        <v>0.0076438735675608</v>
      </c>
      <c r="J1537" s="17" t="n">
        <f aca="false">AVERAGE(C1338:C1537)</f>
        <v>4799.1738</v>
      </c>
      <c r="K1537" s="17" t="n">
        <f aca="false">MAX(K1536,C1537)</f>
        <v>19650.01</v>
      </c>
      <c r="L1537" s="25" t="n">
        <f aca="false">C1537/K1537-1</f>
        <v>-0.796394505651651</v>
      </c>
      <c r="M1537" s="25" t="n">
        <f aca="false">IF(COUNT(G1508:G1537)&lt;20,"",_xlfn.STDEV.S(G1508:G1537)*SQRT($R$3))</f>
        <v>0.490483298164801</v>
      </c>
      <c r="N1537" s="25" t="n">
        <f aca="false">IF(A1537-7&lt;$R$2,"",C1537/INDEX(Clean_Data!$C$2:$C$4314,MATCH(A1537-7,Clean_Data!$A$2:$A$4314,1))-1)</f>
        <v>0.0364896373056995</v>
      </c>
      <c r="O1537" s="25" t="n">
        <f aca="false">IF(A1537-30&lt;$R$2,"",C1537/INDEX(Clean_Data!$C$2:$C$4314,MATCH(A1537-30,Clean_Data!$A$2:$A$4314,1))-1)</f>
        <v>0.103658402021473</v>
      </c>
    </row>
    <row r="1538" customFormat="false" ht="15" hidden="false" customHeight="false" outlineLevel="0" collapsed="false">
      <c r="A1538" s="16" t="n">
        <v>43544</v>
      </c>
      <c r="B1538" s="23" t="n">
        <f aca="false">YEAR(A1538)</f>
        <v>2019</v>
      </c>
      <c r="C1538" s="17" t="n">
        <v>4031.85</v>
      </c>
      <c r="D1538" s="23" t="n">
        <f aca="false">A1538-A1537</f>
        <v>1</v>
      </c>
      <c r="E1538" s="24" t="n">
        <f aca="false">LN(C1538)</f>
        <v>8.30198060667823</v>
      </c>
      <c r="F1538" s="25" t="n">
        <f aca="false">LN(C1538/C1537)</f>
        <v>0.00771848915112567</v>
      </c>
      <c r="G1538" s="25" t="n">
        <f aca="false">IF(AND(D1538=1,A1538&gt;=$R$2),F1538,"")</f>
        <v>0.00771848915112567</v>
      </c>
      <c r="H1538" s="27" t="n">
        <f aca="false">IF(G1538="","",G1538^2)</f>
        <v>5.95750747760447E-005</v>
      </c>
      <c r="I1538" s="25" t="n">
        <f aca="false">IF(G1538="","",C1538/C1537-1)</f>
        <v>0.00774835347488656</v>
      </c>
      <c r="J1538" s="17" t="n">
        <f aca="false">AVERAGE(C1339:C1538)</f>
        <v>4783.37765</v>
      </c>
      <c r="K1538" s="17" t="n">
        <f aca="false">MAX(K1537,C1538)</f>
        <v>19650.01</v>
      </c>
      <c r="L1538" s="25" t="n">
        <f aca="false">C1538/K1538-1</f>
        <v>-0.794816898312011</v>
      </c>
      <c r="M1538" s="25" t="n">
        <f aca="false">IF(COUNT(G1509:G1538)&lt;20,"",_xlfn.STDEV.S(G1509:G1538)*SQRT($R$3))</f>
        <v>0.43834374202235</v>
      </c>
      <c r="N1538" s="25" t="n">
        <f aca="false">IF(A1538-7&lt;$R$2,"",C1538/INDEX(Clean_Data!$C$2:$C$4314,MATCH(A1538-7,Clean_Data!$A$2:$A$4314,1))-1)</f>
        <v>0.0469563907743922</v>
      </c>
      <c r="O1538" s="25" t="n">
        <f aca="false">IF(A1538-30&lt;$R$2,"",C1538/INDEX(Clean_Data!$C$2:$C$4314,MATCH(A1538-30,Clean_Data!$A$2:$A$4314,1))-1)</f>
        <v>0.0426299456943366</v>
      </c>
    </row>
    <row r="1539" customFormat="false" ht="15" hidden="false" customHeight="false" outlineLevel="0" collapsed="false">
      <c r="A1539" s="16" t="n">
        <v>43545</v>
      </c>
      <c r="B1539" s="23" t="n">
        <f aca="false">YEAR(A1539)</f>
        <v>2019</v>
      </c>
      <c r="C1539" s="17" t="n">
        <v>3972.76</v>
      </c>
      <c r="D1539" s="23" t="n">
        <f aca="false">A1539-A1538</f>
        <v>1</v>
      </c>
      <c r="E1539" s="24" t="n">
        <f aca="false">LN(C1539)</f>
        <v>8.28721634623765</v>
      </c>
      <c r="F1539" s="25" t="n">
        <f aca="false">LN(C1539/C1538)</f>
        <v>-0.0147642604405774</v>
      </c>
      <c r="G1539" s="25" t="n">
        <f aca="false">IF(AND(D1539=1,A1539&gt;=$R$2),F1539,"")</f>
        <v>-0.0147642604405774</v>
      </c>
      <c r="H1539" s="27" t="n">
        <f aca="false">IF(G1539="","",G1539^2)</f>
        <v>0.000217983386357197</v>
      </c>
      <c r="I1539" s="25" t="n">
        <f aca="false">IF(G1539="","",C1539/C1538-1)</f>
        <v>-0.0146558031672804</v>
      </c>
      <c r="J1539" s="17" t="n">
        <f aca="false">AVERAGE(C1340:C1539)</f>
        <v>4766.76645</v>
      </c>
      <c r="K1539" s="17" t="n">
        <f aca="false">MAX(K1538,C1539)</f>
        <v>19650.01</v>
      </c>
      <c r="L1539" s="25" t="n">
        <f aca="false">C1539/K1539-1</f>
        <v>-0.797824021463602</v>
      </c>
      <c r="M1539" s="25" t="n">
        <f aca="false">IF(COUNT(G1510:G1539)&lt;20,"",_xlfn.STDEV.S(G1510:G1539)*SQRT($R$3))</f>
        <v>0.441650731674479</v>
      </c>
      <c r="N1539" s="25" t="n">
        <f aca="false">IF(A1539-7&lt;$R$2,"",C1539/INDEX(Clean_Data!$C$2:$C$4314,MATCH(A1539-7,Clean_Data!$A$2:$A$4314,1))-1)</f>
        <v>0.0308281114181554</v>
      </c>
      <c r="O1539" s="25" t="n">
        <f aca="false">IF(A1539-30&lt;$R$2,"",C1539/INDEX(Clean_Data!$C$2:$C$4314,MATCH(A1539-30,Clean_Data!$A$2:$A$4314,1))-1)</f>
        <v>0.021797783441915</v>
      </c>
    </row>
    <row r="1540" customFormat="false" ht="15" hidden="false" customHeight="false" outlineLevel="0" collapsed="false">
      <c r="A1540" s="16" t="n">
        <v>43546</v>
      </c>
      <c r="B1540" s="23" t="n">
        <f aca="false">YEAR(A1540)</f>
        <v>2019</v>
      </c>
      <c r="C1540" s="17" t="n">
        <v>3983.78</v>
      </c>
      <c r="D1540" s="23" t="n">
        <f aca="false">A1540-A1539</f>
        <v>1</v>
      </c>
      <c r="E1540" s="24" t="n">
        <f aca="false">LN(C1540)</f>
        <v>8.28998639629623</v>
      </c>
      <c r="F1540" s="25" t="n">
        <f aca="false">LN(C1540/C1539)</f>
        <v>0.00277005005857665</v>
      </c>
      <c r="G1540" s="25" t="n">
        <f aca="false">IF(AND(D1540=1,A1540&gt;=$R$2),F1540,"")</f>
        <v>0.00277005005857665</v>
      </c>
      <c r="H1540" s="27" t="n">
        <f aca="false">IF(G1540="","",G1540^2)</f>
        <v>7.6731773270205E-006</v>
      </c>
      <c r="I1540" s="25" t="n">
        <f aca="false">IF(G1540="","",C1540/C1539-1)</f>
        <v>0.00277389019220897</v>
      </c>
      <c r="J1540" s="17" t="n">
        <f aca="false">AVERAGE(C1341:C1540)</f>
        <v>4750.40045</v>
      </c>
      <c r="K1540" s="17" t="n">
        <f aca="false">MAX(K1539,C1540)</f>
        <v>19650.01</v>
      </c>
      <c r="L1540" s="25" t="n">
        <f aca="false">C1540/K1540-1</f>
        <v>-0.79726320749964</v>
      </c>
      <c r="M1540" s="25" t="n">
        <f aca="false">IF(COUNT(G1511:G1540)&lt;20,"",_xlfn.STDEV.S(G1511:G1540)*SQRT($R$3))</f>
        <v>0.439496888335902</v>
      </c>
      <c r="N1540" s="25" t="n">
        <f aca="false">IF(A1540-7&lt;$R$2,"",C1540/INDEX(Clean_Data!$C$2:$C$4314,MATCH(A1540-7,Clean_Data!$A$2:$A$4314,1))-1)</f>
        <v>0.0207492056984728</v>
      </c>
      <c r="O1540" s="25" t="n">
        <f aca="false">IF(A1540-30&lt;$R$2,"",C1540/INDEX(Clean_Data!$C$2:$C$4314,MATCH(A1540-30,Clean_Data!$A$2:$A$4314,1))-1)</f>
        <v>0.0113709351889699</v>
      </c>
    </row>
    <row r="1541" customFormat="false" ht="15" hidden="false" customHeight="false" outlineLevel="0" collapsed="false">
      <c r="A1541" s="16" t="n">
        <v>43547</v>
      </c>
      <c r="B1541" s="23" t="n">
        <f aca="false">YEAR(A1541)</f>
        <v>2019</v>
      </c>
      <c r="C1541" s="17" t="n">
        <v>3983.43</v>
      </c>
      <c r="D1541" s="23" t="n">
        <f aca="false">A1541-A1540</f>
        <v>1</v>
      </c>
      <c r="E1541" s="24" t="n">
        <f aca="false">LN(C1541)</f>
        <v>8.28989853617952</v>
      </c>
      <c r="F1541" s="25" t="n">
        <f aca="false">LN(C1541/C1540)</f>
        <v>-8.7860116709728E-005</v>
      </c>
      <c r="G1541" s="25" t="n">
        <f aca="false">IF(AND(D1541=1,A1541&gt;=$R$2),F1541,"")</f>
        <v>-8.7860116709728E-005</v>
      </c>
      <c r="H1541" s="27" t="n">
        <f aca="false">IF(G1541="","",G1541^2)</f>
        <v>7.71940010824702E-009</v>
      </c>
      <c r="I1541" s="25" t="n">
        <f aca="false">IF(G1541="","",C1541/C1540-1)</f>
        <v>-8.78562571227093E-005</v>
      </c>
      <c r="J1541" s="17" t="n">
        <f aca="false">AVERAGE(C1342:C1541)</f>
        <v>4733.5176</v>
      </c>
      <c r="K1541" s="17" t="n">
        <f aca="false">MAX(K1540,C1541)</f>
        <v>19650.01</v>
      </c>
      <c r="L1541" s="25" t="n">
        <f aca="false">C1541/K1541-1</f>
        <v>-0.79728101919541</v>
      </c>
      <c r="M1541" s="25" t="n">
        <f aca="false">IF(COUNT(G1512:G1541)&lt;20,"",_xlfn.STDEV.S(G1512:G1541)*SQRT($R$3))</f>
        <v>0.437739386801831</v>
      </c>
      <c r="N1541" s="25" t="n">
        <f aca="false">IF(A1541-7&lt;$R$2,"",C1541/INDEX(Clean_Data!$C$2:$C$4314,MATCH(A1541-7,Clean_Data!$A$2:$A$4314,1))-1)</f>
        <v>-0.00164661654135345</v>
      </c>
      <c r="O1541" s="25" t="n">
        <f aca="false">IF(A1541-30&lt;$R$2,"",C1541/INDEX(Clean_Data!$C$2:$C$4314,MATCH(A1541-30,Clean_Data!$A$2:$A$4314,1))-1)</f>
        <v>0.0219924006660321</v>
      </c>
    </row>
    <row r="1542" customFormat="false" ht="15" hidden="false" customHeight="false" outlineLevel="0" collapsed="false">
      <c r="A1542" s="16" t="n">
        <v>43548</v>
      </c>
      <c r="B1542" s="23" t="n">
        <f aca="false">YEAR(A1542)</f>
        <v>2019</v>
      </c>
      <c r="C1542" s="17" t="n">
        <v>3969.52</v>
      </c>
      <c r="D1542" s="23" t="n">
        <f aca="false">A1542-A1541</f>
        <v>1</v>
      </c>
      <c r="E1542" s="24" t="n">
        <f aca="false">LN(C1542)</f>
        <v>8.28640045957041</v>
      </c>
      <c r="F1542" s="25" t="n">
        <f aca="false">LN(C1542/C1541)</f>
        <v>-0.0034980766091038</v>
      </c>
      <c r="G1542" s="25" t="n">
        <f aca="false">IF(AND(D1542=1,A1542&gt;=$R$2),F1542,"")</f>
        <v>-0.0034980766091038</v>
      </c>
      <c r="H1542" s="27" t="n">
        <f aca="false">IF(G1542="","",G1542^2)</f>
        <v>1.22365399631591E-005</v>
      </c>
      <c r="I1542" s="25" t="n">
        <f aca="false">IF(G1542="","",C1542/C1541-1)</f>
        <v>-0.00349196546694675</v>
      </c>
      <c r="J1542" s="17" t="n">
        <f aca="false">AVERAGE(C1343:C1542)</f>
        <v>4719.9254</v>
      </c>
      <c r="K1542" s="17" t="n">
        <f aca="false">MAX(K1541,C1542)</f>
        <v>19650.01</v>
      </c>
      <c r="L1542" s="25" t="n">
        <f aca="false">C1542/K1542-1</f>
        <v>-0.797988906875874</v>
      </c>
      <c r="M1542" s="25" t="n">
        <f aca="false">IF(COUNT(G1513:G1542)&lt;20,"",_xlfn.STDEV.S(G1513:G1542)*SQRT($R$3))</f>
        <v>0.436279446477244</v>
      </c>
      <c r="N1542" s="25" t="n">
        <f aca="false">IF(A1542-7&lt;$R$2,"",C1542/INDEX(Clean_Data!$C$2:$C$4314,MATCH(A1542-7,Clean_Data!$A$2:$A$4314,1))-1)</f>
        <v>0.000632718344546479</v>
      </c>
      <c r="O1542" s="25" t="n">
        <f aca="false">IF(A1542-30&lt;$R$2,"",C1542/INDEX(Clean_Data!$C$2:$C$4314,MATCH(A1542-30,Clean_Data!$A$2:$A$4314,1))-1)</f>
        <v>0.00697611884262384</v>
      </c>
    </row>
    <row r="1543" customFormat="false" ht="15" hidden="false" customHeight="false" outlineLevel="0" collapsed="false">
      <c r="A1543" s="16" t="n">
        <v>43549</v>
      </c>
      <c r="B1543" s="23" t="n">
        <f aca="false">YEAR(A1543)</f>
        <v>2019</v>
      </c>
      <c r="C1543" s="17" t="n">
        <v>3907.53</v>
      </c>
      <c r="D1543" s="23" t="n">
        <f aca="false">A1543-A1542</f>
        <v>1</v>
      </c>
      <c r="E1543" s="24" t="n">
        <f aca="false">LN(C1543)</f>
        <v>8.27066073980935</v>
      </c>
      <c r="F1543" s="25" t="n">
        <f aca="false">LN(C1543/C1542)</f>
        <v>-0.0157397197610663</v>
      </c>
      <c r="G1543" s="25" t="n">
        <f aca="false">IF(AND(D1543=1,A1543&gt;=$R$2),F1543,"")</f>
        <v>-0.0157397197610663</v>
      </c>
      <c r="H1543" s="27" t="n">
        <f aca="false">IF(G1543="","",G1543^2)</f>
        <v>0.000247738778156901</v>
      </c>
      <c r="I1543" s="25" t="n">
        <f aca="false">IF(G1543="","",C1543/C1542-1)</f>
        <v>-0.0156164977125697</v>
      </c>
      <c r="J1543" s="17" t="n">
        <f aca="false">AVERAGE(C1344:C1543)</f>
        <v>4706.98805</v>
      </c>
      <c r="K1543" s="17" t="n">
        <f aca="false">MAX(K1542,C1543)</f>
        <v>19650.01</v>
      </c>
      <c r="L1543" s="25" t="n">
        <f aca="false">C1543/K1543-1</f>
        <v>-0.801143612649561</v>
      </c>
      <c r="M1543" s="25" t="n">
        <f aca="false">IF(COUNT(G1514:G1543)&lt;20,"",_xlfn.STDEV.S(G1514:G1543)*SQRT($R$3))</f>
        <v>0.412904566569389</v>
      </c>
      <c r="N1543" s="25" t="n">
        <f aca="false">IF(A1543-7&lt;$R$2,"",C1543/INDEX(Clean_Data!$C$2:$C$4314,MATCH(A1543-7,Clean_Data!$A$2:$A$4314,1))-1)</f>
        <v>-0.0158594635436342</v>
      </c>
      <c r="O1543" s="25" t="n">
        <f aca="false">IF(A1543-30&lt;$R$2,"",C1543/INDEX(Clean_Data!$C$2:$C$4314,MATCH(A1543-30,Clean_Data!$A$2:$A$4314,1))-1)</f>
        <v>-0.0492627737226277</v>
      </c>
    </row>
    <row r="1544" customFormat="false" ht="15" hidden="false" customHeight="false" outlineLevel="0" collapsed="false">
      <c r="A1544" s="16" t="n">
        <v>43550</v>
      </c>
      <c r="B1544" s="23" t="n">
        <f aca="false">YEAR(A1544)</f>
        <v>2019</v>
      </c>
      <c r="C1544" s="17" t="n">
        <v>3921.45</v>
      </c>
      <c r="D1544" s="23" t="n">
        <f aca="false">A1544-A1543</f>
        <v>1</v>
      </c>
      <c r="E1544" s="24" t="n">
        <f aca="false">LN(C1544)</f>
        <v>8.27421676234831</v>
      </c>
      <c r="F1544" s="25" t="n">
        <f aca="false">LN(C1544/C1543)</f>
        <v>0.0035560225389618</v>
      </c>
      <c r="G1544" s="25" t="n">
        <f aca="false">IF(AND(D1544=1,A1544&gt;=$R$2),F1544,"")</f>
        <v>0.0035560225389618</v>
      </c>
      <c r="H1544" s="27" t="n">
        <f aca="false">IF(G1544="","",G1544^2)</f>
        <v>1.26452962976043E-005</v>
      </c>
      <c r="I1544" s="25" t="n">
        <f aca="false">IF(G1544="","",C1544/C1543-1)</f>
        <v>0.0035623526882711</v>
      </c>
      <c r="J1544" s="17" t="n">
        <f aca="false">AVERAGE(C1345:C1544)</f>
        <v>4694.62025</v>
      </c>
      <c r="K1544" s="17" t="n">
        <f aca="false">MAX(K1543,C1544)</f>
        <v>19650.01</v>
      </c>
      <c r="L1544" s="25" t="n">
        <f aca="false">C1544/K1544-1</f>
        <v>-0.800435216063503</v>
      </c>
      <c r="M1544" s="25" t="n">
        <f aca="false">IF(COUNT(G1515:G1544)&lt;20,"",_xlfn.STDEV.S(G1515:G1544)*SQRT($R$3))</f>
        <v>0.234523745708082</v>
      </c>
      <c r="N1544" s="25" t="n">
        <f aca="false">IF(A1544-7&lt;$R$2,"",C1544/INDEX(Clean_Data!$C$2:$C$4314,MATCH(A1544-7,Clean_Data!$A$2:$A$4314,1))-1)</f>
        <v>-0.0198457827711611</v>
      </c>
      <c r="O1544" s="25" t="n">
        <f aca="false">IF(A1544-30&lt;$R$2,"",C1544/INDEX(Clean_Data!$C$2:$C$4314,MATCH(A1544-30,Clean_Data!$A$2:$A$4314,1))-1)</f>
        <v>0.0501389848482414</v>
      </c>
    </row>
    <row r="1545" customFormat="false" ht="15" hidden="false" customHeight="false" outlineLevel="0" collapsed="false">
      <c r="A1545" s="16" t="n">
        <v>43551</v>
      </c>
      <c r="B1545" s="23" t="n">
        <f aca="false">YEAR(A1545)</f>
        <v>2019</v>
      </c>
      <c r="C1545" s="17" t="n">
        <v>4026.53</v>
      </c>
      <c r="D1545" s="23" t="n">
        <f aca="false">A1545-A1544</f>
        <v>1</v>
      </c>
      <c r="E1545" s="24" t="n">
        <f aca="false">LN(C1545)</f>
        <v>8.30066024184736</v>
      </c>
      <c r="F1545" s="25" t="n">
        <f aca="false">LN(C1545/C1544)</f>
        <v>0.0264434794990495</v>
      </c>
      <c r="G1545" s="25" t="n">
        <f aca="false">IF(AND(D1545=1,A1545&gt;=$R$2),F1545,"")</f>
        <v>0.0264434794990495</v>
      </c>
      <c r="H1545" s="27" t="n">
        <f aca="false">IF(G1545="","",G1545^2)</f>
        <v>0.000699257608016653</v>
      </c>
      <c r="I1545" s="25" t="n">
        <f aca="false">IF(G1545="","",C1545/C1544-1)</f>
        <v>0.0267962105853703</v>
      </c>
      <c r="J1545" s="17" t="n">
        <f aca="false">AVERAGE(C1346:C1545)</f>
        <v>4683.8129</v>
      </c>
      <c r="K1545" s="17" t="n">
        <f aca="false">MAX(K1544,C1545)</f>
        <v>19650.01</v>
      </c>
      <c r="L1545" s="25" t="n">
        <f aca="false">C1545/K1545-1</f>
        <v>-0.795087636087717</v>
      </c>
      <c r="M1545" s="25" t="n">
        <f aca="false">IF(COUNT(G1516:G1545)&lt;20,"",_xlfn.STDEV.S(G1516:G1545)*SQRT($R$3))</f>
        <v>0.23940982430598</v>
      </c>
      <c r="N1545" s="25" t="n">
        <f aca="false">IF(A1545-7&lt;$R$2,"",C1545/INDEX(Clean_Data!$C$2:$C$4314,MATCH(A1545-7,Clean_Data!$A$2:$A$4314,1))-1)</f>
        <v>-0.00131949353274541</v>
      </c>
      <c r="O1545" s="25" t="n">
        <f aca="false">IF(A1545-30&lt;$R$2,"",C1545/INDEX(Clean_Data!$C$2:$C$4314,MATCH(A1545-30,Clean_Data!$A$2:$A$4314,1))-1)</f>
        <v>0.0543994301860014</v>
      </c>
    </row>
    <row r="1546" customFormat="false" ht="15" hidden="false" customHeight="false" outlineLevel="0" collapsed="false">
      <c r="A1546" s="16" t="n">
        <v>43552</v>
      </c>
      <c r="B1546" s="23" t="n">
        <f aca="false">YEAR(A1546)</f>
        <v>2019</v>
      </c>
      <c r="C1546" s="17" t="n">
        <v>4011.17</v>
      </c>
      <c r="D1546" s="23" t="n">
        <f aca="false">A1546-A1545</f>
        <v>1</v>
      </c>
      <c r="E1546" s="24" t="n">
        <f aca="false">LN(C1546)</f>
        <v>8.29683824831743</v>
      </c>
      <c r="F1546" s="25" t="n">
        <f aca="false">LN(C1546/C1545)</f>
        <v>-0.00382199352993217</v>
      </c>
      <c r="G1546" s="25" t="n">
        <f aca="false">IF(AND(D1546=1,A1546&gt;=$R$2),F1546,"")</f>
        <v>-0.00382199352993217</v>
      </c>
      <c r="H1546" s="27" t="n">
        <f aca="false">IF(G1546="","",G1546^2)</f>
        <v>1.46076345428433E-005</v>
      </c>
      <c r="I1546" s="25" t="n">
        <f aca="false">IF(G1546="","",C1546/C1545-1)</f>
        <v>-0.00381469900882403</v>
      </c>
      <c r="J1546" s="17" t="n">
        <f aca="false">AVERAGE(C1347:C1546)</f>
        <v>4672.6937</v>
      </c>
      <c r="K1546" s="17" t="n">
        <f aca="false">MAX(K1545,C1546)</f>
        <v>19650.01</v>
      </c>
      <c r="L1546" s="25" t="n">
        <f aca="false">C1546/K1546-1</f>
        <v>-0.795869315079229</v>
      </c>
      <c r="M1546" s="25" t="n">
        <f aca="false">IF(COUNT(G1517:G1546)&lt;20,"",_xlfn.STDEV.S(G1517:G1546)*SQRT($R$3))</f>
        <v>0.2390007760204</v>
      </c>
      <c r="N1546" s="25" t="n">
        <f aca="false">IF(A1546-7&lt;$R$2,"",C1546/INDEX(Clean_Data!$C$2:$C$4314,MATCH(A1546-7,Clean_Data!$A$2:$A$4314,1))-1)</f>
        <v>0.00966834140496786</v>
      </c>
      <c r="O1546" s="25" t="n">
        <f aca="false">IF(A1546-30&lt;$R$2,"",C1546/INDEX(Clean_Data!$C$2:$C$4314,MATCH(A1546-30,Clean_Data!$A$2:$A$4314,1))-1)</f>
        <v>0.0557155189657532</v>
      </c>
    </row>
    <row r="1547" customFormat="false" ht="15" hidden="false" customHeight="false" outlineLevel="0" collapsed="false">
      <c r="A1547" s="16" t="n">
        <v>43553</v>
      </c>
      <c r="B1547" s="23" t="n">
        <f aca="false">YEAR(A1547)</f>
        <v>2019</v>
      </c>
      <c r="C1547" s="17" t="n">
        <v>4091.01</v>
      </c>
      <c r="D1547" s="23" t="n">
        <f aca="false">A1547-A1546</f>
        <v>1</v>
      </c>
      <c r="E1547" s="24" t="n">
        <f aca="false">LN(C1547)</f>
        <v>8.31654716231654</v>
      </c>
      <c r="F1547" s="25" t="n">
        <f aca="false">LN(C1547/C1546)</f>
        <v>0.0197089139991109</v>
      </c>
      <c r="G1547" s="25" t="n">
        <f aca="false">IF(AND(D1547=1,A1547&gt;=$R$2),F1547,"")</f>
        <v>0.0197089139991109</v>
      </c>
      <c r="H1547" s="27" t="n">
        <f aca="false">IF(G1547="","",G1547^2)</f>
        <v>0.000388441291024349</v>
      </c>
      <c r="I1547" s="25" t="n">
        <f aca="false">IF(G1547="","",C1547/C1546-1)</f>
        <v>0.0199044169157627</v>
      </c>
      <c r="J1547" s="17" t="n">
        <f aca="false">AVERAGE(C1348:C1547)</f>
        <v>4661.64875</v>
      </c>
      <c r="K1547" s="17" t="n">
        <f aca="false">MAX(K1546,C1547)</f>
        <v>19650.01</v>
      </c>
      <c r="L1547" s="25" t="n">
        <f aca="false">C1547/K1547-1</f>
        <v>-0.791806212821266</v>
      </c>
      <c r="M1547" s="25" t="n">
        <f aca="false">IF(COUNT(G1518:G1547)&lt;20,"",_xlfn.STDEV.S(G1518:G1547)*SQRT($R$3))</f>
        <v>0.246895979451616</v>
      </c>
      <c r="N1547" s="25" t="n">
        <f aca="false">IF(A1547-7&lt;$R$2,"",C1547/INDEX(Clean_Data!$C$2:$C$4314,MATCH(A1547-7,Clean_Data!$A$2:$A$4314,1))-1)</f>
        <v>0.0269166470035995</v>
      </c>
      <c r="O1547" s="25" t="n">
        <f aca="false">IF(A1547-30&lt;$R$2,"",C1547/INDEX(Clean_Data!$C$2:$C$4314,MATCH(A1547-30,Clean_Data!$A$2:$A$4314,1))-1)</f>
        <v>0.076607077536047</v>
      </c>
    </row>
    <row r="1548" customFormat="false" ht="15" hidden="false" customHeight="false" outlineLevel="0" collapsed="false">
      <c r="A1548" s="16" t="n">
        <v>43554</v>
      </c>
      <c r="B1548" s="23" t="n">
        <f aca="false">YEAR(A1548)</f>
        <v>2019</v>
      </c>
      <c r="C1548" s="17" t="n">
        <v>4094.14</v>
      </c>
      <c r="D1548" s="23" t="n">
        <f aca="false">A1548-A1547</f>
        <v>1</v>
      </c>
      <c r="E1548" s="24" t="n">
        <f aca="false">LN(C1548)</f>
        <v>8.31731196202151</v>
      </c>
      <c r="F1548" s="25" t="n">
        <f aca="false">LN(C1548/C1547)</f>
        <v>0.000764799704969595</v>
      </c>
      <c r="G1548" s="25" t="n">
        <f aca="false">IF(AND(D1548=1,A1548&gt;=$R$2),F1548,"")</f>
        <v>0.000764799704969595</v>
      </c>
      <c r="H1548" s="27" t="n">
        <f aca="false">IF(G1548="","",G1548^2)</f>
        <v>5.84918588721579E-007</v>
      </c>
      <c r="I1548" s="25" t="n">
        <f aca="false">IF(G1548="","",C1548/C1547-1)</f>
        <v>0.000765092238835807</v>
      </c>
      <c r="J1548" s="17" t="n">
        <f aca="false">AVERAGE(C1349:C1548)</f>
        <v>4650.7068</v>
      </c>
      <c r="K1548" s="17" t="n">
        <f aca="false">MAX(K1547,C1548)</f>
        <v>19650.01</v>
      </c>
      <c r="L1548" s="25" t="n">
        <f aca="false">C1548/K1548-1</f>
        <v>-0.791646925370521</v>
      </c>
      <c r="M1548" s="25" t="n">
        <f aca="false">IF(COUNT(G1519:G1548)&lt;20,"",_xlfn.STDEV.S(G1519:G1548)*SQRT($R$3))</f>
        <v>0.246444298627009</v>
      </c>
      <c r="N1548" s="25" t="n">
        <f aca="false">IF(A1548-7&lt;$R$2,"",C1548/INDEX(Clean_Data!$C$2:$C$4314,MATCH(A1548-7,Clean_Data!$A$2:$A$4314,1))-1)</f>
        <v>0.027792630973809</v>
      </c>
      <c r="O1548" s="25" t="n">
        <f aca="false">IF(A1548-30&lt;$R$2,"",C1548/INDEX(Clean_Data!$C$2:$C$4314,MATCH(A1548-30,Clean_Data!$A$2:$A$4314,1))-1)</f>
        <v>0.0796384099743153</v>
      </c>
    </row>
    <row r="1549" customFormat="false" ht="15" hidden="false" customHeight="false" outlineLevel="0" collapsed="false">
      <c r="A1549" s="16" t="n">
        <v>43555</v>
      </c>
      <c r="B1549" s="23" t="n">
        <f aca="false">YEAR(A1549)</f>
        <v>2019</v>
      </c>
      <c r="C1549" s="17" t="n">
        <v>4094.99</v>
      </c>
      <c r="D1549" s="23" t="n">
        <f aca="false">A1549-A1548</f>
        <v>1</v>
      </c>
      <c r="E1549" s="24" t="n">
        <f aca="false">LN(C1549)</f>
        <v>8.31751955428175</v>
      </c>
      <c r="F1549" s="25" t="n">
        <f aca="false">LN(C1549/C1548)</f>
        <v>0.000207592260240676</v>
      </c>
      <c r="G1549" s="25" t="n">
        <f aca="false">IF(AND(D1549=1,A1549&gt;=$R$2),F1549,"")</f>
        <v>0.000207592260240676</v>
      </c>
      <c r="H1549" s="27" t="n">
        <f aca="false">IF(G1549="","",G1549^2)</f>
        <v>4.30945465118326E-008</v>
      </c>
      <c r="I1549" s="25" t="n">
        <f aca="false">IF(G1549="","",C1549/C1548-1)</f>
        <v>0.000207613809005025</v>
      </c>
      <c r="J1549" s="17" t="n">
        <f aca="false">AVERAGE(C1350:C1549)</f>
        <v>4639.55175</v>
      </c>
      <c r="K1549" s="17" t="n">
        <f aca="false">MAX(K1548,C1549)</f>
        <v>19650.01</v>
      </c>
      <c r="L1549" s="25" t="n">
        <f aca="false">C1549/K1549-1</f>
        <v>-0.79160366839508</v>
      </c>
      <c r="M1549" s="25" t="n">
        <f aca="false">IF(COUNT(G1520:G1549)&lt;20,"",_xlfn.STDEV.S(G1520:G1549)*SQRT($R$3))</f>
        <v>0.246541442002184</v>
      </c>
      <c r="N1549" s="25" t="n">
        <f aca="false">IF(A1549-7&lt;$R$2,"",C1549/INDEX(Clean_Data!$C$2:$C$4314,MATCH(A1549-7,Clean_Data!$A$2:$A$4314,1))-1)</f>
        <v>0.0316083556702069</v>
      </c>
      <c r="O1549" s="25" t="n">
        <f aca="false">IF(A1549-30&lt;$R$2,"",C1549/INDEX(Clean_Data!$C$2:$C$4314,MATCH(A1549-30,Clean_Data!$A$2:$A$4314,1))-1)</f>
        <v>0.0758820546638745</v>
      </c>
    </row>
    <row r="1550" customFormat="false" ht="15" hidden="false" customHeight="false" outlineLevel="0" collapsed="false">
      <c r="A1550" s="16" t="n">
        <v>43556</v>
      </c>
      <c r="B1550" s="23" t="n">
        <f aca="false">YEAR(A1550)</f>
        <v>2019</v>
      </c>
      <c r="C1550" s="17" t="n">
        <v>4137</v>
      </c>
      <c r="D1550" s="23" t="n">
        <f aca="false">A1550-A1549</f>
        <v>1</v>
      </c>
      <c r="E1550" s="24" t="n">
        <f aca="false">LN(C1550)</f>
        <v>8.32772616646141</v>
      </c>
      <c r="F1550" s="25" t="n">
        <f aca="false">LN(C1550/C1549)</f>
        <v>0.0102066121796654</v>
      </c>
      <c r="G1550" s="25" t="n">
        <f aca="false">IF(AND(D1550=1,A1550&gt;=$R$2),F1550,"")</f>
        <v>0.0102066121796654</v>
      </c>
      <c r="H1550" s="27" t="n">
        <f aca="false">IF(G1550="","",G1550^2)</f>
        <v>0.000104174932186094</v>
      </c>
      <c r="I1550" s="25" t="n">
        <f aca="false">IF(G1550="","",C1550/C1549-1)</f>
        <v>0.0102588773110557</v>
      </c>
      <c r="J1550" s="17" t="n">
        <f aca="false">AVERAGE(C1351:C1550)</f>
        <v>4627.8068</v>
      </c>
      <c r="K1550" s="17" t="n">
        <f aca="false">MAX(K1549,C1550)</f>
        <v>19650.01</v>
      </c>
      <c r="L1550" s="25" t="n">
        <f aca="false">C1550/K1550-1</f>
        <v>-0.789465755997071</v>
      </c>
      <c r="M1550" s="25" t="n">
        <f aca="false">IF(COUNT(G1521:G1550)&lt;20,"",_xlfn.STDEV.S(G1521:G1550)*SQRT($R$3))</f>
        <v>0.247946381412178</v>
      </c>
      <c r="N1550" s="25" t="n">
        <f aca="false">IF(A1550-7&lt;$R$2,"",C1550/INDEX(Clean_Data!$C$2:$C$4314,MATCH(A1550-7,Clean_Data!$A$2:$A$4314,1))-1)</f>
        <v>0.0587250769667795</v>
      </c>
      <c r="O1550" s="25" t="n">
        <f aca="false">IF(A1550-30&lt;$R$2,"",C1550/INDEX(Clean_Data!$C$2:$C$4314,MATCH(A1550-30,Clean_Data!$A$2:$A$4314,1))-1)</f>
        <v>0.0859122765572093</v>
      </c>
    </row>
    <row r="1551" customFormat="false" ht="15" hidden="false" customHeight="false" outlineLevel="0" collapsed="false">
      <c r="A1551" s="16" t="n">
        <v>43557</v>
      </c>
      <c r="B1551" s="23" t="n">
        <f aca="false">YEAR(A1551)</f>
        <v>2019</v>
      </c>
      <c r="C1551" s="17" t="n">
        <v>4901.93</v>
      </c>
      <c r="D1551" s="23" t="n">
        <f aca="false">A1551-A1550</f>
        <v>1</v>
      </c>
      <c r="E1551" s="24" t="n">
        <f aca="false">LN(C1551)</f>
        <v>8.49738428410034</v>
      </c>
      <c r="F1551" s="25" t="n">
        <f aca="false">LN(C1551/C1550)</f>
        <v>0.169658117638927</v>
      </c>
      <c r="G1551" s="25" t="n">
        <f aca="false">IF(AND(D1551=1,A1551&gt;=$R$2),F1551,"")</f>
        <v>0.169658117638927</v>
      </c>
      <c r="H1551" s="27" t="n">
        <f aca="false">IF(G1551="","",G1551^2)</f>
        <v>0.028783876880784</v>
      </c>
      <c r="I1551" s="25" t="n">
        <f aca="false">IF(G1551="","",C1551/C1550-1)</f>
        <v>0.18489968576263</v>
      </c>
      <c r="J1551" s="17" t="n">
        <f aca="false">AVERAGE(C1352:C1551)</f>
        <v>4619.92625</v>
      </c>
      <c r="K1551" s="17" t="n">
        <f aca="false">MAX(K1550,C1551)</f>
        <v>19650.01</v>
      </c>
      <c r="L1551" s="25" t="n">
        <f aca="false">C1551/K1551-1</f>
        <v>-0.750538040438656</v>
      </c>
      <c r="M1551" s="25" t="n">
        <f aca="false">IF(COUNT(G1522:G1551)&lt;20,"",_xlfn.STDEV.S(G1522:G1551)*SQRT($R$3))</f>
        <v>0.631041011371674</v>
      </c>
      <c r="N1551" s="25" t="n">
        <f aca="false">IF(A1551-7&lt;$R$2,"",C1551/INDEX(Clean_Data!$C$2:$C$4314,MATCH(A1551-7,Clean_Data!$A$2:$A$4314,1))-1)</f>
        <v>0.250029963406393</v>
      </c>
      <c r="O1551" s="25" t="n">
        <f aca="false">IF(A1551-30&lt;$R$2,"",C1551/INDEX(Clean_Data!$C$2:$C$4314,MATCH(A1551-30,Clean_Data!$A$2:$A$4314,1))-1)</f>
        <v>0.294433749765642</v>
      </c>
    </row>
    <row r="1552" customFormat="false" ht="15" hidden="false" customHeight="false" outlineLevel="0" collapsed="false">
      <c r="A1552" s="16" t="n">
        <v>43558</v>
      </c>
      <c r="B1552" s="23" t="n">
        <f aca="false">YEAR(A1552)</f>
        <v>2019</v>
      </c>
      <c r="C1552" s="17" t="n">
        <v>4975.97</v>
      </c>
      <c r="D1552" s="23" t="n">
        <f aca="false">A1552-A1551</f>
        <v>1</v>
      </c>
      <c r="E1552" s="24" t="n">
        <f aca="false">LN(C1552)</f>
        <v>8.51237560546194</v>
      </c>
      <c r="F1552" s="25" t="n">
        <f aca="false">LN(C1552/C1551)</f>
        <v>0.014991321361596</v>
      </c>
      <c r="G1552" s="25" t="n">
        <f aca="false">IF(AND(D1552=1,A1552&gt;=$R$2),F1552,"")</f>
        <v>0.014991321361596</v>
      </c>
      <c r="H1552" s="27" t="n">
        <f aca="false">IF(G1552="","",G1552^2)</f>
        <v>0.000224739716166645</v>
      </c>
      <c r="I1552" s="25" t="n">
        <f aca="false">IF(G1552="","",C1552/C1551-1)</f>
        <v>0.0151042548547204</v>
      </c>
      <c r="J1552" s="17" t="n">
        <f aca="false">AVERAGE(C1353:C1552)</f>
        <v>4612.2127</v>
      </c>
      <c r="K1552" s="17" t="n">
        <f aca="false">MAX(K1551,C1552)</f>
        <v>19650.01</v>
      </c>
      <c r="L1552" s="25" t="n">
        <f aca="false">C1552/K1552-1</f>
        <v>-0.746770103424884</v>
      </c>
      <c r="M1552" s="25" t="n">
        <f aca="false">IF(COUNT(G1523:G1552)&lt;20,"",_xlfn.STDEV.S(G1523:G1552)*SQRT($R$3))</f>
        <v>0.620908634037152</v>
      </c>
      <c r="N1552" s="25" t="n">
        <f aca="false">IF(A1552-7&lt;$R$2,"",C1552/INDEX(Clean_Data!$C$2:$C$4314,MATCH(A1552-7,Clean_Data!$A$2:$A$4314,1))-1)</f>
        <v>0.235796082482932</v>
      </c>
      <c r="O1552" s="25" t="n">
        <f aca="false">IF(A1552-30&lt;$R$2,"",C1552/INDEX(Clean_Data!$C$2:$C$4314,MATCH(A1552-30,Clean_Data!$A$2:$A$4314,1))-1)</f>
        <v>0.344595105817247</v>
      </c>
    </row>
    <row r="1553" customFormat="false" ht="15" hidden="false" customHeight="false" outlineLevel="0" collapsed="false">
      <c r="A1553" s="16" t="n">
        <v>43559</v>
      </c>
      <c r="B1553" s="23" t="n">
        <f aca="false">YEAR(A1553)</f>
        <v>2019</v>
      </c>
      <c r="C1553" s="17" t="n">
        <v>4906.49</v>
      </c>
      <c r="D1553" s="23" t="n">
        <f aca="false">A1553-A1552</f>
        <v>1</v>
      </c>
      <c r="E1553" s="24" t="n">
        <f aca="false">LN(C1553)</f>
        <v>8.49831409753176</v>
      </c>
      <c r="F1553" s="25" t="n">
        <f aca="false">LN(C1553/C1552)</f>
        <v>-0.0140615079301709</v>
      </c>
      <c r="G1553" s="25" t="n">
        <f aca="false">IF(AND(D1553=1,A1553&gt;=$R$2),F1553,"")</f>
        <v>-0.0140615079301709</v>
      </c>
      <c r="H1553" s="27" t="n">
        <f aca="false">IF(G1553="","",G1553^2)</f>
        <v>0.000197726005270258</v>
      </c>
      <c r="I1553" s="25" t="n">
        <f aca="false">IF(G1553="","",C1553/C1552-1)</f>
        <v>-0.0139631066907558</v>
      </c>
      <c r="J1553" s="17" t="n">
        <f aca="false">AVERAGE(C1354:C1553)</f>
        <v>4604.25515</v>
      </c>
      <c r="K1553" s="17" t="n">
        <f aca="false">MAX(K1552,C1553)</f>
        <v>19650.01</v>
      </c>
      <c r="L1553" s="25" t="n">
        <f aca="false">C1553/K1553-1</f>
        <v>-0.750305979488051</v>
      </c>
      <c r="M1553" s="25" t="n">
        <f aca="false">IF(COUNT(G1524:G1553)&lt;20,"",_xlfn.STDEV.S(G1524:G1553)*SQRT($R$3))</f>
        <v>0.617684247310692</v>
      </c>
      <c r="N1553" s="25" t="n">
        <f aca="false">IF(A1553-7&lt;$R$2,"",C1553/INDEX(Clean_Data!$C$2:$C$4314,MATCH(A1553-7,Clean_Data!$A$2:$A$4314,1))-1)</f>
        <v>0.223206695303365</v>
      </c>
      <c r="O1553" s="25" t="n">
        <f aca="false">IF(A1553-30&lt;$R$2,"",C1553/INDEX(Clean_Data!$C$2:$C$4314,MATCH(A1553-30,Clean_Data!$A$2:$A$4314,1))-1)</f>
        <v>0.27620630548381</v>
      </c>
    </row>
    <row r="1554" customFormat="false" ht="15" hidden="false" customHeight="false" outlineLevel="0" collapsed="false">
      <c r="A1554" s="16" t="n">
        <v>43560</v>
      </c>
      <c r="B1554" s="23" t="n">
        <f aca="false">YEAR(A1554)</f>
        <v>2019</v>
      </c>
      <c r="C1554" s="17" t="n">
        <v>5040.66</v>
      </c>
      <c r="D1554" s="23" t="n">
        <f aca="false">A1554-A1553</f>
        <v>1</v>
      </c>
      <c r="E1554" s="24" t="n">
        <f aca="false">LN(C1554)</f>
        <v>8.52529230487285</v>
      </c>
      <c r="F1554" s="25" t="n">
        <f aca="false">LN(C1554/C1553)</f>
        <v>0.0269782073410885</v>
      </c>
      <c r="G1554" s="25" t="n">
        <f aca="false">IF(AND(D1554=1,A1554&gt;=$R$2),F1554,"")</f>
        <v>0.0269782073410885</v>
      </c>
      <c r="H1554" s="27" t="n">
        <f aca="false">IF(G1554="","",G1554^2)</f>
        <v>0.000727823671338759</v>
      </c>
      <c r="I1554" s="25" t="n">
        <f aca="false">IF(G1554="","",C1554/C1553-1)</f>
        <v>0.027345413931344</v>
      </c>
      <c r="J1554" s="17" t="n">
        <f aca="false">AVERAGE(C1355:C1554)</f>
        <v>4598.20495</v>
      </c>
      <c r="K1554" s="17" t="n">
        <f aca="false">MAX(K1553,C1554)</f>
        <v>19650.01</v>
      </c>
      <c r="L1554" s="25" t="n">
        <f aca="false">C1554/K1554-1</f>
        <v>-0.74347799314097</v>
      </c>
      <c r="M1554" s="25" t="n">
        <f aca="false">IF(COUNT(G1525:G1554)&lt;20,"",_xlfn.STDEV.S(G1525:G1554)*SQRT($R$3))</f>
        <v>0.620687047578315</v>
      </c>
      <c r="N1554" s="25" t="n">
        <f aca="false">IF(A1554-7&lt;$R$2,"",C1554/INDEX(Clean_Data!$C$2:$C$4314,MATCH(A1554-7,Clean_Data!$A$2:$A$4314,1))-1)</f>
        <v>0.232130940770128</v>
      </c>
      <c r="O1554" s="25" t="n">
        <f aca="false">IF(A1554-30&lt;$R$2,"",C1554/INDEX(Clean_Data!$C$2:$C$4314,MATCH(A1554-30,Clean_Data!$A$2:$A$4314,1))-1)</f>
        <v>0.308619924244981</v>
      </c>
    </row>
    <row r="1555" customFormat="false" ht="15" hidden="false" customHeight="false" outlineLevel="0" collapsed="false">
      <c r="A1555" s="16" t="n">
        <v>43561</v>
      </c>
      <c r="B1555" s="23" t="n">
        <f aca="false">YEAR(A1555)</f>
        <v>2019</v>
      </c>
      <c r="C1555" s="17" t="n">
        <v>5049.22</v>
      </c>
      <c r="D1555" s="23" t="n">
        <f aca="false">A1555-A1554</f>
        <v>1</v>
      </c>
      <c r="E1555" s="24" t="n">
        <f aca="false">LN(C1555)</f>
        <v>8.52698905489439</v>
      </c>
      <c r="F1555" s="25" t="n">
        <f aca="false">LN(C1555/C1554)</f>
        <v>0.0016967500215382</v>
      </c>
      <c r="G1555" s="25" t="n">
        <f aca="false">IF(AND(D1555=1,A1555&gt;=$R$2),F1555,"")</f>
        <v>0.0016967500215382</v>
      </c>
      <c r="H1555" s="27" t="n">
        <f aca="false">IF(G1555="","",G1555^2)</f>
        <v>2.87896063558988E-006</v>
      </c>
      <c r="I1555" s="25" t="n">
        <f aca="false">IF(G1555="","",C1555/C1554-1)</f>
        <v>0.00169819031634755</v>
      </c>
      <c r="J1555" s="17" t="n">
        <f aca="false">AVERAGE(C1356:C1555)</f>
        <v>4591.77255</v>
      </c>
      <c r="K1555" s="17" t="n">
        <f aca="false">MAX(K1554,C1555)</f>
        <v>19650.01</v>
      </c>
      <c r="L1555" s="25" t="n">
        <f aca="false">C1555/K1555-1</f>
        <v>-0.743042369952992</v>
      </c>
      <c r="M1555" s="25" t="n">
        <f aca="false">IF(COUNT(G1526:G1555)&lt;20,"",_xlfn.STDEV.S(G1526:G1555)*SQRT($R$3))</f>
        <v>0.620632926319055</v>
      </c>
      <c r="N1555" s="25" t="n">
        <f aca="false">IF(A1555-7&lt;$R$2,"",C1555/INDEX(Clean_Data!$C$2:$C$4314,MATCH(A1555-7,Clean_Data!$A$2:$A$4314,1))-1)</f>
        <v>0.233279760828892</v>
      </c>
      <c r="O1555" s="25" t="n">
        <f aca="false">IF(A1555-30&lt;$R$2,"",C1555/INDEX(Clean_Data!$C$2:$C$4314,MATCH(A1555-30,Clean_Data!$A$2:$A$4314,1))-1)</f>
        <v>0.309088552131811</v>
      </c>
    </row>
    <row r="1556" customFormat="false" ht="15" hidden="false" customHeight="false" outlineLevel="0" collapsed="false">
      <c r="A1556" s="16" t="n">
        <v>43562</v>
      </c>
      <c r="B1556" s="23" t="n">
        <f aca="false">YEAR(A1556)</f>
        <v>2019</v>
      </c>
      <c r="C1556" s="17" t="n">
        <v>5194.79</v>
      </c>
      <c r="D1556" s="23" t="n">
        <f aca="false">A1556-A1555</f>
        <v>1</v>
      </c>
      <c r="E1556" s="24" t="n">
        <f aca="false">LN(C1556)</f>
        <v>8.55541147923216</v>
      </c>
      <c r="F1556" s="25" t="n">
        <f aca="false">LN(C1556/C1555)</f>
        <v>0.0284224243377672</v>
      </c>
      <c r="G1556" s="25" t="n">
        <f aca="false">IF(AND(D1556=1,A1556&gt;=$R$2),F1556,"")</f>
        <v>0.0284224243377672</v>
      </c>
      <c r="H1556" s="27" t="n">
        <f aca="false">IF(G1556="","",G1556^2)</f>
        <v>0.000807834205236099</v>
      </c>
      <c r="I1556" s="25" t="n">
        <f aca="false">IF(G1556="","",C1556/C1555-1)</f>
        <v>0.028830195554957</v>
      </c>
      <c r="J1556" s="17" t="n">
        <f aca="false">AVERAGE(C1357:C1556)</f>
        <v>4585.8118</v>
      </c>
      <c r="K1556" s="17" t="n">
        <f aca="false">MAX(K1555,C1556)</f>
        <v>19650.01</v>
      </c>
      <c r="L1556" s="25" t="n">
        <f aca="false">C1556/K1556-1</f>
        <v>-0.735634231229399</v>
      </c>
      <c r="M1556" s="25" t="n">
        <f aca="false">IF(COUNT(G1527:G1556)&lt;20,"",_xlfn.STDEV.S(G1527:G1556)*SQRT($R$3))</f>
        <v>0.62250821860777</v>
      </c>
      <c r="N1556" s="25" t="n">
        <f aca="false">IF(A1556-7&lt;$R$2,"",C1556/INDEX(Clean_Data!$C$2:$C$4314,MATCH(A1556-7,Clean_Data!$A$2:$A$4314,1))-1)</f>
        <v>0.268572084425115</v>
      </c>
      <c r="O1556" s="25" t="n">
        <f aca="false">IF(A1556-30&lt;$R$2,"",C1556/INDEX(Clean_Data!$C$2:$C$4314,MATCH(A1556-30,Clean_Data!$A$2:$A$4314,1))-1)</f>
        <v>0.35171163013385</v>
      </c>
    </row>
    <row r="1557" customFormat="false" ht="15" hidden="false" customHeight="false" outlineLevel="0" collapsed="false">
      <c r="A1557" s="16" t="n">
        <v>43563</v>
      </c>
      <c r="B1557" s="23" t="n">
        <f aca="false">YEAR(A1557)</f>
        <v>2019</v>
      </c>
      <c r="C1557" s="17" t="n">
        <v>5285.54</v>
      </c>
      <c r="D1557" s="23" t="n">
        <f aca="false">A1557-A1556</f>
        <v>1</v>
      </c>
      <c r="E1557" s="24" t="n">
        <f aca="false">LN(C1557)</f>
        <v>8.57273006905446</v>
      </c>
      <c r="F1557" s="25" t="n">
        <f aca="false">LN(C1557/C1556)</f>
        <v>0.0173185898222973</v>
      </c>
      <c r="G1557" s="25" t="n">
        <f aca="false">IF(AND(D1557=1,A1557&gt;=$R$2),F1557,"")</f>
        <v>0.0173185898222973</v>
      </c>
      <c r="H1557" s="27" t="n">
        <f aca="false">IF(G1557="","",G1557^2)</f>
        <v>0.00029993355343298</v>
      </c>
      <c r="I1557" s="25" t="n">
        <f aca="false">IF(G1557="","",C1557/C1556-1)</f>
        <v>0.0174694260980712</v>
      </c>
      <c r="J1557" s="17" t="n">
        <f aca="false">AVERAGE(C1358:C1557)</f>
        <v>4579.77395</v>
      </c>
      <c r="K1557" s="17" t="n">
        <f aca="false">MAX(K1556,C1557)</f>
        <v>19650.01</v>
      </c>
      <c r="L1557" s="25" t="n">
        <f aca="false">C1557/K1557-1</f>
        <v>-0.731015912969001</v>
      </c>
      <c r="M1557" s="25" t="n">
        <f aca="false">IF(COUNT(G1528:G1557)&lt;20,"",_xlfn.STDEV.S(G1528:G1557)*SQRT($R$3))</f>
        <v>0.622223793138328</v>
      </c>
      <c r="N1557" s="25" t="n">
        <f aca="false">IF(A1557-7&lt;$R$2,"",C1557/INDEX(Clean_Data!$C$2:$C$4314,MATCH(A1557-7,Clean_Data!$A$2:$A$4314,1))-1)</f>
        <v>0.277626299250665</v>
      </c>
      <c r="O1557" s="25" t="n">
        <f aca="false">IF(A1557-30&lt;$R$2,"",C1557/INDEX(Clean_Data!$C$2:$C$4314,MATCH(A1557-30,Clean_Data!$A$2:$A$4314,1))-1)</f>
        <v>0.349384733214195</v>
      </c>
    </row>
    <row r="1558" customFormat="false" ht="15" hidden="false" customHeight="false" outlineLevel="0" collapsed="false">
      <c r="A1558" s="16" t="n">
        <v>43564</v>
      </c>
      <c r="B1558" s="23" t="n">
        <f aca="false">YEAR(A1558)</f>
        <v>2019</v>
      </c>
      <c r="C1558" s="17" t="n">
        <v>5187.21</v>
      </c>
      <c r="D1558" s="23" t="n">
        <f aca="false">A1558-A1557</f>
        <v>1</v>
      </c>
      <c r="E1558" s="24" t="n">
        <f aca="false">LN(C1558)</f>
        <v>8.55395125936183</v>
      </c>
      <c r="F1558" s="25" t="n">
        <f aca="false">LN(C1558/C1557)</f>
        <v>-0.0187788096926241</v>
      </c>
      <c r="G1558" s="25" t="n">
        <f aca="false">IF(AND(D1558=1,A1558&gt;=$R$2),F1558,"")</f>
        <v>-0.0187788096926241</v>
      </c>
      <c r="H1558" s="27" t="n">
        <f aca="false">IF(G1558="","",G1558^2)</f>
        <v>0.000352643693471794</v>
      </c>
      <c r="I1558" s="25" t="n">
        <f aca="false">IF(G1558="","",C1558/C1557-1)</f>
        <v>-0.0186035863885241</v>
      </c>
      <c r="J1558" s="17" t="n">
        <f aca="false">AVERAGE(C1359:C1558)</f>
        <v>4571.96</v>
      </c>
      <c r="K1558" s="17" t="n">
        <f aca="false">MAX(K1557,C1558)</f>
        <v>19650.01</v>
      </c>
      <c r="L1558" s="25" t="n">
        <f aca="false">C1558/K1558-1</f>
        <v>-0.736019981669221</v>
      </c>
      <c r="M1558" s="25" t="n">
        <f aca="false">IF(COUNT(G1529:G1558)&lt;20,"",_xlfn.STDEV.S(G1529:G1558)*SQRT($R$3))</f>
        <v>0.628478971477154</v>
      </c>
      <c r="N1558" s="25" t="n">
        <f aca="false">IF(A1558-7&lt;$R$2,"",C1558/INDEX(Clean_Data!$C$2:$C$4314,MATCH(A1558-7,Clean_Data!$A$2:$A$4314,1))-1)</f>
        <v>0.0581974854802088</v>
      </c>
      <c r="O1558" s="25" t="n">
        <f aca="false">IF(A1558-30&lt;$R$2,"",C1558/INDEX(Clean_Data!$C$2:$C$4314,MATCH(A1558-30,Clean_Data!$A$2:$A$4314,1))-1)</f>
        <v>0.329736755081481</v>
      </c>
    </row>
    <row r="1559" customFormat="false" ht="15" hidden="false" customHeight="false" outlineLevel="0" collapsed="false">
      <c r="A1559" s="16" t="n">
        <v>43565</v>
      </c>
      <c r="B1559" s="23" t="n">
        <f aca="false">YEAR(A1559)</f>
        <v>2019</v>
      </c>
      <c r="C1559" s="17" t="n">
        <v>5318.58</v>
      </c>
      <c r="D1559" s="23" t="n">
        <f aca="false">A1559-A1558</f>
        <v>1</v>
      </c>
      <c r="E1559" s="24" t="n">
        <f aca="false">LN(C1559)</f>
        <v>8.5789616294137</v>
      </c>
      <c r="F1559" s="25" t="n">
        <f aca="false">LN(C1559/C1558)</f>
        <v>0.0250103700518655</v>
      </c>
      <c r="G1559" s="25" t="n">
        <f aca="false">IF(AND(D1559=1,A1559&gt;=$R$2),F1559,"")</f>
        <v>0.0250103700518655</v>
      </c>
      <c r="H1559" s="27" t="n">
        <f aca="false">IF(G1559="","",G1559^2)</f>
        <v>0.000625518610131252</v>
      </c>
      <c r="I1559" s="25" t="n">
        <f aca="false">IF(G1559="","",C1559/C1558-1)</f>
        <v>0.0253257531505375</v>
      </c>
      <c r="J1559" s="17" t="n">
        <f aca="false">AVERAGE(C1360:C1559)</f>
        <v>4565.01625</v>
      </c>
      <c r="K1559" s="17" t="n">
        <f aca="false">MAX(K1558,C1559)</f>
        <v>19650.01</v>
      </c>
      <c r="L1559" s="25" t="n">
        <f aca="false">C1559/K1559-1</f>
        <v>-0.729334488888301</v>
      </c>
      <c r="M1559" s="25" t="n">
        <f aca="false">IF(COUNT(G1530:G1559)&lt;20,"",_xlfn.STDEV.S(G1530:G1559)*SQRT($R$3))</f>
        <v>0.625220882832897</v>
      </c>
      <c r="N1559" s="25" t="n">
        <f aca="false">IF(A1559-7&lt;$R$2,"",C1559/INDEX(Clean_Data!$C$2:$C$4314,MATCH(A1559-7,Clean_Data!$A$2:$A$4314,1))-1)</f>
        <v>0.068852907071385</v>
      </c>
      <c r="O1559" s="25" t="n">
        <f aca="false">IF(A1559-30&lt;$R$2,"",C1559/INDEX(Clean_Data!$C$2:$C$4314,MATCH(A1559-30,Clean_Data!$A$2:$A$4314,1))-1)</f>
        <v>0.381564181957981</v>
      </c>
    </row>
    <row r="1560" customFormat="false" ht="15" hidden="false" customHeight="false" outlineLevel="0" collapsed="false">
      <c r="A1560" s="16" t="n">
        <v>43566</v>
      </c>
      <c r="B1560" s="23" t="n">
        <f aca="false">YEAR(A1560)</f>
        <v>2019</v>
      </c>
      <c r="C1560" s="17" t="n">
        <v>5041.3</v>
      </c>
      <c r="D1560" s="23" t="n">
        <f aca="false">A1560-A1559</f>
        <v>1</v>
      </c>
      <c r="E1560" s="24" t="n">
        <f aca="false">LN(C1560)</f>
        <v>8.52541926431345</v>
      </c>
      <c r="F1560" s="25" t="n">
        <f aca="false">LN(C1560/C1559)</f>
        <v>-0.0535423651002473</v>
      </c>
      <c r="G1560" s="25" t="n">
        <f aca="false">IF(AND(D1560=1,A1560&gt;=$R$2),F1560,"")</f>
        <v>-0.0535423651002473</v>
      </c>
      <c r="H1560" s="27" t="n">
        <f aca="false">IF(G1560="","",G1560^2)</f>
        <v>0.00286678486052818</v>
      </c>
      <c r="I1560" s="25" t="n">
        <f aca="false">IF(G1560="","",C1560/C1559-1)</f>
        <v>-0.0521342162757729</v>
      </c>
      <c r="J1560" s="17" t="n">
        <f aca="false">AVERAGE(C1361:C1560)</f>
        <v>4556.7378</v>
      </c>
      <c r="K1560" s="17" t="n">
        <f aca="false">MAX(K1559,C1560)</f>
        <v>19650.01</v>
      </c>
      <c r="L1560" s="25" t="n">
        <f aca="false">C1560/K1560-1</f>
        <v>-0.743445423182991</v>
      </c>
      <c r="M1560" s="25" t="n">
        <f aca="false">IF(COUNT(G1531:G1560)&lt;20,"",_xlfn.STDEV.S(G1531:G1560)*SQRT($R$3))</f>
        <v>0.66393814923842</v>
      </c>
      <c r="N1560" s="25" t="n">
        <f aca="false">IF(A1560-7&lt;$R$2,"",C1560/INDEX(Clean_Data!$C$2:$C$4314,MATCH(A1560-7,Clean_Data!$A$2:$A$4314,1))-1)</f>
        <v>0.0274758534104829</v>
      </c>
      <c r="O1560" s="25" t="n">
        <f aca="false">IF(A1560-30&lt;$R$2,"",C1560/INDEX(Clean_Data!$C$2:$C$4314,MATCH(A1560-30,Clean_Data!$A$2:$A$4314,1))-1)</f>
        <v>0.306036269430052</v>
      </c>
    </row>
    <row r="1561" customFormat="false" ht="15" hidden="false" customHeight="false" outlineLevel="0" collapsed="false">
      <c r="A1561" s="16" t="n">
        <v>43567</v>
      </c>
      <c r="B1561" s="23" t="n">
        <f aca="false">YEAR(A1561)</f>
        <v>2019</v>
      </c>
      <c r="C1561" s="17" t="n">
        <v>5078.19</v>
      </c>
      <c r="D1561" s="23" t="n">
        <f aca="false">A1561-A1560</f>
        <v>1</v>
      </c>
      <c r="E1561" s="24" t="n">
        <f aca="false">LN(C1561)</f>
        <v>8.53271017787028</v>
      </c>
      <c r="F1561" s="25" t="n">
        <f aca="false">LN(C1561/C1560)</f>
        <v>0.00729091355683434</v>
      </c>
      <c r="G1561" s="25" t="n">
        <f aca="false">IF(AND(D1561=1,A1561&gt;=$R$2),F1561,"")</f>
        <v>0.00729091355683434</v>
      </c>
      <c r="H1561" s="27" t="n">
        <f aca="false">IF(G1561="","",G1561^2)</f>
        <v>5.31574204932307E-005</v>
      </c>
      <c r="I1561" s="25" t="n">
        <f aca="false">IF(G1561="","",C1561/C1560-1)</f>
        <v>0.00731755697935044</v>
      </c>
      <c r="J1561" s="17" t="n">
        <f aca="false">AVERAGE(C1362:C1561)</f>
        <v>4549.2183</v>
      </c>
      <c r="K1561" s="17" t="n">
        <f aca="false">MAX(K1560,C1561)</f>
        <v>19650.01</v>
      </c>
      <c r="L1561" s="25" t="n">
        <f aca="false">C1561/K1561-1</f>
        <v>-0.741568070448819</v>
      </c>
      <c r="M1561" s="25" t="n">
        <f aca="false">IF(COUNT(G1532:G1561)&lt;20,"",_xlfn.STDEV.S(G1532:G1561)*SQRT($R$3))</f>
        <v>0.662737213709799</v>
      </c>
      <c r="N1561" s="25" t="n">
        <f aca="false">IF(A1561-7&lt;$R$2,"",C1561/INDEX(Clean_Data!$C$2:$C$4314,MATCH(A1561-7,Clean_Data!$A$2:$A$4314,1))-1)</f>
        <v>0.00744545357155602</v>
      </c>
      <c r="O1561" s="25" t="n">
        <f aca="false">IF(A1561-30&lt;$R$2,"",C1561/INDEX(Clean_Data!$C$2:$C$4314,MATCH(A1561-30,Clean_Data!$A$2:$A$4314,1))-1)</f>
        <v>0.318661030064762</v>
      </c>
    </row>
    <row r="1562" customFormat="false" ht="15" hidden="false" customHeight="false" outlineLevel="0" collapsed="false">
      <c r="A1562" s="16" t="n">
        <v>43568</v>
      </c>
      <c r="B1562" s="23" t="n">
        <f aca="false">YEAR(A1562)</f>
        <v>2019</v>
      </c>
      <c r="C1562" s="17" t="n">
        <v>5066.22</v>
      </c>
      <c r="D1562" s="23" t="n">
        <f aca="false">A1562-A1561</f>
        <v>1</v>
      </c>
      <c r="E1562" s="24" t="n">
        <f aca="false">LN(C1562)</f>
        <v>8.53035025638539</v>
      </c>
      <c r="F1562" s="25" t="n">
        <f aca="false">LN(C1562/C1561)</f>
        <v>-0.00235992148489765</v>
      </c>
      <c r="G1562" s="25" t="n">
        <f aca="false">IF(AND(D1562=1,A1562&gt;=$R$2),F1562,"")</f>
        <v>-0.00235992148489765</v>
      </c>
      <c r="H1562" s="27" t="n">
        <f aca="false">IF(G1562="","",G1562^2)</f>
        <v>5.56922941488155E-006</v>
      </c>
      <c r="I1562" s="25" t="n">
        <f aca="false">IF(G1562="","",C1562/C1561-1)</f>
        <v>-0.00235713905938917</v>
      </c>
      <c r="J1562" s="17" t="n">
        <f aca="false">AVERAGE(C1363:C1562)</f>
        <v>4542.36495</v>
      </c>
      <c r="K1562" s="17" t="n">
        <f aca="false">MAX(K1561,C1562)</f>
        <v>19650.01</v>
      </c>
      <c r="L1562" s="25" t="n">
        <f aca="false">C1562/K1562-1</f>
        <v>-0.742177230444158</v>
      </c>
      <c r="M1562" s="25" t="n">
        <f aca="false">IF(COUNT(G1533:G1562)&lt;20,"",_xlfn.STDEV.S(G1533:G1562)*SQRT($R$3))</f>
        <v>0.663327684674058</v>
      </c>
      <c r="N1562" s="25" t="n">
        <f aca="false">IF(A1562-7&lt;$R$2,"",C1562/INDEX(Clean_Data!$C$2:$C$4314,MATCH(A1562-7,Clean_Data!$A$2:$A$4314,1))-1)</f>
        <v>0.0033668566630094</v>
      </c>
      <c r="O1562" s="25" t="n">
        <f aca="false">IF(A1562-30&lt;$R$2,"",C1562/INDEX(Clean_Data!$C$2:$C$4314,MATCH(A1562-30,Clean_Data!$A$2:$A$4314,1))-1)</f>
        <v>0.314552601875997</v>
      </c>
    </row>
    <row r="1563" customFormat="false" ht="15" hidden="false" customHeight="false" outlineLevel="0" collapsed="false">
      <c r="A1563" s="16" t="n">
        <v>43569</v>
      </c>
      <c r="B1563" s="23" t="n">
        <f aca="false">YEAR(A1563)</f>
        <v>2019</v>
      </c>
      <c r="C1563" s="17" t="n">
        <v>5164.27</v>
      </c>
      <c r="D1563" s="23" t="n">
        <f aca="false">A1563-A1562</f>
        <v>1</v>
      </c>
      <c r="E1563" s="24" t="n">
        <f aca="false">LN(C1563)</f>
        <v>8.54951903565007</v>
      </c>
      <c r="F1563" s="25" t="n">
        <f aca="false">LN(C1563/C1562)</f>
        <v>0.0191687792646804</v>
      </c>
      <c r="G1563" s="25" t="n">
        <f aca="false">IF(AND(D1563=1,A1563&gt;=$R$2),F1563,"")</f>
        <v>0.0191687792646804</v>
      </c>
      <c r="H1563" s="27" t="n">
        <f aca="false">IF(G1563="","",G1563^2)</f>
        <v>0.000367442098498042</v>
      </c>
      <c r="I1563" s="25" t="n">
        <f aca="false">IF(G1563="","",C1563/C1562-1)</f>
        <v>0.0193536798638827</v>
      </c>
      <c r="J1563" s="17" t="n">
        <f aca="false">AVERAGE(C1364:C1563)</f>
        <v>4535.908</v>
      </c>
      <c r="K1563" s="17" t="n">
        <f aca="false">MAX(K1562,C1563)</f>
        <v>19650.01</v>
      </c>
      <c r="L1563" s="25" t="n">
        <f aca="false">C1563/K1563-1</f>
        <v>-0.737187411100554</v>
      </c>
      <c r="M1563" s="25" t="n">
        <f aca="false">IF(COUNT(G1534:G1563)&lt;20,"",_xlfn.STDEV.S(G1534:G1563)*SQRT($R$3))</f>
        <v>0.664157322204818</v>
      </c>
      <c r="N1563" s="25" t="n">
        <f aca="false">IF(A1563-7&lt;$R$2,"",C1563/INDEX(Clean_Data!$C$2:$C$4314,MATCH(A1563-7,Clean_Data!$A$2:$A$4314,1))-1)</f>
        <v>-0.00587511718471767</v>
      </c>
      <c r="O1563" s="25" t="n">
        <f aca="false">IF(A1563-30&lt;$R$2,"",C1563/INDEX(Clean_Data!$C$2:$C$4314,MATCH(A1563-30,Clean_Data!$A$2:$A$4314,1))-1)</f>
        <v>0.323221789484473</v>
      </c>
    </row>
    <row r="1564" customFormat="false" ht="15" hidden="false" customHeight="false" outlineLevel="0" collapsed="false">
      <c r="A1564" s="16" t="n">
        <v>43570</v>
      </c>
      <c r="B1564" s="23" t="n">
        <f aca="false">YEAR(A1564)</f>
        <v>2019</v>
      </c>
      <c r="C1564" s="17" t="n">
        <v>5029.99</v>
      </c>
      <c r="D1564" s="23" t="n">
        <f aca="false">A1564-A1563</f>
        <v>1</v>
      </c>
      <c r="E1564" s="24" t="n">
        <f aca="false">LN(C1564)</f>
        <v>8.52317327502024</v>
      </c>
      <c r="F1564" s="25" t="n">
        <f aca="false">LN(C1564/C1563)</f>
        <v>-0.0263457606298281</v>
      </c>
      <c r="G1564" s="25" t="n">
        <f aca="false">IF(AND(D1564=1,A1564&gt;=$R$2),F1564,"")</f>
        <v>-0.0263457606298281</v>
      </c>
      <c r="H1564" s="27" t="n">
        <f aca="false">IF(G1564="","",G1564^2)</f>
        <v>0.000694099103164202</v>
      </c>
      <c r="I1564" s="25" t="n">
        <f aca="false">IF(G1564="","",C1564/C1563-1)</f>
        <v>-0.0260017388711281</v>
      </c>
      <c r="J1564" s="17" t="n">
        <f aca="false">AVERAGE(C1365:C1564)</f>
        <v>4527.6579</v>
      </c>
      <c r="K1564" s="17" t="n">
        <f aca="false">MAX(K1563,C1564)</f>
        <v>19650.01</v>
      </c>
      <c r="L1564" s="25" t="n">
        <f aca="false">C1564/K1564-1</f>
        <v>-0.744020995409163</v>
      </c>
      <c r="M1564" s="25" t="n">
        <f aca="false">IF(COUNT(G1535:G1564)&lt;20,"",_xlfn.STDEV.S(G1535:G1564)*SQRT($R$3))</f>
        <v>0.67386573037458</v>
      </c>
      <c r="N1564" s="25" t="n">
        <f aca="false">IF(A1564-7&lt;$R$2,"",C1564/INDEX(Clean_Data!$C$2:$C$4314,MATCH(A1564-7,Clean_Data!$A$2:$A$4314,1))-1)</f>
        <v>-0.0483488915039901</v>
      </c>
      <c r="O1564" s="25" t="n">
        <f aca="false">IF(A1564-30&lt;$R$2,"",C1564/INDEX(Clean_Data!$C$2:$C$4314,MATCH(A1564-30,Clean_Data!$A$2:$A$4314,1))-1)</f>
        <v>0.260649122807018</v>
      </c>
    </row>
    <row r="1565" customFormat="false" ht="15" hidden="false" customHeight="false" outlineLevel="0" collapsed="false">
      <c r="A1565" s="16" t="n">
        <v>43571</v>
      </c>
      <c r="B1565" s="23" t="n">
        <f aca="false">YEAR(A1565)</f>
        <v>2019</v>
      </c>
      <c r="C1565" s="17" t="n">
        <v>5202.9</v>
      </c>
      <c r="D1565" s="23" t="n">
        <f aca="false">A1565-A1564</f>
        <v>1</v>
      </c>
      <c r="E1565" s="24" t="n">
        <f aca="false">LN(C1565)</f>
        <v>8.55697144142465</v>
      </c>
      <c r="F1565" s="25" t="n">
        <f aca="false">LN(C1565/C1564)</f>
        <v>0.0337981664044116</v>
      </c>
      <c r="G1565" s="25" t="n">
        <f aca="false">IF(AND(D1565=1,A1565&gt;=$R$2),F1565,"")</f>
        <v>0.0337981664044116</v>
      </c>
      <c r="H1565" s="27" t="n">
        <f aca="false">IF(G1565="","",G1565^2)</f>
        <v>0.0011423160523003</v>
      </c>
      <c r="I1565" s="25" t="n">
        <f aca="false">IF(G1565="","",C1565/C1564-1)</f>
        <v>0.0343758138684172</v>
      </c>
      <c r="J1565" s="17" t="n">
        <f aca="false">AVERAGE(C1366:C1565)</f>
        <v>4520.57235</v>
      </c>
      <c r="K1565" s="17" t="n">
        <f aca="false">MAX(K1564,C1565)</f>
        <v>19650.01</v>
      </c>
      <c r="L1565" s="25" t="n">
        <f aca="false">C1565/K1565-1</f>
        <v>-0.735221508793125</v>
      </c>
      <c r="M1565" s="25" t="n">
        <f aca="false">IF(COUNT(G1536:G1565)&lt;20,"",_xlfn.STDEV.S(G1536:G1565)*SQRT($R$3))</f>
        <v>0.678014131042689</v>
      </c>
      <c r="N1565" s="25" t="n">
        <f aca="false">IF(A1565-7&lt;$R$2,"",C1565/INDEX(Clean_Data!$C$2:$C$4314,MATCH(A1565-7,Clean_Data!$A$2:$A$4314,1))-1)</f>
        <v>0.00302474740756575</v>
      </c>
      <c r="O1565" s="25" t="n">
        <f aca="false">IF(A1565-30&lt;$R$2,"",C1565/INDEX(Clean_Data!$C$2:$C$4314,MATCH(A1565-30,Clean_Data!$A$2:$A$4314,1))-1)</f>
        <v>0.311541942168031</v>
      </c>
    </row>
    <row r="1566" customFormat="false" ht="15" hidden="false" customHeight="false" outlineLevel="0" collapsed="false">
      <c r="A1566" s="16" t="n">
        <v>43572</v>
      </c>
      <c r="B1566" s="23" t="n">
        <f aca="false">YEAR(A1566)</f>
        <v>2019</v>
      </c>
      <c r="C1566" s="17" t="n">
        <v>5227</v>
      </c>
      <c r="D1566" s="23" t="n">
        <f aca="false">A1566-A1565</f>
        <v>1</v>
      </c>
      <c r="E1566" s="24" t="n">
        <f aca="false">LN(C1566)</f>
        <v>8.56159277871292</v>
      </c>
      <c r="F1566" s="25" t="n">
        <f aca="false">LN(C1566/C1565)</f>
        <v>0.0046213372882722</v>
      </c>
      <c r="G1566" s="25" t="n">
        <f aca="false">IF(AND(D1566=1,A1566&gt;=$R$2),F1566,"")</f>
        <v>0.0046213372882722</v>
      </c>
      <c r="H1566" s="27" t="n">
        <f aca="false">IF(G1566="","",G1566^2)</f>
        <v>2.1356758331975E-005</v>
      </c>
      <c r="I1566" s="25" t="n">
        <f aca="false">IF(G1566="","",C1566/C1565-1)</f>
        <v>0.00463203213592434</v>
      </c>
      <c r="J1566" s="17" t="n">
        <f aca="false">AVERAGE(C1367:C1566)</f>
        <v>4513.80235</v>
      </c>
      <c r="K1566" s="17" t="n">
        <f aca="false">MAX(K1565,C1566)</f>
        <v>19650.01</v>
      </c>
      <c r="L1566" s="25" t="n">
        <f aca="false">C1566/K1566-1</f>
        <v>-0.733995046312954</v>
      </c>
      <c r="M1566" s="25" t="n">
        <f aca="false">IF(COUNT(G1537:G1566)&lt;20,"",_xlfn.STDEV.S(G1537:G1566)*SQRT($R$3))</f>
        <v>0.677572746663429</v>
      </c>
      <c r="N1566" s="25" t="n">
        <f aca="false">IF(A1566-7&lt;$R$2,"",C1566/INDEX(Clean_Data!$C$2:$C$4314,MATCH(A1566-7,Clean_Data!$A$2:$A$4314,1))-1)</f>
        <v>-0.01721888173159</v>
      </c>
      <c r="O1566" s="25" t="n">
        <f aca="false">IF(A1566-30&lt;$R$2,"",C1566/INDEX(Clean_Data!$C$2:$C$4314,MATCH(A1566-30,Clean_Data!$A$2:$A$4314,1))-1)</f>
        <v>0.316458884271502</v>
      </c>
    </row>
    <row r="1567" customFormat="false" ht="15" hidden="false" customHeight="false" outlineLevel="0" collapsed="false">
      <c r="A1567" s="16" t="n">
        <v>43573</v>
      </c>
      <c r="B1567" s="23" t="n">
        <f aca="false">YEAR(A1567)</f>
        <v>2019</v>
      </c>
      <c r="C1567" s="17" t="n">
        <v>5280.49</v>
      </c>
      <c r="D1567" s="23" t="n">
        <f aca="false">A1567-A1566</f>
        <v>1</v>
      </c>
      <c r="E1567" s="24" t="n">
        <f aca="false">LN(C1567)</f>
        <v>8.57177417542468</v>
      </c>
      <c r="F1567" s="25" t="n">
        <f aca="false">LN(C1567/C1566)</f>
        <v>0.0101813967117534</v>
      </c>
      <c r="G1567" s="25" t="n">
        <f aca="false">IF(AND(D1567=1,A1567&gt;=$R$2),F1567,"")</f>
        <v>0.0101813967117534</v>
      </c>
      <c r="H1567" s="27" t="n">
        <f aca="false">IF(G1567="","",G1567^2)</f>
        <v>0.000103660839002104</v>
      </c>
      <c r="I1567" s="25" t="n">
        <f aca="false">IF(G1567="","",C1567/C1566-1)</f>
        <v>0.0102334034819207</v>
      </c>
      <c r="J1567" s="17" t="n">
        <f aca="false">AVERAGE(C1368:C1567)</f>
        <v>4507.1798</v>
      </c>
      <c r="K1567" s="17" t="n">
        <f aca="false">MAX(K1566,C1567)</f>
        <v>19650.01</v>
      </c>
      <c r="L1567" s="25" t="n">
        <f aca="false">C1567/K1567-1</f>
        <v>-0.731272910293684</v>
      </c>
      <c r="M1567" s="25" t="n">
        <f aca="false">IF(COUNT(G1538:G1567)&lt;20,"",_xlfn.STDEV.S(G1538:G1567)*SQRT($R$3))</f>
        <v>0.677557989812468</v>
      </c>
      <c r="N1567" s="25" t="n">
        <f aca="false">IF(A1567-7&lt;$R$2,"",C1567/INDEX(Clean_Data!$C$2:$C$4314,MATCH(A1567-7,Clean_Data!$A$2:$A$4314,1))-1)</f>
        <v>0.0474460952532083</v>
      </c>
      <c r="O1567" s="25" t="n">
        <f aca="false">IF(A1567-30&lt;$R$2,"",C1567/INDEX(Clean_Data!$C$2:$C$4314,MATCH(A1567-30,Clean_Data!$A$2:$A$4314,1))-1)</f>
        <v>0.319842033567867</v>
      </c>
    </row>
    <row r="1568" customFormat="false" ht="15" hidden="false" customHeight="false" outlineLevel="0" collapsed="false">
      <c r="A1568" s="16" t="n">
        <v>43574</v>
      </c>
      <c r="B1568" s="23" t="n">
        <f aca="false">YEAR(A1568)</f>
        <v>2019</v>
      </c>
      <c r="C1568" s="17" t="n">
        <v>5290.36</v>
      </c>
      <c r="D1568" s="23" t="n">
        <f aca="false">A1568-A1567</f>
        <v>1</v>
      </c>
      <c r="E1568" s="24" t="n">
        <f aca="false">LN(C1568)</f>
        <v>8.57364157546691</v>
      </c>
      <c r="F1568" s="25" t="n">
        <f aca="false">LN(C1568/C1567)</f>
        <v>0.00186740004223072</v>
      </c>
      <c r="G1568" s="25" t="n">
        <f aca="false">IF(AND(D1568=1,A1568&gt;=$R$2),F1568,"")</f>
        <v>0.00186740004223072</v>
      </c>
      <c r="H1568" s="27" t="n">
        <f aca="false">IF(G1568="","",G1568^2)</f>
        <v>3.48718291772328E-006</v>
      </c>
      <c r="I1568" s="25" t="n">
        <f aca="false">IF(G1568="","",C1568/C1567-1)</f>
        <v>0.00186914471952404</v>
      </c>
      <c r="J1568" s="17" t="n">
        <f aca="false">AVERAGE(C1369:C1568)</f>
        <v>4500.76745</v>
      </c>
      <c r="K1568" s="17" t="n">
        <f aca="false">MAX(K1567,C1568)</f>
        <v>19650.01</v>
      </c>
      <c r="L1568" s="25" t="n">
        <f aca="false">C1568/K1568-1</f>
        <v>-0.730770620472967</v>
      </c>
      <c r="M1568" s="25" t="n">
        <f aca="false">IF(COUNT(G1539:G1568)&lt;20,"",_xlfn.STDEV.S(G1539:G1568)*SQRT($R$3))</f>
        <v>0.678031701116379</v>
      </c>
      <c r="N1568" s="25" t="n">
        <f aca="false">IF(A1568-7&lt;$R$2,"",C1568/INDEX(Clean_Data!$C$2:$C$4314,MATCH(A1568-7,Clean_Data!$A$2:$A$4314,1))-1)</f>
        <v>0.0417806344386484</v>
      </c>
      <c r="O1568" s="25" t="n">
        <f aca="false">IF(A1568-30&lt;$R$2,"",C1568/INDEX(Clean_Data!$C$2:$C$4314,MATCH(A1568-30,Clean_Data!$A$2:$A$4314,1))-1)</f>
        <v>0.31214206877736</v>
      </c>
    </row>
    <row r="1569" customFormat="false" ht="15" hidden="false" customHeight="false" outlineLevel="0" collapsed="false">
      <c r="A1569" s="16" t="n">
        <v>43575</v>
      </c>
      <c r="B1569" s="23" t="n">
        <f aca="false">YEAR(A1569)</f>
        <v>2019</v>
      </c>
      <c r="C1569" s="17" t="n">
        <v>5319.89</v>
      </c>
      <c r="D1569" s="23" t="n">
        <f aca="false">A1569-A1568</f>
        <v>1</v>
      </c>
      <c r="E1569" s="24" t="n">
        <f aca="false">LN(C1569)</f>
        <v>8.5792079054302</v>
      </c>
      <c r="F1569" s="25" t="n">
        <f aca="false">LN(C1569/C1568)</f>
        <v>0.00556632996328899</v>
      </c>
      <c r="G1569" s="25" t="n">
        <f aca="false">IF(AND(D1569=1,A1569&gt;=$R$2),F1569,"")</f>
        <v>0.00556632996328899</v>
      </c>
      <c r="H1569" s="27" t="n">
        <f aca="false">IF(G1569="","",G1569^2)</f>
        <v>3.09840292602088E-005</v>
      </c>
      <c r="I1569" s="25" t="n">
        <f aca="false">IF(G1569="","",C1569/C1568-1)</f>
        <v>0.00558185076251916</v>
      </c>
      <c r="J1569" s="17" t="n">
        <f aca="false">AVERAGE(C1370:C1569)</f>
        <v>4494.8746</v>
      </c>
      <c r="K1569" s="17" t="n">
        <f aca="false">MAX(K1568,C1569)</f>
        <v>19650.01</v>
      </c>
      <c r="L1569" s="25" t="n">
        <f aca="false">C1569/K1569-1</f>
        <v>-0.729267822255561</v>
      </c>
      <c r="M1569" s="25" t="n">
        <f aca="false">IF(COUNT(G1540:G1569)&lt;20,"",_xlfn.STDEV.S(G1540:G1569)*SQRT($R$3))</f>
        <v>0.672730035423683</v>
      </c>
      <c r="N1569" s="25" t="n">
        <f aca="false">IF(A1569-7&lt;$R$2,"",C1569/INDEX(Clean_Data!$C$2:$C$4314,MATCH(A1569-7,Clean_Data!$A$2:$A$4314,1))-1)</f>
        <v>0.0500708615101595</v>
      </c>
      <c r="O1569" s="25" t="n">
        <f aca="false">IF(A1569-30&lt;$R$2,"",C1569/INDEX(Clean_Data!$C$2:$C$4314,MATCH(A1569-30,Clean_Data!$A$2:$A$4314,1))-1)</f>
        <v>0.339091714576264</v>
      </c>
    </row>
    <row r="1570" customFormat="false" ht="15" hidden="false" customHeight="false" outlineLevel="0" collapsed="false">
      <c r="A1570" s="16" t="n">
        <v>43576</v>
      </c>
      <c r="B1570" s="23" t="n">
        <f aca="false">YEAR(A1570)</f>
        <v>2019</v>
      </c>
      <c r="C1570" s="17" t="n">
        <v>5297.64</v>
      </c>
      <c r="D1570" s="23" t="n">
        <f aca="false">A1570-A1569</f>
        <v>1</v>
      </c>
      <c r="E1570" s="24" t="n">
        <f aca="false">LN(C1570)</f>
        <v>8.57501671735342</v>
      </c>
      <c r="F1570" s="25" t="n">
        <f aca="false">LN(C1570/C1569)</f>
        <v>-0.00419118807677278</v>
      </c>
      <c r="G1570" s="25" t="n">
        <f aca="false">IF(AND(D1570=1,A1570&gt;=$R$2),F1570,"")</f>
        <v>-0.00419118807677278</v>
      </c>
      <c r="H1570" s="27" t="n">
        <f aca="false">IF(G1570="","",G1570^2)</f>
        <v>1.75660574948823E-005</v>
      </c>
      <c r="I1570" s="25" t="n">
        <f aca="false">IF(G1570="","",C1570/C1569-1)</f>
        <v>-0.00418241730562097</v>
      </c>
      <c r="J1570" s="17" t="n">
        <f aca="false">AVERAGE(C1371:C1570)</f>
        <v>4489.03265</v>
      </c>
      <c r="K1570" s="17" t="n">
        <f aca="false">MAX(K1569,C1570)</f>
        <v>19650.01</v>
      </c>
      <c r="L1570" s="25" t="n">
        <f aca="false">C1570/K1570-1</f>
        <v>-0.730400137200948</v>
      </c>
      <c r="M1570" s="25" t="n">
        <f aca="false">IF(COUNT(G1541:G1570)&lt;20,"",_xlfn.STDEV.S(G1541:G1570)*SQRT($R$3))</f>
        <v>0.674073748206158</v>
      </c>
      <c r="N1570" s="25" t="n">
        <f aca="false">IF(A1570-7&lt;$R$2,"",C1570/INDEX(Clean_Data!$C$2:$C$4314,MATCH(A1570-7,Clean_Data!$A$2:$A$4314,1))-1)</f>
        <v>0.0258255280998088</v>
      </c>
      <c r="O1570" s="25" t="n">
        <f aca="false">IF(A1570-30&lt;$R$2,"",C1570/INDEX(Clean_Data!$C$2:$C$4314,MATCH(A1570-30,Clean_Data!$A$2:$A$4314,1))-1)</f>
        <v>0.329802348523262</v>
      </c>
    </row>
    <row r="1571" customFormat="false" ht="15" hidden="false" customHeight="false" outlineLevel="0" collapsed="false">
      <c r="A1571" s="16" t="n">
        <v>43577</v>
      </c>
      <c r="B1571" s="23" t="n">
        <f aca="false">YEAR(A1571)</f>
        <v>2019</v>
      </c>
      <c r="C1571" s="17" t="n">
        <v>5387.6</v>
      </c>
      <c r="D1571" s="23" t="n">
        <f aca="false">A1571-A1570</f>
        <v>1</v>
      </c>
      <c r="E1571" s="24" t="n">
        <f aca="false">LN(C1571)</f>
        <v>8.59185529572466</v>
      </c>
      <c r="F1571" s="25" t="n">
        <f aca="false">LN(C1571/C1570)</f>
        <v>0.0168385783712376</v>
      </c>
      <c r="G1571" s="25" t="n">
        <f aca="false">IF(AND(D1571=1,A1571&gt;=$R$2),F1571,"")</f>
        <v>0.0168385783712376</v>
      </c>
      <c r="H1571" s="27" t="n">
        <f aca="false">IF(G1571="","",G1571^2)</f>
        <v>0.000283537721564311</v>
      </c>
      <c r="I1571" s="25" t="n">
        <f aca="false">IF(G1571="","",C1571/C1570-1)</f>
        <v>0.0169811463217584</v>
      </c>
      <c r="J1571" s="17" t="n">
        <f aca="false">AVERAGE(C1372:C1571)</f>
        <v>4483.2334</v>
      </c>
      <c r="K1571" s="17" t="n">
        <f aca="false">MAX(K1570,C1571)</f>
        <v>19650.01</v>
      </c>
      <c r="L1571" s="25" t="n">
        <f aca="false">C1571/K1571-1</f>
        <v>-0.725822022482431</v>
      </c>
      <c r="M1571" s="25" t="n">
        <f aca="false">IF(COUNT(G1542:G1571)&lt;20,"",_xlfn.STDEV.S(G1542:G1571)*SQRT($R$3))</f>
        <v>0.673628681902815</v>
      </c>
      <c r="N1571" s="25" t="n">
        <f aca="false">IF(A1571-7&lt;$R$2,"",C1571/INDEX(Clean_Data!$C$2:$C$4314,MATCH(A1571-7,Clean_Data!$A$2:$A$4314,1))-1)</f>
        <v>0.0710955687784669</v>
      </c>
      <c r="O1571" s="25" t="n">
        <f aca="false">IF(A1571-30&lt;$R$2,"",C1571/INDEX(Clean_Data!$C$2:$C$4314,MATCH(A1571-30,Clean_Data!$A$2:$A$4314,1))-1)</f>
        <v>0.352502742611267</v>
      </c>
    </row>
    <row r="1572" customFormat="false" ht="15" hidden="false" customHeight="false" outlineLevel="0" collapsed="false">
      <c r="A1572" s="16" t="n">
        <v>43578</v>
      </c>
      <c r="B1572" s="23" t="n">
        <f aca="false">YEAR(A1572)</f>
        <v>2019</v>
      </c>
      <c r="C1572" s="17" t="n">
        <v>5532.75</v>
      </c>
      <c r="D1572" s="23" t="n">
        <f aca="false">A1572-A1571</f>
        <v>1</v>
      </c>
      <c r="E1572" s="24" t="n">
        <f aca="false">LN(C1572)</f>
        <v>8.61844025843252</v>
      </c>
      <c r="F1572" s="25" t="n">
        <f aca="false">LN(C1572/C1571)</f>
        <v>0.0265849627078615</v>
      </c>
      <c r="G1572" s="25" t="n">
        <f aca="false">IF(AND(D1572=1,A1572&gt;=$R$2),F1572,"")</f>
        <v>0.0265849627078615</v>
      </c>
      <c r="H1572" s="27" t="n">
        <f aca="false">IF(G1572="","",G1572^2)</f>
        <v>0.000706760242178386</v>
      </c>
      <c r="I1572" s="25" t="n">
        <f aca="false">IF(G1572="","",C1572/C1571-1)</f>
        <v>0.0269414952854703</v>
      </c>
      <c r="J1572" s="17" t="n">
        <f aca="false">AVERAGE(C1373:C1572)</f>
        <v>4477.92745</v>
      </c>
      <c r="K1572" s="17" t="n">
        <f aca="false">MAX(K1571,C1572)</f>
        <v>19650.01</v>
      </c>
      <c r="L1572" s="25" t="n">
        <f aca="false">C1572/K1572-1</f>
        <v>-0.718435257793762</v>
      </c>
      <c r="M1572" s="25" t="n">
        <f aca="false">IF(COUNT(G1543:G1572)&lt;20,"",_xlfn.STDEV.S(G1543:G1572)*SQRT($R$3))</f>
        <v>0.674177514348417</v>
      </c>
      <c r="N1572" s="25" t="n">
        <f aca="false">IF(A1572-7&lt;$R$2,"",C1572/INDEX(Clean_Data!$C$2:$C$4314,MATCH(A1572-7,Clean_Data!$A$2:$A$4314,1))-1)</f>
        <v>0.0633973361010207</v>
      </c>
      <c r="O1572" s="25" t="n">
        <f aca="false">IF(A1572-30&lt;$R$2,"",C1572/INDEX(Clean_Data!$C$2:$C$4314,MATCH(A1572-30,Clean_Data!$A$2:$A$4314,1))-1)</f>
        <v>0.393808319393781</v>
      </c>
    </row>
    <row r="1573" customFormat="false" ht="15" hidden="false" customHeight="false" outlineLevel="0" collapsed="false">
      <c r="A1573" s="16" t="n">
        <v>43579</v>
      </c>
      <c r="B1573" s="23" t="n">
        <f aca="false">YEAR(A1573)</f>
        <v>2019</v>
      </c>
      <c r="C1573" s="17" t="n">
        <v>5441.9</v>
      </c>
      <c r="D1573" s="23" t="n">
        <f aca="false">A1573-A1572</f>
        <v>1</v>
      </c>
      <c r="E1573" s="24" t="n">
        <f aca="false">LN(C1573)</f>
        <v>8.60188354357715</v>
      </c>
      <c r="F1573" s="25" t="n">
        <f aca="false">LN(C1573/C1572)</f>
        <v>-0.0165567148553701</v>
      </c>
      <c r="G1573" s="25" t="n">
        <f aca="false">IF(AND(D1573=1,A1573&gt;=$R$2),F1573,"")</f>
        <v>-0.0165567148553701</v>
      </c>
      <c r="H1573" s="27" t="n">
        <f aca="false">IF(G1573="","",G1573^2)</f>
        <v>0.000274124806802033</v>
      </c>
      <c r="I1573" s="25" t="n">
        <f aca="false">IF(G1573="","",C1573/C1572-1)</f>
        <v>-0.0164204057656682</v>
      </c>
      <c r="J1573" s="17" t="n">
        <f aca="false">AVERAGE(C1374:C1573)</f>
        <v>4472.3748</v>
      </c>
      <c r="K1573" s="17" t="n">
        <f aca="false">MAX(K1572,C1573)</f>
        <v>19650.01</v>
      </c>
      <c r="L1573" s="25" t="n">
        <f aca="false">C1573/K1573-1</f>
        <v>-0.723058665110094</v>
      </c>
      <c r="M1573" s="25" t="n">
        <f aca="false">IF(COUNT(G1544:G1573)&lt;20,"",_xlfn.STDEV.S(G1544:G1573)*SQRT($R$3))</f>
        <v>0.674592293381949</v>
      </c>
      <c r="N1573" s="25" t="n">
        <f aca="false">IF(A1573-7&lt;$R$2,"",C1573/INDEX(Clean_Data!$C$2:$C$4314,MATCH(A1573-7,Clean_Data!$A$2:$A$4314,1))-1)</f>
        <v>0.0411134493973597</v>
      </c>
      <c r="O1573" s="25" t="n">
        <f aca="false">IF(A1573-30&lt;$R$2,"",C1573/INDEX(Clean_Data!$C$2:$C$4314,MATCH(A1573-30,Clean_Data!$A$2:$A$4314,1))-1)</f>
        <v>0.392670049878056</v>
      </c>
    </row>
    <row r="1574" customFormat="false" ht="15" hidden="false" customHeight="false" outlineLevel="0" collapsed="false">
      <c r="A1574" s="16" t="n">
        <v>43580</v>
      </c>
      <c r="B1574" s="23" t="n">
        <f aca="false">YEAR(A1574)</f>
        <v>2019</v>
      </c>
      <c r="C1574" s="17" t="n">
        <v>5134.81</v>
      </c>
      <c r="D1574" s="23" t="n">
        <f aca="false">A1574-A1573</f>
        <v>1</v>
      </c>
      <c r="E1574" s="24" t="n">
        <f aca="false">LN(C1574)</f>
        <v>8.5437981207044</v>
      </c>
      <c r="F1574" s="25" t="n">
        <f aca="false">LN(C1574/C1573)</f>
        <v>-0.0580854228727554</v>
      </c>
      <c r="G1574" s="25" t="n">
        <f aca="false">IF(AND(D1574=1,A1574&gt;=$R$2),F1574,"")</f>
        <v>-0.0580854228727554</v>
      </c>
      <c r="H1574" s="27" t="n">
        <f aca="false">IF(G1574="","",G1574^2)</f>
        <v>0.00337391635030681</v>
      </c>
      <c r="I1574" s="25" t="n">
        <f aca="false">IF(G1574="","",C1574/C1573-1)</f>
        <v>-0.0564306584097465</v>
      </c>
      <c r="J1574" s="17" t="n">
        <f aca="false">AVERAGE(C1375:C1574)</f>
        <v>4465.19885</v>
      </c>
      <c r="K1574" s="17" t="n">
        <f aca="false">MAX(K1573,C1574)</f>
        <v>19650.01</v>
      </c>
      <c r="L1574" s="25" t="n">
        <f aca="false">C1574/K1574-1</f>
        <v>-0.738686646978806</v>
      </c>
      <c r="M1574" s="25" t="n">
        <f aca="false">IF(COUNT(G1545:G1574)&lt;20,"",_xlfn.STDEV.S(G1545:G1574)*SQRT($R$3))</f>
        <v>0.716182833785102</v>
      </c>
      <c r="N1574" s="25" t="n">
        <f aca="false">IF(A1574-7&lt;$R$2,"",C1574/INDEX(Clean_Data!$C$2:$C$4314,MATCH(A1574-7,Clean_Data!$A$2:$A$4314,1))-1)</f>
        <v>-0.0275883488085384</v>
      </c>
      <c r="O1574" s="25" t="n">
        <f aca="false">IF(A1574-30&lt;$R$2,"",C1574/INDEX(Clean_Data!$C$2:$C$4314,MATCH(A1574-30,Clean_Data!$A$2:$A$4314,1))-1)</f>
        <v>0.309416159838835</v>
      </c>
    </row>
    <row r="1575" customFormat="false" ht="15" hidden="false" customHeight="false" outlineLevel="0" collapsed="false">
      <c r="A1575" s="16" t="n">
        <v>43581</v>
      </c>
      <c r="B1575" s="23" t="n">
        <f aca="false">YEAR(A1575)</f>
        <v>2019</v>
      </c>
      <c r="C1575" s="17" t="n">
        <v>5159.51</v>
      </c>
      <c r="D1575" s="23" t="n">
        <f aca="false">A1575-A1574</f>
        <v>1</v>
      </c>
      <c r="E1575" s="24" t="n">
        <f aca="false">LN(C1575)</f>
        <v>8.5485968927262</v>
      </c>
      <c r="F1575" s="25" t="n">
        <f aca="false">LN(C1575/C1574)</f>
        <v>0.00479877202179838</v>
      </c>
      <c r="G1575" s="25" t="n">
        <f aca="false">IF(AND(D1575=1,A1575&gt;=$R$2),F1575,"")</f>
        <v>0.00479877202179838</v>
      </c>
      <c r="H1575" s="27" t="n">
        <f aca="false">IF(G1575="","",G1575^2)</f>
        <v>2.30282129171949E-005</v>
      </c>
      <c r="I1575" s="25" t="n">
        <f aca="false">IF(G1575="","",C1575/C1574-1)</f>
        <v>0.00481030456823128</v>
      </c>
      <c r="J1575" s="17" t="n">
        <f aca="false">AVERAGE(C1376:C1575)</f>
        <v>4457.95605</v>
      </c>
      <c r="K1575" s="17" t="n">
        <f aca="false">MAX(K1574,C1575)</f>
        <v>19650.01</v>
      </c>
      <c r="L1575" s="25" t="n">
        <f aca="false">C1575/K1575-1</f>
        <v>-0.737429650163028</v>
      </c>
      <c r="M1575" s="25" t="n">
        <f aca="false">IF(COUNT(G1546:G1575)&lt;20,"",_xlfn.STDEV.S(G1546:G1575)*SQRT($R$3))</f>
        <v>0.713516768614072</v>
      </c>
      <c r="N1575" s="25" t="n">
        <f aca="false">IF(A1575-7&lt;$R$2,"",C1575/INDEX(Clean_Data!$C$2:$C$4314,MATCH(A1575-7,Clean_Data!$A$2:$A$4314,1))-1)</f>
        <v>-0.0247336665179684</v>
      </c>
      <c r="O1575" s="25" t="n">
        <f aca="false">IF(A1575-30&lt;$R$2,"",C1575/INDEX(Clean_Data!$C$2:$C$4314,MATCH(A1575-30,Clean_Data!$A$2:$A$4314,1))-1)</f>
        <v>0.281378755404778</v>
      </c>
    </row>
    <row r="1576" customFormat="false" ht="15" hidden="false" customHeight="false" outlineLevel="0" collapsed="false">
      <c r="A1576" s="16" t="n">
        <v>43582</v>
      </c>
      <c r="B1576" s="23" t="n">
        <f aca="false">YEAR(A1576)</f>
        <v>2019</v>
      </c>
      <c r="C1576" s="17" t="n">
        <v>5170.6</v>
      </c>
      <c r="D1576" s="23" t="n">
        <f aca="false">A1576-A1575</f>
        <v>1</v>
      </c>
      <c r="E1576" s="24" t="n">
        <f aca="false">LN(C1576)</f>
        <v>8.55074401492732</v>
      </c>
      <c r="F1576" s="25" t="n">
        <f aca="false">LN(C1576/C1575)</f>
        <v>0.00214712220112504</v>
      </c>
      <c r="G1576" s="25" t="n">
        <f aca="false">IF(AND(D1576=1,A1576&gt;=$R$2),F1576,"")</f>
        <v>0.00214712220112504</v>
      </c>
      <c r="H1576" s="27" t="n">
        <f aca="false">IF(G1576="","",G1576^2)</f>
        <v>4.61013374656402E-006</v>
      </c>
      <c r="I1576" s="25" t="n">
        <f aca="false">IF(G1576="","",C1576/C1575-1)</f>
        <v>0.00214942891863767</v>
      </c>
      <c r="J1576" s="17" t="n">
        <f aca="false">AVERAGE(C1377:C1576)</f>
        <v>4450.86165</v>
      </c>
      <c r="K1576" s="17" t="n">
        <f aca="false">MAX(K1575,C1576)</f>
        <v>19650.01</v>
      </c>
      <c r="L1576" s="25" t="n">
        <f aca="false">C1576/K1576-1</f>
        <v>-0.736865273859912</v>
      </c>
      <c r="M1576" s="25" t="n">
        <f aca="false">IF(COUNT(G1547:G1576)&lt;20,"",_xlfn.STDEV.S(G1547:G1576)*SQRT($R$3))</f>
        <v>0.712547256292526</v>
      </c>
      <c r="N1576" s="25" t="n">
        <f aca="false">IF(A1576-7&lt;$R$2,"",C1576/INDEX(Clean_Data!$C$2:$C$4314,MATCH(A1576-7,Clean_Data!$A$2:$A$4314,1))-1)</f>
        <v>-0.0280626103171306</v>
      </c>
      <c r="O1576" s="25" t="n">
        <f aca="false">IF(A1576-30&lt;$R$2,"",C1576/INDEX(Clean_Data!$C$2:$C$4314,MATCH(A1576-30,Clean_Data!$A$2:$A$4314,1))-1)</f>
        <v>0.289050326961959</v>
      </c>
    </row>
    <row r="1577" customFormat="false" ht="15" hidden="false" customHeight="false" outlineLevel="0" collapsed="false">
      <c r="A1577" s="16" t="n">
        <v>43583</v>
      </c>
      <c r="B1577" s="23" t="n">
        <f aca="false">YEAR(A1577)</f>
        <v>2019</v>
      </c>
      <c r="C1577" s="17" t="n">
        <v>5155</v>
      </c>
      <c r="D1577" s="23" t="n">
        <f aca="false">A1577-A1576</f>
        <v>1</v>
      </c>
      <c r="E1577" s="24" t="n">
        <f aca="false">LN(C1577)</f>
        <v>8.54772239645106</v>
      </c>
      <c r="F1577" s="25" t="n">
        <f aca="false">LN(C1577/C1576)</f>
        <v>-0.00302161847625904</v>
      </c>
      <c r="G1577" s="25" t="n">
        <f aca="false">IF(AND(D1577=1,A1577&gt;=$R$2),F1577,"")</f>
        <v>-0.00302161847625904</v>
      </c>
      <c r="H1577" s="27" t="n">
        <f aca="false">IF(G1577="","",G1577^2)</f>
        <v>9.13017821607E-006</v>
      </c>
      <c r="I1577" s="25" t="n">
        <f aca="false">IF(G1577="","",C1577/C1576-1)</f>
        <v>-0.00301705798166563</v>
      </c>
      <c r="J1577" s="17" t="n">
        <f aca="false">AVERAGE(C1378:C1577)</f>
        <v>4444.01385</v>
      </c>
      <c r="K1577" s="17" t="n">
        <f aca="false">MAX(K1576,C1577)</f>
        <v>19650.01</v>
      </c>
      <c r="L1577" s="25" t="n">
        <f aca="false">C1577/K1577-1</f>
        <v>-0.737659166585666</v>
      </c>
      <c r="M1577" s="25" t="n">
        <f aca="false">IF(COUNT(G1548:G1577)&lt;20,"",_xlfn.STDEV.S(G1548:G1577)*SQRT($R$3))</f>
        <v>0.712443273234508</v>
      </c>
      <c r="N1577" s="25" t="n">
        <f aca="false">IF(A1577-7&lt;$R$2,"",C1577/INDEX(Clean_Data!$C$2:$C$4314,MATCH(A1577-7,Clean_Data!$A$2:$A$4314,1))-1)</f>
        <v>-0.0269251968801203</v>
      </c>
      <c r="O1577" s="25" t="n">
        <f aca="false">IF(A1577-30&lt;$R$2,"",C1577/INDEX(Clean_Data!$C$2:$C$4314,MATCH(A1577-30,Clean_Data!$A$2:$A$4314,1))-1)</f>
        <v>0.260080029137059</v>
      </c>
    </row>
    <row r="1578" customFormat="false" ht="15" hidden="false" customHeight="false" outlineLevel="0" collapsed="false">
      <c r="A1578" s="16" t="n">
        <v>43584</v>
      </c>
      <c r="B1578" s="23" t="n">
        <f aca="false">YEAR(A1578)</f>
        <v>2019</v>
      </c>
      <c r="C1578" s="17" t="n">
        <v>5148.25</v>
      </c>
      <c r="D1578" s="23" t="n">
        <f aca="false">A1578-A1577</f>
        <v>1</v>
      </c>
      <c r="E1578" s="24" t="n">
        <f aca="false">LN(C1578)</f>
        <v>8.54641213008546</v>
      </c>
      <c r="F1578" s="25" t="n">
        <f aca="false">LN(C1578/C1577)</f>
        <v>-0.00131026636560289</v>
      </c>
      <c r="G1578" s="25" t="n">
        <f aca="false">IF(AND(D1578=1,A1578&gt;=$R$2),F1578,"")</f>
        <v>-0.00131026636560289</v>
      </c>
      <c r="H1578" s="27" t="n">
        <f aca="false">IF(G1578="","",G1578^2)</f>
        <v>1.71679794883019E-006</v>
      </c>
      <c r="I1578" s="25" t="n">
        <f aca="false">IF(G1578="","",C1578/C1577-1)</f>
        <v>-0.00130940834141613</v>
      </c>
      <c r="J1578" s="17" t="n">
        <f aca="false">AVERAGE(C1379:C1578)</f>
        <v>4438.98165</v>
      </c>
      <c r="K1578" s="17" t="n">
        <f aca="false">MAX(K1577,C1578)</f>
        <v>19650.01</v>
      </c>
      <c r="L1578" s="25" t="n">
        <f aca="false">C1578/K1578-1</f>
        <v>-0.738002677861233</v>
      </c>
      <c r="M1578" s="25" t="n">
        <f aca="false">IF(COUNT(G1549:G1578)&lt;20,"",_xlfn.STDEV.S(G1549:G1578)*SQRT($R$3))</f>
        <v>0.71273442971636</v>
      </c>
      <c r="N1578" s="25" t="n">
        <f aca="false">IF(A1578-7&lt;$R$2,"",C1578/INDEX(Clean_Data!$C$2:$C$4314,MATCH(A1578-7,Clean_Data!$A$2:$A$4314,1))-1)</f>
        <v>-0.0444260895389413</v>
      </c>
      <c r="O1578" s="25" t="n">
        <f aca="false">IF(A1578-30&lt;$R$2,"",C1578/INDEX(Clean_Data!$C$2:$C$4314,MATCH(A1578-30,Clean_Data!$A$2:$A$4314,1))-1)</f>
        <v>0.257467990835682</v>
      </c>
    </row>
    <row r="1579" customFormat="false" ht="15" hidden="false" customHeight="false" outlineLevel="0" collapsed="false">
      <c r="A1579" s="16" t="n">
        <v>43585</v>
      </c>
      <c r="B1579" s="23" t="n">
        <f aca="false">YEAR(A1579)</f>
        <v>2019</v>
      </c>
      <c r="C1579" s="17" t="n">
        <v>5270.69</v>
      </c>
      <c r="D1579" s="23" t="n">
        <f aca="false">A1579-A1578</f>
        <v>1</v>
      </c>
      <c r="E1579" s="24" t="n">
        <f aca="false">LN(C1579)</f>
        <v>8.56991656275612</v>
      </c>
      <c r="F1579" s="25" t="n">
        <f aca="false">LN(C1579/C1578)</f>
        <v>0.0235044326706649</v>
      </c>
      <c r="G1579" s="25" t="n">
        <f aca="false">IF(AND(D1579=1,A1579&gt;=$R$2),F1579,"")</f>
        <v>0.0235044326706649</v>
      </c>
      <c r="H1579" s="27" t="n">
        <f aca="false">IF(G1579="","",G1579^2)</f>
        <v>0.000552458355169819</v>
      </c>
      <c r="I1579" s="25" t="n">
        <f aca="false">IF(G1579="","",C1579/C1578-1)</f>
        <v>0.0237828388287282</v>
      </c>
      <c r="J1579" s="17" t="n">
        <f aca="false">AVERAGE(C1380:C1579)</f>
        <v>4434.39505</v>
      </c>
      <c r="K1579" s="17" t="n">
        <f aca="false">MAX(K1578,C1579)</f>
        <v>19650.01</v>
      </c>
      <c r="L1579" s="25" t="n">
        <f aca="false">C1579/K1579-1</f>
        <v>-0.731771637775248</v>
      </c>
      <c r="M1579" s="25" t="n">
        <f aca="false">IF(COUNT(G1550:G1579)&lt;20,"",_xlfn.STDEV.S(G1550:G1579)*SQRT($R$3))</f>
        <v>0.714308788315524</v>
      </c>
      <c r="N1579" s="25" t="n">
        <f aca="false">IF(A1579-7&lt;$R$2,"",C1579/INDEX(Clean_Data!$C$2:$C$4314,MATCH(A1579-7,Clean_Data!$A$2:$A$4314,1))-1)</f>
        <v>-0.0473652342867472</v>
      </c>
      <c r="O1579" s="25" t="n">
        <f aca="false">IF(A1579-30&lt;$R$2,"",C1579/INDEX(Clean_Data!$C$2:$C$4314,MATCH(A1579-30,Clean_Data!$A$2:$A$4314,1))-1)</f>
        <v>0.287106928222047</v>
      </c>
    </row>
    <row r="1580" customFormat="false" ht="15" hidden="false" customHeight="false" outlineLevel="0" collapsed="false">
      <c r="A1580" s="16" t="n">
        <v>43586</v>
      </c>
      <c r="B1580" s="23" t="n">
        <f aca="false">YEAR(A1580)</f>
        <v>2019</v>
      </c>
      <c r="C1580" s="17" t="n">
        <v>5321.15</v>
      </c>
      <c r="D1580" s="23" t="n">
        <f aca="false">A1580-A1579</f>
        <v>1</v>
      </c>
      <c r="E1580" s="24" t="n">
        <f aca="false">LN(C1580)</f>
        <v>8.57944472438885</v>
      </c>
      <c r="F1580" s="25" t="n">
        <f aca="false">LN(C1580/C1579)</f>
        <v>0.00952816163272495</v>
      </c>
      <c r="G1580" s="25" t="n">
        <f aca="false">IF(AND(D1580=1,A1580&gt;=$R$2),F1580,"")</f>
        <v>0.00952816163272495</v>
      </c>
      <c r="H1580" s="27" t="n">
        <f aca="false">IF(G1580="","",G1580^2)</f>
        <v>9.07858640993318E-005</v>
      </c>
      <c r="I1580" s="25" t="n">
        <f aca="false">IF(G1580="","",C1580/C1579-1)</f>
        <v>0.00957369907924766</v>
      </c>
      <c r="J1580" s="17" t="n">
        <f aca="false">AVERAGE(C1381:C1580)</f>
        <v>4430.0208</v>
      </c>
      <c r="K1580" s="17" t="n">
        <f aca="false">MAX(K1579,C1580)</f>
        <v>19650.01</v>
      </c>
      <c r="L1580" s="25" t="n">
        <f aca="false">C1580/K1580-1</f>
        <v>-0.729203700150789</v>
      </c>
      <c r="M1580" s="25" t="n">
        <f aca="false">IF(COUNT(G1551:G1580)&lt;20,"",_xlfn.STDEV.S(G1551:G1580)*SQRT($R$3))</f>
        <v>0.714291269424887</v>
      </c>
      <c r="N1580" s="25" t="n">
        <f aca="false">IF(A1580-7&lt;$R$2,"",C1580/INDEX(Clean_Data!$C$2:$C$4314,MATCH(A1580-7,Clean_Data!$A$2:$A$4314,1))-1)</f>
        <v>-0.0221889413623918</v>
      </c>
      <c r="O1580" s="25" t="n">
        <f aca="false">IF(A1580-30&lt;$R$2,"",C1580/INDEX(Clean_Data!$C$2:$C$4314,MATCH(A1580-30,Clean_Data!$A$2:$A$4314,1))-1)</f>
        <v>0.286233985980179</v>
      </c>
    </row>
    <row r="1581" customFormat="false" ht="15" hidden="false" customHeight="false" outlineLevel="0" collapsed="false">
      <c r="A1581" s="16" t="n">
        <v>43587</v>
      </c>
      <c r="B1581" s="23" t="n">
        <f aca="false">YEAR(A1581)</f>
        <v>2019</v>
      </c>
      <c r="C1581" s="17" t="n">
        <v>5390.01</v>
      </c>
      <c r="D1581" s="23" t="n">
        <f aca="false">A1581-A1580</f>
        <v>1</v>
      </c>
      <c r="E1581" s="24" t="n">
        <f aca="false">LN(C1581)</f>
        <v>8.59230251918889</v>
      </c>
      <c r="F1581" s="25" t="n">
        <f aca="false">LN(C1581/C1580)</f>
        <v>0.0128577948000442</v>
      </c>
      <c r="G1581" s="25" t="n">
        <f aca="false">IF(AND(D1581=1,A1581&gt;=$R$2),F1581,"")</f>
        <v>0.0128577948000442</v>
      </c>
      <c r="H1581" s="27" t="n">
        <f aca="false">IF(G1581="","",G1581^2)</f>
        <v>0.000165322887120044</v>
      </c>
      <c r="I1581" s="25" t="n">
        <f aca="false">IF(G1581="","",C1581/C1580-1)</f>
        <v>0.0129408116666512</v>
      </c>
      <c r="J1581" s="17" t="n">
        <f aca="false">AVERAGE(C1382:C1581)</f>
        <v>4426.0534</v>
      </c>
      <c r="K1581" s="17" t="n">
        <f aca="false">MAX(K1580,C1581)</f>
        <v>19650.01</v>
      </c>
      <c r="L1581" s="25" t="n">
        <f aca="false">C1581/K1581-1</f>
        <v>-0.725699376234414</v>
      </c>
      <c r="M1581" s="25" t="n">
        <f aca="false">IF(COUNT(G1552:G1581)&lt;20,"",_xlfn.STDEV.S(G1552:G1581)*SQRT($R$3))</f>
        <v>0.415711613741041</v>
      </c>
      <c r="N1581" s="25" t="n">
        <f aca="false">IF(A1581-7&lt;$R$2,"",C1581/INDEX(Clean_Data!$C$2:$C$4314,MATCH(A1581-7,Clean_Data!$A$2:$A$4314,1))-1)</f>
        <v>0.0496999888992971</v>
      </c>
      <c r="O1581" s="25" t="n">
        <f aca="false">IF(A1581-30&lt;$R$2,"",C1581/INDEX(Clean_Data!$C$2:$C$4314,MATCH(A1581-30,Clean_Data!$A$2:$A$4314,1))-1)</f>
        <v>0.0995689452929764</v>
      </c>
    </row>
    <row r="1582" customFormat="false" ht="15" hidden="false" customHeight="false" outlineLevel="0" collapsed="false">
      <c r="A1582" s="16" t="n">
        <v>43588</v>
      </c>
      <c r="B1582" s="23" t="n">
        <f aca="false">YEAR(A1582)</f>
        <v>2019</v>
      </c>
      <c r="C1582" s="17" t="n">
        <v>5657.4</v>
      </c>
      <c r="D1582" s="23" t="n">
        <f aca="false">A1582-A1581</f>
        <v>1</v>
      </c>
      <c r="E1582" s="24" t="n">
        <f aca="false">LN(C1582)</f>
        <v>8.64071970169969</v>
      </c>
      <c r="F1582" s="25" t="n">
        <f aca="false">LN(C1582/C1581)</f>
        <v>0.0484171825107952</v>
      </c>
      <c r="G1582" s="25" t="n">
        <f aca="false">IF(AND(D1582=1,A1582&gt;=$R$2),F1582,"")</f>
        <v>0.0484171825107952</v>
      </c>
      <c r="H1582" s="27" t="n">
        <f aca="false">IF(G1582="","",G1582^2)</f>
        <v>0.00234422356228365</v>
      </c>
      <c r="I1582" s="25" t="n">
        <f aca="false">IF(G1582="","",C1582/C1581-1)</f>
        <v>0.0496084422848937</v>
      </c>
      <c r="J1582" s="17" t="n">
        <f aca="false">AVERAGE(C1383:C1582)</f>
        <v>4422.1383</v>
      </c>
      <c r="K1582" s="17" t="n">
        <f aca="false">MAX(K1581,C1582)</f>
        <v>19650.01</v>
      </c>
      <c r="L1582" s="25" t="n">
        <f aca="false">C1582/K1582-1</f>
        <v>-0.712091749571629</v>
      </c>
      <c r="M1582" s="25" t="n">
        <f aca="false">IF(COUNT(G1553:G1582)&lt;20,"",_xlfn.STDEV.S(G1553:G1582)*SQRT($R$3))</f>
        <v>0.443126945868465</v>
      </c>
      <c r="N1582" s="25" t="n">
        <f aca="false">IF(A1582-7&lt;$R$2,"",C1582/INDEX(Clean_Data!$C$2:$C$4314,MATCH(A1582-7,Clean_Data!$A$2:$A$4314,1))-1)</f>
        <v>0.0964994737872393</v>
      </c>
      <c r="O1582" s="25" t="n">
        <f aca="false">IF(A1582-30&lt;$R$2,"",C1582/INDEX(Clean_Data!$C$2:$C$4314,MATCH(A1582-30,Clean_Data!$A$2:$A$4314,1))-1)</f>
        <v>0.136944153602212</v>
      </c>
    </row>
    <row r="1583" customFormat="false" ht="15" hidden="false" customHeight="false" outlineLevel="0" collapsed="false">
      <c r="A1583" s="16" t="n">
        <v>43589</v>
      </c>
      <c r="B1583" s="23" t="n">
        <f aca="false">YEAR(A1583)</f>
        <v>2019</v>
      </c>
      <c r="C1583" s="17" t="n">
        <v>5770.01</v>
      </c>
      <c r="D1583" s="23" t="n">
        <f aca="false">A1583-A1582</f>
        <v>1</v>
      </c>
      <c r="E1583" s="24" t="n">
        <f aca="false">LN(C1583)</f>
        <v>8.6604290926029</v>
      </c>
      <c r="F1583" s="25" t="n">
        <f aca="false">LN(C1583/C1582)</f>
        <v>0.01970939090321</v>
      </c>
      <c r="G1583" s="25" t="n">
        <f aca="false">IF(AND(D1583=1,A1583&gt;=$R$2),F1583,"")</f>
        <v>0.01970939090321</v>
      </c>
      <c r="H1583" s="27" t="n">
        <f aca="false">IF(G1583="","",G1583^2)</f>
        <v>0.000388460089775537</v>
      </c>
      <c r="I1583" s="25" t="n">
        <f aca="false">IF(G1583="","",C1583/C1582-1)</f>
        <v>0.0199049033124759</v>
      </c>
      <c r="J1583" s="17" t="n">
        <f aca="false">AVERAGE(C1384:C1583)</f>
        <v>4418.7028</v>
      </c>
      <c r="K1583" s="17" t="n">
        <f aca="false">MAX(K1582,C1583)</f>
        <v>19650.01</v>
      </c>
      <c r="L1583" s="25" t="n">
        <f aca="false">C1583/K1583-1</f>
        <v>-0.706360963683988</v>
      </c>
      <c r="M1583" s="25" t="n">
        <f aca="false">IF(COUNT(G1554:G1583)&lt;20,"",_xlfn.STDEV.S(G1554:G1583)*SQRT($R$3))</f>
        <v>0.441187954949346</v>
      </c>
      <c r="N1583" s="25" t="n">
        <f aca="false">IF(A1583-7&lt;$R$2,"",C1583/INDEX(Clean_Data!$C$2:$C$4314,MATCH(A1583-7,Clean_Data!$A$2:$A$4314,1))-1)</f>
        <v>0.115926584922446</v>
      </c>
      <c r="O1583" s="25" t="n">
        <f aca="false">IF(A1583-30&lt;$R$2,"",C1583/INDEX(Clean_Data!$C$2:$C$4314,MATCH(A1583-30,Clean_Data!$A$2:$A$4314,1))-1)</f>
        <v>0.1759954672281</v>
      </c>
    </row>
    <row r="1584" customFormat="false" ht="15" hidden="false" customHeight="false" outlineLevel="0" collapsed="false">
      <c r="A1584" s="16" t="n">
        <v>43590</v>
      </c>
      <c r="B1584" s="23" t="n">
        <f aca="false">YEAR(A1584)</f>
        <v>2019</v>
      </c>
      <c r="C1584" s="17" t="n">
        <v>5715.86</v>
      </c>
      <c r="D1584" s="23" t="n">
        <f aca="false">A1584-A1583</f>
        <v>1</v>
      </c>
      <c r="E1584" s="24" t="n">
        <f aca="false">LN(C1584)</f>
        <v>8.6510000460976</v>
      </c>
      <c r="F1584" s="25" t="n">
        <f aca="false">LN(C1584/C1583)</f>
        <v>-0.00942904650529274</v>
      </c>
      <c r="G1584" s="25" t="n">
        <f aca="false">IF(AND(D1584=1,A1584&gt;=$R$2),F1584,"")</f>
        <v>-0.00942904650529274</v>
      </c>
      <c r="H1584" s="27" t="n">
        <f aca="false">IF(G1584="","",G1584^2)</f>
        <v>8.89069179989732E-005</v>
      </c>
      <c r="I1584" s="25" t="n">
        <f aca="false">IF(G1584="","",C1584/C1583-1)</f>
        <v>-0.00938473243547244</v>
      </c>
      <c r="J1584" s="17" t="n">
        <f aca="false">AVERAGE(C1385:C1584)</f>
        <v>4415.0636</v>
      </c>
      <c r="K1584" s="17" t="n">
        <f aca="false">MAX(K1583,C1584)</f>
        <v>19650.01</v>
      </c>
      <c r="L1584" s="25" t="n">
        <f aca="false">C1584/K1584-1</f>
        <v>-0.709116687472424</v>
      </c>
      <c r="M1584" s="25" t="n">
        <f aca="false">IF(COUNT(G1555:G1584)&lt;20,"",_xlfn.STDEV.S(G1555:G1584)*SQRT($R$3))</f>
        <v>0.437037259472813</v>
      </c>
      <c r="N1584" s="25" t="n">
        <f aca="false">IF(A1584-7&lt;$R$2,"",C1584/INDEX(Clean_Data!$C$2:$C$4314,MATCH(A1584-7,Clean_Data!$A$2:$A$4314,1))-1)</f>
        <v>0.108799224054316</v>
      </c>
      <c r="O1584" s="25" t="n">
        <f aca="false">IF(A1584-30&lt;$R$2,"",C1584/INDEX(Clean_Data!$C$2:$C$4314,MATCH(A1584-30,Clean_Data!$A$2:$A$4314,1))-1)</f>
        <v>0.133950712803482</v>
      </c>
    </row>
    <row r="1585" customFormat="false" ht="15" hidden="false" customHeight="false" outlineLevel="0" collapsed="false">
      <c r="A1585" s="16" t="n">
        <v>43591</v>
      </c>
      <c r="B1585" s="23" t="n">
        <f aca="false">YEAR(A1585)</f>
        <v>2019</v>
      </c>
      <c r="C1585" s="17" t="n">
        <v>5687.9</v>
      </c>
      <c r="D1585" s="23" t="n">
        <f aca="false">A1585-A1584</f>
        <v>1</v>
      </c>
      <c r="E1585" s="24" t="n">
        <f aca="false">LN(C1585)</f>
        <v>8.64609639045652</v>
      </c>
      <c r="F1585" s="25" t="n">
        <f aca="false">LN(C1585/C1584)</f>
        <v>-0.00490365564108356</v>
      </c>
      <c r="G1585" s="25" t="n">
        <f aca="false">IF(AND(D1585=1,A1585&gt;=$R$2),F1585,"")</f>
        <v>-0.00490365564108356</v>
      </c>
      <c r="H1585" s="27" t="n">
        <f aca="false">IF(G1585="","",G1585^2)</f>
        <v>2.40458386463306E-005</v>
      </c>
      <c r="I1585" s="25" t="n">
        <f aca="false">IF(G1585="","",C1585/C1584-1)</f>
        <v>-0.00489165234977762</v>
      </c>
      <c r="J1585" s="17" t="n">
        <f aca="false">AVERAGE(C1386:C1585)</f>
        <v>4411.5283</v>
      </c>
      <c r="K1585" s="17" t="n">
        <f aca="false">MAX(K1584,C1585)</f>
        <v>19650.01</v>
      </c>
      <c r="L1585" s="25" t="n">
        <f aca="false">C1585/K1585-1</f>
        <v>-0.71053958751166</v>
      </c>
      <c r="M1585" s="25" t="n">
        <f aca="false">IF(COUNT(G1556:G1585)&lt;20,"",_xlfn.STDEV.S(G1556:G1585)*SQRT($R$3))</f>
        <v>0.438116312233115</v>
      </c>
      <c r="N1585" s="25" t="n">
        <f aca="false">IF(A1585-7&lt;$R$2,"",C1585/INDEX(Clean_Data!$C$2:$C$4314,MATCH(A1585-7,Clean_Data!$A$2:$A$4314,1))-1)</f>
        <v>0.104822026902345</v>
      </c>
      <c r="O1585" s="25" t="n">
        <f aca="false">IF(A1585-30&lt;$R$2,"",C1585/INDEX(Clean_Data!$C$2:$C$4314,MATCH(A1585-30,Clean_Data!$A$2:$A$4314,1))-1)</f>
        <v>0.126490824325341</v>
      </c>
    </row>
    <row r="1586" customFormat="false" ht="15" hidden="false" customHeight="false" outlineLevel="0" collapsed="false">
      <c r="A1586" s="16" t="n">
        <v>43592</v>
      </c>
      <c r="B1586" s="23" t="n">
        <f aca="false">YEAR(A1586)</f>
        <v>2019</v>
      </c>
      <c r="C1586" s="17" t="n">
        <v>5748.45</v>
      </c>
      <c r="D1586" s="23" t="n">
        <f aca="false">A1586-A1585</f>
        <v>1</v>
      </c>
      <c r="E1586" s="24" t="n">
        <f aca="false">LN(C1586)</f>
        <v>8.65668553223477</v>
      </c>
      <c r="F1586" s="25" t="n">
        <f aca="false">LN(C1586/C1585)</f>
        <v>0.0105891417782507</v>
      </c>
      <c r="G1586" s="25" t="n">
        <f aca="false">IF(AND(D1586=1,A1586&gt;=$R$2),F1586,"")</f>
        <v>0.0105891417782507</v>
      </c>
      <c r="H1586" s="27" t="n">
        <f aca="false">IF(G1586="","",G1586^2)</f>
        <v>0.000112129923599893</v>
      </c>
      <c r="I1586" s="25" t="n">
        <f aca="false">IF(G1586="","",C1586/C1585-1)</f>
        <v>0.0106454051583185</v>
      </c>
      <c r="J1586" s="17" t="n">
        <f aca="false">AVERAGE(C1387:C1586)</f>
        <v>4408.3556</v>
      </c>
      <c r="K1586" s="17" t="n">
        <f aca="false">MAX(K1585,C1586)</f>
        <v>19650.01</v>
      </c>
      <c r="L1586" s="25" t="n">
        <f aca="false">C1586/K1586-1</f>
        <v>-0.707458164143428</v>
      </c>
      <c r="M1586" s="25" t="n">
        <f aca="false">IF(COUNT(G1557:G1586)&lt;20,"",_xlfn.STDEV.S(G1557:G1586)*SQRT($R$3))</f>
        <v>0.429928447494002</v>
      </c>
      <c r="N1586" s="25" t="n">
        <f aca="false">IF(A1586-7&lt;$R$2,"",C1586/INDEX(Clean_Data!$C$2:$C$4314,MATCH(A1586-7,Clean_Data!$A$2:$A$4314,1))-1)</f>
        <v>0.0906446784007406</v>
      </c>
      <c r="O1586" s="25" t="n">
        <f aca="false">IF(A1586-30&lt;$R$2,"",C1586/INDEX(Clean_Data!$C$2:$C$4314,MATCH(A1586-30,Clean_Data!$A$2:$A$4314,1))-1)</f>
        <v>0.106579861746096</v>
      </c>
    </row>
    <row r="1587" customFormat="false" ht="15" hidden="false" customHeight="false" outlineLevel="0" collapsed="false">
      <c r="A1587" s="16" t="n">
        <v>43593</v>
      </c>
      <c r="B1587" s="23" t="n">
        <f aca="false">YEAR(A1587)</f>
        <v>2019</v>
      </c>
      <c r="C1587" s="17" t="n">
        <v>5948.41</v>
      </c>
      <c r="D1587" s="23" t="n">
        <f aca="false">A1587-A1586</f>
        <v>1</v>
      </c>
      <c r="E1587" s="24" t="n">
        <f aca="false">LN(C1587)</f>
        <v>8.69087923593745</v>
      </c>
      <c r="F1587" s="25" t="n">
        <f aca="false">LN(C1587/C1586)</f>
        <v>0.0341937037026805</v>
      </c>
      <c r="G1587" s="25" t="n">
        <f aca="false">IF(AND(D1587=1,A1587&gt;=$R$2),F1587,"")</f>
        <v>0.0341937037026805</v>
      </c>
      <c r="H1587" s="27" t="n">
        <f aca="false">IF(G1587="","",G1587^2)</f>
        <v>0.00116920937290671</v>
      </c>
      <c r="I1587" s="25" t="n">
        <f aca="false">IF(G1587="","",C1587/C1586-1)</f>
        <v>0.0347850290078195</v>
      </c>
      <c r="J1587" s="17" t="n">
        <f aca="false">AVERAGE(C1388:C1587)</f>
        <v>4406.02765</v>
      </c>
      <c r="K1587" s="17" t="n">
        <f aca="false">MAX(K1586,C1587)</f>
        <v>19650.01</v>
      </c>
      <c r="L1587" s="25" t="n">
        <f aca="false">C1587/K1587-1</f>
        <v>-0.697282087897156</v>
      </c>
      <c r="M1587" s="25" t="n">
        <f aca="false">IF(COUNT(G1558:G1587)&lt;20,"",_xlfn.STDEV.S(G1558:G1587)*SQRT($R$3))</f>
        <v>0.440710659215082</v>
      </c>
      <c r="N1587" s="25" t="n">
        <f aca="false">IF(A1587-7&lt;$R$2,"",C1587/INDEX(Clean_Data!$C$2:$C$4314,MATCH(A1587-7,Clean_Data!$A$2:$A$4314,1))-1)</f>
        <v>0.117880533343356</v>
      </c>
      <c r="O1587" s="25" t="n">
        <f aca="false">IF(A1587-30&lt;$R$2,"",C1587/INDEX(Clean_Data!$C$2:$C$4314,MATCH(A1587-30,Clean_Data!$A$2:$A$4314,1))-1)</f>
        <v>0.125411973043436</v>
      </c>
    </row>
    <row r="1588" customFormat="false" ht="15" hidden="false" customHeight="false" outlineLevel="0" collapsed="false">
      <c r="A1588" s="16" t="n">
        <v>43594</v>
      </c>
      <c r="B1588" s="23" t="n">
        <f aca="false">YEAR(A1588)</f>
        <v>2019</v>
      </c>
      <c r="C1588" s="17" t="n">
        <v>6153.09</v>
      </c>
      <c r="D1588" s="23" t="n">
        <f aca="false">A1588-A1587</f>
        <v>1</v>
      </c>
      <c r="E1588" s="24" t="n">
        <f aca="false">LN(C1588)</f>
        <v>8.72470967364473</v>
      </c>
      <c r="F1588" s="25" t="n">
        <f aca="false">LN(C1588/C1587)</f>
        <v>0.0338304377072792</v>
      </c>
      <c r="G1588" s="25" t="n">
        <f aca="false">IF(AND(D1588=1,A1588&gt;=$R$2),F1588,"")</f>
        <v>0.0338304377072792</v>
      </c>
      <c r="H1588" s="27" t="n">
        <f aca="false">IF(G1588="","",G1588^2)</f>
        <v>0.0011444985154661</v>
      </c>
      <c r="I1588" s="25" t="n">
        <f aca="false">IF(G1588="","",C1588/C1587-1)</f>
        <v>0.0344091950622099</v>
      </c>
      <c r="J1588" s="17" t="n">
        <f aca="false">AVERAGE(C1389:C1588)</f>
        <v>4404.7137</v>
      </c>
      <c r="K1588" s="17" t="n">
        <f aca="false">MAX(K1587,C1588)</f>
        <v>19650.01</v>
      </c>
      <c r="L1588" s="25" t="n">
        <f aca="false">C1588/K1588-1</f>
        <v>-0.686865808210785</v>
      </c>
      <c r="M1588" s="25" t="n">
        <f aca="false">IF(COUNT(G1559:G1588)&lt;20,"",_xlfn.STDEV.S(G1559:G1588)*SQRT($R$3))</f>
        <v>0.444764717054526</v>
      </c>
      <c r="N1588" s="25" t="n">
        <f aca="false">IF(A1588-7&lt;$R$2,"",C1588/INDEX(Clean_Data!$C$2:$C$4314,MATCH(A1588-7,Clean_Data!$A$2:$A$4314,1))-1)</f>
        <v>0.141573021200332</v>
      </c>
      <c r="O1588" s="25" t="n">
        <f aca="false">IF(A1588-30&lt;$R$2,"",C1588/INDEX(Clean_Data!$C$2:$C$4314,MATCH(A1588-30,Clean_Data!$A$2:$A$4314,1))-1)</f>
        <v>0.186204144424459</v>
      </c>
    </row>
    <row r="1589" customFormat="false" ht="15" hidden="false" customHeight="false" outlineLevel="0" collapsed="false">
      <c r="A1589" s="16" t="n">
        <v>43595</v>
      </c>
      <c r="B1589" s="23" t="n">
        <f aca="false">YEAR(A1589)</f>
        <v>2019</v>
      </c>
      <c r="C1589" s="17" t="n">
        <v>6343.14</v>
      </c>
      <c r="D1589" s="23" t="n">
        <f aca="false">A1589-A1588</f>
        <v>1</v>
      </c>
      <c r="E1589" s="24" t="n">
        <f aca="false">LN(C1589)</f>
        <v>8.75512919296529</v>
      </c>
      <c r="F1589" s="25" t="n">
        <f aca="false">LN(C1589/C1588)</f>
        <v>0.0304195193205573</v>
      </c>
      <c r="G1589" s="25" t="n">
        <f aca="false">IF(AND(D1589=1,A1589&gt;=$R$2),F1589,"")</f>
        <v>0.0304195193205573</v>
      </c>
      <c r="H1589" s="27" t="n">
        <f aca="false">IF(G1589="","",G1589^2)</f>
        <v>0.000925347155693761</v>
      </c>
      <c r="I1589" s="25" t="n">
        <f aca="false">IF(G1589="","",C1589/C1588-1)</f>
        <v>0.0308869202303232</v>
      </c>
      <c r="J1589" s="17" t="n">
        <f aca="false">AVERAGE(C1390:C1589)</f>
        <v>4404.39115</v>
      </c>
      <c r="K1589" s="17" t="n">
        <f aca="false">MAX(K1588,C1589)</f>
        <v>19650.01</v>
      </c>
      <c r="L1589" s="25" t="n">
        <f aca="false">C1589/K1589-1</f>
        <v>-0.677194057407604</v>
      </c>
      <c r="M1589" s="25" t="n">
        <f aca="false">IF(COUNT(G1560:G1589)&lt;20,"",_xlfn.STDEV.S(G1560:G1589)*SQRT($R$3))</f>
        <v>0.448109427695578</v>
      </c>
      <c r="N1589" s="25" t="n">
        <f aca="false">IF(A1589-7&lt;$R$2,"",C1589/INDEX(Clean_Data!$C$2:$C$4314,MATCH(A1589-7,Clean_Data!$A$2:$A$4314,1))-1)</f>
        <v>0.121211157068618</v>
      </c>
      <c r="O1589" s="25" t="n">
        <f aca="false">IF(A1589-30&lt;$R$2,"",C1589/INDEX(Clean_Data!$C$2:$C$4314,MATCH(A1589-30,Clean_Data!$A$2:$A$4314,1))-1)</f>
        <v>0.192637884548131</v>
      </c>
    </row>
    <row r="1590" customFormat="false" ht="15" hidden="false" customHeight="false" outlineLevel="0" collapsed="false">
      <c r="A1590" s="16" t="n">
        <v>43596</v>
      </c>
      <c r="B1590" s="23" t="n">
        <f aca="false">YEAR(A1590)</f>
        <v>2019</v>
      </c>
      <c r="C1590" s="17" t="n">
        <v>7219.95</v>
      </c>
      <c r="D1590" s="23" t="n">
        <f aca="false">A1590-A1589</f>
        <v>1</v>
      </c>
      <c r="E1590" s="24" t="n">
        <f aca="false">LN(C1590)</f>
        <v>8.88460330665514</v>
      </c>
      <c r="F1590" s="25" t="n">
        <f aca="false">LN(C1590/C1589)</f>
        <v>0.129474113689848</v>
      </c>
      <c r="G1590" s="25" t="n">
        <f aca="false">IF(AND(D1590=1,A1590&gt;=$R$2),F1590,"")</f>
        <v>0.129474113689848</v>
      </c>
      <c r="H1590" s="27" t="n">
        <f aca="false">IF(G1590="","",G1590^2)</f>
        <v>0.0167635461157717</v>
      </c>
      <c r="I1590" s="25" t="n">
        <f aca="false">IF(G1590="","",C1590/C1589-1)</f>
        <v>0.138229646515763</v>
      </c>
      <c r="J1590" s="17" t="n">
        <f aca="false">AVERAGE(C1391:C1590)</f>
        <v>4408.5152</v>
      </c>
      <c r="K1590" s="17" t="n">
        <f aca="false">MAX(K1589,C1590)</f>
        <v>19650.01</v>
      </c>
      <c r="L1590" s="25" t="n">
        <f aca="false">C1590/K1590-1</f>
        <v>-0.63257270606987</v>
      </c>
      <c r="M1590" s="25" t="n">
        <f aca="false">IF(COUNT(G1561:G1590)&lt;20,"",_xlfn.STDEV.S(G1561:G1590)*SQRT($R$3))</f>
        <v>0.578449469985159</v>
      </c>
      <c r="N1590" s="25" t="n">
        <f aca="false">IF(A1590-7&lt;$R$2,"",C1590/INDEX(Clean_Data!$C$2:$C$4314,MATCH(A1590-7,Clean_Data!$A$2:$A$4314,1))-1)</f>
        <v>0.251288992566737</v>
      </c>
      <c r="O1590" s="25" t="n">
        <f aca="false">IF(A1590-30&lt;$R$2,"",C1590/INDEX(Clean_Data!$C$2:$C$4314,MATCH(A1590-30,Clean_Data!$A$2:$A$4314,1))-1)</f>
        <v>0.432160355463868</v>
      </c>
    </row>
    <row r="1591" customFormat="false" ht="15" hidden="false" customHeight="false" outlineLevel="0" collapsed="false">
      <c r="A1591" s="16" t="n">
        <v>43597</v>
      </c>
      <c r="B1591" s="23" t="n">
        <f aca="false">YEAR(A1591)</f>
        <v>2019</v>
      </c>
      <c r="C1591" s="17" t="n">
        <v>6979.76</v>
      </c>
      <c r="D1591" s="23" t="n">
        <f aca="false">A1591-A1590</f>
        <v>1</v>
      </c>
      <c r="E1591" s="24" t="n">
        <f aca="false">LN(C1591)</f>
        <v>8.85076981121112</v>
      </c>
      <c r="F1591" s="25" t="n">
        <f aca="false">LN(C1591/C1590)</f>
        <v>-0.0338334954440145</v>
      </c>
      <c r="G1591" s="25" t="n">
        <f aca="false">IF(AND(D1591=1,A1591&gt;=$R$2),F1591,"")</f>
        <v>-0.0338334954440145</v>
      </c>
      <c r="H1591" s="27" t="n">
        <f aca="false">IF(G1591="","",G1591^2)</f>
        <v>0.00114470541396015</v>
      </c>
      <c r="I1591" s="25" t="n">
        <f aca="false">IF(G1591="","",C1591/C1590-1)</f>
        <v>-0.0332675434040401</v>
      </c>
      <c r="J1591" s="17" t="n">
        <f aca="false">AVERAGE(C1392:C1591)</f>
        <v>4411.3341</v>
      </c>
      <c r="K1591" s="17" t="n">
        <f aca="false">MAX(K1590,C1591)</f>
        <v>19650.01</v>
      </c>
      <c r="L1591" s="25" t="n">
        <f aca="false">C1591/K1591-1</f>
        <v>-0.644796109518519</v>
      </c>
      <c r="M1591" s="25" t="n">
        <f aca="false">IF(COUNT(G1562:G1591)&lt;20,"",_xlfn.STDEV.S(G1562:G1591)*SQRT($R$3))</f>
        <v>0.600022463181097</v>
      </c>
      <c r="N1591" s="25" t="n">
        <f aca="false">IF(A1591-7&lt;$R$2,"",C1591/INDEX(Clean_Data!$C$2:$C$4314,MATCH(A1591-7,Clean_Data!$A$2:$A$4314,1))-1)</f>
        <v>0.221121581004433</v>
      </c>
      <c r="O1591" s="25" t="n">
        <f aca="false">IF(A1591-30&lt;$R$2,"",C1591/INDEX(Clean_Data!$C$2:$C$4314,MATCH(A1591-30,Clean_Data!$A$2:$A$4314,1))-1)</f>
        <v>0.37445822231937</v>
      </c>
    </row>
    <row r="1592" customFormat="false" ht="15" hidden="false" customHeight="false" outlineLevel="0" collapsed="false">
      <c r="A1592" s="16" t="n">
        <v>43598</v>
      </c>
      <c r="B1592" s="23" t="n">
        <f aca="false">YEAR(A1592)</f>
        <v>2019</v>
      </c>
      <c r="C1592" s="17" t="n">
        <v>7824.93</v>
      </c>
      <c r="D1592" s="23" t="n">
        <f aca="false">A1592-A1591</f>
        <v>1</v>
      </c>
      <c r="E1592" s="24" t="n">
        <f aca="false">LN(C1592)</f>
        <v>8.96507006968144</v>
      </c>
      <c r="F1592" s="25" t="n">
        <f aca="false">LN(C1592/C1591)</f>
        <v>0.114300258470318</v>
      </c>
      <c r="G1592" s="25" t="n">
        <f aca="false">IF(AND(D1592=1,A1592&gt;=$R$2),F1592,"")</f>
        <v>0.114300258470318</v>
      </c>
      <c r="H1592" s="27" t="n">
        <f aca="false">IF(G1592="","",G1592^2)</f>
        <v>0.0130645490863816</v>
      </c>
      <c r="I1592" s="25" t="n">
        <f aca="false">IF(G1592="","",C1592/C1591-1)</f>
        <v>0.121088690728621</v>
      </c>
      <c r="J1592" s="17" t="n">
        <f aca="false">AVERAGE(C1393:C1592)</f>
        <v>4418.48085</v>
      </c>
      <c r="K1592" s="17" t="n">
        <f aca="false">MAX(K1591,C1592)</f>
        <v>19650.01</v>
      </c>
      <c r="L1592" s="25" t="n">
        <f aca="false">C1592/K1592-1</f>
        <v>-0.601784935478404</v>
      </c>
      <c r="M1592" s="25" t="n">
        <f aca="false">IF(COUNT(G1563:G1592)&lt;20,"",_xlfn.STDEV.S(G1563:G1592)*SQRT($R$3))</f>
        <v>0.698245095500093</v>
      </c>
      <c r="N1592" s="25" t="n">
        <f aca="false">IF(A1592-7&lt;$R$2,"",C1592/INDEX(Clean_Data!$C$2:$C$4314,MATCH(A1592-7,Clean_Data!$A$2:$A$4314,1))-1)</f>
        <v>0.375715114541395</v>
      </c>
      <c r="O1592" s="25" t="n">
        <f aca="false">IF(A1592-30&lt;$R$2,"",C1592/INDEX(Clean_Data!$C$2:$C$4314,MATCH(A1592-30,Clean_Data!$A$2:$A$4314,1))-1)</f>
        <v>0.544530241481815</v>
      </c>
    </row>
    <row r="1593" customFormat="false" ht="15" hidden="false" customHeight="false" outlineLevel="0" collapsed="false">
      <c r="A1593" s="16" t="n">
        <v>43599</v>
      </c>
      <c r="B1593" s="23" t="n">
        <f aca="false">YEAR(A1593)</f>
        <v>2019</v>
      </c>
      <c r="C1593" s="17" t="n">
        <v>7990.92</v>
      </c>
      <c r="D1593" s="23" t="n">
        <f aca="false">A1593-A1592</f>
        <v>1</v>
      </c>
      <c r="E1593" s="24" t="n">
        <f aca="false">LN(C1593)</f>
        <v>8.98606117606168</v>
      </c>
      <c r="F1593" s="25" t="n">
        <f aca="false">LN(C1593/C1592)</f>
        <v>0.0209911063802391</v>
      </c>
      <c r="G1593" s="25" t="n">
        <f aca="false">IF(AND(D1593=1,A1593&gt;=$R$2),F1593,"")</f>
        <v>0.0209911063802391</v>
      </c>
      <c r="H1593" s="27" t="n">
        <f aca="false">IF(G1593="","",G1593^2)</f>
        <v>0.000440626547066513</v>
      </c>
      <c r="I1593" s="25" t="n">
        <f aca="false">IF(G1593="","",C1593/C1592-1)</f>
        <v>0.0212129693172973</v>
      </c>
      <c r="J1593" s="17" t="n">
        <f aca="false">AVERAGE(C1394:C1593)</f>
        <v>4426.4111</v>
      </c>
      <c r="K1593" s="17" t="n">
        <f aca="false">MAX(K1592,C1593)</f>
        <v>19650.01</v>
      </c>
      <c r="L1593" s="25" t="n">
        <f aca="false">C1593/K1593-1</f>
        <v>-0.593337611533022</v>
      </c>
      <c r="M1593" s="25" t="n">
        <f aca="false">IF(COUNT(G1564:G1593)&lt;20,"",_xlfn.STDEV.S(G1564:G1593)*SQRT($R$3))</f>
        <v>0.698427672554964</v>
      </c>
      <c r="N1593" s="25" t="n">
        <f aca="false">IF(A1593-7&lt;$R$2,"",C1593/INDEX(Clean_Data!$C$2:$C$4314,MATCH(A1593-7,Clean_Data!$A$2:$A$4314,1))-1)</f>
        <v>0.390099939983822</v>
      </c>
      <c r="O1593" s="25" t="n">
        <f aca="false">IF(A1593-30&lt;$R$2,"",C1593/INDEX(Clean_Data!$C$2:$C$4314,MATCH(A1593-30,Clean_Data!$A$2:$A$4314,1))-1)</f>
        <v>0.547347446977017</v>
      </c>
    </row>
    <row r="1594" customFormat="false" ht="15" hidden="false" customHeight="false" outlineLevel="0" collapsed="false">
      <c r="A1594" s="16" t="n">
        <v>43600</v>
      </c>
      <c r="B1594" s="23" t="n">
        <f aca="false">YEAR(A1594)</f>
        <v>2019</v>
      </c>
      <c r="C1594" s="17" t="n">
        <v>8203.32</v>
      </c>
      <c r="D1594" s="23" t="n">
        <f aca="false">A1594-A1593</f>
        <v>1</v>
      </c>
      <c r="E1594" s="24" t="n">
        <f aca="false">LN(C1594)</f>
        <v>9.01229422936012</v>
      </c>
      <c r="F1594" s="25" t="n">
        <f aca="false">LN(C1594/C1593)</f>
        <v>0.0262330532984451</v>
      </c>
      <c r="G1594" s="25" t="n">
        <f aca="false">IF(AND(D1594=1,A1594&gt;=$R$2),F1594,"")</f>
        <v>0.0262330532984451</v>
      </c>
      <c r="H1594" s="27" t="n">
        <f aca="false">IF(G1594="","",G1594^2)</f>
        <v>0.00068817308535906</v>
      </c>
      <c r="I1594" s="25" t="n">
        <f aca="false">IF(G1594="","",C1594/C1593-1)</f>
        <v>0.0265801684912375</v>
      </c>
      <c r="J1594" s="17" t="n">
        <f aca="false">AVERAGE(C1395:C1594)</f>
        <v>4435.3821</v>
      </c>
      <c r="K1594" s="17" t="n">
        <f aca="false">MAX(K1593,C1594)</f>
        <v>19650.01</v>
      </c>
      <c r="L1594" s="25" t="n">
        <f aca="false">C1594/K1594-1</f>
        <v>-0.582528456728521</v>
      </c>
      <c r="M1594" s="25" t="n">
        <f aca="false">IF(COUNT(G1565:G1594)&lt;20,"",_xlfn.STDEV.S(G1565:G1594)*SQRT($R$3))</f>
        <v>0.683598926592813</v>
      </c>
      <c r="N1594" s="25" t="n">
        <f aca="false">IF(A1594-7&lt;$R$2,"",C1594/INDEX(Clean_Data!$C$2:$C$4314,MATCH(A1594-7,Clean_Data!$A$2:$A$4314,1))-1)</f>
        <v>0.379077770362164</v>
      </c>
      <c r="O1594" s="25" t="n">
        <f aca="false">IF(A1594-30&lt;$R$2,"",C1594/INDEX(Clean_Data!$C$2:$C$4314,MATCH(A1594-30,Clean_Data!$A$2:$A$4314,1))-1)</f>
        <v>0.630881969944274</v>
      </c>
    </row>
    <row r="1595" customFormat="false" ht="15" hidden="false" customHeight="false" outlineLevel="0" collapsed="false">
      <c r="A1595" s="16" t="n">
        <v>43601</v>
      </c>
      <c r="B1595" s="23" t="n">
        <f aca="false">YEAR(A1595)</f>
        <v>2019</v>
      </c>
      <c r="C1595" s="17" t="n">
        <v>7878.96</v>
      </c>
      <c r="D1595" s="23" t="n">
        <f aca="false">A1595-A1594</f>
        <v>1</v>
      </c>
      <c r="E1595" s="24" t="n">
        <f aca="false">LN(C1595)</f>
        <v>8.97195119444641</v>
      </c>
      <c r="F1595" s="25" t="n">
        <f aca="false">LN(C1595/C1594)</f>
        <v>-0.0403430349137174</v>
      </c>
      <c r="G1595" s="25" t="n">
        <f aca="false">IF(AND(D1595=1,A1595&gt;=$R$2),F1595,"")</f>
        <v>-0.0403430349137174</v>
      </c>
      <c r="H1595" s="27" t="n">
        <f aca="false">IF(G1595="","",G1595^2)</f>
        <v>0.00162756046604942</v>
      </c>
      <c r="I1595" s="25" t="n">
        <f aca="false">IF(G1595="","",C1595/C1594-1)</f>
        <v>-0.0395400886470355</v>
      </c>
      <c r="J1595" s="17" t="n">
        <f aca="false">AVERAGE(C1396:C1595)</f>
        <v>4442.7588</v>
      </c>
      <c r="K1595" s="17" t="n">
        <f aca="false">MAX(K1594,C1595)</f>
        <v>19650.01</v>
      </c>
      <c r="L1595" s="25" t="n">
        <f aca="false">C1595/K1595-1</f>
        <v>-0.59903531855709</v>
      </c>
      <c r="M1595" s="25" t="n">
        <f aca="false">IF(COUNT(G1566:G1595)&lt;20,"",_xlfn.STDEV.S(G1566:G1595)*SQRT($R$3))</f>
        <v>0.708192860312102</v>
      </c>
      <c r="N1595" s="25" t="n">
        <f aca="false">IF(A1595-7&lt;$R$2,"",C1595/INDEX(Clean_Data!$C$2:$C$4314,MATCH(A1595-7,Clean_Data!$A$2:$A$4314,1))-1)</f>
        <v>0.280488340004778</v>
      </c>
      <c r="O1595" s="25" t="n">
        <f aca="false">IF(A1595-30&lt;$R$2,"",C1595/INDEX(Clean_Data!$C$2:$C$4314,MATCH(A1595-30,Clean_Data!$A$2:$A$4314,1))-1)</f>
        <v>0.514340079571009</v>
      </c>
    </row>
    <row r="1596" customFormat="false" ht="15" hidden="false" customHeight="false" outlineLevel="0" collapsed="false">
      <c r="A1596" s="16" t="n">
        <v>43602</v>
      </c>
      <c r="B1596" s="23" t="n">
        <f aca="false">YEAR(A1596)</f>
        <v>2019</v>
      </c>
      <c r="C1596" s="17" t="n">
        <v>7363.69</v>
      </c>
      <c r="D1596" s="23" t="n">
        <f aca="false">A1596-A1595</f>
        <v>1</v>
      </c>
      <c r="E1596" s="24" t="n">
        <f aca="false">LN(C1596)</f>
        <v>8.90431644478029</v>
      </c>
      <c r="F1596" s="25" t="n">
        <f aca="false">LN(C1596/C1595)</f>
        <v>-0.0676347496661123</v>
      </c>
      <c r="G1596" s="25" t="n">
        <f aca="false">IF(AND(D1596=1,A1596&gt;=$R$2),F1596,"")</f>
        <v>-0.0676347496661123</v>
      </c>
      <c r="H1596" s="27" t="n">
        <f aca="false">IF(G1596="","",G1596^2)</f>
        <v>0.00457445936239768</v>
      </c>
      <c r="I1596" s="25" t="n">
        <f aca="false">IF(G1596="","",C1596/C1595-1)</f>
        <v>-0.0653982251464661</v>
      </c>
      <c r="J1596" s="17" t="n">
        <f aca="false">AVERAGE(C1397:C1596)</f>
        <v>4448.24725</v>
      </c>
      <c r="K1596" s="17" t="n">
        <f aca="false">MAX(K1595,C1596)</f>
        <v>19650.01</v>
      </c>
      <c r="L1596" s="25" t="n">
        <f aca="false">C1596/K1596-1</f>
        <v>-0.625257697069874</v>
      </c>
      <c r="M1596" s="25" t="n">
        <f aca="false">IF(COUNT(G1567:G1596)&lt;20,"",_xlfn.STDEV.S(G1567:G1596)*SQRT($R$3))</f>
        <v>0.762766474303295</v>
      </c>
      <c r="N1596" s="25" t="n">
        <f aca="false">IF(A1596-7&lt;$R$2,"",C1596/INDEX(Clean_Data!$C$2:$C$4314,MATCH(A1596-7,Clean_Data!$A$2:$A$4314,1))-1)</f>
        <v>0.160890347682693</v>
      </c>
      <c r="O1596" s="25" t="n">
        <f aca="false">IF(A1596-30&lt;$R$2,"",C1596/INDEX(Clean_Data!$C$2:$C$4314,MATCH(A1596-30,Clean_Data!$A$2:$A$4314,1))-1)</f>
        <v>0.408779414578152</v>
      </c>
    </row>
    <row r="1597" customFormat="false" ht="15" hidden="false" customHeight="false" outlineLevel="0" collapsed="false">
      <c r="A1597" s="16" t="n">
        <v>43603</v>
      </c>
      <c r="B1597" s="23" t="n">
        <f aca="false">YEAR(A1597)</f>
        <v>2019</v>
      </c>
      <c r="C1597" s="17" t="n">
        <v>7262.4</v>
      </c>
      <c r="D1597" s="23" t="n">
        <f aca="false">A1597-A1596</f>
        <v>1</v>
      </c>
      <c r="E1597" s="24" t="n">
        <f aca="false">LN(C1597)</f>
        <v>8.8904656317022</v>
      </c>
      <c r="F1597" s="25" t="n">
        <f aca="false">LN(C1597/C1596)</f>
        <v>-0.0138508130780935</v>
      </c>
      <c r="G1597" s="25" t="n">
        <f aca="false">IF(AND(D1597=1,A1597&gt;=$R$2),F1597,"")</f>
        <v>-0.0138508130780935</v>
      </c>
      <c r="H1597" s="27" t="n">
        <f aca="false">IF(G1597="","",G1597^2)</f>
        <v>0.000191845022924286</v>
      </c>
      <c r="I1597" s="25" t="n">
        <f aca="false">IF(G1597="","",C1597/C1596-1)</f>
        <v>-0.0137553319056071</v>
      </c>
      <c r="J1597" s="17" t="n">
        <f aca="false">AVERAGE(C1398:C1597)</f>
        <v>4453.2211</v>
      </c>
      <c r="K1597" s="17" t="n">
        <f aca="false">MAX(K1596,C1597)</f>
        <v>19650.01</v>
      </c>
      <c r="L1597" s="25" t="n">
        <f aca="false">C1597/K1597-1</f>
        <v>-0.63041240182575</v>
      </c>
      <c r="M1597" s="25" t="n">
        <f aca="false">IF(COUNT(G1568:G1597)&lt;20,"",_xlfn.STDEV.S(G1568:G1597)*SQRT($R$3))</f>
        <v>0.767848489395608</v>
      </c>
      <c r="N1597" s="25" t="n">
        <f aca="false">IF(A1597-7&lt;$R$2,"",C1597/INDEX(Clean_Data!$C$2:$C$4314,MATCH(A1597-7,Clean_Data!$A$2:$A$4314,1))-1)</f>
        <v>0.00587954210209207</v>
      </c>
      <c r="O1597" s="25" t="n">
        <f aca="false">IF(A1597-30&lt;$R$2,"",C1597/INDEX(Clean_Data!$C$2:$C$4314,MATCH(A1597-30,Clean_Data!$A$2:$A$4314,1))-1)</f>
        <v>0.375326910949552</v>
      </c>
    </row>
    <row r="1598" customFormat="false" ht="15" hidden="false" customHeight="false" outlineLevel="0" collapsed="false">
      <c r="A1598" s="16" t="n">
        <v>43604</v>
      </c>
      <c r="B1598" s="23" t="n">
        <f aca="false">YEAR(A1598)</f>
        <v>2019</v>
      </c>
      <c r="C1598" s="17" t="n">
        <v>8200</v>
      </c>
      <c r="D1598" s="23" t="n">
        <f aca="false">A1598-A1597</f>
        <v>1</v>
      </c>
      <c r="E1598" s="24" t="n">
        <f aca="false">LN(C1598)</f>
        <v>9.01188943325234</v>
      </c>
      <c r="F1598" s="25" t="n">
        <f aca="false">LN(C1598/C1597)</f>
        <v>0.121423801550143</v>
      </c>
      <c r="G1598" s="25" t="n">
        <f aca="false">IF(AND(D1598=1,A1598&gt;=$R$2),F1598,"")</f>
        <v>0.121423801550143</v>
      </c>
      <c r="H1598" s="27" t="n">
        <f aca="false">IF(G1598="","",G1598^2)</f>
        <v>0.0147437395828886</v>
      </c>
      <c r="I1598" s="25" t="n">
        <f aca="false">IF(G1598="","",C1598/C1597-1)</f>
        <v>0.129103326723948</v>
      </c>
      <c r="J1598" s="17" t="n">
        <f aca="false">AVERAGE(C1399:C1598)</f>
        <v>4462.7002</v>
      </c>
      <c r="K1598" s="17" t="n">
        <f aca="false">MAX(K1597,C1598)</f>
        <v>19650.01</v>
      </c>
      <c r="L1598" s="25" t="n">
        <f aca="false">C1598/K1598-1</f>
        <v>-0.58269741338554</v>
      </c>
      <c r="M1598" s="25" t="n">
        <f aca="false">IF(COUNT(G1569:G1598)&lt;20,"",_xlfn.STDEV.S(G1569:G1598)*SQRT($R$3))</f>
        <v>0.858573271094916</v>
      </c>
      <c r="N1598" s="25" t="n">
        <f aca="false">IF(A1598-7&lt;$R$2,"",C1598/INDEX(Clean_Data!$C$2:$C$4314,MATCH(A1598-7,Clean_Data!$A$2:$A$4314,1))-1)</f>
        <v>0.174825495432508</v>
      </c>
      <c r="O1598" s="25" t="n">
        <f aca="false">IF(A1598-30&lt;$R$2,"",C1598/INDEX(Clean_Data!$C$2:$C$4314,MATCH(A1598-30,Clean_Data!$A$2:$A$4314,1))-1)</f>
        <v>0.549989036662911</v>
      </c>
    </row>
    <row r="1599" customFormat="false" ht="15" hidden="false" customHeight="false" outlineLevel="0" collapsed="false">
      <c r="A1599" s="16" t="n">
        <v>43605</v>
      </c>
      <c r="B1599" s="23" t="n">
        <f aca="false">YEAR(A1599)</f>
        <v>2019</v>
      </c>
      <c r="C1599" s="17" t="n">
        <v>7999.54</v>
      </c>
      <c r="D1599" s="23" t="n">
        <f aca="false">A1599-A1598</f>
        <v>1</v>
      </c>
      <c r="E1599" s="24" t="n">
        <f aca="false">LN(C1599)</f>
        <v>8.98713931900879</v>
      </c>
      <c r="F1599" s="25" t="n">
        <f aca="false">LN(C1599/C1598)</f>
        <v>-0.0247501142435599</v>
      </c>
      <c r="G1599" s="25" t="n">
        <f aca="false">IF(AND(D1599=1,A1599&gt;=$R$2),F1599,"")</f>
        <v>-0.0247501142435599</v>
      </c>
      <c r="H1599" s="27" t="n">
        <f aca="false">IF(G1599="","",G1599^2)</f>
        <v>0.000612568155069265</v>
      </c>
      <c r="I1599" s="25" t="n">
        <f aca="false">IF(G1599="","",C1599/C1598-1)</f>
        <v>-0.0244463414634146</v>
      </c>
      <c r="J1599" s="17" t="n">
        <f aca="false">AVERAGE(C1400:C1599)</f>
        <v>4470.9779</v>
      </c>
      <c r="K1599" s="17" t="n">
        <f aca="false">MAX(K1598,C1599)</f>
        <v>19650.01</v>
      </c>
      <c r="L1599" s="25" t="n">
        <f aca="false">C1599/K1599-1</f>
        <v>-0.592898934911484</v>
      </c>
      <c r="M1599" s="25" t="n">
        <f aca="false">IF(COUNT(G1570:G1599)&lt;20,"",_xlfn.STDEV.S(G1570:G1599)*SQRT($R$3))</f>
        <v>0.869040003121099</v>
      </c>
      <c r="N1599" s="25" t="n">
        <f aca="false">IF(A1599-7&lt;$R$2,"",C1599/INDEX(Clean_Data!$C$2:$C$4314,MATCH(A1599-7,Clean_Data!$A$2:$A$4314,1))-1)</f>
        <v>0.0223145766160209</v>
      </c>
      <c r="O1599" s="25" t="n">
        <f aca="false">IF(A1599-30&lt;$R$2,"",C1599/INDEX(Clean_Data!$C$2:$C$4314,MATCH(A1599-30,Clean_Data!$A$2:$A$4314,1))-1)</f>
        <v>0.503704023955383</v>
      </c>
    </row>
    <row r="1600" customFormat="false" ht="15" hidden="false" customHeight="false" outlineLevel="0" collapsed="false">
      <c r="A1600" s="16" t="n">
        <v>43606</v>
      </c>
      <c r="B1600" s="23" t="n">
        <f aca="false">YEAR(A1600)</f>
        <v>2019</v>
      </c>
      <c r="C1600" s="17" t="n">
        <v>7951.7</v>
      </c>
      <c r="D1600" s="23" t="n">
        <f aca="false">A1600-A1599</f>
        <v>1</v>
      </c>
      <c r="E1600" s="24" t="n">
        <f aca="false">LN(C1600)</f>
        <v>8.9811410212666</v>
      </c>
      <c r="F1600" s="25" t="n">
        <f aca="false">LN(C1600/C1599)</f>
        <v>-0.0059982977421805</v>
      </c>
      <c r="G1600" s="25" t="n">
        <f aca="false">IF(AND(D1600=1,A1600&gt;=$R$2),F1600,"")</f>
        <v>-0.0059982977421805</v>
      </c>
      <c r="H1600" s="27" t="n">
        <f aca="false">IF(G1600="","",G1600^2)</f>
        <v>3.59795758038477E-005</v>
      </c>
      <c r="I1600" s="25" t="n">
        <f aca="false">IF(G1600="","",C1600/C1599-1)</f>
        <v>-0.00598034386977253</v>
      </c>
      <c r="J1600" s="17" t="n">
        <f aca="false">AVERAGE(C1401:C1600)</f>
        <v>4478.9874</v>
      </c>
      <c r="K1600" s="17" t="n">
        <f aca="false">MAX(K1599,C1600)</f>
        <v>19650.01</v>
      </c>
      <c r="L1600" s="25" t="n">
        <f aca="false">C1600/K1600-1</f>
        <v>-0.595333539270464</v>
      </c>
      <c r="M1600" s="25" t="n">
        <f aca="false">IF(COUNT(G1571:G1600)&lt;20,"",_xlfn.STDEV.S(G1571:G1600)*SQRT($R$3))</f>
        <v>0.869528299685974</v>
      </c>
      <c r="N1600" s="25" t="n">
        <f aca="false">IF(A1600-7&lt;$R$2,"",C1600/INDEX(Clean_Data!$C$2:$C$4314,MATCH(A1600-7,Clean_Data!$A$2:$A$4314,1))-1)</f>
        <v>-0.00490807066019938</v>
      </c>
      <c r="O1600" s="25" t="n">
        <f aca="false">IF(A1600-30&lt;$R$2,"",C1600/INDEX(Clean_Data!$C$2:$C$4314,MATCH(A1600-30,Clean_Data!$A$2:$A$4314,1))-1)</f>
        <v>0.500989119683482</v>
      </c>
    </row>
    <row r="1601" customFormat="false" ht="15" hidden="false" customHeight="false" outlineLevel="0" collapsed="false">
      <c r="A1601" s="16" t="n">
        <v>43607</v>
      </c>
      <c r="B1601" s="23" t="n">
        <f aca="false">YEAR(A1601)</f>
        <v>2019</v>
      </c>
      <c r="C1601" s="17" t="n">
        <v>7626.48</v>
      </c>
      <c r="D1601" s="23" t="n">
        <f aca="false">A1601-A1600</f>
        <v>1</v>
      </c>
      <c r="E1601" s="24" t="n">
        <f aca="false">LN(C1601)</f>
        <v>8.93938168100162</v>
      </c>
      <c r="F1601" s="25" t="n">
        <f aca="false">LN(C1601/C1600)</f>
        <v>-0.0417593402649857</v>
      </c>
      <c r="G1601" s="25" t="n">
        <f aca="false">IF(AND(D1601=1,A1601&gt;=$R$2),F1601,"")</f>
        <v>-0.0417593402649857</v>
      </c>
      <c r="H1601" s="27" t="n">
        <f aca="false">IF(G1601="","",G1601^2)</f>
        <v>0.00174384249936686</v>
      </c>
      <c r="I1601" s="25" t="n">
        <f aca="false">IF(G1601="","",C1601/C1600-1)</f>
        <v>-0.0408994303104997</v>
      </c>
      <c r="J1601" s="17" t="n">
        <f aca="false">AVERAGE(C1402:C1601)</f>
        <v>4485.46</v>
      </c>
      <c r="K1601" s="17" t="n">
        <f aca="false">MAX(K1600,C1601)</f>
        <v>19650.01</v>
      </c>
      <c r="L1601" s="25" t="n">
        <f aca="false">C1601/K1601-1</f>
        <v>-0.611884166980068</v>
      </c>
      <c r="M1601" s="25" t="n">
        <f aca="false">IF(COUNT(G1572:G1601)&lt;20,"",_xlfn.STDEV.S(G1572:G1601)*SQRT($R$3))</f>
        <v>0.890498202933339</v>
      </c>
      <c r="N1601" s="25" t="n">
        <f aca="false">IF(A1601-7&lt;$R$2,"",C1601/INDEX(Clean_Data!$C$2:$C$4314,MATCH(A1601-7,Clean_Data!$A$2:$A$4314,1))-1)</f>
        <v>-0.070317871300888</v>
      </c>
      <c r="O1601" s="25" t="n">
        <f aca="false">IF(A1601-30&lt;$R$2,"",C1601/INDEX(Clean_Data!$C$2:$C$4314,MATCH(A1601-30,Clean_Data!$A$2:$A$4314,1))-1)</f>
        <v>0.415561660108397</v>
      </c>
    </row>
    <row r="1602" customFormat="false" ht="15" hidden="false" customHeight="false" outlineLevel="0" collapsed="false">
      <c r="A1602" s="16" t="n">
        <v>43608</v>
      </c>
      <c r="B1602" s="23" t="n">
        <f aca="false">YEAR(A1602)</f>
        <v>2019</v>
      </c>
      <c r="C1602" s="17" t="n">
        <v>7881.98</v>
      </c>
      <c r="D1602" s="23" t="n">
        <f aca="false">A1602-A1601</f>
        <v>1</v>
      </c>
      <c r="E1602" s="24" t="n">
        <f aca="false">LN(C1602)</f>
        <v>8.97233442032468</v>
      </c>
      <c r="F1602" s="25" t="n">
        <f aca="false">LN(C1602/C1601)</f>
        <v>0.0329527393230623</v>
      </c>
      <c r="G1602" s="25" t="n">
        <f aca="false">IF(AND(D1602=1,A1602&gt;=$R$2),F1602,"")</f>
        <v>0.0329527393230623</v>
      </c>
      <c r="H1602" s="27" t="n">
        <f aca="false">IF(G1602="","",G1602^2)</f>
        <v>0.0010858830288937</v>
      </c>
      <c r="I1602" s="25" t="n">
        <f aca="false">IF(G1602="","",C1602/C1601-1)</f>
        <v>0.033501694097408</v>
      </c>
      <c r="J1602" s="17" t="n">
        <f aca="false">AVERAGE(C1403:C1602)</f>
        <v>4492.7535</v>
      </c>
      <c r="K1602" s="17" t="n">
        <f aca="false">MAX(K1601,C1602)</f>
        <v>19650.01</v>
      </c>
      <c r="L1602" s="25" t="n">
        <f aca="false">C1602/K1602-1</f>
        <v>-0.598881629067873</v>
      </c>
      <c r="M1602" s="25" t="n">
        <f aca="false">IF(COUNT(G1573:G1602)&lt;20,"",_xlfn.STDEV.S(G1573:G1602)*SQRT($R$3))</f>
        <v>0.892123811636255</v>
      </c>
      <c r="N1602" s="25" t="n">
        <f aca="false">IF(A1602-7&lt;$R$2,"",C1602/INDEX(Clean_Data!$C$2:$C$4314,MATCH(A1602-7,Clean_Data!$A$2:$A$4314,1))-1)</f>
        <v>0.000383299318691854</v>
      </c>
      <c r="O1602" s="25" t="n">
        <f aca="false">IF(A1602-30&lt;$R$2,"",C1602/INDEX(Clean_Data!$C$2:$C$4314,MATCH(A1602-30,Clean_Data!$A$2:$A$4314,1))-1)</f>
        <v>0.424604401066377</v>
      </c>
    </row>
    <row r="1603" customFormat="false" ht="15" hidden="false" customHeight="false" outlineLevel="0" collapsed="false">
      <c r="A1603" s="16" t="n">
        <v>43609</v>
      </c>
      <c r="B1603" s="23" t="n">
        <f aca="false">YEAR(A1603)</f>
        <v>2019</v>
      </c>
      <c r="C1603" s="17" t="n">
        <v>7994.88</v>
      </c>
      <c r="D1603" s="23" t="n">
        <f aca="false">A1603-A1602</f>
        <v>1</v>
      </c>
      <c r="E1603" s="24" t="n">
        <f aca="false">LN(C1603)</f>
        <v>8.98655661577455</v>
      </c>
      <c r="F1603" s="25" t="n">
        <f aca="false">LN(C1603/C1602)</f>
        <v>0.014222195449869</v>
      </c>
      <c r="G1603" s="25" t="n">
        <f aca="false">IF(AND(D1603=1,A1603&gt;=$R$2),F1603,"")</f>
        <v>0.014222195449869</v>
      </c>
      <c r="H1603" s="27" t="n">
        <f aca="false">IF(G1603="","",G1603^2)</f>
        <v>0.000202270843414273</v>
      </c>
      <c r="I1603" s="25" t="n">
        <f aca="false">IF(G1603="","",C1603/C1602-1)</f>
        <v>0.014323812037077</v>
      </c>
      <c r="J1603" s="17" t="n">
        <f aca="false">AVERAGE(C1404:C1603)</f>
        <v>4500.7079</v>
      </c>
      <c r="K1603" s="17" t="n">
        <f aca="false">MAX(K1602,C1603)</f>
        <v>19650.01</v>
      </c>
      <c r="L1603" s="25" t="n">
        <f aca="false">C1603/K1603-1</f>
        <v>-0.593136084918023</v>
      </c>
      <c r="M1603" s="25" t="n">
        <f aca="false">IF(COUNT(G1574:G1603)&lt;20,"",_xlfn.STDEV.S(G1574:G1603)*SQRT($R$3))</f>
        <v>0.886252455181123</v>
      </c>
      <c r="N1603" s="25" t="n">
        <f aca="false">IF(A1603-7&lt;$R$2,"",C1603/INDEX(Clean_Data!$C$2:$C$4314,MATCH(A1603-7,Clean_Data!$A$2:$A$4314,1))-1)</f>
        <v>0.0857165361388108</v>
      </c>
      <c r="O1603" s="25" t="n">
        <f aca="false">IF(A1603-30&lt;$R$2,"",C1603/INDEX(Clean_Data!$C$2:$C$4314,MATCH(A1603-30,Clean_Data!$A$2:$A$4314,1))-1)</f>
        <v>0.469133942189309</v>
      </c>
    </row>
    <row r="1604" customFormat="false" ht="15" hidden="false" customHeight="false" outlineLevel="0" collapsed="false">
      <c r="A1604" s="16" t="n">
        <v>43610</v>
      </c>
      <c r="B1604" s="23" t="n">
        <f aca="false">YEAR(A1604)</f>
        <v>2019</v>
      </c>
      <c r="C1604" s="17" t="n">
        <v>8067.41</v>
      </c>
      <c r="D1604" s="23" t="n">
        <f aca="false">A1604-A1603</f>
        <v>1</v>
      </c>
      <c r="E1604" s="24" t="n">
        <f aca="false">LN(C1604)</f>
        <v>8.99558776799156</v>
      </c>
      <c r="F1604" s="25" t="n">
        <f aca="false">LN(C1604/C1603)</f>
        <v>0.00903115221701268</v>
      </c>
      <c r="G1604" s="25" t="n">
        <f aca="false">IF(AND(D1604=1,A1604&gt;=$R$2),F1604,"")</f>
        <v>0.00903115221701268</v>
      </c>
      <c r="H1604" s="27" t="n">
        <f aca="false">IF(G1604="","",G1604^2)</f>
        <v>8.15617103668531E-005</v>
      </c>
      <c r="I1604" s="25" t="n">
        <f aca="false">IF(G1604="","",C1604/C1603-1)</f>
        <v>0.00907205611591411</v>
      </c>
      <c r="J1604" s="17" t="n">
        <f aca="false">AVERAGE(C1405:C1604)</f>
        <v>4508.80245</v>
      </c>
      <c r="K1604" s="17" t="n">
        <f aca="false">MAX(K1603,C1604)</f>
        <v>19650.01</v>
      </c>
      <c r="L1604" s="25" t="n">
        <f aca="false">C1604/K1604-1</f>
        <v>-0.589444992648859</v>
      </c>
      <c r="M1604" s="25" t="n">
        <f aca="false">IF(COUNT(G1575:G1604)&lt;20,"",_xlfn.STDEV.S(G1575:G1604)*SQRT($R$3))</f>
        <v>0.848794412058815</v>
      </c>
      <c r="N1604" s="25" t="n">
        <f aca="false">IF(A1604-7&lt;$R$2,"",C1604/INDEX(Clean_Data!$C$2:$C$4314,MATCH(A1604-7,Clean_Data!$A$2:$A$4314,1))-1)</f>
        <v>0.110846276712932</v>
      </c>
      <c r="O1604" s="25" t="n">
        <f aca="false">IF(A1604-30&lt;$R$2,"",C1604/INDEX(Clean_Data!$C$2:$C$4314,MATCH(A1604-30,Clean_Data!$A$2:$A$4314,1))-1)</f>
        <v>0.571121424161751</v>
      </c>
    </row>
    <row r="1605" customFormat="false" ht="15" hidden="false" customHeight="false" outlineLevel="0" collapsed="false">
      <c r="A1605" s="16" t="n">
        <v>43611</v>
      </c>
      <c r="B1605" s="23" t="n">
        <f aca="false">YEAR(A1605)</f>
        <v>2019</v>
      </c>
      <c r="C1605" s="17" t="n">
        <v>8760.03</v>
      </c>
      <c r="D1605" s="23" t="n">
        <f aca="false">A1605-A1604</f>
        <v>1</v>
      </c>
      <c r="E1605" s="24" t="n">
        <f aca="false">LN(C1605)</f>
        <v>9.07795460858211</v>
      </c>
      <c r="F1605" s="25" t="n">
        <f aca="false">LN(C1605/C1604)</f>
        <v>0.082366840590545</v>
      </c>
      <c r="G1605" s="25" t="n">
        <f aca="false">IF(AND(D1605=1,A1605&gt;=$R$2),F1605,"")</f>
        <v>0.082366840590545</v>
      </c>
      <c r="H1605" s="27" t="n">
        <f aca="false">IF(G1605="","",G1605^2)</f>
        <v>0.00678429642886824</v>
      </c>
      <c r="I1605" s="25" t="n">
        <f aca="false">IF(G1605="","",C1605/C1604-1)</f>
        <v>0.0858540721247589</v>
      </c>
      <c r="J1605" s="17" t="n">
        <f aca="false">AVERAGE(C1406:C1605)</f>
        <v>4520.087</v>
      </c>
      <c r="K1605" s="17" t="n">
        <f aca="false">MAX(K1604,C1605)</f>
        <v>19650.01</v>
      </c>
      <c r="L1605" s="25" t="n">
        <f aca="false">C1605/K1605-1</f>
        <v>-0.554197173436553</v>
      </c>
      <c r="M1605" s="25" t="n">
        <f aca="false">IF(COUNT(G1576:G1605)&lt;20,"",_xlfn.STDEV.S(G1576:G1605)*SQRT($R$3))</f>
        <v>0.879557428042955</v>
      </c>
      <c r="N1605" s="25" t="n">
        <f aca="false">IF(A1605-7&lt;$R$2,"",C1605/INDEX(Clean_Data!$C$2:$C$4314,MATCH(A1605-7,Clean_Data!$A$2:$A$4314,1))-1)</f>
        <v>0.0682963414634148</v>
      </c>
      <c r="O1605" s="25" t="n">
        <f aca="false">IF(A1605-30&lt;$R$2,"",C1605/INDEX(Clean_Data!$C$2:$C$4314,MATCH(A1605-30,Clean_Data!$A$2:$A$4314,1))-1)</f>
        <v>0.697841461689192</v>
      </c>
    </row>
    <row r="1606" customFormat="false" ht="15" hidden="false" customHeight="false" outlineLevel="0" collapsed="false">
      <c r="A1606" s="16" t="n">
        <v>43612</v>
      </c>
      <c r="B1606" s="23" t="n">
        <f aca="false">YEAR(A1606)</f>
        <v>2019</v>
      </c>
      <c r="C1606" s="17" t="n">
        <v>8783.25</v>
      </c>
      <c r="D1606" s="23" t="n">
        <f aca="false">A1606-A1605</f>
        <v>1</v>
      </c>
      <c r="E1606" s="24" t="n">
        <f aca="false">LN(C1606)</f>
        <v>9.08060177759036</v>
      </c>
      <c r="F1606" s="25" t="n">
        <f aca="false">LN(C1606/C1605)</f>
        <v>0.00264716900824911</v>
      </c>
      <c r="G1606" s="25" t="n">
        <f aca="false">IF(AND(D1606=1,A1606&gt;=$R$2),F1606,"")</f>
        <v>0.00264716900824911</v>
      </c>
      <c r="H1606" s="27" t="n">
        <f aca="false">IF(G1606="","",G1606^2)</f>
        <v>7.00750375823455E-006</v>
      </c>
      <c r="I1606" s="25" t="n">
        <f aca="false">IF(G1606="","",C1606/C1605-1)</f>
        <v>0.00265067585384982</v>
      </c>
      <c r="J1606" s="17" t="n">
        <f aca="false">AVERAGE(C1407:C1606)</f>
        <v>4531.97205</v>
      </c>
      <c r="K1606" s="17" t="n">
        <f aca="false">MAX(K1605,C1606)</f>
        <v>19650.01</v>
      </c>
      <c r="L1606" s="25" t="n">
        <f aca="false">C1606/K1606-1</f>
        <v>-0.553015494648603</v>
      </c>
      <c r="M1606" s="25" t="n">
        <f aca="false">IF(COUNT(G1577:G1606)&lt;20,"",_xlfn.STDEV.S(G1577:G1606)*SQRT($R$3))</f>
        <v>0.879448253433664</v>
      </c>
      <c r="N1606" s="25" t="n">
        <f aca="false">IF(A1606-7&lt;$R$2,"",C1606/INDEX(Clean_Data!$C$2:$C$4314,MATCH(A1606-7,Clean_Data!$A$2:$A$4314,1))-1)</f>
        <v>0.0979693832395363</v>
      </c>
      <c r="O1606" s="25" t="n">
        <f aca="false">IF(A1606-30&lt;$R$2,"",C1606/INDEX(Clean_Data!$C$2:$C$4314,MATCH(A1606-30,Clean_Data!$A$2:$A$4314,1))-1)</f>
        <v>0.698690674196418</v>
      </c>
    </row>
    <row r="1607" customFormat="false" ht="15" hidden="false" customHeight="false" outlineLevel="0" collapsed="false">
      <c r="A1607" s="16" t="n">
        <v>43613</v>
      </c>
      <c r="B1607" s="23" t="n">
        <f aca="false">YEAR(A1607)</f>
        <v>2019</v>
      </c>
      <c r="C1607" s="17" t="n">
        <v>8686.5</v>
      </c>
      <c r="D1607" s="23" t="n">
        <f aca="false">A1607-A1606</f>
        <v>1</v>
      </c>
      <c r="E1607" s="24" t="n">
        <f aca="false">LN(C1607)</f>
        <v>9.06952537533396</v>
      </c>
      <c r="F1607" s="25" t="n">
        <f aca="false">LN(C1607/C1606)</f>
        <v>-0.0110764022564022</v>
      </c>
      <c r="G1607" s="25" t="n">
        <f aca="false">IF(AND(D1607=1,A1607&gt;=$R$2),F1607,"")</f>
        <v>-0.0110764022564022</v>
      </c>
      <c r="H1607" s="27" t="n">
        <f aca="false">IF(G1607="","",G1607^2)</f>
        <v>0.000122686686945632</v>
      </c>
      <c r="I1607" s="25" t="n">
        <f aca="false">IF(G1607="","",C1607/C1606-1)</f>
        <v>-0.0110152847749979</v>
      </c>
      <c r="J1607" s="17" t="n">
        <f aca="false">AVERAGE(C1408:C1607)</f>
        <v>4543.7301</v>
      </c>
      <c r="K1607" s="17" t="n">
        <f aca="false">MAX(K1606,C1607)</f>
        <v>19650.01</v>
      </c>
      <c r="L1607" s="25" t="n">
        <f aca="false">C1607/K1607-1</f>
        <v>-0.55793915626506</v>
      </c>
      <c r="M1607" s="25" t="n">
        <f aca="false">IF(COUNT(G1578:G1607)&lt;20,"",_xlfn.STDEV.S(G1578:G1607)*SQRT($R$3))</f>
        <v>0.88227680433364</v>
      </c>
      <c r="N1607" s="25" t="n">
        <f aca="false">IF(A1607-7&lt;$R$2,"",C1607/INDEX(Clean_Data!$C$2:$C$4314,MATCH(A1607-7,Clean_Data!$A$2:$A$4314,1))-1)</f>
        <v>0.0924079127733692</v>
      </c>
      <c r="O1607" s="25" t="n">
        <f aca="false">IF(A1607-30&lt;$R$2,"",C1607/INDEX(Clean_Data!$C$2:$C$4314,MATCH(A1607-30,Clean_Data!$A$2:$A$4314,1))-1)</f>
        <v>0.685063045586809</v>
      </c>
    </row>
    <row r="1608" customFormat="false" ht="15" hidden="false" customHeight="false" outlineLevel="0" collapsed="false">
      <c r="A1608" s="16" t="n">
        <v>43614</v>
      </c>
      <c r="B1608" s="23" t="n">
        <f aca="false">YEAR(A1608)</f>
        <v>2019</v>
      </c>
      <c r="C1608" s="17" t="n">
        <v>8660.5</v>
      </c>
      <c r="D1608" s="23" t="n">
        <f aca="false">A1608-A1607</f>
        <v>1</v>
      </c>
      <c r="E1608" s="24" t="n">
        <f aca="false">LN(C1608)</f>
        <v>9.06652773661033</v>
      </c>
      <c r="F1608" s="25" t="n">
        <f aca="false">LN(C1608/C1607)</f>
        <v>-0.00299763872361935</v>
      </c>
      <c r="G1608" s="25" t="n">
        <f aca="false">IF(AND(D1608=1,A1608&gt;=$R$2),F1608,"")</f>
        <v>-0.00299763872361935</v>
      </c>
      <c r="H1608" s="27" t="n">
        <f aca="false">IF(G1608="","",G1608^2)</f>
        <v>8.98583791734223E-006</v>
      </c>
      <c r="I1608" s="25" t="n">
        <f aca="false">IF(G1608="","",C1608/C1607-1)</f>
        <v>-0.00299315029068092</v>
      </c>
      <c r="J1608" s="17" t="n">
        <f aca="false">AVERAGE(C1409:C1608)</f>
        <v>4555.2955</v>
      </c>
      <c r="K1608" s="17" t="n">
        <f aca="false">MAX(K1607,C1608)</f>
        <v>19650.01</v>
      </c>
      <c r="L1608" s="25" t="n">
        <f aca="false">C1608/K1608-1</f>
        <v>-0.559262310807984</v>
      </c>
      <c r="M1608" s="25" t="n">
        <f aca="false">IF(COUNT(G1579:G1608)&lt;20,"",_xlfn.STDEV.S(G1579:G1608)*SQRT($R$3))</f>
        <v>0.88274653481208</v>
      </c>
      <c r="N1608" s="25" t="n">
        <f aca="false">IF(A1608-7&lt;$R$2,"",C1608/INDEX(Clean_Data!$C$2:$C$4314,MATCH(A1608-7,Clean_Data!$A$2:$A$4314,1))-1)</f>
        <v>0.13558286391625</v>
      </c>
      <c r="O1608" s="25" t="n">
        <f aca="false">IF(A1608-30&lt;$R$2,"",C1608/INDEX(Clean_Data!$C$2:$C$4314,MATCH(A1608-30,Clean_Data!$A$2:$A$4314,1))-1)</f>
        <v>0.682222114310688</v>
      </c>
    </row>
    <row r="1609" customFormat="false" ht="15" hidden="false" customHeight="false" outlineLevel="0" collapsed="false">
      <c r="A1609" s="16" t="n">
        <v>43615</v>
      </c>
      <c r="B1609" s="23" t="n">
        <f aca="false">YEAR(A1609)</f>
        <v>2019</v>
      </c>
      <c r="C1609" s="17" t="n">
        <v>8273.57</v>
      </c>
      <c r="D1609" s="23" t="n">
        <f aca="false">A1609-A1608</f>
        <v>1</v>
      </c>
      <c r="E1609" s="24" t="n">
        <f aca="false">LN(C1609)</f>
        <v>9.02082137564428</v>
      </c>
      <c r="F1609" s="25" t="n">
        <f aca="false">LN(C1609/C1608)</f>
        <v>-0.045706360966056</v>
      </c>
      <c r="G1609" s="25" t="n">
        <f aca="false">IF(AND(D1609=1,A1609&gt;=$R$2),F1609,"")</f>
        <v>-0.045706360966056</v>
      </c>
      <c r="H1609" s="27" t="n">
        <f aca="false">IF(G1609="","",G1609^2)</f>
        <v>0.00208907143275941</v>
      </c>
      <c r="I1609" s="25" t="n">
        <f aca="false">IF(G1609="","",C1609/C1608-1)</f>
        <v>-0.0446775590323885</v>
      </c>
      <c r="J1609" s="17" t="n">
        <f aca="false">AVERAGE(C1410:C1609)</f>
        <v>4564.87535</v>
      </c>
      <c r="K1609" s="17" t="n">
        <f aca="false">MAX(K1608,C1609)</f>
        <v>19650.01</v>
      </c>
      <c r="L1609" s="25" t="n">
        <f aca="false">C1609/K1609-1</f>
        <v>-0.578953394934659</v>
      </c>
      <c r="M1609" s="25" t="n">
        <f aca="false">IF(COUNT(G1580:G1609)&lt;20,"",_xlfn.STDEV.S(G1580:G1609)*SQRT($R$3))</f>
        <v>0.90927268482387</v>
      </c>
      <c r="N1609" s="25" t="n">
        <f aca="false">IF(A1609-7&lt;$R$2,"",C1609/INDEX(Clean_Data!$C$2:$C$4314,MATCH(A1609-7,Clean_Data!$A$2:$A$4314,1))-1)</f>
        <v>0.04968167896899</v>
      </c>
      <c r="O1609" s="25" t="n">
        <f aca="false">IF(A1609-30&lt;$R$2,"",C1609/INDEX(Clean_Data!$C$2:$C$4314,MATCH(A1609-30,Clean_Data!$A$2:$A$4314,1))-1)</f>
        <v>0.56973185673982</v>
      </c>
    </row>
    <row r="1610" customFormat="false" ht="15" hidden="false" customHeight="false" outlineLevel="0" collapsed="false">
      <c r="A1610" s="16" t="n">
        <v>43616</v>
      </c>
      <c r="B1610" s="23" t="n">
        <f aca="false">YEAR(A1610)</f>
        <v>2019</v>
      </c>
      <c r="C1610" s="17" t="n">
        <v>8550.18</v>
      </c>
      <c r="D1610" s="23" t="n">
        <f aca="false">A1610-A1609</f>
        <v>1</v>
      </c>
      <c r="E1610" s="24" t="n">
        <f aca="false">LN(C1610)</f>
        <v>9.05370761434078</v>
      </c>
      <c r="F1610" s="25" t="n">
        <f aca="false">LN(C1610/C1609)</f>
        <v>0.0328862386965025</v>
      </c>
      <c r="G1610" s="25" t="n">
        <f aca="false">IF(AND(D1610=1,A1610&gt;=$R$2),F1610,"")</f>
        <v>0.0328862386965025</v>
      </c>
      <c r="H1610" s="27" t="n">
        <f aca="false">IF(G1610="","",G1610^2)</f>
        <v>0.00108150469560334</v>
      </c>
      <c r="I1610" s="25" t="n">
        <f aca="false">IF(G1610="","",C1610/C1609-1)</f>
        <v>0.0334329678723937</v>
      </c>
      <c r="J1610" s="17" t="n">
        <f aca="false">AVERAGE(C1411:C1610)</f>
        <v>4575.9869</v>
      </c>
      <c r="K1610" s="17" t="n">
        <f aca="false">MAX(K1609,C1610)</f>
        <v>19650.01</v>
      </c>
      <c r="L1610" s="25" t="n">
        <f aca="false">C1610/K1610-1</f>
        <v>-0.564876557314729</v>
      </c>
      <c r="M1610" s="25" t="n">
        <f aca="false">IF(COUNT(G1581:G1610)&lt;20,"",_xlfn.STDEV.S(G1581:G1610)*SQRT($R$3))</f>
        <v>0.911142077330616</v>
      </c>
      <c r="N1610" s="25" t="n">
        <f aca="false">IF(A1610-7&lt;$R$2,"",C1610/INDEX(Clean_Data!$C$2:$C$4314,MATCH(A1610-7,Clean_Data!$A$2:$A$4314,1))-1)</f>
        <v>0.0694569524495678</v>
      </c>
      <c r="O1610" s="25" t="n">
        <f aca="false">IF(A1610-30&lt;$R$2,"",C1610/INDEX(Clean_Data!$C$2:$C$4314,MATCH(A1610-30,Clean_Data!$A$2:$A$4314,1))-1)</f>
        <v>0.60682935079823</v>
      </c>
    </row>
    <row r="1611" customFormat="false" ht="15" hidden="false" customHeight="false" outlineLevel="0" collapsed="false">
      <c r="A1611" s="16" t="n">
        <v>43617</v>
      </c>
      <c r="B1611" s="23" t="n">
        <f aca="false">YEAR(A1611)</f>
        <v>2019</v>
      </c>
      <c r="C1611" s="17" t="n">
        <v>8558.01</v>
      </c>
      <c r="D1611" s="23" t="n">
        <f aca="false">A1611-A1610</f>
        <v>1</v>
      </c>
      <c r="E1611" s="24" t="n">
        <f aca="false">LN(C1611)</f>
        <v>9.05462296547339</v>
      </c>
      <c r="F1611" s="25" t="n">
        <f aca="false">LN(C1611/C1610)</f>
        <v>0.000915351132610561</v>
      </c>
      <c r="G1611" s="25" t="n">
        <f aca="false">IF(AND(D1611=1,A1611&gt;=$R$2),F1611,"")</f>
        <v>0.000915351132610561</v>
      </c>
      <c r="H1611" s="27" t="n">
        <f aca="false">IF(G1611="","",G1611^2)</f>
        <v>8.37867695971437E-007</v>
      </c>
      <c r="I1611" s="25" t="n">
        <f aca="false">IF(G1611="","",C1611/C1610-1)</f>
        <v>0.00091577019431166</v>
      </c>
      <c r="J1611" s="17" t="n">
        <f aca="false">AVERAGE(C1412:C1611)</f>
        <v>4587.48025</v>
      </c>
      <c r="K1611" s="17" t="n">
        <f aca="false">MAX(K1610,C1611)</f>
        <v>19650.01</v>
      </c>
      <c r="L1611" s="25" t="n">
        <f aca="false">C1611/K1611-1</f>
        <v>-0.564478084235072</v>
      </c>
      <c r="M1611" s="25" t="n">
        <f aca="false">IF(COUNT(G1582:G1611)&lt;20,"",_xlfn.STDEV.S(G1582:G1611)*SQRT($R$3))</f>
        <v>0.91257999068162</v>
      </c>
      <c r="N1611" s="25" t="n">
        <f aca="false">IF(A1611-7&lt;$R$2,"",C1611/INDEX(Clean_Data!$C$2:$C$4314,MATCH(A1611-7,Clean_Data!$A$2:$A$4314,1))-1)</f>
        <v>0.0608125780145052</v>
      </c>
      <c r="O1611" s="25" t="n">
        <f aca="false">IF(A1611-30&lt;$R$2,"",C1611/INDEX(Clean_Data!$C$2:$C$4314,MATCH(A1611-30,Clean_Data!$A$2:$A$4314,1))-1)</f>
        <v>0.587754011588105</v>
      </c>
    </row>
    <row r="1612" customFormat="false" ht="15" hidden="false" customHeight="false" outlineLevel="0" collapsed="false">
      <c r="A1612" s="16" t="n">
        <v>43618</v>
      </c>
      <c r="B1612" s="23" t="n">
        <f aca="false">YEAR(A1612)</f>
        <v>2019</v>
      </c>
      <c r="C1612" s="17" t="n">
        <v>8741.17</v>
      </c>
      <c r="D1612" s="23" t="n">
        <f aca="false">A1612-A1611</f>
        <v>1</v>
      </c>
      <c r="E1612" s="24" t="n">
        <f aca="false">LN(C1612)</f>
        <v>9.07579932696705</v>
      </c>
      <c r="F1612" s="25" t="n">
        <f aca="false">LN(C1612/C1611)</f>
        <v>0.0211763614936527</v>
      </c>
      <c r="G1612" s="25" t="n">
        <f aca="false">IF(AND(D1612=1,A1612&gt;=$R$2),F1612,"")</f>
        <v>0.0211763614936527</v>
      </c>
      <c r="H1612" s="27" t="n">
        <f aca="false">IF(G1612="","",G1612^2)</f>
        <v>0.000448438286109855</v>
      </c>
      <c r="I1612" s="25" t="n">
        <f aca="false">IF(G1612="","",C1612/C1611-1)</f>
        <v>0.0214021717665671</v>
      </c>
      <c r="J1612" s="17" t="n">
        <f aca="false">AVERAGE(C1413:C1612)</f>
        <v>4603.1588</v>
      </c>
      <c r="K1612" s="17" t="n">
        <f aca="false">MAX(K1611,C1612)</f>
        <v>19650.01</v>
      </c>
      <c r="L1612" s="25" t="n">
        <f aca="false">C1612/K1612-1</f>
        <v>-0.555156969385766</v>
      </c>
      <c r="M1612" s="25" t="n">
        <f aca="false">IF(COUNT(G1583:G1612)&lt;20,"",_xlfn.STDEV.S(G1583:G1612)*SQRT($R$3))</f>
        <v>0.90509532004129</v>
      </c>
      <c r="N1612" s="25" t="n">
        <f aca="false">IF(A1612-7&lt;$R$2,"",C1612/INDEX(Clean_Data!$C$2:$C$4314,MATCH(A1612-7,Clean_Data!$A$2:$A$4314,1))-1)</f>
        <v>-0.00215296066337678</v>
      </c>
      <c r="O1612" s="25" t="n">
        <f aca="false">IF(A1612-30&lt;$R$2,"",C1612/INDEX(Clean_Data!$C$2:$C$4314,MATCH(A1612-30,Clean_Data!$A$2:$A$4314,1))-1)</f>
        <v>0.54508608194577</v>
      </c>
    </row>
    <row r="1613" customFormat="false" ht="15" hidden="false" customHeight="false" outlineLevel="0" collapsed="false">
      <c r="A1613" s="16" t="n">
        <v>43619</v>
      </c>
      <c r="B1613" s="23" t="n">
        <f aca="false">YEAR(A1613)</f>
        <v>2019</v>
      </c>
      <c r="C1613" s="17" t="n">
        <v>8015.01</v>
      </c>
      <c r="D1613" s="23" t="n">
        <f aca="false">A1613-A1612</f>
        <v>1</v>
      </c>
      <c r="E1613" s="24" t="n">
        <f aca="false">LN(C1613)</f>
        <v>8.98907131270351</v>
      </c>
      <c r="F1613" s="25" t="n">
        <f aca="false">LN(C1613/C1612)</f>
        <v>-0.0867280142635334</v>
      </c>
      <c r="G1613" s="25" t="n">
        <f aca="false">IF(AND(D1613=1,A1613&gt;=$R$2),F1613,"")</f>
        <v>-0.0867280142635334</v>
      </c>
      <c r="H1613" s="27" t="n">
        <f aca="false">IF(G1613="","",G1613^2)</f>
        <v>0.00752174845809565</v>
      </c>
      <c r="I1613" s="25" t="n">
        <f aca="false">IF(G1613="","",C1613/C1612-1)</f>
        <v>-0.0830735473626528</v>
      </c>
      <c r="J1613" s="17" t="n">
        <f aca="false">AVERAGE(C1414:C1613)</f>
        <v>4615.33625</v>
      </c>
      <c r="K1613" s="17" t="n">
        <f aca="false">MAX(K1612,C1613)</f>
        <v>19650.01</v>
      </c>
      <c r="L1613" s="25" t="n">
        <f aca="false">C1613/K1613-1</f>
        <v>-0.592111657958444</v>
      </c>
      <c r="M1613" s="25" t="n">
        <f aca="false">IF(COUNT(G1584:G1613)&lt;20,"",_xlfn.STDEV.S(G1584:G1613)*SQRT($R$3))</f>
        <v>0.971124300791141</v>
      </c>
      <c r="N1613" s="25" t="n">
        <f aca="false">IF(A1613-7&lt;$R$2,"",C1613/INDEX(Clean_Data!$C$2:$C$4314,MATCH(A1613-7,Clean_Data!$A$2:$A$4314,1))-1)</f>
        <v>-0.0874664845017504</v>
      </c>
      <c r="O1613" s="25" t="n">
        <f aca="false">IF(A1613-30&lt;$R$2,"",C1613/INDEX(Clean_Data!$C$2:$C$4314,MATCH(A1613-30,Clean_Data!$A$2:$A$4314,1))-1)</f>
        <v>0.389080781489114</v>
      </c>
    </row>
    <row r="1614" customFormat="false" ht="15" hidden="false" customHeight="false" outlineLevel="0" collapsed="false">
      <c r="A1614" s="16" t="n">
        <v>43620</v>
      </c>
      <c r="B1614" s="23" t="n">
        <f aca="false">YEAR(A1614)</f>
        <v>2019</v>
      </c>
      <c r="C1614" s="17" t="n">
        <v>7688.26</v>
      </c>
      <c r="D1614" s="23" t="n">
        <f aca="false">A1614-A1613</f>
        <v>1</v>
      </c>
      <c r="E1614" s="24" t="n">
        <f aca="false">LN(C1614)</f>
        <v>8.94744976901689</v>
      </c>
      <c r="F1614" s="25" t="n">
        <f aca="false">LN(C1614/C1613)</f>
        <v>-0.0416215436866247</v>
      </c>
      <c r="G1614" s="25" t="n">
        <f aca="false">IF(AND(D1614=1,A1614&gt;=$R$2),F1614,"")</f>
        <v>-0.0416215436866247</v>
      </c>
      <c r="H1614" s="27" t="n">
        <f aca="false">IF(G1614="","",G1614^2)</f>
        <v>0.00173235289885761</v>
      </c>
      <c r="I1614" s="25" t="n">
        <f aca="false">IF(G1614="","",C1614/C1613-1)</f>
        <v>-0.0407672604276227</v>
      </c>
      <c r="J1614" s="17" t="n">
        <f aca="false">AVERAGE(C1415:C1614)</f>
        <v>4626.21635</v>
      </c>
      <c r="K1614" s="17" t="n">
        <f aca="false">MAX(K1613,C1614)</f>
        <v>19650.01</v>
      </c>
      <c r="L1614" s="25" t="n">
        <f aca="false">C1614/K1614-1</f>
        <v>-0.608740148223843</v>
      </c>
      <c r="M1614" s="25" t="n">
        <f aca="false">IF(COUNT(G1585:G1614)&lt;20,"",_xlfn.STDEV.S(G1585:G1614)*SQRT($R$3))</f>
        <v>0.986006937249837</v>
      </c>
      <c r="N1614" s="25" t="n">
        <f aca="false">IF(A1614-7&lt;$R$2,"",C1614/INDEX(Clean_Data!$C$2:$C$4314,MATCH(A1614-7,Clean_Data!$A$2:$A$4314,1))-1)</f>
        <v>-0.114918551775744</v>
      </c>
      <c r="O1614" s="25" t="n">
        <f aca="false">IF(A1614-30&lt;$R$2,"",C1614/INDEX(Clean_Data!$C$2:$C$4314,MATCH(A1614-30,Clean_Data!$A$2:$A$4314,1))-1)</f>
        <v>0.345074931856274</v>
      </c>
    </row>
    <row r="1615" customFormat="false" ht="15" hidden="false" customHeight="false" outlineLevel="0" collapsed="false">
      <c r="A1615" s="16" t="n">
        <v>43621</v>
      </c>
      <c r="B1615" s="23" t="n">
        <f aca="false">YEAR(A1615)</f>
        <v>2019</v>
      </c>
      <c r="C1615" s="17" t="n">
        <v>7766.91</v>
      </c>
      <c r="D1615" s="23" t="n">
        <f aca="false">A1615-A1614</f>
        <v>1</v>
      </c>
      <c r="E1615" s="24" t="n">
        <f aca="false">LN(C1615)</f>
        <v>8.957627680867</v>
      </c>
      <c r="F1615" s="25" t="n">
        <f aca="false">LN(C1615/C1614)</f>
        <v>0.0101779118501096</v>
      </c>
      <c r="G1615" s="25" t="n">
        <f aca="false">IF(AND(D1615=1,A1615&gt;=$R$2),F1615,"")</f>
        <v>0.0101779118501096</v>
      </c>
      <c r="H1615" s="27" t="n">
        <f aca="false">IF(G1615="","",G1615^2)</f>
        <v>0.000103589889628601</v>
      </c>
      <c r="I1615" s="25" t="n">
        <f aca="false">IF(G1615="","",C1615/C1614-1)</f>
        <v>0.0102298829644158</v>
      </c>
      <c r="J1615" s="17" t="n">
        <f aca="false">AVERAGE(C1416:C1615)</f>
        <v>4637.53005</v>
      </c>
      <c r="K1615" s="17" t="n">
        <f aca="false">MAX(K1614,C1615)</f>
        <v>19650.01</v>
      </c>
      <c r="L1615" s="25" t="n">
        <f aca="false">C1615/K1615-1</f>
        <v>-0.604737605731498</v>
      </c>
      <c r="M1615" s="25" t="n">
        <f aca="false">IF(COUNT(G1586:G1615)&lt;20,"",_xlfn.STDEV.S(G1586:G1615)*SQRT($R$3))</f>
        <v>0.984562819302541</v>
      </c>
      <c r="N1615" s="25" t="n">
        <f aca="false">IF(A1615-7&lt;$R$2,"",C1615/INDEX(Clean_Data!$C$2:$C$4314,MATCH(A1615-7,Clean_Data!$A$2:$A$4314,1))-1)</f>
        <v>-0.103179954967958</v>
      </c>
      <c r="O1615" s="25" t="n">
        <f aca="false">IF(A1615-30&lt;$R$2,"",C1615/INDEX(Clean_Data!$C$2:$C$4314,MATCH(A1615-30,Clean_Data!$A$2:$A$4314,1))-1)</f>
        <v>0.365514513265001</v>
      </c>
    </row>
    <row r="1616" customFormat="false" ht="15" hidden="false" customHeight="false" outlineLevel="0" collapsed="false">
      <c r="A1616" s="16" t="n">
        <v>43622</v>
      </c>
      <c r="B1616" s="23" t="n">
        <f aca="false">YEAR(A1616)</f>
        <v>2019</v>
      </c>
      <c r="C1616" s="17" t="n">
        <v>7812.15</v>
      </c>
      <c r="D1616" s="23" t="n">
        <f aca="false">A1616-A1615</f>
        <v>1</v>
      </c>
      <c r="E1616" s="24" t="n">
        <f aca="false">LN(C1616)</f>
        <v>8.96343549304111</v>
      </c>
      <c r="F1616" s="25" t="n">
        <f aca="false">LN(C1616/C1615)</f>
        <v>0.00580781217411072</v>
      </c>
      <c r="G1616" s="25" t="n">
        <f aca="false">IF(AND(D1616=1,A1616&gt;=$R$2),F1616,"")</f>
        <v>0.00580781217411072</v>
      </c>
      <c r="H1616" s="27" t="n">
        <f aca="false">IF(G1616="","",G1616^2)</f>
        <v>3.37306822497487E-005</v>
      </c>
      <c r="I1616" s="25" t="n">
        <f aca="false">IF(G1616="","",C1616/C1615-1)</f>
        <v>0.00582471021294184</v>
      </c>
      <c r="J1616" s="17" t="n">
        <f aca="false">AVERAGE(C1417:C1616)</f>
        <v>4648.7908</v>
      </c>
      <c r="K1616" s="17" t="n">
        <f aca="false">MAX(K1615,C1616)</f>
        <v>19650.01</v>
      </c>
      <c r="L1616" s="25" t="n">
        <f aca="false">C1616/K1616-1</f>
        <v>-0.602435316826811</v>
      </c>
      <c r="M1616" s="25" t="n">
        <f aca="false">IF(COUNT(G1587:G1616)&lt;20,"",_xlfn.STDEV.S(G1587:G1616)*SQRT($R$3))</f>
        <v>0.984691547447462</v>
      </c>
      <c r="N1616" s="25" t="n">
        <f aca="false">IF(A1616-7&lt;$R$2,"",C1616/INDEX(Clean_Data!$C$2:$C$4314,MATCH(A1616-7,Clean_Data!$A$2:$A$4314,1))-1)</f>
        <v>-0.0557703627333788</v>
      </c>
      <c r="O1616" s="25" t="n">
        <f aca="false">IF(A1616-30&lt;$R$2,"",C1616/INDEX(Clean_Data!$C$2:$C$4314,MATCH(A1616-30,Clean_Data!$A$2:$A$4314,1))-1)</f>
        <v>0.359001122041594</v>
      </c>
    </row>
    <row r="1617" customFormat="false" ht="15" hidden="false" customHeight="false" outlineLevel="0" collapsed="false">
      <c r="A1617" s="16" t="n">
        <v>43623</v>
      </c>
      <c r="B1617" s="23" t="n">
        <f aca="false">YEAR(A1617)</f>
        <v>2019</v>
      </c>
      <c r="C1617" s="17" t="n">
        <v>7992.17</v>
      </c>
      <c r="D1617" s="23" t="n">
        <f aca="false">A1617-A1616</f>
        <v>1</v>
      </c>
      <c r="E1617" s="24" t="n">
        <f aca="false">LN(C1617)</f>
        <v>8.98621759137343</v>
      </c>
      <c r="F1617" s="25" t="n">
        <f aca="false">LN(C1617/C1616)</f>
        <v>0.0227820983323236</v>
      </c>
      <c r="G1617" s="25" t="n">
        <f aca="false">IF(AND(D1617=1,A1617&gt;=$R$2),F1617,"")</f>
        <v>0.0227820983323236</v>
      </c>
      <c r="H1617" s="27" t="n">
        <f aca="false">IF(G1617="","",G1617^2)</f>
        <v>0.000519024004423661</v>
      </c>
      <c r="I1617" s="25" t="n">
        <f aca="false">IF(G1617="","",C1617/C1616-1)</f>
        <v>0.0230435923529375</v>
      </c>
      <c r="J1617" s="17" t="n">
        <f aca="false">AVERAGE(C1418:C1617)</f>
        <v>4665.08415</v>
      </c>
      <c r="K1617" s="17" t="n">
        <f aca="false">MAX(K1616,C1617)</f>
        <v>19650.01</v>
      </c>
      <c r="L1617" s="25" t="n">
        <f aca="false">C1617/K1617-1</f>
        <v>-0.593273998333843</v>
      </c>
      <c r="M1617" s="25" t="n">
        <f aca="false">IF(COUNT(G1588:G1617)&lt;20,"",_xlfn.STDEV.S(G1588:G1617)*SQRT($R$3))</f>
        <v>0.981996257961432</v>
      </c>
      <c r="N1617" s="25" t="n">
        <f aca="false">IF(A1617-7&lt;$R$2,"",C1617/INDEX(Clean_Data!$C$2:$C$4314,MATCH(A1617-7,Clean_Data!$A$2:$A$4314,1))-1)</f>
        <v>-0.0652629535284638</v>
      </c>
      <c r="O1617" s="25" t="n">
        <f aca="false">IF(A1617-30&lt;$R$2,"",C1617/INDEX(Clean_Data!$C$2:$C$4314,MATCH(A1617-30,Clean_Data!$A$2:$A$4314,1))-1)</f>
        <v>0.343580889683125</v>
      </c>
    </row>
    <row r="1618" customFormat="false" ht="15" hidden="false" customHeight="false" outlineLevel="0" collapsed="false">
      <c r="A1618" s="16" t="n">
        <v>43624</v>
      </c>
      <c r="B1618" s="23" t="n">
        <f aca="false">YEAR(A1618)</f>
        <v>2019</v>
      </c>
      <c r="C1618" s="17" t="n">
        <v>7938.64</v>
      </c>
      <c r="D1618" s="23" t="n">
        <f aca="false">A1618-A1617</f>
        <v>1</v>
      </c>
      <c r="E1618" s="24" t="n">
        <f aca="false">LN(C1618)</f>
        <v>8.97949725493553</v>
      </c>
      <c r="F1618" s="25" t="n">
        <f aca="false">LN(C1618/C1617)</f>
        <v>-0.0067203364378981</v>
      </c>
      <c r="G1618" s="25" t="n">
        <f aca="false">IF(AND(D1618=1,A1618&gt;=$R$2),F1618,"")</f>
        <v>-0.0067203364378981</v>
      </c>
      <c r="H1618" s="27" t="n">
        <f aca="false">IF(G1618="","",G1618^2)</f>
        <v>4.51629218385409E-005</v>
      </c>
      <c r="I1618" s="25" t="n">
        <f aca="false">IF(G1618="","",C1618/C1617-1)</f>
        <v>-0.00669780547711074</v>
      </c>
      <c r="J1618" s="17" t="n">
        <f aca="false">AVERAGE(C1419:C1618)</f>
        <v>4683.0312</v>
      </c>
      <c r="K1618" s="17" t="n">
        <f aca="false">MAX(K1617,C1618)</f>
        <v>19650.01</v>
      </c>
      <c r="L1618" s="25" t="n">
        <f aca="false">C1618/K1618-1</f>
        <v>-0.595998169975486</v>
      </c>
      <c r="M1618" s="25" t="n">
        <f aca="false">IF(COUNT(G1589:G1618)&lt;20,"",_xlfn.STDEV.S(G1589:G1618)*SQRT($R$3))</f>
        <v>0.979713888107275</v>
      </c>
      <c r="N1618" s="25" t="n">
        <f aca="false">IF(A1618-7&lt;$R$2,"",C1618/INDEX(Clean_Data!$C$2:$C$4314,MATCH(A1618-7,Clean_Data!$A$2:$A$4314,1))-1)</f>
        <v>-0.0723731334737865</v>
      </c>
      <c r="O1618" s="25" t="n">
        <f aca="false">IF(A1618-30&lt;$R$2,"",C1618/INDEX(Clean_Data!$C$2:$C$4314,MATCH(A1618-30,Clean_Data!$A$2:$A$4314,1))-1)</f>
        <v>0.290187531792969</v>
      </c>
    </row>
    <row r="1619" customFormat="false" ht="15" hidden="false" customHeight="false" outlineLevel="0" collapsed="false">
      <c r="A1619" s="16" t="n">
        <v>43625</v>
      </c>
      <c r="B1619" s="23" t="n">
        <f aca="false">YEAR(A1619)</f>
        <v>2019</v>
      </c>
      <c r="C1619" s="17" t="n">
        <v>7623.84</v>
      </c>
      <c r="D1619" s="23" t="n">
        <f aca="false">A1619-A1618</f>
        <v>1</v>
      </c>
      <c r="E1619" s="24" t="n">
        <f aca="false">LN(C1619)</f>
        <v>8.93903545875496</v>
      </c>
      <c r="F1619" s="25" t="n">
        <f aca="false">LN(C1619/C1618)</f>
        <v>-0.0404617961805778</v>
      </c>
      <c r="G1619" s="25" t="n">
        <f aca="false">IF(AND(D1619=1,A1619&gt;=$R$2),F1619,"")</f>
        <v>-0.0404617961805778</v>
      </c>
      <c r="H1619" s="27" t="n">
        <f aca="false">IF(G1619="","",G1619^2)</f>
        <v>0.00163715695015862</v>
      </c>
      <c r="I1619" s="25" t="n">
        <f aca="false">IF(G1619="","",C1619/C1618-1)</f>
        <v>-0.0396541473098667</v>
      </c>
      <c r="J1619" s="17" t="n">
        <f aca="false">AVERAGE(C1420:C1619)</f>
        <v>4698.42485</v>
      </c>
      <c r="K1619" s="17" t="n">
        <f aca="false">MAX(K1618,C1619)</f>
        <v>19650.01</v>
      </c>
      <c r="L1619" s="25" t="n">
        <f aca="false">C1619/K1619-1</f>
        <v>-0.612018518056734</v>
      </c>
      <c r="M1619" s="25" t="n">
        <f aca="false">IF(COUNT(G1590:G1619)&lt;20,"",_xlfn.STDEV.S(G1590:G1619)*SQRT($R$3))</f>
        <v>0.990880403472137</v>
      </c>
      <c r="N1619" s="25" t="n">
        <f aca="false">IF(A1619-7&lt;$R$2,"",C1619/INDEX(Clean_Data!$C$2:$C$4314,MATCH(A1619-7,Clean_Data!$A$2:$A$4314,1))-1)</f>
        <v>-0.127823849667722</v>
      </c>
      <c r="O1619" s="25" t="n">
        <f aca="false">IF(A1619-30&lt;$R$2,"",C1619/INDEX(Clean_Data!$C$2:$C$4314,MATCH(A1619-30,Clean_Data!$A$2:$A$4314,1))-1)</f>
        <v>0.201903158372667</v>
      </c>
    </row>
    <row r="1620" customFormat="false" ht="15" hidden="false" customHeight="false" outlineLevel="0" collapsed="false">
      <c r="A1620" s="16" t="n">
        <v>43626</v>
      </c>
      <c r="B1620" s="23" t="n">
        <f aca="false">YEAR(A1620)</f>
        <v>2019</v>
      </c>
      <c r="C1620" s="17" t="n">
        <v>8046.13</v>
      </c>
      <c r="D1620" s="23" t="n">
        <f aca="false">A1620-A1619</f>
        <v>1</v>
      </c>
      <c r="E1620" s="24" t="n">
        <f aca="false">LN(C1620)</f>
        <v>8.9929465094759</v>
      </c>
      <c r="F1620" s="25" t="n">
        <f aca="false">LN(C1620/C1619)</f>
        <v>0.0539110507209485</v>
      </c>
      <c r="G1620" s="25" t="n">
        <f aca="false">IF(AND(D1620=1,A1620&gt;=$R$2),F1620,"")</f>
        <v>0.0539110507209485</v>
      </c>
      <c r="H1620" s="27" t="n">
        <f aca="false">IF(G1620="","",G1620^2)</f>
        <v>0.00290640138983668</v>
      </c>
      <c r="I1620" s="25" t="n">
        <f aca="false">IF(G1620="","",C1620/C1619-1)</f>
        <v>0.0553907217360281</v>
      </c>
      <c r="J1620" s="17" t="n">
        <f aca="false">AVERAGE(C1421:C1620)</f>
        <v>4717.3287</v>
      </c>
      <c r="K1620" s="17" t="n">
        <f aca="false">MAX(K1619,C1620)</f>
        <v>19650.01</v>
      </c>
      <c r="L1620" s="25" t="n">
        <f aca="false">C1620/K1620-1</f>
        <v>-0.590527943751683</v>
      </c>
      <c r="M1620" s="25" t="n">
        <f aca="false">IF(COUNT(G1591:G1620)&lt;20,"",_xlfn.STDEV.S(G1591:G1620)*SQRT($R$3))</f>
        <v>0.903714502231439</v>
      </c>
      <c r="N1620" s="25" t="n">
        <f aca="false">IF(A1620-7&lt;$R$2,"",C1620/INDEX(Clean_Data!$C$2:$C$4314,MATCH(A1620-7,Clean_Data!$A$2:$A$4314,1))-1)</f>
        <v>0.00388271505587645</v>
      </c>
      <c r="O1620" s="25" t="n">
        <f aca="false">IF(A1620-30&lt;$R$2,"",C1620/INDEX(Clean_Data!$C$2:$C$4314,MATCH(A1620-30,Clean_Data!$A$2:$A$4314,1))-1)</f>
        <v>0.114430155333486</v>
      </c>
    </row>
    <row r="1621" customFormat="false" ht="15" hidden="false" customHeight="false" outlineLevel="0" collapsed="false">
      <c r="A1621" s="16" t="n">
        <v>43627</v>
      </c>
      <c r="B1621" s="23" t="n">
        <f aca="false">YEAR(A1621)</f>
        <v>2019</v>
      </c>
      <c r="C1621" s="17" t="n">
        <v>7918.2</v>
      </c>
      <c r="D1621" s="23" t="n">
        <f aca="false">A1621-A1620</f>
        <v>1</v>
      </c>
      <c r="E1621" s="24" t="n">
        <f aca="false">LN(C1621)</f>
        <v>8.97691918625084</v>
      </c>
      <c r="F1621" s="25" t="n">
        <f aca="false">LN(C1621/C1620)</f>
        <v>-0.0160273232250643</v>
      </c>
      <c r="G1621" s="25" t="n">
        <f aca="false">IF(AND(D1621=1,A1621&gt;=$R$2),F1621,"")</f>
        <v>-0.0160273232250643</v>
      </c>
      <c r="H1621" s="27" t="n">
        <f aca="false">IF(G1621="","",G1621^2)</f>
        <v>0.000256875089760685</v>
      </c>
      <c r="I1621" s="25" t="n">
        <f aca="false">IF(G1621="","",C1621/C1620-1)</f>
        <v>-0.0158995691096216</v>
      </c>
      <c r="J1621" s="17" t="n">
        <f aca="false">AVERAGE(C1422:C1621)</f>
        <v>4735.5007</v>
      </c>
      <c r="K1621" s="17" t="n">
        <f aca="false">MAX(K1620,C1621)</f>
        <v>19650.01</v>
      </c>
      <c r="L1621" s="25" t="n">
        <f aca="false">C1621/K1621-1</f>
        <v>-0.597038373008462</v>
      </c>
      <c r="M1621" s="25" t="n">
        <f aca="false">IF(COUNT(G1592:G1621)&lt;20,"",_xlfn.STDEV.S(G1592:G1621)*SQRT($R$3))</f>
        <v>0.896534288652955</v>
      </c>
      <c r="N1621" s="25" t="n">
        <f aca="false">IF(A1621-7&lt;$R$2,"",C1621/INDEX(Clean_Data!$C$2:$C$4314,MATCH(A1621-7,Clean_Data!$A$2:$A$4314,1))-1)</f>
        <v>0.0299079375567424</v>
      </c>
      <c r="O1621" s="25" t="n">
        <f aca="false">IF(A1621-30&lt;$R$2,"",C1621/INDEX(Clean_Data!$C$2:$C$4314,MATCH(A1621-30,Clean_Data!$A$2:$A$4314,1))-1)</f>
        <v>0.134451614382156</v>
      </c>
    </row>
    <row r="1622" customFormat="false" ht="15" hidden="false" customHeight="false" outlineLevel="0" collapsed="false">
      <c r="A1622" s="16" t="n">
        <v>43628</v>
      </c>
      <c r="B1622" s="23" t="n">
        <f aca="false">YEAR(A1622)</f>
        <v>2019</v>
      </c>
      <c r="C1622" s="17" t="n">
        <v>8169.01</v>
      </c>
      <c r="D1622" s="23" t="n">
        <f aca="false">A1622-A1621</f>
        <v>1</v>
      </c>
      <c r="E1622" s="24" t="n">
        <f aca="false">LN(C1622)</f>
        <v>9.00810300548116</v>
      </c>
      <c r="F1622" s="25" t="n">
        <f aca="false">LN(C1622/C1621)</f>
        <v>0.031183819230323</v>
      </c>
      <c r="G1622" s="25" t="n">
        <f aca="false">IF(AND(D1622=1,A1622&gt;=$R$2),F1622,"")</f>
        <v>0.031183819230323</v>
      </c>
      <c r="H1622" s="27" t="n">
        <f aca="false">IF(G1622="","",G1622^2)</f>
        <v>0.00097243058178946</v>
      </c>
      <c r="I1622" s="25" t="n">
        <f aca="false">IF(G1622="","",C1622/C1621-1)</f>
        <v>0.0316751281856988</v>
      </c>
      <c r="J1622" s="17" t="n">
        <f aca="false">AVERAGE(C1423:C1622)</f>
        <v>4757.4708</v>
      </c>
      <c r="K1622" s="17" t="n">
        <f aca="false">MAX(K1621,C1622)</f>
        <v>19650.01</v>
      </c>
      <c r="L1622" s="25" t="n">
        <f aca="false">C1622/K1622-1</f>
        <v>-0.584274511819587</v>
      </c>
      <c r="M1622" s="25" t="n">
        <f aca="false">IF(COUNT(G1593:G1622)&lt;20,"",_xlfn.STDEV.S(G1593:G1622)*SQRT($R$3))</f>
        <v>0.810850990831979</v>
      </c>
      <c r="N1622" s="25" t="n">
        <f aca="false">IF(A1622-7&lt;$R$2,"",C1622/INDEX(Clean_Data!$C$2:$C$4314,MATCH(A1622-7,Clean_Data!$A$2:$A$4314,1))-1)</f>
        <v>0.051770910181784</v>
      </c>
      <c r="O1622" s="25" t="n">
        <f aca="false">IF(A1622-30&lt;$R$2,"",C1622/INDEX(Clean_Data!$C$2:$C$4314,MATCH(A1622-30,Clean_Data!$A$2:$A$4314,1))-1)</f>
        <v>0.0439722783462599</v>
      </c>
    </row>
    <row r="1623" customFormat="false" ht="15" hidden="false" customHeight="false" outlineLevel="0" collapsed="false">
      <c r="A1623" s="16" t="n">
        <v>43629</v>
      </c>
      <c r="B1623" s="23" t="n">
        <f aca="false">YEAR(A1623)</f>
        <v>2019</v>
      </c>
      <c r="C1623" s="17" t="n">
        <v>8256</v>
      </c>
      <c r="D1623" s="23" t="n">
        <f aca="false">A1623-A1622</f>
        <v>1</v>
      </c>
      <c r="E1623" s="24" t="n">
        <f aca="false">LN(C1623)</f>
        <v>9.01869548772134</v>
      </c>
      <c r="F1623" s="25" t="n">
        <f aca="false">LN(C1623/C1622)</f>
        <v>0.0105924822401823</v>
      </c>
      <c r="G1623" s="25" t="n">
        <f aca="false">IF(AND(D1623=1,A1623&gt;=$R$2),F1623,"")</f>
        <v>0.0105924822401823</v>
      </c>
      <c r="H1623" s="27" t="n">
        <f aca="false">IF(G1623="","",G1623^2)</f>
        <v>0.000112200680008577</v>
      </c>
      <c r="I1623" s="25" t="n">
        <f aca="false">IF(G1623="","",C1623/C1622-1)</f>
        <v>0.0106487811864595</v>
      </c>
      <c r="J1623" s="17" t="n">
        <f aca="false">AVERAGE(C1424:C1623)</f>
        <v>4779.06735</v>
      </c>
      <c r="K1623" s="17" t="n">
        <f aca="false">MAX(K1622,C1623)</f>
        <v>19650.01</v>
      </c>
      <c r="L1623" s="25" t="n">
        <f aca="false">C1623/K1623-1</f>
        <v>-0.57984754206232</v>
      </c>
      <c r="M1623" s="25" t="n">
        <f aca="false">IF(COUNT(G1594:G1623)&lt;20,"",_xlfn.STDEV.S(G1594:G1623)*SQRT($R$3))</f>
        <v>0.808502196947311</v>
      </c>
      <c r="N1623" s="25" t="n">
        <f aca="false">IF(A1623-7&lt;$R$2,"",C1623/INDEX(Clean_Data!$C$2:$C$4314,MATCH(A1623-7,Clean_Data!$A$2:$A$4314,1))-1)</f>
        <v>0.0568153453274707</v>
      </c>
      <c r="O1623" s="25" t="n">
        <f aca="false">IF(A1623-30&lt;$R$2,"",C1623/INDEX(Clean_Data!$C$2:$C$4314,MATCH(A1623-30,Clean_Data!$A$2:$A$4314,1))-1)</f>
        <v>0.0331726509588384</v>
      </c>
    </row>
    <row r="1624" customFormat="false" ht="15" hidden="false" customHeight="false" outlineLevel="0" collapsed="false">
      <c r="A1624" s="16" t="n">
        <v>43630</v>
      </c>
      <c r="B1624" s="23" t="n">
        <f aca="false">YEAR(A1624)</f>
        <v>2019</v>
      </c>
      <c r="C1624" s="17" t="n">
        <v>8693.98</v>
      </c>
      <c r="D1624" s="23" t="n">
        <f aca="false">A1624-A1623</f>
        <v>1</v>
      </c>
      <c r="E1624" s="24" t="n">
        <f aca="false">LN(C1624)</f>
        <v>9.07038611110901</v>
      </c>
      <c r="F1624" s="25" t="n">
        <f aca="false">LN(C1624/C1623)</f>
        <v>0.0516906233876643</v>
      </c>
      <c r="G1624" s="25" t="n">
        <f aca="false">IF(AND(D1624=1,A1624&gt;=$R$2),F1624,"")</f>
        <v>0.0516906233876643</v>
      </c>
      <c r="H1624" s="27" t="n">
        <f aca="false">IF(G1624="","",G1624^2)</f>
        <v>0.00267192054620535</v>
      </c>
      <c r="I1624" s="25" t="n">
        <f aca="false">IF(G1624="","",C1624/C1623-1)</f>
        <v>0.0530499031007752</v>
      </c>
      <c r="J1624" s="17" t="n">
        <f aca="false">AVERAGE(C1425:C1624)</f>
        <v>4803.88065</v>
      </c>
      <c r="K1624" s="17" t="n">
        <f aca="false">MAX(K1623,C1624)</f>
        <v>19650.01</v>
      </c>
      <c r="L1624" s="25" t="n">
        <f aca="false">C1624/K1624-1</f>
        <v>-0.557558494881173</v>
      </c>
      <c r="M1624" s="25" t="n">
        <f aca="false">IF(COUNT(G1595:G1624)&lt;20,"",_xlfn.STDEV.S(G1595:G1624)*SQRT($R$3))</f>
        <v>0.823209972982753</v>
      </c>
      <c r="N1624" s="25" t="n">
        <f aca="false">IF(A1624-7&lt;$R$2,"",C1624/INDEX(Clean_Data!$C$2:$C$4314,MATCH(A1624-7,Clean_Data!$A$2:$A$4314,1))-1)</f>
        <v>0.087812196187018</v>
      </c>
      <c r="O1624" s="25" t="n">
        <f aca="false">IF(A1624-30&lt;$R$2,"",C1624/INDEX(Clean_Data!$C$2:$C$4314,MATCH(A1624-30,Clean_Data!$A$2:$A$4314,1))-1)</f>
        <v>0.0598123686507415</v>
      </c>
    </row>
    <row r="1625" customFormat="false" ht="15" hidden="false" customHeight="false" outlineLevel="0" collapsed="false">
      <c r="A1625" s="16" t="n">
        <v>43631</v>
      </c>
      <c r="B1625" s="23" t="n">
        <f aca="false">YEAR(A1625)</f>
        <v>2019</v>
      </c>
      <c r="C1625" s="17" t="n">
        <v>8861.33</v>
      </c>
      <c r="D1625" s="23" t="n">
        <f aca="false">A1625-A1624</f>
        <v>1</v>
      </c>
      <c r="E1625" s="24" t="n">
        <f aca="false">LN(C1625)</f>
        <v>9.08945214520013</v>
      </c>
      <c r="F1625" s="25" t="n">
        <f aca="false">LN(C1625/C1624)</f>
        <v>0.0190660340911265</v>
      </c>
      <c r="G1625" s="25" t="n">
        <f aca="false">IF(AND(D1625=1,A1625&gt;=$R$2),F1625,"")</f>
        <v>0.0190660340911265</v>
      </c>
      <c r="H1625" s="27" t="n">
        <f aca="false">IF(G1625="","",G1625^2)</f>
        <v>0.000363513655963998</v>
      </c>
      <c r="I1625" s="25" t="n">
        <f aca="false">IF(G1625="","",C1625/C1624-1)</f>
        <v>0.0192489515733876</v>
      </c>
      <c r="J1625" s="17" t="n">
        <f aca="false">AVERAGE(C1426:C1625)</f>
        <v>4829.3123</v>
      </c>
      <c r="K1625" s="17" t="n">
        <f aca="false">MAX(K1624,C1625)</f>
        <v>19650.01</v>
      </c>
      <c r="L1625" s="25" t="n">
        <f aca="false">C1625/K1625-1</f>
        <v>-0.549041959775084</v>
      </c>
      <c r="M1625" s="25" t="n">
        <f aca="false">IF(COUNT(G1596:G1625)&lt;20,"",_xlfn.STDEV.S(G1596:G1625)*SQRT($R$3))</f>
        <v>0.810795006371741</v>
      </c>
      <c r="N1625" s="25" t="n">
        <f aca="false">IF(A1625-7&lt;$R$2,"",C1625/INDEX(Clean_Data!$C$2:$C$4314,MATCH(A1625-7,Clean_Data!$A$2:$A$4314,1))-1)</f>
        <v>0.116227716586216</v>
      </c>
      <c r="O1625" s="25" t="n">
        <f aca="false">IF(A1625-30&lt;$R$2,"",C1625/INDEX(Clean_Data!$C$2:$C$4314,MATCH(A1625-30,Clean_Data!$A$2:$A$4314,1))-1)</f>
        <v>0.124682699239494</v>
      </c>
    </row>
    <row r="1626" customFormat="false" ht="15" hidden="false" customHeight="false" outlineLevel="0" collapsed="false">
      <c r="A1626" s="16" t="n">
        <v>43632</v>
      </c>
      <c r="B1626" s="23" t="n">
        <f aca="false">YEAR(A1626)</f>
        <v>2019</v>
      </c>
      <c r="C1626" s="17" t="n">
        <v>8996.95</v>
      </c>
      <c r="D1626" s="23" t="n">
        <f aca="false">A1626-A1625</f>
        <v>1</v>
      </c>
      <c r="E1626" s="24" t="n">
        <f aca="false">LN(C1626)</f>
        <v>9.10464090999365</v>
      </c>
      <c r="F1626" s="25" t="n">
        <f aca="false">LN(C1626/C1625)</f>
        <v>0.0151887647935168</v>
      </c>
      <c r="G1626" s="25" t="n">
        <f aca="false">IF(AND(D1626=1,A1626&gt;=$R$2),F1626,"")</f>
        <v>0.0151887647935168</v>
      </c>
      <c r="H1626" s="27" t="n">
        <f aca="false">IF(G1626="","",G1626^2)</f>
        <v>0.000230698575952775</v>
      </c>
      <c r="I1626" s="25" t="n">
        <f aca="false">IF(G1626="","",C1626/C1625-1)</f>
        <v>0.0153047003102245</v>
      </c>
      <c r="J1626" s="17" t="n">
        <f aca="false">AVERAGE(C1427:C1626)</f>
        <v>4853.1719</v>
      </c>
      <c r="K1626" s="17" t="n">
        <f aca="false">MAX(K1625,C1626)</f>
        <v>19650.01</v>
      </c>
      <c r="L1626" s="25" t="n">
        <f aca="false">C1626/K1626-1</f>
        <v>-0.542140182116956</v>
      </c>
      <c r="M1626" s="25" t="n">
        <f aca="false">IF(COUNT(G1597:G1626)&lt;20,"",_xlfn.STDEV.S(G1597:G1626)*SQRT($R$3))</f>
        <v>0.769203053541925</v>
      </c>
      <c r="N1626" s="25" t="n">
        <f aca="false">IF(A1626-7&lt;$R$2,"",C1626/INDEX(Clean_Data!$C$2:$C$4314,MATCH(A1626-7,Clean_Data!$A$2:$A$4314,1))-1)</f>
        <v>0.180107399945434</v>
      </c>
      <c r="O1626" s="25" t="n">
        <f aca="false">IF(A1626-30&lt;$R$2,"",C1626/INDEX(Clean_Data!$C$2:$C$4314,MATCH(A1626-30,Clean_Data!$A$2:$A$4314,1))-1)</f>
        <v>0.221799125166866</v>
      </c>
    </row>
    <row r="1627" customFormat="false" ht="15" hidden="false" customHeight="false" outlineLevel="0" collapsed="false">
      <c r="A1627" s="16" t="n">
        <v>43633</v>
      </c>
      <c r="B1627" s="23" t="n">
        <f aca="false">YEAR(A1627)</f>
        <v>2019</v>
      </c>
      <c r="C1627" s="17" t="n">
        <v>9346.47</v>
      </c>
      <c r="D1627" s="23" t="n">
        <f aca="false">A1627-A1626</f>
        <v>1</v>
      </c>
      <c r="E1627" s="24" t="n">
        <f aca="false">LN(C1627)</f>
        <v>9.14275401088957</v>
      </c>
      <c r="F1627" s="25" t="n">
        <f aca="false">LN(C1627/C1626)</f>
        <v>0.0381131008959202</v>
      </c>
      <c r="G1627" s="25" t="n">
        <f aca="false">IF(AND(D1627=1,A1627&gt;=$R$2),F1627,"")</f>
        <v>0.0381131008959202</v>
      </c>
      <c r="H1627" s="27" t="n">
        <f aca="false">IF(G1627="","",G1627^2)</f>
        <v>0.00145260845990259</v>
      </c>
      <c r="I1627" s="25" t="n">
        <f aca="false">IF(G1627="","",C1627/C1626-1)</f>
        <v>0.0388487209554347</v>
      </c>
      <c r="J1627" s="17" t="n">
        <f aca="false">AVERAGE(C1428:C1627)</f>
        <v>4878.66425</v>
      </c>
      <c r="K1627" s="17" t="n">
        <f aca="false">MAX(K1626,C1627)</f>
        <v>19650.01</v>
      </c>
      <c r="L1627" s="25" t="n">
        <f aca="false">C1627/K1627-1</f>
        <v>-0.524352913815311</v>
      </c>
      <c r="M1627" s="25" t="n">
        <f aca="false">IF(COUNT(G1598:G1627)&lt;20,"",_xlfn.STDEV.S(G1598:G1627)*SQRT($R$3))</f>
        <v>0.77309389854061</v>
      </c>
      <c r="N1627" s="25" t="n">
        <f aca="false">IF(A1627-7&lt;$R$2,"",C1627/INDEX(Clean_Data!$C$2:$C$4314,MATCH(A1627-7,Clean_Data!$A$2:$A$4314,1))-1)</f>
        <v>0.161610612803919</v>
      </c>
      <c r="O1627" s="25" t="n">
        <f aca="false">IF(A1627-30&lt;$R$2,"",C1627/INDEX(Clean_Data!$C$2:$C$4314,MATCH(A1627-30,Clean_Data!$A$2:$A$4314,1))-1)</f>
        <v>0.286967118307997</v>
      </c>
    </row>
    <row r="1628" customFormat="false" ht="15" hidden="false" customHeight="false" outlineLevel="0" collapsed="false">
      <c r="A1628" s="16" t="n">
        <v>43634</v>
      </c>
      <c r="B1628" s="23" t="n">
        <f aca="false">YEAR(A1628)</f>
        <v>2019</v>
      </c>
      <c r="C1628" s="17" t="n">
        <v>9089.99</v>
      </c>
      <c r="D1628" s="23" t="n">
        <f aca="false">A1628-A1627</f>
        <v>1</v>
      </c>
      <c r="E1628" s="24" t="n">
        <f aca="false">LN(C1628)</f>
        <v>9.11492908706091</v>
      </c>
      <c r="F1628" s="25" t="n">
        <f aca="false">LN(C1628/C1627)</f>
        <v>-0.0278249238286633</v>
      </c>
      <c r="G1628" s="25" t="n">
        <f aca="false">IF(AND(D1628=1,A1628&gt;=$R$2),F1628,"")</f>
        <v>-0.0278249238286633</v>
      </c>
      <c r="H1628" s="27" t="n">
        <f aca="false">IF(G1628="","",G1628^2)</f>
        <v>0.000774226386070916</v>
      </c>
      <c r="I1628" s="25" t="n">
        <f aca="false">IF(G1628="","",C1628/C1627-1)</f>
        <v>-0.0274413762629099</v>
      </c>
      <c r="J1628" s="17" t="n">
        <f aca="false">AVERAGE(C1429:C1628)</f>
        <v>4904.2342</v>
      </c>
      <c r="K1628" s="17" t="n">
        <f aca="false">MAX(K1627,C1628)</f>
        <v>19650.01</v>
      </c>
      <c r="L1628" s="25" t="n">
        <f aca="false">C1628/K1628-1</f>
        <v>-0.537405324475662</v>
      </c>
      <c r="M1628" s="25" t="n">
        <f aca="false">IF(COUNT(G1599:G1628)&lt;20,"",_xlfn.STDEV.S(G1599:G1628)*SQRT($R$3))</f>
        <v>0.666408401433939</v>
      </c>
      <c r="N1628" s="25" t="n">
        <f aca="false">IF(A1628-7&lt;$R$2,"",C1628/INDEX(Clean_Data!$C$2:$C$4314,MATCH(A1628-7,Clean_Data!$A$2:$A$4314,1))-1)</f>
        <v>0.147986916218333</v>
      </c>
      <c r="O1628" s="25" t="n">
        <f aca="false">IF(A1628-30&lt;$R$2,"",C1628/INDEX(Clean_Data!$C$2:$C$4314,MATCH(A1628-30,Clean_Data!$A$2:$A$4314,1))-1)</f>
        <v>0.108535365853659</v>
      </c>
    </row>
    <row r="1629" customFormat="false" ht="15" hidden="false" customHeight="false" outlineLevel="0" collapsed="false">
      <c r="A1629" s="16" t="n">
        <v>43635</v>
      </c>
      <c r="B1629" s="23" t="n">
        <f aca="false">YEAR(A1629)</f>
        <v>2019</v>
      </c>
      <c r="C1629" s="17" t="n">
        <v>9283.99</v>
      </c>
      <c r="D1629" s="23" t="n">
        <f aca="false">A1629-A1628</f>
        <v>1</v>
      </c>
      <c r="E1629" s="24" t="n">
        <f aca="false">LN(C1629)</f>
        <v>9.13604669027182</v>
      </c>
      <c r="F1629" s="25" t="n">
        <f aca="false">LN(C1629/C1628)</f>
        <v>0.0211176032109089</v>
      </c>
      <c r="G1629" s="25" t="n">
        <f aca="false">IF(AND(D1629=1,A1629&gt;=$R$2),F1629,"")</f>
        <v>0.0211176032109089</v>
      </c>
      <c r="H1629" s="27" t="n">
        <f aca="false">IF(G1629="","",G1629^2)</f>
        <v>0.000445953165373392</v>
      </c>
      <c r="I1629" s="25" t="n">
        <f aca="false">IF(G1629="","",C1629/C1628-1)</f>
        <v>0.0213421576921427</v>
      </c>
      <c r="J1629" s="17" t="n">
        <f aca="false">AVERAGE(C1430:C1629)</f>
        <v>4929.9441</v>
      </c>
      <c r="K1629" s="17" t="n">
        <f aca="false">MAX(K1628,C1629)</f>
        <v>19650.01</v>
      </c>
      <c r="L1629" s="25" t="n">
        <f aca="false">C1629/K1629-1</f>
        <v>-0.527532555963076</v>
      </c>
      <c r="M1629" s="25" t="n">
        <f aca="false">IF(COUNT(G1600:G1629)&lt;20,"",_xlfn.STDEV.S(G1600:G1629)*SQRT($R$3))</f>
        <v>0.661176830581543</v>
      </c>
      <c r="N1629" s="25" t="n">
        <f aca="false">IF(A1629-7&lt;$R$2,"",C1629/INDEX(Clean_Data!$C$2:$C$4314,MATCH(A1629-7,Clean_Data!$A$2:$A$4314,1))-1)</f>
        <v>0.136488999278982</v>
      </c>
      <c r="O1629" s="25" t="n">
        <f aca="false">IF(A1629-30&lt;$R$2,"",C1629/INDEX(Clean_Data!$C$2:$C$4314,MATCH(A1629-30,Clean_Data!$A$2:$A$4314,1))-1)</f>
        <v>0.160565482515245</v>
      </c>
    </row>
    <row r="1630" customFormat="false" ht="15" hidden="false" customHeight="false" outlineLevel="0" collapsed="false">
      <c r="A1630" s="16" t="n">
        <v>43636</v>
      </c>
      <c r="B1630" s="23" t="n">
        <f aca="false">YEAR(A1630)</f>
        <v>2019</v>
      </c>
      <c r="C1630" s="17" t="n">
        <v>9542.6</v>
      </c>
      <c r="D1630" s="23" t="n">
        <f aca="false">A1630-A1629</f>
        <v>1</v>
      </c>
      <c r="E1630" s="24" t="n">
        <f aca="false">LN(C1630)</f>
        <v>9.16352126399859</v>
      </c>
      <c r="F1630" s="25" t="n">
        <f aca="false">LN(C1630/C1629)</f>
        <v>0.0274745737267692</v>
      </c>
      <c r="G1630" s="25" t="n">
        <f aca="false">IF(AND(D1630=1,A1630&gt;=$R$2),F1630,"")</f>
        <v>0.0274745737267692</v>
      </c>
      <c r="H1630" s="27" t="n">
        <f aca="false">IF(G1630="","",G1630^2)</f>
        <v>0.000754852201467679</v>
      </c>
      <c r="I1630" s="25" t="n">
        <f aca="false">IF(G1630="","",C1630/C1629-1)</f>
        <v>0.0278554802407156</v>
      </c>
      <c r="J1630" s="17" t="n">
        <f aca="false">AVERAGE(C1431:C1630)</f>
        <v>4957.14115</v>
      </c>
      <c r="K1630" s="17" t="n">
        <f aca="false">MAX(K1629,C1630)</f>
        <v>19650.01</v>
      </c>
      <c r="L1630" s="25" t="n">
        <f aca="false">C1630/K1630-1</f>
        <v>-0.514371748411324</v>
      </c>
      <c r="M1630" s="25" t="n">
        <f aca="false">IF(COUNT(G1601:G1630)&lt;20,"",_xlfn.STDEV.S(G1601:G1630)*SQRT($R$3))</f>
        <v>0.664492541201175</v>
      </c>
      <c r="N1630" s="25" t="n">
        <f aca="false">IF(A1630-7&lt;$R$2,"",C1630/INDEX(Clean_Data!$C$2:$C$4314,MATCH(A1630-7,Clean_Data!$A$2:$A$4314,1))-1)</f>
        <v>0.155838178294574</v>
      </c>
      <c r="O1630" s="25" t="n">
        <f aca="false">IF(A1630-30&lt;$R$2,"",C1630/INDEX(Clean_Data!$C$2:$C$4314,MATCH(A1630-30,Clean_Data!$A$2:$A$4314,1))-1)</f>
        <v>0.200070425192097</v>
      </c>
    </row>
    <row r="1631" customFormat="false" ht="15" hidden="false" customHeight="false" outlineLevel="0" collapsed="false">
      <c r="A1631" s="16" t="n">
        <v>43637</v>
      </c>
      <c r="B1631" s="23" t="n">
        <f aca="false">YEAR(A1631)</f>
        <v>2019</v>
      </c>
      <c r="C1631" s="17" t="n">
        <v>10175.88</v>
      </c>
      <c r="D1631" s="23" t="n">
        <f aca="false">A1631-A1630</f>
        <v>1</v>
      </c>
      <c r="E1631" s="24" t="n">
        <f aca="false">LN(C1631)</f>
        <v>9.22777549305754</v>
      </c>
      <c r="F1631" s="25" t="n">
        <f aca="false">LN(C1631/C1630)</f>
        <v>0.064254229058955</v>
      </c>
      <c r="G1631" s="25" t="n">
        <f aca="false">IF(AND(D1631=1,A1631&gt;=$R$2),F1631,"")</f>
        <v>0.064254229058955</v>
      </c>
      <c r="H1631" s="27" t="n">
        <f aca="false">IF(G1631="","",G1631^2)</f>
        <v>0.00412860595196066</v>
      </c>
      <c r="I1631" s="25" t="n">
        <f aca="false">IF(G1631="","",C1631/C1630-1)</f>
        <v>0.0663634648837841</v>
      </c>
      <c r="J1631" s="17" t="n">
        <f aca="false">AVERAGE(C1432:C1631)</f>
        <v>4988.8532</v>
      </c>
      <c r="K1631" s="17" t="n">
        <f aca="false">MAX(K1630,C1631)</f>
        <v>19650.01</v>
      </c>
      <c r="L1631" s="25" t="n">
        <f aca="false">C1631/K1631-1</f>
        <v>-0.482143774990445</v>
      </c>
      <c r="M1631" s="25" t="n">
        <f aca="false">IF(COUNT(G1602:G1631)&lt;20,"",_xlfn.STDEV.S(G1602:G1631)*SQRT($R$3))</f>
        <v>0.67128746898685</v>
      </c>
      <c r="N1631" s="25" t="n">
        <f aca="false">IF(A1631-7&lt;$R$2,"",C1631/INDEX(Clean_Data!$C$2:$C$4314,MATCH(A1631-7,Clean_Data!$A$2:$A$4314,1))-1)</f>
        <v>0.170451277780717</v>
      </c>
      <c r="O1631" s="25" t="n">
        <f aca="false">IF(A1631-30&lt;$R$2,"",C1631/INDEX(Clean_Data!$C$2:$C$4314,MATCH(A1631-30,Clean_Data!$A$2:$A$4314,1))-1)</f>
        <v>0.334282657267835</v>
      </c>
    </row>
    <row r="1632" customFormat="false" ht="15" hidden="false" customHeight="false" outlineLevel="0" collapsed="false">
      <c r="A1632" s="16" t="n">
        <v>43638</v>
      </c>
      <c r="B1632" s="23" t="n">
        <f aca="false">YEAR(A1632)</f>
        <v>2019</v>
      </c>
      <c r="C1632" s="17" t="n">
        <v>10658.3</v>
      </c>
      <c r="D1632" s="23" t="n">
        <f aca="false">A1632-A1631</f>
        <v>1</v>
      </c>
      <c r="E1632" s="24" t="n">
        <f aca="false">LN(C1632)</f>
        <v>9.27409421033073</v>
      </c>
      <c r="F1632" s="25" t="n">
        <f aca="false">LN(C1632/C1631)</f>
        <v>0.0463187172731865</v>
      </c>
      <c r="G1632" s="25" t="n">
        <f aca="false">IF(AND(D1632=1,A1632&gt;=$R$2),F1632,"")</f>
        <v>0.0463187172731865</v>
      </c>
      <c r="H1632" s="27" t="n">
        <f aca="false">IF(G1632="","",G1632^2)</f>
        <v>0.00214542356983338</v>
      </c>
      <c r="I1632" s="25" t="n">
        <f aca="false">IF(G1632="","",C1632/C1631-1)</f>
        <v>0.047408184844947</v>
      </c>
      <c r="J1632" s="17" t="n">
        <f aca="false">AVERAGE(C1433:C1632)</f>
        <v>5022.6355</v>
      </c>
      <c r="K1632" s="17" t="n">
        <f aca="false">MAX(K1631,C1632)</f>
        <v>19650.01</v>
      </c>
      <c r="L1632" s="25" t="n">
        <f aca="false">C1632/K1632-1</f>
        <v>-0.457593151352086</v>
      </c>
      <c r="M1632" s="25" t="n">
        <f aca="false">IF(COUNT(G1603:G1632)&lt;20,"",_xlfn.STDEV.S(G1603:G1632)*SQRT($R$3))</f>
        <v>0.678714326890351</v>
      </c>
      <c r="N1632" s="25" t="n">
        <f aca="false">IF(A1632-7&lt;$R$2,"",C1632/INDEX(Clean_Data!$C$2:$C$4314,MATCH(A1632-7,Clean_Data!$A$2:$A$4314,1))-1)</f>
        <v>0.202787843359857</v>
      </c>
      <c r="O1632" s="25" t="n">
        <f aca="false">IF(A1632-30&lt;$R$2,"",C1632/INDEX(Clean_Data!$C$2:$C$4314,MATCH(A1632-30,Clean_Data!$A$2:$A$4314,1))-1)</f>
        <v>0.35223636700423</v>
      </c>
    </row>
    <row r="1633" customFormat="false" ht="15" hidden="false" customHeight="false" outlineLevel="0" collapsed="false">
      <c r="A1633" s="16" t="n">
        <v>43639</v>
      </c>
      <c r="B1633" s="23" t="n">
        <f aca="false">YEAR(A1633)</f>
        <v>2019</v>
      </c>
      <c r="C1633" s="17" t="n">
        <v>10808.53</v>
      </c>
      <c r="D1633" s="23" t="n">
        <f aca="false">A1633-A1632</f>
        <v>1</v>
      </c>
      <c r="E1633" s="24" t="n">
        <f aca="false">LN(C1633)</f>
        <v>9.28809091618754</v>
      </c>
      <c r="F1633" s="25" t="n">
        <f aca="false">LN(C1633/C1632)</f>
        <v>0.0139967058568105</v>
      </c>
      <c r="G1633" s="25" t="n">
        <f aca="false">IF(AND(D1633=1,A1633&gt;=$R$2),F1633,"")</f>
        <v>0.0139967058568105</v>
      </c>
      <c r="H1633" s="27" t="n">
        <f aca="false">IF(G1633="","",G1633^2)</f>
        <v>0.000195907774842074</v>
      </c>
      <c r="I1633" s="25" t="n">
        <f aca="false">IF(G1633="","",C1633/C1632-1)</f>
        <v>0.0140951183584626</v>
      </c>
      <c r="J1633" s="17" t="n">
        <f aca="false">AVERAGE(C1434:C1633)</f>
        <v>5058.2062</v>
      </c>
      <c r="K1633" s="17" t="n">
        <f aca="false">MAX(K1632,C1633)</f>
        <v>19650.01</v>
      </c>
      <c r="L1633" s="25" t="n">
        <f aca="false">C1633/K1633-1</f>
        <v>-0.449947862621953</v>
      </c>
      <c r="M1633" s="25" t="n">
        <f aca="false">IF(COUNT(G1604:G1633)&lt;20,"",_xlfn.STDEV.S(G1604:G1633)*SQRT($R$3))</f>
        <v>0.678697372493438</v>
      </c>
      <c r="N1633" s="25" t="n">
        <f aca="false">IF(A1633-7&lt;$R$2,"",C1633/INDEX(Clean_Data!$C$2:$C$4314,MATCH(A1633-7,Clean_Data!$A$2:$A$4314,1))-1)</f>
        <v>0.201354903606222</v>
      </c>
      <c r="O1633" s="25" t="n">
        <f aca="false">IF(A1633-30&lt;$R$2,"",C1633/INDEX(Clean_Data!$C$2:$C$4314,MATCH(A1633-30,Clean_Data!$A$2:$A$4314,1))-1)</f>
        <v>0.351931486151137</v>
      </c>
    </row>
    <row r="1634" customFormat="false" ht="15" hidden="false" customHeight="false" outlineLevel="0" collapsed="false">
      <c r="A1634" s="16" t="n">
        <v>43640</v>
      </c>
      <c r="B1634" s="23" t="n">
        <f aca="false">YEAR(A1634)</f>
        <v>2019</v>
      </c>
      <c r="C1634" s="17" t="n">
        <v>11040.03</v>
      </c>
      <c r="D1634" s="23" t="n">
        <f aca="false">A1634-A1633</f>
        <v>1</v>
      </c>
      <c r="E1634" s="24" t="n">
        <f aca="false">LN(C1634)</f>
        <v>9.3092830372187</v>
      </c>
      <c r="F1634" s="25" t="n">
        <f aca="false">LN(C1634/C1633)</f>
        <v>0.0211921210311599</v>
      </c>
      <c r="G1634" s="25" t="n">
        <f aca="false">IF(AND(D1634=1,A1634&gt;=$R$2),F1634,"")</f>
        <v>0.0211921210311599</v>
      </c>
      <c r="H1634" s="27" t="n">
        <f aca="false">IF(G1634="","",G1634^2)</f>
        <v>0.000449105993799331</v>
      </c>
      <c r="I1634" s="25" t="n">
        <f aca="false">IF(G1634="","",C1634/C1633-1)</f>
        <v>0.021418268719243</v>
      </c>
      <c r="J1634" s="17" t="n">
        <f aca="false">AVERAGE(C1435:C1634)</f>
        <v>5096.24005</v>
      </c>
      <c r="K1634" s="17" t="n">
        <f aca="false">MAX(K1633,C1634)</f>
        <v>19650.01</v>
      </c>
      <c r="L1634" s="25" t="n">
        <f aca="false">C1634/K1634-1</f>
        <v>-0.438166698133996</v>
      </c>
      <c r="M1634" s="25" t="n">
        <f aca="false">IF(COUNT(G1605:G1634)&lt;20,"",_xlfn.STDEV.S(G1605:G1634)*SQRT($R$3))</f>
        <v>0.679792027704503</v>
      </c>
      <c r="N1634" s="25" t="n">
        <f aca="false">IF(A1634-7&lt;$R$2,"",C1634/INDEX(Clean_Data!$C$2:$C$4314,MATCH(A1634-7,Clean_Data!$A$2:$A$4314,1))-1)</f>
        <v>0.181197821209505</v>
      </c>
      <c r="O1634" s="25" t="n">
        <f aca="false">IF(A1634-30&lt;$R$2,"",C1634/INDEX(Clean_Data!$C$2:$C$4314,MATCH(A1634-30,Clean_Data!$A$2:$A$4314,1))-1)</f>
        <v>0.368472657271665</v>
      </c>
    </row>
    <row r="1635" customFormat="false" ht="15" hidden="false" customHeight="false" outlineLevel="0" collapsed="false">
      <c r="A1635" s="16" t="n">
        <v>43641</v>
      </c>
      <c r="B1635" s="23" t="n">
        <f aca="false">YEAR(A1635)</f>
        <v>2019</v>
      </c>
      <c r="C1635" s="17" t="n">
        <v>11736.99</v>
      </c>
      <c r="D1635" s="23" t="n">
        <f aca="false">A1635-A1634</f>
        <v>1</v>
      </c>
      <c r="E1635" s="24" t="n">
        <f aca="false">LN(C1635)</f>
        <v>9.37050067209329</v>
      </c>
      <c r="F1635" s="25" t="n">
        <f aca="false">LN(C1635/C1634)</f>
        <v>0.061217634874587</v>
      </c>
      <c r="G1635" s="25" t="n">
        <f aca="false">IF(AND(D1635=1,A1635&gt;=$R$2),F1635,"")</f>
        <v>0.061217634874587</v>
      </c>
      <c r="H1635" s="27" t="n">
        <f aca="false">IF(G1635="","",G1635^2)</f>
        <v>0.00374759881963825</v>
      </c>
      <c r="I1635" s="25" t="n">
        <f aca="false">IF(G1635="","",C1635/C1634-1)</f>
        <v>0.0631302632329802</v>
      </c>
      <c r="J1635" s="17" t="n">
        <f aca="false">AVERAGE(C1436:C1635)</f>
        <v>5138.02495</v>
      </c>
      <c r="K1635" s="17" t="n">
        <f aca="false">MAX(K1634,C1635)</f>
        <v>19650.01</v>
      </c>
      <c r="L1635" s="25" t="n">
        <f aca="false">C1635/K1635-1</f>
        <v>-0.402698013894141</v>
      </c>
      <c r="M1635" s="25" t="n">
        <f aca="false">IF(COUNT(G1606:G1635)&lt;20,"",_xlfn.STDEV.S(G1606:G1635)*SQRT($R$3))</f>
        <v>0.655191453777178</v>
      </c>
      <c r="N1635" s="25" t="n">
        <f aca="false">IF(A1635-7&lt;$R$2,"",C1635/INDEX(Clean_Data!$C$2:$C$4314,MATCH(A1635-7,Clean_Data!$A$2:$A$4314,1))-1)</f>
        <v>0.291199440263411</v>
      </c>
      <c r="O1635" s="25" t="n">
        <f aca="false">IF(A1635-30&lt;$R$2,"",C1635/INDEX(Clean_Data!$C$2:$C$4314,MATCH(A1635-30,Clean_Data!$A$2:$A$4314,1))-1)</f>
        <v>0.339834452621737</v>
      </c>
    </row>
    <row r="1636" customFormat="false" ht="15" hidden="false" customHeight="false" outlineLevel="0" collapsed="false">
      <c r="A1636" s="16" t="n">
        <v>43642</v>
      </c>
      <c r="B1636" s="23" t="n">
        <f aca="false">YEAR(A1636)</f>
        <v>2019</v>
      </c>
      <c r="C1636" s="17" t="n">
        <v>12902.52</v>
      </c>
      <c r="D1636" s="23" t="n">
        <f aca="false">A1636-A1635</f>
        <v>1</v>
      </c>
      <c r="E1636" s="24" t="n">
        <f aca="false">LN(C1636)</f>
        <v>9.46517792010887</v>
      </c>
      <c r="F1636" s="25" t="n">
        <f aca="false">LN(C1636/C1635)</f>
        <v>0.0946772480155876</v>
      </c>
      <c r="G1636" s="25" t="n">
        <f aca="false">IF(AND(D1636=1,A1636&gt;=$R$2),F1636,"")</f>
        <v>0.0946772480155876</v>
      </c>
      <c r="H1636" s="27" t="n">
        <f aca="false">IF(G1636="","",G1636^2)</f>
        <v>0.00896378129180508</v>
      </c>
      <c r="I1636" s="25" t="n">
        <f aca="false">IF(G1636="","",C1636/C1635-1)</f>
        <v>0.0993039953173684</v>
      </c>
      <c r="J1636" s="17" t="n">
        <f aca="false">AVERAGE(C1437:C1636)</f>
        <v>5185.53255</v>
      </c>
      <c r="K1636" s="17" t="n">
        <f aca="false">MAX(K1635,C1636)</f>
        <v>19650.01</v>
      </c>
      <c r="L1636" s="25" t="n">
        <f aca="false">C1636/K1636-1</f>
        <v>-0.343383540262829</v>
      </c>
      <c r="M1636" s="25" t="n">
        <f aca="false">IF(COUNT(G1607:G1636)&lt;20,"",_xlfn.STDEV.S(G1607:G1636)*SQRT($R$3))</f>
        <v>0.718236551374311</v>
      </c>
      <c r="N1636" s="25" t="n">
        <f aca="false">IF(A1636-7&lt;$R$2,"",C1636/INDEX(Clean_Data!$C$2:$C$4314,MATCH(A1636-7,Clean_Data!$A$2:$A$4314,1))-1)</f>
        <v>0.389760221628847</v>
      </c>
      <c r="O1636" s="25" t="n">
        <f aca="false">IF(A1636-30&lt;$R$2,"",C1636/INDEX(Clean_Data!$C$2:$C$4314,MATCH(A1636-30,Clean_Data!$A$2:$A$4314,1))-1)</f>
        <v>0.468991546409359</v>
      </c>
    </row>
    <row r="1637" customFormat="false" ht="15" hidden="false" customHeight="false" outlineLevel="0" collapsed="false">
      <c r="A1637" s="16" t="n">
        <v>43643</v>
      </c>
      <c r="B1637" s="23" t="n">
        <f aca="false">YEAR(A1637)</f>
        <v>2019</v>
      </c>
      <c r="C1637" s="17" t="n">
        <v>11127.4</v>
      </c>
      <c r="D1637" s="23" t="n">
        <f aca="false">A1637-A1636</f>
        <v>1</v>
      </c>
      <c r="E1637" s="24" t="n">
        <f aca="false">LN(C1637)</f>
        <v>9.31716581410508</v>
      </c>
      <c r="F1637" s="25" t="n">
        <f aca="false">LN(C1637/C1636)</f>
        <v>-0.148012106003797</v>
      </c>
      <c r="G1637" s="25" t="n">
        <f aca="false">IF(AND(D1637=1,A1637&gt;=$R$2),F1637,"")</f>
        <v>-0.148012106003797</v>
      </c>
      <c r="H1637" s="27" t="n">
        <f aca="false">IF(G1637="","",G1637^2)</f>
        <v>0.0219075835236792</v>
      </c>
      <c r="I1637" s="25" t="n">
        <f aca="false">IF(G1637="","",C1637/C1636-1)</f>
        <v>-0.13757932558911</v>
      </c>
      <c r="J1637" s="17" t="n">
        <f aca="false">AVERAGE(C1438:C1637)</f>
        <v>5223.51365</v>
      </c>
      <c r="K1637" s="17" t="n">
        <f aca="false">MAX(K1636,C1637)</f>
        <v>19650.01</v>
      </c>
      <c r="L1637" s="25" t="n">
        <f aca="false">C1637/K1637-1</f>
        <v>-0.433720389964178</v>
      </c>
      <c r="M1637" s="25" t="n">
        <f aca="false">IF(COUNT(G1608:G1637)&lt;20,"",_xlfn.STDEV.S(G1608:G1637)*SQRT($R$3))</f>
        <v>0.909051059231653</v>
      </c>
      <c r="N1637" s="25" t="n">
        <f aca="false">IF(A1637-7&lt;$R$2,"",C1637/INDEX(Clean_Data!$C$2:$C$4314,MATCH(A1637-7,Clean_Data!$A$2:$A$4314,1))-1)</f>
        <v>0.166076331398151</v>
      </c>
      <c r="O1637" s="25" t="n">
        <f aca="false">IF(A1637-30&lt;$R$2,"",C1637/INDEX(Clean_Data!$C$2:$C$4314,MATCH(A1637-30,Clean_Data!$A$2:$A$4314,1))-1)</f>
        <v>0.280999251712427</v>
      </c>
    </row>
    <row r="1638" customFormat="false" ht="15" hidden="false" customHeight="false" outlineLevel="0" collapsed="false">
      <c r="A1638" s="16" t="n">
        <v>43644</v>
      </c>
      <c r="B1638" s="23" t="n">
        <f aca="false">YEAR(A1638)</f>
        <v>2019</v>
      </c>
      <c r="C1638" s="17" t="n">
        <v>12317.73</v>
      </c>
      <c r="D1638" s="23" t="n">
        <f aca="false">A1638-A1637</f>
        <v>1</v>
      </c>
      <c r="E1638" s="24" t="n">
        <f aca="false">LN(C1638)</f>
        <v>9.41879496686404</v>
      </c>
      <c r="F1638" s="25" t="n">
        <f aca="false">LN(C1638/C1637)</f>
        <v>0.101629152758966</v>
      </c>
      <c r="G1638" s="25" t="n">
        <f aca="false">IF(AND(D1638=1,A1638&gt;=$R$2),F1638,"")</f>
        <v>0.101629152758966</v>
      </c>
      <c r="H1638" s="27" t="n">
        <f aca="false">IF(G1638="","",G1638^2)</f>
        <v>0.0103284846905053</v>
      </c>
      <c r="I1638" s="25" t="n">
        <f aca="false">IF(G1638="","",C1638/C1637-1)</f>
        <v>0.106972877761202</v>
      </c>
      <c r="J1638" s="17" t="n">
        <f aca="false">AVERAGE(C1439:C1638)</f>
        <v>5268.05155</v>
      </c>
      <c r="K1638" s="17" t="n">
        <f aca="false">MAX(K1637,C1638)</f>
        <v>19650.01</v>
      </c>
      <c r="L1638" s="25" t="n">
        <f aca="false">C1638/K1638-1</f>
        <v>-0.373143830461155</v>
      </c>
      <c r="M1638" s="25" t="n">
        <f aca="false">IF(COUNT(G1609:G1638)&lt;20,"",_xlfn.STDEV.S(G1609:G1638)*SQRT($R$3))</f>
        <v>0.96432574367222</v>
      </c>
      <c r="N1638" s="25" t="n">
        <f aca="false">IF(A1638-7&lt;$R$2,"",C1638/INDEX(Clean_Data!$C$2:$C$4314,MATCH(A1638-7,Clean_Data!$A$2:$A$4314,1))-1)</f>
        <v>0.210483024563969</v>
      </c>
      <c r="O1638" s="25" t="n">
        <f aca="false">IF(A1638-30&lt;$R$2,"",C1638/INDEX(Clean_Data!$C$2:$C$4314,MATCH(A1638-30,Clean_Data!$A$2:$A$4314,1))-1)</f>
        <v>0.422288551469315</v>
      </c>
    </row>
    <row r="1639" customFormat="false" ht="15" hidden="false" customHeight="false" outlineLevel="0" collapsed="false">
      <c r="A1639" s="16" t="n">
        <v>43645</v>
      </c>
      <c r="B1639" s="23" t="n">
        <f aca="false">YEAR(A1639)</f>
        <v>2019</v>
      </c>
      <c r="C1639" s="17" t="n">
        <v>11913.73</v>
      </c>
      <c r="D1639" s="23" t="n">
        <f aca="false">A1639-A1638</f>
        <v>1</v>
      </c>
      <c r="E1639" s="24" t="n">
        <f aca="false">LN(C1639)</f>
        <v>9.38544679551787</v>
      </c>
      <c r="F1639" s="25" t="n">
        <f aca="false">LN(C1639/C1638)</f>
        <v>-0.0333481713461731</v>
      </c>
      <c r="G1639" s="25" t="n">
        <f aca="false">IF(AND(D1639=1,A1639&gt;=$R$2),F1639,"")</f>
        <v>-0.0333481713461731</v>
      </c>
      <c r="H1639" s="27" t="n">
        <f aca="false">IF(G1639="","",G1639^2)</f>
        <v>0.00111210053213372</v>
      </c>
      <c r="I1639" s="25" t="n">
        <f aca="false">IF(G1639="","",C1639/C1638-1)</f>
        <v>-0.0327982509764381</v>
      </c>
      <c r="J1639" s="17" t="n">
        <f aca="false">AVERAGE(C1440:C1639)</f>
        <v>5310.8734</v>
      </c>
      <c r="K1639" s="17" t="n">
        <f aca="false">MAX(K1638,C1639)</f>
        <v>19650.01</v>
      </c>
      <c r="L1639" s="25" t="n">
        <f aca="false">C1639/K1639-1</f>
        <v>-0.393703616435819</v>
      </c>
      <c r="M1639" s="25" t="n">
        <f aca="false">IF(COUNT(G1610:G1639)&lt;20,"",_xlfn.STDEV.S(G1610:G1639)*SQRT($R$3))</f>
        <v>0.955986855204544</v>
      </c>
      <c r="N1639" s="25" t="n">
        <f aca="false">IF(A1639-7&lt;$R$2,"",C1639/INDEX(Clean_Data!$C$2:$C$4314,MATCH(A1639-7,Clean_Data!$A$2:$A$4314,1))-1)</f>
        <v>0.117788953210174</v>
      </c>
      <c r="O1639" s="25" t="n">
        <f aca="false">IF(A1639-30&lt;$R$2,"",C1639/INDEX(Clean_Data!$C$2:$C$4314,MATCH(A1639-30,Clean_Data!$A$2:$A$4314,1))-1)</f>
        <v>0.439974521276789</v>
      </c>
    </row>
    <row r="1640" customFormat="false" ht="15" hidden="false" customHeight="false" outlineLevel="0" collapsed="false">
      <c r="A1640" s="16" t="n">
        <v>43646</v>
      </c>
      <c r="B1640" s="23" t="n">
        <f aca="false">YEAR(A1640)</f>
        <v>2019</v>
      </c>
      <c r="C1640" s="17" t="n">
        <v>10778.74</v>
      </c>
      <c r="D1640" s="23" t="n">
        <f aca="false">A1640-A1639</f>
        <v>1</v>
      </c>
      <c r="E1640" s="24" t="n">
        <f aca="false">LN(C1640)</f>
        <v>9.28533095451474</v>
      </c>
      <c r="F1640" s="25" t="n">
        <f aca="false">LN(C1640/C1639)</f>
        <v>-0.100115841003128</v>
      </c>
      <c r="G1640" s="25" t="n">
        <f aca="false">IF(AND(D1640=1,A1640&gt;=$R$2),F1640,"")</f>
        <v>-0.100115841003128</v>
      </c>
      <c r="H1640" s="27" t="n">
        <f aca="false">IF(G1640="","",G1640^2)</f>
        <v>0.0100231816197637</v>
      </c>
      <c r="I1640" s="25" t="n">
        <f aca="false">IF(G1640="","",C1640/C1639-1)</f>
        <v>-0.0952673931673791</v>
      </c>
      <c r="J1640" s="17" t="n">
        <f aca="false">AVERAGE(C1441:C1640)</f>
        <v>5347.6159</v>
      </c>
      <c r="K1640" s="17" t="n">
        <f aca="false">MAX(K1639,C1640)</f>
        <v>19650.01</v>
      </c>
      <c r="L1640" s="25" t="n">
        <f aca="false">C1640/K1640-1</f>
        <v>-0.451463892384788</v>
      </c>
      <c r="M1640" s="25" t="n">
        <f aca="false">IF(COUNT(G1611:G1640)&lt;20,"",_xlfn.STDEV.S(G1611:G1640)*SQRT($R$3))</f>
        <v>1.02942856906067</v>
      </c>
      <c r="N1640" s="25" t="n">
        <f aca="false">IF(A1640-7&lt;$R$2,"",C1640/INDEX(Clean_Data!$C$2:$C$4314,MATCH(A1640-7,Clean_Data!$A$2:$A$4314,1))-1)</f>
        <v>-0.00275615648011351</v>
      </c>
      <c r="O1640" s="25" t="n">
        <f aca="false">IF(A1640-30&lt;$R$2,"",C1640/INDEX(Clean_Data!$C$2:$C$4314,MATCH(A1640-30,Clean_Data!$A$2:$A$4314,1))-1)</f>
        <v>0.260644805138605</v>
      </c>
    </row>
    <row r="1641" customFormat="false" ht="15" hidden="false" customHeight="false" outlineLevel="0" collapsed="false">
      <c r="A1641" s="16" t="n">
        <v>43647</v>
      </c>
      <c r="B1641" s="23" t="n">
        <f aca="false">YEAR(A1641)</f>
        <v>2019</v>
      </c>
      <c r="C1641" s="17" t="n">
        <v>10570.62</v>
      </c>
      <c r="D1641" s="23" t="n">
        <f aca="false">A1641-A1640</f>
        <v>1</v>
      </c>
      <c r="E1641" s="24" t="n">
        <f aca="false">LN(C1641)</f>
        <v>9.26583373371927</v>
      </c>
      <c r="F1641" s="25" t="n">
        <f aca="false">LN(C1641/C1640)</f>
        <v>-0.0194972207954746</v>
      </c>
      <c r="G1641" s="25" t="n">
        <f aca="false">IF(AND(D1641=1,A1641&gt;=$R$2),F1641,"")</f>
        <v>-0.0194972207954746</v>
      </c>
      <c r="H1641" s="27" t="n">
        <f aca="false">IF(G1641="","",G1641^2)</f>
        <v>0.000380141618747485</v>
      </c>
      <c r="I1641" s="25" t="n">
        <f aca="false">IF(G1641="","",C1641/C1640-1)</f>
        <v>-0.0193083792725308</v>
      </c>
      <c r="J1641" s="17" t="n">
        <f aca="false">AVERAGE(C1442:C1641)</f>
        <v>5384.144</v>
      </c>
      <c r="K1641" s="17" t="n">
        <f aca="false">MAX(K1640,C1641)</f>
        <v>19650.01</v>
      </c>
      <c r="L1641" s="25" t="n">
        <f aca="false">C1641/K1641-1</f>
        <v>-0.4620552355953</v>
      </c>
      <c r="M1641" s="25" t="n">
        <f aca="false">IF(COUNT(G1612:G1641)&lt;20,"",_xlfn.STDEV.S(G1612:G1641)*SQRT($R$3))</f>
        <v>1.03358093981333</v>
      </c>
      <c r="N1641" s="25" t="n">
        <f aca="false">IF(A1641-7&lt;$R$2,"",C1641/INDEX(Clean_Data!$C$2:$C$4314,MATCH(A1641-7,Clean_Data!$A$2:$A$4314,1))-1)</f>
        <v>-0.0425189061986244</v>
      </c>
      <c r="O1641" s="25" t="n">
        <f aca="false">IF(A1641-30&lt;$R$2,"",C1641/INDEX(Clean_Data!$C$2:$C$4314,MATCH(A1641-30,Clean_Data!$A$2:$A$4314,1))-1)</f>
        <v>0.235172662803619</v>
      </c>
    </row>
    <row r="1642" customFormat="false" ht="15" hidden="false" customHeight="false" outlineLevel="0" collapsed="false">
      <c r="A1642" s="16" t="n">
        <v>43648</v>
      </c>
      <c r="B1642" s="23" t="n">
        <f aca="false">YEAR(A1642)</f>
        <v>2019</v>
      </c>
      <c r="C1642" s="17" t="n">
        <v>10885.01</v>
      </c>
      <c r="D1642" s="23" t="n">
        <f aca="false">A1642-A1641</f>
        <v>1</v>
      </c>
      <c r="E1642" s="24" t="n">
        <f aca="false">LN(C1642)</f>
        <v>9.29514189236368</v>
      </c>
      <c r="F1642" s="25" t="n">
        <f aca="false">LN(C1642/C1641)</f>
        <v>0.0293081586444116</v>
      </c>
      <c r="G1642" s="25" t="n">
        <f aca="false">IF(AND(D1642=1,A1642&gt;=$R$2),F1642,"")</f>
        <v>0.0293081586444116</v>
      </c>
      <c r="H1642" s="27" t="n">
        <f aca="false">IF(G1642="","",G1642^2)</f>
        <v>0.000858968163125999</v>
      </c>
      <c r="I1642" s="25" t="n">
        <f aca="false">IF(G1642="","",C1642/C1641-1)</f>
        <v>0.0297418694456899</v>
      </c>
      <c r="J1642" s="17" t="n">
        <f aca="false">AVERAGE(C1443:C1642)</f>
        <v>5422.5905</v>
      </c>
      <c r="K1642" s="17" t="n">
        <f aca="false">MAX(K1641,C1642)</f>
        <v>19650.01</v>
      </c>
      <c r="L1642" s="25" t="n">
        <f aca="false">C1642/K1642-1</f>
        <v>-0.446055752643383</v>
      </c>
      <c r="M1642" s="25" t="n">
        <f aca="false">IF(COUNT(G1613:G1642)&lt;20,"",_xlfn.STDEV.S(G1613:G1642)*SQRT($R$3))</f>
        <v>1.03536838393542</v>
      </c>
      <c r="N1642" s="25" t="n">
        <f aca="false">IF(A1642-7&lt;$R$2,"",C1642/INDEX(Clean_Data!$C$2:$C$4314,MATCH(A1642-7,Clean_Data!$A$2:$A$4314,1))-1)</f>
        <v>-0.0725893095248441</v>
      </c>
      <c r="O1642" s="25" t="n">
        <f aca="false">IF(A1642-30&lt;$R$2,"",C1642/INDEX(Clean_Data!$C$2:$C$4314,MATCH(A1642-30,Clean_Data!$A$2:$A$4314,1))-1)</f>
        <v>0.245257785857042</v>
      </c>
    </row>
    <row r="1643" customFormat="false" ht="15" hidden="false" customHeight="false" outlineLevel="0" collapsed="false">
      <c r="A1643" s="16" t="n">
        <v>43649</v>
      </c>
      <c r="B1643" s="23" t="n">
        <f aca="false">YEAR(A1643)</f>
        <v>2019</v>
      </c>
      <c r="C1643" s="17" t="n">
        <v>12022.61</v>
      </c>
      <c r="D1643" s="23" t="n">
        <f aca="false">A1643-A1642</f>
        <v>1</v>
      </c>
      <c r="E1643" s="24" t="n">
        <f aca="false">LN(C1643)</f>
        <v>9.3945443226213</v>
      </c>
      <c r="F1643" s="25" t="n">
        <f aca="false">LN(C1643/C1642)</f>
        <v>0.0994024302576159</v>
      </c>
      <c r="G1643" s="25" t="n">
        <f aca="false">IF(AND(D1643=1,A1643&gt;=$R$2),F1643,"")</f>
        <v>0.0994024302576159</v>
      </c>
      <c r="H1643" s="27" t="n">
        <f aca="false">IF(G1643="","",G1643^2)</f>
        <v>0.00988084314112019</v>
      </c>
      <c r="I1643" s="25" t="n">
        <f aca="false">IF(G1643="","",C1643/C1642-1)</f>
        <v>0.104510698658063</v>
      </c>
      <c r="J1643" s="17" t="n">
        <f aca="false">AVERAGE(C1444:C1643)</f>
        <v>5466.78855</v>
      </c>
      <c r="K1643" s="17" t="n">
        <f aca="false">MAX(K1642,C1643)</f>
        <v>19650.01</v>
      </c>
      <c r="L1643" s="25" t="n">
        <f aca="false">C1643/K1643-1</f>
        <v>-0.388162652334528</v>
      </c>
      <c r="M1643" s="25" t="n">
        <f aca="false">IF(COUNT(G1614:G1643)&lt;20,"",_xlfn.STDEV.S(G1614:G1643)*SQRT($R$3))</f>
        <v>1.02610349861657</v>
      </c>
      <c r="N1643" s="25" t="n">
        <f aca="false">IF(A1643-7&lt;$R$2,"",C1643/INDEX(Clean_Data!$C$2:$C$4314,MATCH(A1643-7,Clean_Data!$A$2:$A$4314,1))-1)</f>
        <v>-0.0681967553625184</v>
      </c>
      <c r="O1643" s="25" t="n">
        <f aca="false">IF(A1643-30&lt;$R$2,"",C1643/INDEX(Clean_Data!$C$2:$C$4314,MATCH(A1643-30,Clean_Data!$A$2:$A$4314,1))-1)</f>
        <v>0.500011852761257</v>
      </c>
    </row>
    <row r="1644" customFormat="false" ht="15" hidden="false" customHeight="false" outlineLevel="0" collapsed="false">
      <c r="A1644" s="16" t="n">
        <v>43650</v>
      </c>
      <c r="B1644" s="23" t="n">
        <f aca="false">YEAR(A1644)</f>
        <v>2019</v>
      </c>
      <c r="C1644" s="17" t="n">
        <v>11130.95</v>
      </c>
      <c r="D1644" s="23" t="n">
        <f aca="false">A1644-A1643</f>
        <v>1</v>
      </c>
      <c r="E1644" s="24" t="n">
        <f aca="false">LN(C1644)</f>
        <v>9.31748479552375</v>
      </c>
      <c r="F1644" s="25" t="n">
        <f aca="false">LN(C1644/C1643)</f>
        <v>-0.0770595270975498</v>
      </c>
      <c r="G1644" s="25" t="n">
        <f aca="false">IF(AND(D1644=1,A1644&gt;=$R$2),F1644,"")</f>
        <v>-0.0770595270975498</v>
      </c>
      <c r="H1644" s="27" t="n">
        <f aca="false">IF(G1644="","",G1644^2)</f>
        <v>0.00593817071649802</v>
      </c>
      <c r="I1644" s="25" t="n">
        <f aca="false">IF(G1644="","",C1644/C1643-1)</f>
        <v>-0.0741652602887393</v>
      </c>
      <c r="J1644" s="17" t="n">
        <f aca="false">AVERAGE(C1445:C1644)</f>
        <v>5506.4683</v>
      </c>
      <c r="K1644" s="17" t="n">
        <f aca="false">MAX(K1643,C1644)</f>
        <v>19650.01</v>
      </c>
      <c r="L1644" s="25" t="n">
        <f aca="false">C1644/K1644-1</f>
        <v>-0.43353972847851</v>
      </c>
      <c r="M1644" s="25" t="n">
        <f aca="false">IF(COUNT(G1615:G1644)&lt;20,"",_xlfn.STDEV.S(G1615:G1644)*SQRT($R$3))</f>
        <v>1.05704951288041</v>
      </c>
      <c r="N1644" s="25" t="n">
        <f aca="false">IF(A1644-7&lt;$R$2,"",C1644/INDEX(Clean_Data!$C$2:$C$4314,MATCH(A1644-7,Clean_Data!$A$2:$A$4314,1))-1)</f>
        <v>0.000319032298650379</v>
      </c>
      <c r="O1644" s="25" t="n">
        <f aca="false">IF(A1644-30&lt;$R$2,"",C1644/INDEX(Clean_Data!$C$2:$C$4314,MATCH(A1644-30,Clean_Data!$A$2:$A$4314,1))-1)</f>
        <v>0.447785324637825</v>
      </c>
    </row>
    <row r="1645" customFormat="false" ht="15" hidden="false" customHeight="false" outlineLevel="0" collapsed="false">
      <c r="A1645" s="16" t="n">
        <v>43651</v>
      </c>
      <c r="B1645" s="23" t="n">
        <f aca="false">YEAR(A1645)</f>
        <v>2019</v>
      </c>
      <c r="C1645" s="17" t="n">
        <v>11038.61</v>
      </c>
      <c r="D1645" s="23" t="n">
        <f aca="false">A1645-A1644</f>
        <v>1</v>
      </c>
      <c r="E1645" s="24" t="n">
        <f aca="false">LN(C1645)</f>
        <v>9.30915440610719</v>
      </c>
      <c r="F1645" s="25" t="n">
        <f aca="false">LN(C1645/C1644)</f>
        <v>-0.00833038941655966</v>
      </c>
      <c r="G1645" s="25" t="n">
        <f aca="false">IF(AND(D1645=1,A1645&gt;=$R$2),F1645,"")</f>
        <v>-0.00833038941655966</v>
      </c>
      <c r="H1645" s="27" t="n">
        <f aca="false">IF(G1645="","",G1645^2)</f>
        <v>6.93953878315291E-005</v>
      </c>
      <c r="I1645" s="25" t="n">
        <f aca="false">IF(G1645="","",C1645/C1644-1)</f>
        <v>-0.0082957878707568</v>
      </c>
      <c r="J1645" s="17" t="n">
        <f aca="false">AVERAGE(C1446:C1645)</f>
        <v>5544.17725</v>
      </c>
      <c r="K1645" s="17" t="n">
        <f aca="false">MAX(K1644,C1645)</f>
        <v>19650.01</v>
      </c>
      <c r="L1645" s="25" t="n">
        <f aca="false">C1645/K1645-1</f>
        <v>-0.438238962728263</v>
      </c>
      <c r="M1645" s="25" t="n">
        <f aca="false">IF(COUNT(G1616:G1645)&lt;20,"",_xlfn.STDEV.S(G1616:G1645)*SQRT($R$3))</f>
        <v>1.05949337137606</v>
      </c>
      <c r="N1645" s="25" t="n">
        <f aca="false">IF(A1645-7&lt;$R$2,"",C1645/INDEX(Clean_Data!$C$2:$C$4314,MATCH(A1645-7,Clean_Data!$A$2:$A$4314,1))-1)</f>
        <v>-0.103843808883617</v>
      </c>
      <c r="O1645" s="25" t="n">
        <f aca="false">IF(A1645-30&lt;$R$2,"",C1645/INDEX(Clean_Data!$C$2:$C$4314,MATCH(A1645-30,Clean_Data!$A$2:$A$4314,1))-1)</f>
        <v>0.421235729524354</v>
      </c>
    </row>
    <row r="1646" customFormat="false" ht="15" hidden="false" customHeight="false" outlineLevel="0" collapsed="false">
      <c r="A1646" s="16" t="n">
        <v>43652</v>
      </c>
      <c r="B1646" s="23" t="n">
        <f aca="false">YEAR(A1646)</f>
        <v>2019</v>
      </c>
      <c r="C1646" s="17" t="n">
        <v>11187.8</v>
      </c>
      <c r="D1646" s="23" t="n">
        <f aca="false">A1646-A1645</f>
        <v>1</v>
      </c>
      <c r="E1646" s="24" t="n">
        <f aca="false">LN(C1646)</f>
        <v>9.32257917786604</v>
      </c>
      <c r="F1646" s="25" t="n">
        <f aca="false">LN(C1646/C1645)</f>
        <v>0.0134247717588514</v>
      </c>
      <c r="G1646" s="25" t="n">
        <f aca="false">IF(AND(D1646=1,A1646&gt;=$R$2),F1646,"")</f>
        <v>0.0134247717588514</v>
      </c>
      <c r="H1646" s="27" t="n">
        <f aca="false">IF(G1646="","",G1646^2)</f>
        <v>0.000180224496777253</v>
      </c>
      <c r="I1646" s="25" t="n">
        <f aca="false">IF(G1646="","",C1646/C1645-1)</f>
        <v>0.0135152886097072</v>
      </c>
      <c r="J1646" s="17" t="n">
        <f aca="false">AVERAGE(C1447:C1646)</f>
        <v>5581.7774</v>
      </c>
      <c r="K1646" s="17" t="n">
        <f aca="false">MAX(K1645,C1646)</f>
        <v>19650.01</v>
      </c>
      <c r="L1646" s="25" t="n">
        <f aca="false">C1646/K1646-1</f>
        <v>-0.430646600179847</v>
      </c>
      <c r="M1646" s="25" t="n">
        <f aca="false">IF(COUNT(G1617:G1646)&lt;20,"",_xlfn.STDEV.S(G1617:G1646)*SQRT($R$3))</f>
        <v>1.05929173138454</v>
      </c>
      <c r="N1646" s="25" t="n">
        <f aca="false">IF(A1646-7&lt;$R$2,"",C1646/INDEX(Clean_Data!$C$2:$C$4314,MATCH(A1646-7,Clean_Data!$A$2:$A$4314,1))-1)</f>
        <v>-0.0609322185411286</v>
      </c>
      <c r="O1646" s="25" t="n">
        <f aca="false">IF(A1646-30&lt;$R$2,"",C1646/INDEX(Clean_Data!$C$2:$C$4314,MATCH(A1646-30,Clean_Data!$A$2:$A$4314,1))-1)</f>
        <v>0.432102558194607</v>
      </c>
    </row>
    <row r="1647" customFormat="false" ht="15" hidden="false" customHeight="false" outlineLevel="0" collapsed="false">
      <c r="A1647" s="16" t="n">
        <v>43653</v>
      </c>
      <c r="B1647" s="23" t="n">
        <f aca="false">YEAR(A1647)</f>
        <v>2019</v>
      </c>
      <c r="C1647" s="17" t="n">
        <v>11478.9</v>
      </c>
      <c r="D1647" s="23" t="n">
        <f aca="false">A1647-A1646</f>
        <v>1</v>
      </c>
      <c r="E1647" s="24" t="n">
        <f aca="false">LN(C1647)</f>
        <v>9.34826584646731</v>
      </c>
      <c r="F1647" s="25" t="n">
        <f aca="false">LN(C1647/C1646)</f>
        <v>0.0256866686012745</v>
      </c>
      <c r="G1647" s="25" t="n">
        <f aca="false">IF(AND(D1647=1,A1647&gt;=$R$2),F1647,"")</f>
        <v>0.0256866686012745</v>
      </c>
      <c r="H1647" s="27" t="n">
        <f aca="false">IF(G1647="","",G1647^2)</f>
        <v>0.000659804943831699</v>
      </c>
      <c r="I1647" s="25" t="n">
        <f aca="false">IF(G1647="","",C1647/C1646-1)</f>
        <v>0.0260194140045407</v>
      </c>
      <c r="J1647" s="17" t="n">
        <f aca="false">AVERAGE(C1448:C1647)</f>
        <v>5620.75935</v>
      </c>
      <c r="K1647" s="17" t="n">
        <f aca="false">MAX(K1646,C1647)</f>
        <v>19650.01</v>
      </c>
      <c r="L1647" s="25" t="n">
        <f aca="false">C1647/K1647-1</f>
        <v>-0.415832358355034</v>
      </c>
      <c r="M1647" s="25" t="n">
        <f aca="false">IF(COUNT(G1618:G1647)&lt;20,"",_xlfn.STDEV.S(G1618:G1647)*SQRT($R$3))</f>
        <v>1.05971318628897</v>
      </c>
      <c r="N1647" s="25" t="n">
        <f aca="false">IF(A1647-7&lt;$R$2,"",C1647/INDEX(Clean_Data!$C$2:$C$4314,MATCH(A1647-7,Clean_Data!$A$2:$A$4314,1))-1)</f>
        <v>0.0649574996706479</v>
      </c>
      <c r="O1647" s="25" t="n">
        <f aca="false">IF(A1647-30&lt;$R$2,"",C1647/INDEX(Clean_Data!$C$2:$C$4314,MATCH(A1647-30,Clean_Data!$A$2:$A$4314,1))-1)</f>
        <v>0.436268247547287</v>
      </c>
    </row>
    <row r="1648" customFormat="false" ht="15" hidden="false" customHeight="false" outlineLevel="0" collapsed="false">
      <c r="A1648" s="16" t="n">
        <v>43654</v>
      </c>
      <c r="B1648" s="23" t="n">
        <f aca="false">YEAR(A1648)</f>
        <v>2019</v>
      </c>
      <c r="C1648" s="17" t="n">
        <v>12298.31</v>
      </c>
      <c r="D1648" s="23" t="n">
        <f aca="false">A1648-A1647</f>
        <v>1</v>
      </c>
      <c r="E1648" s="24" t="n">
        <f aca="false">LN(C1648)</f>
        <v>9.4172171335465</v>
      </c>
      <c r="F1648" s="25" t="n">
        <f aca="false">LN(C1648/C1647)</f>
        <v>0.0689512870791933</v>
      </c>
      <c r="G1648" s="25" t="n">
        <f aca="false">IF(AND(D1648=1,A1648&gt;=$R$2),F1648,"")</f>
        <v>0.0689512870791933</v>
      </c>
      <c r="H1648" s="27" t="n">
        <f aca="false">IF(G1648="","",G1648^2)</f>
        <v>0.00475427998987733</v>
      </c>
      <c r="I1648" s="25" t="n">
        <f aca="false">IF(G1648="","",C1648/C1647-1)</f>
        <v>0.0713840176323515</v>
      </c>
      <c r="J1648" s="17" t="n">
        <f aca="false">AVERAGE(C1449:C1648)</f>
        <v>5661.8742</v>
      </c>
      <c r="K1648" s="17" t="n">
        <f aca="false">MAX(K1647,C1648)</f>
        <v>19650.01</v>
      </c>
      <c r="L1648" s="25" t="n">
        <f aca="false">C1648/K1648-1</f>
        <v>-0.3741321251236</v>
      </c>
      <c r="M1648" s="25" t="n">
        <f aca="false">IF(COUNT(G1619:G1648)&lt;20,"",_xlfn.STDEV.S(G1619:G1648)*SQRT($R$3))</f>
        <v>1.07557960550524</v>
      </c>
      <c r="N1648" s="25" t="n">
        <f aca="false">IF(A1648-7&lt;$R$2,"",C1648/INDEX(Clean_Data!$C$2:$C$4314,MATCH(A1648-7,Clean_Data!$A$2:$A$4314,1))-1)</f>
        <v>0.163442636288127</v>
      </c>
      <c r="O1648" s="25" t="n">
        <f aca="false">IF(A1648-30&lt;$R$2,"",C1648/INDEX(Clean_Data!$C$2:$C$4314,MATCH(A1648-30,Clean_Data!$A$2:$A$4314,1))-1)</f>
        <v>0.549170890731914</v>
      </c>
    </row>
    <row r="1649" customFormat="false" ht="15" hidden="false" customHeight="false" outlineLevel="0" collapsed="false">
      <c r="A1649" s="16" t="n">
        <v>43655</v>
      </c>
      <c r="B1649" s="23" t="n">
        <f aca="false">YEAR(A1649)</f>
        <v>2019</v>
      </c>
      <c r="C1649" s="17" t="n">
        <v>12559.46</v>
      </c>
      <c r="D1649" s="23" t="n">
        <f aca="false">A1649-A1648</f>
        <v>1</v>
      </c>
      <c r="E1649" s="24" t="n">
        <f aca="false">LN(C1649)</f>
        <v>9.43822944546736</v>
      </c>
      <c r="F1649" s="25" t="n">
        <f aca="false">LN(C1649/C1648)</f>
        <v>0.0210123119208599</v>
      </c>
      <c r="G1649" s="25" t="n">
        <f aca="false">IF(AND(D1649=1,A1649&gt;=$R$2),F1649,"")</f>
        <v>0.0210123119208599</v>
      </c>
      <c r="H1649" s="27" t="n">
        <f aca="false">IF(G1649="","",G1649^2)</f>
        <v>0.000441517252259511</v>
      </c>
      <c r="I1649" s="25" t="n">
        <f aca="false">IF(G1649="","",C1649/C1648-1)</f>
        <v>0.0212346249200093</v>
      </c>
      <c r="J1649" s="17" t="n">
        <f aca="false">AVERAGE(C1450:C1649)</f>
        <v>5705.4762</v>
      </c>
      <c r="K1649" s="17" t="n">
        <f aca="false">MAX(K1648,C1649)</f>
        <v>19650.01</v>
      </c>
      <c r="L1649" s="25" t="n">
        <f aca="false">C1649/K1649-1</f>
        <v>-0.360842055551117</v>
      </c>
      <c r="M1649" s="25" t="n">
        <f aca="false">IF(COUNT(G1620:G1649)&lt;20,"",_xlfn.STDEV.S(G1620:G1649)*SQRT($R$3))</f>
        <v>1.05719397627919</v>
      </c>
      <c r="N1649" s="25" t="n">
        <f aca="false">IF(A1649-7&lt;$R$2,"",C1649/INDEX(Clean_Data!$C$2:$C$4314,MATCH(A1649-7,Clean_Data!$A$2:$A$4314,1))-1)</f>
        <v>0.153830818713074</v>
      </c>
      <c r="O1649" s="25" t="n">
        <f aca="false">IF(A1649-30&lt;$R$2,"",C1649/INDEX(Clean_Data!$C$2:$C$4314,MATCH(A1649-30,Clean_Data!$A$2:$A$4314,1))-1)</f>
        <v>0.647392914856555</v>
      </c>
    </row>
    <row r="1650" customFormat="false" ht="15" hidden="false" customHeight="false" outlineLevel="0" collapsed="false">
      <c r="A1650" s="16" t="n">
        <v>43656</v>
      </c>
      <c r="B1650" s="23" t="n">
        <f aca="false">YEAR(A1650)</f>
        <v>2019</v>
      </c>
      <c r="C1650" s="17" t="n">
        <v>12083.13</v>
      </c>
      <c r="D1650" s="23" t="n">
        <f aca="false">A1650-A1649</f>
        <v>1</v>
      </c>
      <c r="E1650" s="24" t="n">
        <f aca="false">LN(C1650)</f>
        <v>9.39956554388692</v>
      </c>
      <c r="F1650" s="25" t="n">
        <f aca="false">LN(C1650/C1649)</f>
        <v>-0.038663901580445</v>
      </c>
      <c r="G1650" s="25" t="n">
        <f aca="false">IF(AND(D1650=1,A1650&gt;=$R$2),F1650,"")</f>
        <v>-0.038663901580445</v>
      </c>
      <c r="H1650" s="27" t="n">
        <f aca="false">IF(G1650="","",G1650^2)</f>
        <v>0.00149489728542234</v>
      </c>
      <c r="I1650" s="25" t="n">
        <f aca="false">IF(G1650="","",C1650/C1649-1)</f>
        <v>-0.0379259936334843</v>
      </c>
      <c r="J1650" s="17" t="n">
        <f aca="false">AVERAGE(C1451:C1650)</f>
        <v>5745.98955</v>
      </c>
      <c r="K1650" s="17" t="n">
        <f aca="false">MAX(K1649,C1650)</f>
        <v>19650.01</v>
      </c>
      <c r="L1650" s="25" t="n">
        <f aca="false">C1650/K1650-1</f>
        <v>-0.385082755683076</v>
      </c>
      <c r="M1650" s="25" t="n">
        <f aca="false">IF(COUNT(G1621:G1650)&lt;20,"",_xlfn.STDEV.S(G1621:G1650)*SQRT($R$3))</f>
        <v>1.06539871284145</v>
      </c>
      <c r="N1650" s="25" t="n">
        <f aca="false">IF(A1650-7&lt;$R$2,"",C1650/INDEX(Clean_Data!$C$2:$C$4314,MATCH(A1650-7,Clean_Data!$A$2:$A$4314,1))-1)</f>
        <v>0.00503384872336365</v>
      </c>
      <c r="O1650" s="25" t="n">
        <f aca="false">IF(A1650-30&lt;$R$2,"",C1650/INDEX(Clean_Data!$C$2:$C$4314,MATCH(A1650-30,Clean_Data!$A$2:$A$4314,1))-1)</f>
        <v>0.501731888497949</v>
      </c>
    </row>
    <row r="1651" customFormat="false" ht="15" hidden="false" customHeight="false" outlineLevel="0" collapsed="false">
      <c r="A1651" s="16" t="n">
        <v>43657</v>
      </c>
      <c r="B1651" s="23" t="n">
        <f aca="false">YEAR(A1651)</f>
        <v>2019</v>
      </c>
      <c r="C1651" s="17" t="n">
        <v>11323.95</v>
      </c>
      <c r="D1651" s="23" t="n">
        <f aca="false">A1651-A1650</f>
        <v>1</v>
      </c>
      <c r="E1651" s="24" t="n">
        <f aca="false">LN(C1651)</f>
        <v>9.33467523082113</v>
      </c>
      <c r="F1651" s="25" t="n">
        <f aca="false">LN(C1651/C1650)</f>
        <v>-0.0648903130657949</v>
      </c>
      <c r="G1651" s="25" t="n">
        <f aca="false">IF(AND(D1651=1,A1651&gt;=$R$2),F1651,"")</f>
        <v>-0.0648903130657949</v>
      </c>
      <c r="H1651" s="27" t="n">
        <f aca="false">IF(G1651="","",G1651^2)</f>
        <v>0.00421075272977687</v>
      </c>
      <c r="I1651" s="25" t="n">
        <f aca="false">IF(G1651="","",C1651/C1650-1)</f>
        <v>-0.0628297469281551</v>
      </c>
      <c r="J1651" s="17" t="n">
        <f aca="false">AVERAGE(C1452:C1651)</f>
        <v>5782.88465</v>
      </c>
      <c r="K1651" s="17" t="n">
        <f aca="false">MAX(K1650,C1651)</f>
        <v>19650.01</v>
      </c>
      <c r="L1651" s="25" t="n">
        <f aca="false">C1651/K1651-1</f>
        <v>-0.423717850525267</v>
      </c>
      <c r="M1651" s="25" t="n">
        <f aca="false">IF(COUNT(G1622:G1651)&lt;20,"",_xlfn.STDEV.S(G1622:G1651)*SQRT($R$3))</f>
        <v>1.09567715172551</v>
      </c>
      <c r="N1651" s="25" t="n">
        <f aca="false">IF(A1651-7&lt;$R$2,"",C1651/INDEX(Clean_Data!$C$2:$C$4314,MATCH(A1651-7,Clean_Data!$A$2:$A$4314,1))-1)</f>
        <v>0.0173390411420409</v>
      </c>
      <c r="O1651" s="25" t="n">
        <f aca="false">IF(A1651-30&lt;$R$2,"",C1651/INDEX(Clean_Data!$C$2:$C$4314,MATCH(A1651-30,Clean_Data!$A$2:$A$4314,1))-1)</f>
        <v>0.430116693187846</v>
      </c>
    </row>
    <row r="1652" customFormat="false" ht="15" hidden="false" customHeight="false" outlineLevel="0" collapsed="false">
      <c r="A1652" s="16" t="n">
        <v>43658</v>
      </c>
      <c r="B1652" s="23" t="n">
        <f aca="false">YEAR(A1652)</f>
        <v>2019</v>
      </c>
      <c r="C1652" s="17" t="n">
        <v>11811.99</v>
      </c>
      <c r="D1652" s="23" t="n">
        <f aca="false">A1652-A1651</f>
        <v>1</v>
      </c>
      <c r="E1652" s="24" t="n">
        <f aca="false">LN(C1652)</f>
        <v>9.37687039626677</v>
      </c>
      <c r="F1652" s="25" t="n">
        <f aca="false">LN(C1652/C1651)</f>
        <v>0.0421951654456497</v>
      </c>
      <c r="G1652" s="25" t="n">
        <f aca="false">IF(AND(D1652=1,A1652&gt;=$R$2),F1652,"")</f>
        <v>0.0421951654456497</v>
      </c>
      <c r="H1652" s="27" t="n">
        <f aca="false">IF(G1652="","",G1652^2)</f>
        <v>0.00178043198698575</v>
      </c>
      <c r="I1652" s="25" t="n">
        <f aca="false">IF(G1652="","",C1652/C1651-1)</f>
        <v>0.0430980355794577</v>
      </c>
      <c r="J1652" s="17" t="n">
        <f aca="false">AVERAGE(C1453:C1652)</f>
        <v>5821.7746</v>
      </c>
      <c r="K1652" s="17" t="n">
        <f aca="false">MAX(K1651,C1652)</f>
        <v>19650.01</v>
      </c>
      <c r="L1652" s="25" t="n">
        <f aca="false">C1652/K1652-1</f>
        <v>-0.398881221943399</v>
      </c>
      <c r="M1652" s="25" t="n">
        <f aca="false">IF(COUNT(G1623:G1652)&lt;20,"",_xlfn.STDEV.S(G1623:G1652)*SQRT($R$3))</f>
        <v>1.09878194896874</v>
      </c>
      <c r="N1652" s="25" t="n">
        <f aca="false">IF(A1652-7&lt;$R$2,"",C1652/INDEX(Clean_Data!$C$2:$C$4314,MATCH(A1652-7,Clean_Data!$A$2:$A$4314,1))-1)</f>
        <v>0.0700613573629287</v>
      </c>
      <c r="O1652" s="25" t="n">
        <f aca="false">IF(A1652-30&lt;$R$2,"",C1652/INDEX(Clean_Data!$C$2:$C$4314,MATCH(A1652-30,Clean_Data!$A$2:$A$4314,1))-1)</f>
        <v>0.445951222975612</v>
      </c>
    </row>
    <row r="1653" customFormat="false" ht="15" hidden="false" customHeight="false" outlineLevel="0" collapsed="false">
      <c r="A1653" s="16" t="n">
        <v>43659</v>
      </c>
      <c r="B1653" s="23" t="n">
        <f aca="false">YEAR(A1653)</f>
        <v>2019</v>
      </c>
      <c r="C1653" s="17" t="n">
        <v>11408.1</v>
      </c>
      <c r="D1653" s="23" t="n">
        <f aca="false">A1653-A1652</f>
        <v>1</v>
      </c>
      <c r="E1653" s="24" t="n">
        <f aca="false">LN(C1653)</f>
        <v>9.34207890839406</v>
      </c>
      <c r="F1653" s="25" t="n">
        <f aca="false">LN(C1653/C1652)</f>
        <v>-0.0347914878727145</v>
      </c>
      <c r="G1653" s="25" t="n">
        <f aca="false">IF(AND(D1653=1,A1653&gt;=$R$2),F1653,"")</f>
        <v>-0.0347914878727145</v>
      </c>
      <c r="H1653" s="27" t="n">
        <f aca="false">IF(G1653="","",G1653^2)</f>
        <v>0.00121044762839724</v>
      </c>
      <c r="I1653" s="25" t="n">
        <f aca="false">IF(G1653="","",C1653/C1652-1)</f>
        <v>-0.0341932223105506</v>
      </c>
      <c r="J1653" s="17" t="n">
        <f aca="false">AVERAGE(C1454:C1653)</f>
        <v>5859.9151</v>
      </c>
      <c r="K1653" s="17" t="n">
        <f aca="false">MAX(K1652,C1653)</f>
        <v>19650.01</v>
      </c>
      <c r="L1653" s="25" t="n">
        <f aca="false">C1653/K1653-1</f>
        <v>-0.419435409956534</v>
      </c>
      <c r="M1653" s="25" t="n">
        <f aca="false">IF(COUNT(G1624:G1653)&lt;20,"",_xlfn.STDEV.S(G1624:G1653)*SQRT($R$3))</f>
        <v>1.11100106384922</v>
      </c>
      <c r="N1653" s="25" t="n">
        <f aca="false">IF(A1653-7&lt;$R$2,"",C1653/INDEX(Clean_Data!$C$2:$C$4314,MATCH(A1653-7,Clean_Data!$A$2:$A$4314,1))-1)</f>
        <v>0.0196910920824471</v>
      </c>
      <c r="O1653" s="25" t="n">
        <f aca="false">IF(A1653-30&lt;$R$2,"",C1653/INDEX(Clean_Data!$C$2:$C$4314,MATCH(A1653-30,Clean_Data!$A$2:$A$4314,1))-1)</f>
        <v>0.381795058139535</v>
      </c>
    </row>
    <row r="1654" customFormat="false" ht="15" hidden="false" customHeight="false" outlineLevel="0" collapsed="false">
      <c r="A1654" s="16" t="n">
        <v>43660</v>
      </c>
      <c r="B1654" s="23" t="n">
        <f aca="false">YEAR(A1654)</f>
        <v>2019</v>
      </c>
      <c r="C1654" s="17" t="n">
        <v>10190.36</v>
      </c>
      <c r="D1654" s="23" t="n">
        <f aca="false">A1654-A1653</f>
        <v>1</v>
      </c>
      <c r="E1654" s="24" t="n">
        <f aca="false">LN(C1654)</f>
        <v>9.22919745434641</v>
      </c>
      <c r="F1654" s="25" t="n">
        <f aca="false">LN(C1654/C1653)</f>
        <v>-0.112881454047654</v>
      </c>
      <c r="G1654" s="25" t="n">
        <f aca="false">IF(AND(D1654=1,A1654&gt;=$R$2),F1654,"")</f>
        <v>-0.112881454047654</v>
      </c>
      <c r="H1654" s="27" t="n">
        <f aca="false">IF(G1654="","",G1654^2)</f>
        <v>0.0127422226679127</v>
      </c>
      <c r="I1654" s="25" t="n">
        <f aca="false">IF(G1654="","",C1654/C1653-1)</f>
        <v>-0.106743454212358</v>
      </c>
      <c r="J1654" s="17" t="n">
        <f aca="false">AVERAGE(C1455:C1654)</f>
        <v>5891.8175</v>
      </c>
      <c r="K1654" s="17" t="n">
        <f aca="false">MAX(K1653,C1654)</f>
        <v>19650.01</v>
      </c>
      <c r="L1654" s="25" t="n">
        <f aca="false">C1654/K1654-1</f>
        <v>-0.481406879691155</v>
      </c>
      <c r="M1654" s="25" t="n">
        <f aca="false">IF(COUNT(G1625:G1654)&lt;20,"",_xlfn.STDEV.S(G1625:G1654)*SQRT($R$3))</f>
        <v>1.18083157899707</v>
      </c>
      <c r="N1654" s="25" t="n">
        <f aca="false">IF(A1654-7&lt;$R$2,"",C1654/INDEX(Clean_Data!$C$2:$C$4314,MATCH(A1654-7,Clean_Data!$A$2:$A$4314,1))-1)</f>
        <v>-0.112252916220195</v>
      </c>
      <c r="O1654" s="25" t="n">
        <f aca="false">IF(A1654-30&lt;$R$2,"",C1654/INDEX(Clean_Data!$C$2:$C$4314,MATCH(A1654-30,Clean_Data!$A$2:$A$4314,1))-1)</f>
        <v>0.172116798060267</v>
      </c>
    </row>
    <row r="1655" customFormat="false" ht="15" hidden="false" customHeight="false" outlineLevel="0" collapsed="false">
      <c r="A1655" s="16" t="n">
        <v>43661</v>
      </c>
      <c r="B1655" s="23" t="n">
        <f aca="false">YEAR(A1655)</f>
        <v>2019</v>
      </c>
      <c r="C1655" s="17" t="n">
        <v>10855.56</v>
      </c>
      <c r="D1655" s="23" t="n">
        <f aca="false">A1655-A1654</f>
        <v>1</v>
      </c>
      <c r="E1655" s="24" t="n">
        <f aca="false">LN(C1655)</f>
        <v>9.29243267011115</v>
      </c>
      <c r="F1655" s="25" t="n">
        <f aca="false">LN(C1655/C1654)</f>
        <v>0.0632352157647473</v>
      </c>
      <c r="G1655" s="25" t="n">
        <f aca="false">IF(AND(D1655=1,A1655&gt;=$R$2),F1655,"")</f>
        <v>0.0632352157647473</v>
      </c>
      <c r="H1655" s="27" t="n">
        <f aca="false">IF(G1655="","",G1655^2)</f>
        <v>0.00399869251281415</v>
      </c>
      <c r="I1655" s="25" t="n">
        <f aca="false">IF(G1655="","",C1655/C1654-1)</f>
        <v>0.0652773797981621</v>
      </c>
      <c r="J1655" s="17" t="n">
        <f aca="false">AVERAGE(C1456:C1655)</f>
        <v>5928.14585</v>
      </c>
      <c r="K1655" s="17" t="n">
        <f aca="false">MAX(K1654,C1655)</f>
        <v>19650.01</v>
      </c>
      <c r="L1655" s="25" t="n">
        <f aca="false">C1655/K1655-1</f>
        <v>-0.447554479616041</v>
      </c>
      <c r="M1655" s="25" t="n">
        <f aca="false">IF(COUNT(G1626:G1655)&lt;20,"",_xlfn.STDEV.S(G1626:G1655)*SQRT($R$3))</f>
        <v>1.19725187700367</v>
      </c>
      <c r="N1655" s="25" t="n">
        <f aca="false">IF(A1655-7&lt;$R$2,"",C1655/INDEX(Clean_Data!$C$2:$C$4314,MATCH(A1655-7,Clean_Data!$A$2:$A$4314,1))-1)</f>
        <v>-0.117312866564593</v>
      </c>
      <c r="O1655" s="25" t="n">
        <f aca="false">IF(A1655-30&lt;$R$2,"",C1655/INDEX(Clean_Data!$C$2:$C$4314,MATCH(A1655-30,Clean_Data!$A$2:$A$4314,1))-1)</f>
        <v>0.225048610084491</v>
      </c>
    </row>
    <row r="1656" customFormat="false" ht="15" hidden="false" customHeight="false" outlineLevel="0" collapsed="false">
      <c r="A1656" s="16" t="n">
        <v>43662</v>
      </c>
      <c r="B1656" s="23" t="n">
        <f aca="false">YEAR(A1656)</f>
        <v>2019</v>
      </c>
      <c r="C1656" s="17" t="n">
        <v>9436</v>
      </c>
      <c r="D1656" s="23" t="n">
        <f aca="false">A1656-A1655</f>
        <v>1</v>
      </c>
      <c r="E1656" s="24" t="n">
        <f aca="false">LN(C1656)</f>
        <v>9.15228744052757</v>
      </c>
      <c r="F1656" s="25" t="n">
        <f aca="false">LN(C1656/C1655)</f>
        <v>-0.140145229583587</v>
      </c>
      <c r="G1656" s="25" t="n">
        <f aca="false">IF(AND(D1656=1,A1656&gt;=$R$2),F1656,"")</f>
        <v>-0.140145229583587</v>
      </c>
      <c r="H1656" s="27" t="n">
        <f aca="false">IF(G1656="","",G1656^2)</f>
        <v>0.0196406853750362</v>
      </c>
      <c r="I1656" s="25" t="n">
        <f aca="false">IF(G1656="","",C1656/C1655-1)</f>
        <v>-0.130768011968061</v>
      </c>
      <c r="J1656" s="17" t="n">
        <f aca="false">AVERAGE(C1457:C1656)</f>
        <v>5955.88555</v>
      </c>
      <c r="K1656" s="17" t="n">
        <f aca="false">MAX(K1655,C1656)</f>
        <v>19650.01</v>
      </c>
      <c r="L1656" s="25" t="n">
        <f aca="false">C1656/K1656-1</f>
        <v>-0.519796682037312</v>
      </c>
      <c r="M1656" s="25" t="n">
        <f aca="false">IF(COUNT(G1627:G1656)&lt;20,"",_xlfn.STDEV.S(G1627:G1656)*SQRT($R$3))</f>
        <v>1.3015541656486</v>
      </c>
      <c r="N1656" s="25" t="n">
        <f aca="false">IF(A1656-7&lt;$R$2,"",C1656/INDEX(Clean_Data!$C$2:$C$4314,MATCH(A1656-7,Clean_Data!$A$2:$A$4314,1))-1)</f>
        <v>-0.248693813269042</v>
      </c>
      <c r="O1656" s="25" t="n">
        <f aca="false">IF(A1656-30&lt;$R$2,"",C1656/INDEX(Clean_Data!$C$2:$C$4314,MATCH(A1656-30,Clean_Data!$A$2:$A$4314,1))-1)</f>
        <v>0.0487998710674171</v>
      </c>
    </row>
    <row r="1657" customFormat="false" ht="15" hidden="false" customHeight="false" outlineLevel="0" collapsed="false">
      <c r="A1657" s="16" t="n">
        <v>43663</v>
      </c>
      <c r="B1657" s="23" t="n">
        <f aca="false">YEAR(A1657)</f>
        <v>2019</v>
      </c>
      <c r="C1657" s="17" t="n">
        <v>9708.55</v>
      </c>
      <c r="D1657" s="23" t="n">
        <f aca="false">A1657-A1656</f>
        <v>1</v>
      </c>
      <c r="E1657" s="24" t="n">
        <f aca="false">LN(C1657)</f>
        <v>9.18076221954743</v>
      </c>
      <c r="F1657" s="25" t="n">
        <f aca="false">LN(C1657/C1656)</f>
        <v>0.028474779019859</v>
      </c>
      <c r="G1657" s="25" t="n">
        <f aca="false">IF(AND(D1657=1,A1657&gt;=$R$2),F1657,"")</f>
        <v>0.028474779019859</v>
      </c>
      <c r="H1657" s="27" t="n">
        <f aca="false">IF(G1657="","",G1657^2)</f>
        <v>0.000810813040229801</v>
      </c>
      <c r="I1657" s="25" t="n">
        <f aca="false">IF(G1657="","",C1657/C1656-1)</f>
        <v>0.0288840610428147</v>
      </c>
      <c r="J1657" s="17" t="n">
        <f aca="false">AVERAGE(C1458:C1657)</f>
        <v>5985.78175</v>
      </c>
      <c r="K1657" s="17" t="n">
        <f aca="false">MAX(K1656,C1657)</f>
        <v>19650.01</v>
      </c>
      <c r="L1657" s="25" t="n">
        <f aca="false">C1657/K1657-1</f>
        <v>-0.505926460088316</v>
      </c>
      <c r="M1657" s="25" t="n">
        <f aca="false">IF(COUNT(G1628:G1657)&lt;20,"",_xlfn.STDEV.S(G1628:G1657)*SQRT($R$3))</f>
        <v>1.29858070028244</v>
      </c>
      <c r="N1657" s="25" t="n">
        <f aca="false">IF(A1657-7&lt;$R$2,"",C1657/INDEX(Clean_Data!$C$2:$C$4314,MATCH(A1657-7,Clean_Data!$A$2:$A$4314,1))-1)</f>
        <v>-0.196520272479068</v>
      </c>
      <c r="O1657" s="25" t="n">
        <f aca="false">IF(A1657-30&lt;$R$2,"",C1657/INDEX(Clean_Data!$C$2:$C$4314,MATCH(A1657-30,Clean_Data!$A$2:$A$4314,1))-1)</f>
        <v>0.0387397595027856</v>
      </c>
    </row>
    <row r="1658" customFormat="false" ht="15" hidden="false" customHeight="false" outlineLevel="0" collapsed="false">
      <c r="A1658" s="16" t="n">
        <v>43664</v>
      </c>
      <c r="B1658" s="23" t="n">
        <f aca="false">YEAR(A1658)</f>
        <v>2019</v>
      </c>
      <c r="C1658" s="17" t="n">
        <v>10654.25</v>
      </c>
      <c r="D1658" s="23" t="n">
        <f aca="false">A1658-A1657</f>
        <v>1</v>
      </c>
      <c r="E1658" s="24" t="n">
        <f aca="false">LN(C1658)</f>
        <v>9.27371415256676</v>
      </c>
      <c r="F1658" s="25" t="n">
        <f aca="false">LN(C1658/C1657)</f>
        <v>0.0929519330193337</v>
      </c>
      <c r="G1658" s="25" t="n">
        <f aca="false">IF(AND(D1658=1,A1658&gt;=$R$2),F1658,"")</f>
        <v>0.0929519330193337</v>
      </c>
      <c r="H1658" s="27" t="n">
        <f aca="false">IF(G1658="","",G1658^2)</f>
        <v>0.00864006185203069</v>
      </c>
      <c r="I1658" s="25" t="n">
        <f aca="false">IF(G1658="","",C1658/C1657-1)</f>
        <v>0.0974089848638573</v>
      </c>
      <c r="J1658" s="17" t="n">
        <f aca="false">AVERAGE(C1459:C1658)</f>
        <v>6019.908</v>
      </c>
      <c r="K1658" s="17" t="n">
        <f aca="false">MAX(K1657,C1658)</f>
        <v>19650.01</v>
      </c>
      <c r="L1658" s="25" t="n">
        <f aca="false">C1658/K1658-1</f>
        <v>-0.457799258117426</v>
      </c>
      <c r="M1658" s="25" t="n">
        <f aca="false">IF(COUNT(G1629:G1658)&lt;20,"",_xlfn.STDEV.S(G1629:G1658)*SQRT($R$3))</f>
        <v>1.33241930520447</v>
      </c>
      <c r="N1658" s="25" t="n">
        <f aca="false">IF(A1658-7&lt;$R$2,"",C1658/INDEX(Clean_Data!$C$2:$C$4314,MATCH(A1658-7,Clean_Data!$A$2:$A$4314,1))-1)</f>
        <v>-0.0591401410285281</v>
      </c>
      <c r="O1658" s="25" t="n">
        <f aca="false">IF(A1658-30&lt;$R$2,"",C1658/INDEX(Clean_Data!$C$2:$C$4314,MATCH(A1658-30,Clean_Data!$A$2:$A$4314,1))-1)</f>
        <v>0.172085997894387</v>
      </c>
    </row>
    <row r="1659" customFormat="false" ht="15" hidden="false" customHeight="false" outlineLevel="0" collapsed="false">
      <c r="A1659" s="16" t="n">
        <v>43665</v>
      </c>
      <c r="B1659" s="23" t="n">
        <f aca="false">YEAR(A1659)</f>
        <v>2019</v>
      </c>
      <c r="C1659" s="17" t="n">
        <v>10548.04</v>
      </c>
      <c r="D1659" s="23" t="n">
        <f aca="false">A1659-A1658</f>
        <v>1</v>
      </c>
      <c r="E1659" s="24" t="n">
        <f aca="false">LN(C1659)</f>
        <v>9.26369533965408</v>
      </c>
      <c r="F1659" s="25" t="n">
        <f aca="false">LN(C1659/C1658)</f>
        <v>-0.0100188129126785</v>
      </c>
      <c r="G1659" s="25" t="n">
        <f aca="false">IF(AND(D1659=1,A1659&gt;=$R$2),F1659,"")</f>
        <v>-0.0100188129126785</v>
      </c>
      <c r="H1659" s="27" t="n">
        <f aca="false">IF(G1659="","",G1659^2)</f>
        <v>0.000100376612179254</v>
      </c>
      <c r="I1659" s="25" t="n">
        <f aca="false">IF(G1659="","",C1659/C1658-1)</f>
        <v>-0.00996879179670074</v>
      </c>
      <c r="J1659" s="17" t="n">
        <f aca="false">AVERAGE(C1460:C1659)</f>
        <v>6054.1889</v>
      </c>
      <c r="K1659" s="17" t="n">
        <f aca="false">MAX(K1658,C1659)</f>
        <v>19650.01</v>
      </c>
      <c r="L1659" s="25" t="n">
        <f aca="false">C1659/K1659-1</f>
        <v>-0.46320434442527</v>
      </c>
      <c r="M1659" s="25" t="n">
        <f aca="false">IF(COUNT(G1630:G1659)&lt;20,"",_xlfn.STDEV.S(G1630:G1659)*SQRT($R$3))</f>
        <v>1.33219119668988</v>
      </c>
      <c r="N1659" s="25" t="n">
        <f aca="false">IF(A1659-7&lt;$R$2,"",C1659/INDEX(Clean_Data!$C$2:$C$4314,MATCH(A1659-7,Clean_Data!$A$2:$A$4314,1))-1)</f>
        <v>-0.107005678128749</v>
      </c>
      <c r="O1659" s="25" t="n">
        <f aca="false">IF(A1659-30&lt;$R$2,"",C1659/INDEX(Clean_Data!$C$2:$C$4314,MATCH(A1659-30,Clean_Data!$A$2:$A$4314,1))-1)</f>
        <v>0.136153744241431</v>
      </c>
    </row>
    <row r="1660" customFormat="false" ht="15" hidden="false" customHeight="false" outlineLevel="0" collapsed="false">
      <c r="A1660" s="16" t="n">
        <v>43666</v>
      </c>
      <c r="B1660" s="23" t="n">
        <f aca="false">YEAR(A1660)</f>
        <v>2019</v>
      </c>
      <c r="C1660" s="17" t="n">
        <v>10754.92</v>
      </c>
      <c r="D1660" s="23" t="n">
        <f aca="false">A1660-A1659</f>
        <v>1</v>
      </c>
      <c r="E1660" s="24" t="n">
        <f aca="false">LN(C1660)</f>
        <v>9.28311860327342</v>
      </c>
      <c r="F1660" s="25" t="n">
        <f aca="false">LN(C1660/C1659)</f>
        <v>0.019423263619342</v>
      </c>
      <c r="G1660" s="25" t="n">
        <f aca="false">IF(AND(D1660=1,A1660&gt;=$R$2),F1660,"")</f>
        <v>0.019423263619342</v>
      </c>
      <c r="H1660" s="27" t="n">
        <f aca="false">IF(G1660="","",G1660^2)</f>
        <v>0.000377263169626454</v>
      </c>
      <c r="I1660" s="25" t="n">
        <f aca="false">IF(G1660="","",C1660/C1659-1)</f>
        <v>0.0196131224379126</v>
      </c>
      <c r="J1660" s="17" t="n">
        <f aca="false">AVERAGE(C1461:C1660)</f>
        <v>6088.833</v>
      </c>
      <c r="K1660" s="17" t="n">
        <f aca="false">MAX(K1659,C1660)</f>
        <v>19650.01</v>
      </c>
      <c r="L1660" s="25" t="n">
        <f aca="false">C1660/K1660-1</f>
        <v>-0.452676105508343</v>
      </c>
      <c r="M1660" s="25" t="n">
        <f aca="false">IF(COUNT(G1631:G1660)&lt;20,"",_xlfn.STDEV.S(G1631:G1660)*SQRT($R$3))</f>
        <v>1.33072015478524</v>
      </c>
      <c r="N1660" s="25" t="n">
        <f aca="false">IF(A1660-7&lt;$R$2,"",C1660/INDEX(Clean_Data!$C$2:$C$4314,MATCH(A1660-7,Clean_Data!$A$2:$A$4314,1))-1)</f>
        <v>-0.0572558094687109</v>
      </c>
      <c r="O1660" s="25" t="n">
        <f aca="false">IF(A1660-30&lt;$R$2,"",C1660/INDEX(Clean_Data!$C$2:$C$4314,MATCH(A1660-30,Clean_Data!$A$2:$A$4314,1))-1)</f>
        <v>0.127042944270953</v>
      </c>
    </row>
    <row r="1661" customFormat="false" ht="15" hidden="false" customHeight="false" outlineLevel="0" collapsed="false">
      <c r="A1661" s="16" t="n">
        <v>43667</v>
      </c>
      <c r="B1661" s="23" t="n">
        <f aca="false">YEAR(A1661)</f>
        <v>2019</v>
      </c>
      <c r="C1661" s="17" t="n">
        <v>10633.54</v>
      </c>
      <c r="D1661" s="23" t="n">
        <f aca="false">A1661-A1660</f>
        <v>1</v>
      </c>
      <c r="E1661" s="24" t="n">
        <f aca="false">LN(C1661)</f>
        <v>9.27176843565263</v>
      </c>
      <c r="F1661" s="25" t="n">
        <f aca="false">LN(C1661/C1660)</f>
        <v>-0.0113501676207896</v>
      </c>
      <c r="G1661" s="25" t="n">
        <f aca="false">IF(AND(D1661=1,A1661&gt;=$R$2),F1661,"")</f>
        <v>-0.0113501676207896</v>
      </c>
      <c r="H1661" s="27" t="n">
        <f aca="false">IF(G1661="","",G1661^2)</f>
        <v>0.000128826305020021</v>
      </c>
      <c r="I1661" s="25" t="n">
        <f aca="false">IF(G1661="","",C1661/C1660-1)</f>
        <v>-0.0112859974783633</v>
      </c>
      <c r="J1661" s="17" t="n">
        <f aca="false">AVERAGE(C1462:C1661)</f>
        <v>6122.54675</v>
      </c>
      <c r="K1661" s="17" t="n">
        <f aca="false">MAX(K1660,C1661)</f>
        <v>19650.01</v>
      </c>
      <c r="L1661" s="25" t="n">
        <f aca="false">C1661/K1661-1</f>
        <v>-0.458853201601424</v>
      </c>
      <c r="M1661" s="25" t="n">
        <f aca="false">IF(COUNT(G1632:G1661)&lt;20,"",_xlfn.STDEV.S(G1632:G1661)*SQRT($R$3))</f>
        <v>1.313644933149</v>
      </c>
      <c r="N1661" s="25" t="n">
        <f aca="false">IF(A1661-7&lt;$R$2,"",C1661/INDEX(Clean_Data!$C$2:$C$4314,MATCH(A1661-7,Clean_Data!$A$2:$A$4314,1))-1)</f>
        <v>0.0434901220369055</v>
      </c>
      <c r="O1661" s="25" t="n">
        <f aca="false">IF(A1661-30&lt;$R$2,"",C1661/INDEX(Clean_Data!$C$2:$C$4314,MATCH(A1661-30,Clean_Data!$A$2:$A$4314,1))-1)</f>
        <v>0.0449749800508656</v>
      </c>
    </row>
    <row r="1662" customFormat="false" ht="15" hidden="false" customHeight="false" outlineLevel="0" collapsed="false">
      <c r="A1662" s="16" t="n">
        <v>43668</v>
      </c>
      <c r="B1662" s="23" t="n">
        <f aca="false">YEAR(A1662)</f>
        <v>2019</v>
      </c>
      <c r="C1662" s="17" t="n">
        <v>10304.64</v>
      </c>
      <c r="D1662" s="23" t="n">
        <f aca="false">A1662-A1661</f>
        <v>1</v>
      </c>
      <c r="E1662" s="24" t="n">
        <f aca="false">LN(C1662)</f>
        <v>9.24034955821652</v>
      </c>
      <c r="F1662" s="25" t="n">
        <f aca="false">LN(C1662/C1661)</f>
        <v>-0.031418877436113</v>
      </c>
      <c r="G1662" s="25" t="n">
        <f aca="false">IF(AND(D1662=1,A1662&gt;=$R$2),F1662,"")</f>
        <v>-0.031418877436113</v>
      </c>
      <c r="H1662" s="27" t="n">
        <f aca="false">IF(G1662="","",G1662^2)</f>
        <v>0.000987145859345489</v>
      </c>
      <c r="I1662" s="25" t="n">
        <f aca="false">IF(G1662="","",C1662/C1661-1)</f>
        <v>-0.0309304333270013</v>
      </c>
      <c r="J1662" s="17" t="n">
        <f aca="false">AVERAGE(C1463:C1662)</f>
        <v>6155.1321</v>
      </c>
      <c r="K1662" s="17" t="n">
        <f aca="false">MAX(K1661,C1662)</f>
        <v>19650.01</v>
      </c>
      <c r="L1662" s="25" t="n">
        <f aca="false">C1662/K1662-1</f>
        <v>-0.475591106569411</v>
      </c>
      <c r="M1662" s="25" t="n">
        <f aca="false">IF(COUNT(G1633:G1662)&lt;20,"",_xlfn.STDEV.S(G1633:G1662)*SQRT($R$3))</f>
        <v>1.30821211037105</v>
      </c>
      <c r="N1662" s="25" t="n">
        <f aca="false">IF(A1662-7&lt;$R$2,"",C1662/INDEX(Clean_Data!$C$2:$C$4314,MATCH(A1662-7,Clean_Data!$A$2:$A$4314,1))-1)</f>
        <v>-0.0507500303991687</v>
      </c>
      <c r="O1662" s="25" t="n">
        <f aca="false">IF(A1662-30&lt;$R$2,"",C1662/INDEX(Clean_Data!$C$2:$C$4314,MATCH(A1662-30,Clean_Data!$A$2:$A$4314,1))-1)</f>
        <v>-0.0331816518581762</v>
      </c>
    </row>
    <row r="1663" customFormat="false" ht="15" hidden="false" customHeight="false" outlineLevel="0" collapsed="false">
      <c r="A1663" s="16" t="n">
        <v>43669</v>
      </c>
      <c r="B1663" s="23" t="n">
        <f aca="false">YEAR(A1663)</f>
        <v>2019</v>
      </c>
      <c r="C1663" s="17" t="n">
        <v>9833.19</v>
      </c>
      <c r="D1663" s="23" t="n">
        <f aca="false">A1663-A1662</f>
        <v>1</v>
      </c>
      <c r="E1663" s="24" t="n">
        <f aca="false">LN(C1663)</f>
        <v>9.19351867728238</v>
      </c>
      <c r="F1663" s="25" t="n">
        <f aca="false">LN(C1663/C1662)</f>
        <v>-0.0468308809341388</v>
      </c>
      <c r="G1663" s="25" t="n">
        <f aca="false">IF(AND(D1663=1,A1663&gt;=$R$2),F1663,"")</f>
        <v>-0.0468308809341388</v>
      </c>
      <c r="H1663" s="27" t="n">
        <f aca="false">IF(G1663="","",G1663^2)</f>
        <v>0.00219313140906748</v>
      </c>
      <c r="I1663" s="25" t="n">
        <f aca="false">IF(G1663="","",C1663/C1662-1)</f>
        <v>-0.0457512343953791</v>
      </c>
      <c r="J1663" s="17" t="n">
        <f aca="false">AVERAGE(C1464:C1663)</f>
        <v>6185.1968</v>
      </c>
      <c r="K1663" s="17" t="n">
        <f aca="false">MAX(K1662,C1663)</f>
        <v>19650.01</v>
      </c>
      <c r="L1663" s="25" t="n">
        <f aca="false">C1663/K1663-1</f>
        <v>-0.499583460771776</v>
      </c>
      <c r="M1663" s="25" t="n">
        <f aca="false">IF(COUNT(G1634:G1663)&lt;20,"",_xlfn.STDEV.S(G1634:G1663)*SQRT($R$3))</f>
        <v>1.31654160486282</v>
      </c>
      <c r="N1663" s="25" t="n">
        <f aca="false">IF(A1663-7&lt;$R$2,"",C1663/INDEX(Clean_Data!$C$2:$C$4314,MATCH(A1663-7,Clean_Data!$A$2:$A$4314,1))-1)</f>
        <v>0.0420930479016533</v>
      </c>
      <c r="O1663" s="25" t="n">
        <f aca="false">IF(A1663-30&lt;$R$2,"",C1663/INDEX(Clean_Data!$C$2:$C$4314,MATCH(A1663-30,Clean_Data!$A$2:$A$4314,1))-1)</f>
        <v>-0.0902379879595098</v>
      </c>
    </row>
    <row r="1664" customFormat="false" ht="15" hidden="false" customHeight="false" outlineLevel="0" collapsed="false">
      <c r="A1664" s="16" t="n">
        <v>43670</v>
      </c>
      <c r="B1664" s="23" t="n">
        <f aca="false">YEAR(A1664)</f>
        <v>2019</v>
      </c>
      <c r="C1664" s="17" t="n">
        <v>9751.24</v>
      </c>
      <c r="D1664" s="23" t="n">
        <f aca="false">A1664-A1663</f>
        <v>1</v>
      </c>
      <c r="E1664" s="24" t="n">
        <f aca="false">LN(C1664)</f>
        <v>9.18514973539245</v>
      </c>
      <c r="F1664" s="25" t="n">
        <f aca="false">LN(C1664/C1663)</f>
        <v>-0.00836894188993327</v>
      </c>
      <c r="G1664" s="25" t="n">
        <f aca="false">IF(AND(D1664=1,A1664&gt;=$R$2),F1664,"")</f>
        <v>-0.00836894188993327</v>
      </c>
      <c r="H1664" s="27" t="n">
        <f aca="false">IF(G1664="","",G1664^2)</f>
        <v>7.00391883570798E-005</v>
      </c>
      <c r="I1664" s="25" t="n">
        <f aca="false">IF(G1664="","",C1664/C1663-1)</f>
        <v>-0.00833401978401727</v>
      </c>
      <c r="J1664" s="17" t="n">
        <f aca="false">AVERAGE(C1465:C1664)</f>
        <v>6214.9599</v>
      </c>
      <c r="K1664" s="17" t="n">
        <f aca="false">MAX(K1663,C1664)</f>
        <v>19650.01</v>
      </c>
      <c r="L1664" s="25" t="n">
        <f aca="false">C1664/K1664-1</f>
        <v>-0.503753942109953</v>
      </c>
      <c r="M1664" s="25" t="n">
        <f aca="false">IF(COUNT(G1635:G1664)&lt;20,"",_xlfn.STDEV.S(G1635:G1664)*SQRT($R$3))</f>
        <v>1.31369645882132</v>
      </c>
      <c r="N1664" s="25" t="n">
        <f aca="false">IF(A1664-7&lt;$R$2,"",C1664/INDEX(Clean_Data!$C$2:$C$4314,MATCH(A1664-7,Clean_Data!$A$2:$A$4314,1))-1)</f>
        <v>0.00439715508495087</v>
      </c>
      <c r="O1664" s="25" t="n">
        <f aca="false">IF(A1664-30&lt;$R$2,"",C1664/INDEX(Clean_Data!$C$2:$C$4314,MATCH(A1664-30,Clean_Data!$A$2:$A$4314,1))-1)</f>
        <v>-0.116737907415107</v>
      </c>
    </row>
    <row r="1665" customFormat="false" ht="15" hidden="false" customHeight="false" outlineLevel="0" collapsed="false">
      <c r="A1665" s="16" t="n">
        <v>43671</v>
      </c>
      <c r="B1665" s="23" t="n">
        <f aca="false">YEAR(A1665)</f>
        <v>2019</v>
      </c>
      <c r="C1665" s="17" t="n">
        <v>9880.67</v>
      </c>
      <c r="D1665" s="23" t="n">
        <f aca="false">A1665-A1664</f>
        <v>1</v>
      </c>
      <c r="E1665" s="24" t="n">
        <f aca="false">LN(C1665)</f>
        <v>9.19833560220785</v>
      </c>
      <c r="F1665" s="25" t="n">
        <f aca="false">LN(C1665/C1664)</f>
        <v>0.0131858668153992</v>
      </c>
      <c r="G1665" s="25" t="n">
        <f aca="false">IF(AND(D1665=1,A1665&gt;=$R$2),F1665,"")</f>
        <v>0.0131858668153992</v>
      </c>
      <c r="H1665" s="27" t="n">
        <f aca="false">IF(G1665="","",G1665^2)</f>
        <v>0.000173867083673446</v>
      </c>
      <c r="I1665" s="25" t="n">
        <f aca="false">IF(G1665="","",C1665/C1664-1)</f>
        <v>0.0132731837181732</v>
      </c>
      <c r="J1665" s="17" t="n">
        <f aca="false">AVERAGE(C1466:C1665)</f>
        <v>6244.1583</v>
      </c>
      <c r="K1665" s="17" t="n">
        <f aca="false">MAX(K1664,C1665)</f>
        <v>19650.01</v>
      </c>
      <c r="L1665" s="25" t="n">
        <f aca="false">C1665/K1665-1</f>
        <v>-0.497167177014159</v>
      </c>
      <c r="M1665" s="25" t="n">
        <f aca="false">IF(COUNT(G1636:G1665)&lt;20,"",_xlfn.STDEV.S(G1636:G1665)*SQRT($R$3))</f>
        <v>1.29415913768921</v>
      </c>
      <c r="N1665" s="25" t="n">
        <f aca="false">IF(A1665-7&lt;$R$2,"",C1665/INDEX(Clean_Data!$C$2:$C$4314,MATCH(A1665-7,Clean_Data!$A$2:$A$4314,1))-1)</f>
        <v>-0.0726076448365676</v>
      </c>
      <c r="O1665" s="25" t="n">
        <f aca="false">IF(A1665-30&lt;$R$2,"",C1665/INDEX(Clean_Data!$C$2:$C$4314,MATCH(A1665-30,Clean_Data!$A$2:$A$4314,1))-1)</f>
        <v>-0.158159800766636</v>
      </c>
    </row>
    <row r="1666" customFormat="false" ht="15" hidden="false" customHeight="false" outlineLevel="0" collapsed="false">
      <c r="A1666" s="16" t="n">
        <v>43672</v>
      </c>
      <c r="B1666" s="23" t="n">
        <f aca="false">YEAR(A1666)</f>
        <v>2019</v>
      </c>
      <c r="C1666" s="17" t="n">
        <v>9841.96</v>
      </c>
      <c r="D1666" s="23" t="n">
        <f aca="false">A1666-A1665</f>
        <v>1</v>
      </c>
      <c r="E1666" s="24" t="n">
        <f aca="false">LN(C1666)</f>
        <v>9.19441015720307</v>
      </c>
      <c r="F1666" s="25" t="n">
        <f aca="false">LN(C1666/C1665)</f>
        <v>-0.00392544500477228</v>
      </c>
      <c r="G1666" s="25" t="n">
        <f aca="false">IF(AND(D1666=1,A1666&gt;=$R$2),F1666,"")</f>
        <v>-0.00392544500477228</v>
      </c>
      <c r="H1666" s="27" t="n">
        <f aca="false">IF(G1666="","",G1666^2)</f>
        <v>1.54091184854916E-005</v>
      </c>
      <c r="I1666" s="25" t="n">
        <f aca="false">IF(G1666="","",C1666/C1665-1)</f>
        <v>-0.00391775051691845</v>
      </c>
      <c r="J1666" s="17" t="n">
        <f aca="false">AVERAGE(C1467:C1666)</f>
        <v>6273.33805</v>
      </c>
      <c r="K1666" s="17" t="n">
        <f aca="false">MAX(K1665,C1666)</f>
        <v>19650.01</v>
      </c>
      <c r="L1666" s="25" t="n">
        <f aca="false">C1666/K1666-1</f>
        <v>-0.499137150566336</v>
      </c>
      <c r="M1666" s="25" t="n">
        <f aca="false">IF(COUNT(G1637:G1666)&lt;20,"",_xlfn.STDEV.S(G1637:G1666)*SQRT($R$3))</f>
        <v>1.24253718447979</v>
      </c>
      <c r="N1666" s="25" t="n">
        <f aca="false">IF(A1666-7&lt;$R$2,"",C1666/INDEX(Clean_Data!$C$2:$C$4314,MATCH(A1666-7,Clean_Data!$A$2:$A$4314,1))-1)</f>
        <v>-0.0669394503623424</v>
      </c>
      <c r="O1666" s="25" t="n">
        <f aca="false">IF(A1666-30&lt;$R$2,"",C1666/INDEX(Clean_Data!$C$2:$C$4314,MATCH(A1666-30,Clean_Data!$A$2:$A$4314,1))-1)</f>
        <v>-0.237206375188723</v>
      </c>
    </row>
    <row r="1667" customFormat="false" ht="15" hidden="false" customHeight="false" outlineLevel="0" collapsed="false">
      <c r="A1667" s="16" t="n">
        <v>43673</v>
      </c>
      <c r="B1667" s="23" t="n">
        <f aca="false">YEAR(A1667)</f>
        <v>2019</v>
      </c>
      <c r="C1667" s="17" t="n">
        <v>9468.92</v>
      </c>
      <c r="D1667" s="23" t="n">
        <f aca="false">A1667-A1666</f>
        <v>1</v>
      </c>
      <c r="E1667" s="24" t="n">
        <f aca="false">LN(C1667)</f>
        <v>9.15577013532599</v>
      </c>
      <c r="F1667" s="25" t="n">
        <f aca="false">LN(C1667/C1666)</f>
        <v>-0.0386400218770822</v>
      </c>
      <c r="G1667" s="25" t="n">
        <f aca="false">IF(AND(D1667=1,A1667&gt;=$R$2),F1667,"")</f>
        <v>-0.0386400218770822</v>
      </c>
      <c r="H1667" s="27" t="n">
        <f aca="false">IF(G1667="","",G1667^2)</f>
        <v>0.00149305129066139</v>
      </c>
      <c r="I1667" s="25" t="n">
        <f aca="false">IF(G1667="","",C1667/C1666-1)</f>
        <v>-0.0379030193172903</v>
      </c>
      <c r="J1667" s="17" t="n">
        <f aca="false">AVERAGE(C1468:C1667)</f>
        <v>6300.71335</v>
      </c>
      <c r="K1667" s="17" t="n">
        <f aca="false">MAX(K1666,C1667)</f>
        <v>19650.01</v>
      </c>
      <c r="L1667" s="25" t="n">
        <f aca="false">C1667/K1667-1</f>
        <v>-0.518121364823733</v>
      </c>
      <c r="M1667" s="25" t="n">
        <f aca="false">IF(COUNT(G1638:G1667)&lt;20,"",_xlfn.STDEV.S(G1638:G1667)*SQRT($R$3))</f>
        <v>1.14314801119647</v>
      </c>
      <c r="N1667" s="25" t="n">
        <f aca="false">IF(A1667-7&lt;$R$2,"",C1667/INDEX(Clean_Data!$C$2:$C$4314,MATCH(A1667-7,Clean_Data!$A$2:$A$4314,1))-1)</f>
        <v>-0.119573181390471</v>
      </c>
      <c r="O1667" s="25" t="n">
        <f aca="false">IF(A1667-30&lt;$R$2,"",C1667/INDEX(Clean_Data!$C$2:$C$4314,MATCH(A1667-30,Clean_Data!$A$2:$A$4314,1))-1)</f>
        <v>-0.149044700469112</v>
      </c>
    </row>
    <row r="1668" customFormat="false" ht="15" hidden="false" customHeight="false" outlineLevel="0" collapsed="false">
      <c r="A1668" s="16" t="n">
        <v>43674</v>
      </c>
      <c r="B1668" s="23" t="n">
        <f aca="false">YEAR(A1668)</f>
        <v>2019</v>
      </c>
      <c r="C1668" s="17" t="n">
        <v>9549.7</v>
      </c>
      <c r="D1668" s="23" t="n">
        <f aca="false">A1668-A1667</f>
        <v>1</v>
      </c>
      <c r="E1668" s="24" t="n">
        <f aca="false">LN(C1668)</f>
        <v>9.16426501936879</v>
      </c>
      <c r="F1668" s="25" t="n">
        <f aca="false">LN(C1668/C1667)</f>
        <v>0.00849488404280097</v>
      </c>
      <c r="G1668" s="25" t="n">
        <f aca="false">IF(AND(D1668=1,A1668&gt;=$R$2),F1668,"")</f>
        <v>0.00849488404280097</v>
      </c>
      <c r="H1668" s="27" t="n">
        <f aca="false">IF(G1668="","",G1668^2)</f>
        <v>7.21630549006346E-005</v>
      </c>
      <c r="I1668" s="25" t="n">
        <f aca="false">IF(G1668="","",C1668/C1667-1)</f>
        <v>0.00853106795706382</v>
      </c>
      <c r="J1668" s="17" t="n">
        <f aca="false">AVERAGE(C1469:C1668)</f>
        <v>6328.44125</v>
      </c>
      <c r="K1668" s="17" t="n">
        <f aca="false">MAX(K1667,C1668)</f>
        <v>19650.01</v>
      </c>
      <c r="L1668" s="25" t="n">
        <f aca="false">C1668/K1668-1</f>
        <v>-0.514010425439987</v>
      </c>
      <c r="M1668" s="25" t="n">
        <f aca="false">IF(COUNT(G1639:G1668)&lt;20,"",_xlfn.STDEV.S(G1639:G1668)*SQRT($R$3))</f>
        <v>1.07770473195734</v>
      </c>
      <c r="N1668" s="25" t="n">
        <f aca="false">IF(A1668-7&lt;$R$2,"",C1668/INDEX(Clean_Data!$C$2:$C$4314,MATCH(A1668-7,Clean_Data!$A$2:$A$4314,1))-1)</f>
        <v>-0.101926545628267</v>
      </c>
      <c r="O1668" s="25" t="n">
        <f aca="false">IF(A1668-30&lt;$R$2,"",C1668/INDEX(Clean_Data!$C$2:$C$4314,MATCH(A1668-30,Clean_Data!$A$2:$A$4314,1))-1)</f>
        <v>-0.224719164976014</v>
      </c>
    </row>
    <row r="1669" customFormat="false" ht="15" hidden="false" customHeight="false" outlineLevel="0" collapsed="false">
      <c r="A1669" s="16" t="n">
        <v>43675</v>
      </c>
      <c r="B1669" s="23" t="n">
        <f aca="false">YEAR(A1669)</f>
        <v>2019</v>
      </c>
      <c r="C1669" s="17" t="n">
        <v>9503.32</v>
      </c>
      <c r="D1669" s="23" t="n">
        <f aca="false">A1669-A1668</f>
        <v>1</v>
      </c>
      <c r="E1669" s="24" t="n">
        <f aca="false">LN(C1669)</f>
        <v>9.15939649022114</v>
      </c>
      <c r="F1669" s="25" t="n">
        <f aca="false">LN(C1669/C1668)</f>
        <v>-0.00486852914765447</v>
      </c>
      <c r="G1669" s="25" t="n">
        <f aca="false">IF(AND(D1669=1,A1669&gt;=$R$2),F1669,"")</f>
        <v>-0.00486852914765447</v>
      </c>
      <c r="H1669" s="27" t="n">
        <f aca="false">IF(G1669="","",G1669^2)</f>
        <v>2.37025760615612E-005</v>
      </c>
      <c r="I1669" s="25" t="n">
        <f aca="false">IF(G1669="","",C1669/C1668-1)</f>
        <v>-0.00485669706901803</v>
      </c>
      <c r="J1669" s="17" t="n">
        <f aca="false">AVERAGE(C1470:C1669)</f>
        <v>6357.82725</v>
      </c>
      <c r="K1669" s="17" t="n">
        <f aca="false">MAX(K1668,C1669)</f>
        <v>19650.01</v>
      </c>
      <c r="L1669" s="25" t="n">
        <f aca="false">C1669/K1669-1</f>
        <v>-0.516370729582326</v>
      </c>
      <c r="M1669" s="25" t="n">
        <f aca="false">IF(COUNT(G1640:G1669)&lt;20,"",_xlfn.STDEV.S(G1640:G1669)*SQRT($R$3))</f>
        <v>1.07400690463044</v>
      </c>
      <c r="N1669" s="25" t="n">
        <f aca="false">IF(A1669-7&lt;$R$2,"",C1669/INDEX(Clean_Data!$C$2:$C$4314,MATCH(A1669-7,Clean_Data!$A$2:$A$4314,1))-1)</f>
        <v>-0.0777630271411713</v>
      </c>
      <c r="O1669" s="25" t="n">
        <f aca="false">IF(A1669-30&lt;$R$2,"",C1669/INDEX(Clean_Data!$C$2:$C$4314,MATCH(A1669-30,Clean_Data!$A$2:$A$4314,1))-1)</f>
        <v>-0.202322026770793</v>
      </c>
    </row>
    <row r="1670" customFormat="false" ht="15" hidden="false" customHeight="false" outlineLevel="0" collapsed="false">
      <c r="A1670" s="16" t="n">
        <v>43676</v>
      </c>
      <c r="B1670" s="23" t="n">
        <f aca="false">YEAR(A1670)</f>
        <v>2019</v>
      </c>
      <c r="C1670" s="17" t="n">
        <v>9580</v>
      </c>
      <c r="D1670" s="23" t="n">
        <f aca="false">A1670-A1669</f>
        <v>1</v>
      </c>
      <c r="E1670" s="24" t="n">
        <f aca="false">LN(C1670)</f>
        <v>9.16743287096491</v>
      </c>
      <c r="F1670" s="25" t="n">
        <f aca="false">LN(C1670/C1669)</f>
        <v>0.00803638074376788</v>
      </c>
      <c r="G1670" s="25" t="n">
        <f aca="false">IF(AND(D1670=1,A1670&gt;=$R$2),F1670,"")</f>
        <v>0.00803638074376788</v>
      </c>
      <c r="H1670" s="27" t="n">
        <f aca="false">IF(G1670="","",G1670^2)</f>
        <v>6.45834154588032E-005</v>
      </c>
      <c r="I1670" s="25" t="n">
        <f aca="false">IF(G1670="","",C1670/C1669-1)</f>
        <v>0.00806875912838878</v>
      </c>
      <c r="J1670" s="17" t="n">
        <f aca="false">AVERAGE(C1471:C1670)</f>
        <v>6387.5488</v>
      </c>
      <c r="K1670" s="17" t="n">
        <f aca="false">MAX(K1669,C1670)</f>
        <v>19650.01</v>
      </c>
      <c r="L1670" s="25" t="n">
        <f aca="false">C1670/K1670-1</f>
        <v>-0.512468441491887</v>
      </c>
      <c r="M1670" s="25" t="n">
        <f aca="false">IF(COUNT(G1641:G1670)&lt;20,"",_xlfn.STDEV.S(G1641:G1670)*SQRT($R$3))</f>
        <v>1.02164389075783</v>
      </c>
      <c r="N1670" s="25" t="n">
        <f aca="false">IF(A1670-7&lt;$R$2,"",C1670/INDEX(Clean_Data!$C$2:$C$4314,MATCH(A1670-7,Clean_Data!$A$2:$A$4314,1))-1)</f>
        <v>-0.025748510910498</v>
      </c>
      <c r="O1670" s="25" t="n">
        <f aca="false">IF(A1670-30&lt;$R$2,"",C1670/INDEX(Clean_Data!$C$2:$C$4314,MATCH(A1670-30,Clean_Data!$A$2:$A$4314,1))-1)</f>
        <v>-0.111213370022841</v>
      </c>
    </row>
    <row r="1671" customFormat="false" ht="15" hidden="false" customHeight="false" outlineLevel="0" collapsed="false">
      <c r="A1671" s="16" t="n">
        <v>43677</v>
      </c>
      <c r="B1671" s="23" t="n">
        <f aca="false">YEAR(A1671)</f>
        <v>2019</v>
      </c>
      <c r="C1671" s="17" t="n">
        <v>10099</v>
      </c>
      <c r="D1671" s="23" t="n">
        <f aca="false">A1671-A1670</f>
        <v>1</v>
      </c>
      <c r="E1671" s="24" t="n">
        <f aca="false">LN(C1671)</f>
        <v>9.22019168802656</v>
      </c>
      <c r="F1671" s="25" t="n">
        <f aca="false">LN(C1671/C1670)</f>
        <v>0.0527588170616507</v>
      </c>
      <c r="G1671" s="25" t="n">
        <f aca="false">IF(AND(D1671=1,A1671&gt;=$R$2),F1671,"")</f>
        <v>0.0527588170616507</v>
      </c>
      <c r="H1671" s="27" t="n">
        <f aca="false">IF(G1671="","",G1671^2)</f>
        <v>0.00278349277774473</v>
      </c>
      <c r="I1671" s="25" t="n">
        <f aca="false">IF(G1671="","",C1671/C1670-1)</f>
        <v>0.0541753653444677</v>
      </c>
      <c r="J1671" s="17" t="n">
        <f aca="false">AVERAGE(C1472:C1671)</f>
        <v>6419.94675</v>
      </c>
      <c r="K1671" s="17" t="n">
        <f aca="false">MAX(K1670,C1671)</f>
        <v>19650.01</v>
      </c>
      <c r="L1671" s="25" t="n">
        <f aca="false">C1671/K1671-1</f>
        <v>-0.486056241192753</v>
      </c>
      <c r="M1671" s="25" t="n">
        <f aca="false">IF(COUNT(G1642:G1671)&lt;20,"",_xlfn.STDEV.S(G1642:G1671)*SQRT($R$3))</f>
        <v>1.03873140002811</v>
      </c>
      <c r="N1671" s="25" t="n">
        <f aca="false">IF(A1671-7&lt;$R$2,"",C1671/INDEX(Clean_Data!$C$2:$C$4314,MATCH(A1671-7,Clean_Data!$A$2:$A$4314,1))-1)</f>
        <v>0.0356631566857137</v>
      </c>
      <c r="O1671" s="25" t="n">
        <f aca="false">IF(A1671-30&lt;$R$2,"",C1671/INDEX(Clean_Data!$C$2:$C$4314,MATCH(A1671-30,Clean_Data!$A$2:$A$4314,1))-1)</f>
        <v>-0.0446161152325976</v>
      </c>
    </row>
    <row r="1672" customFormat="false" ht="15" hidden="false" customHeight="false" outlineLevel="0" collapsed="false">
      <c r="A1672" s="16" t="n">
        <v>43678</v>
      </c>
      <c r="B1672" s="23" t="n">
        <f aca="false">YEAR(A1672)</f>
        <v>2019</v>
      </c>
      <c r="C1672" s="17" t="n">
        <v>10417.24</v>
      </c>
      <c r="D1672" s="23" t="n">
        <f aca="false">A1672-A1671</f>
        <v>1</v>
      </c>
      <c r="E1672" s="24" t="n">
        <f aca="false">LN(C1672)</f>
        <v>9.25121740498179</v>
      </c>
      <c r="F1672" s="25" t="n">
        <f aca="false">LN(C1672/C1671)</f>
        <v>0.0310257169552357</v>
      </c>
      <c r="G1672" s="25" t="n">
        <f aca="false">IF(AND(D1672=1,A1672&gt;=$R$2),F1672,"")</f>
        <v>0.0310257169552357</v>
      </c>
      <c r="H1672" s="27" t="n">
        <f aca="false">IF(G1672="","",G1672^2)</f>
        <v>0.000962595112586399</v>
      </c>
      <c r="I1672" s="25" t="n">
        <f aca="false">IF(G1672="","",C1672/C1671-1)</f>
        <v>0.0315120308941479</v>
      </c>
      <c r="J1672" s="17" t="n">
        <f aca="false">AVERAGE(C1473:C1672)</f>
        <v>6454.46175</v>
      </c>
      <c r="K1672" s="17" t="n">
        <f aca="false">MAX(K1671,C1672)</f>
        <v>19650.01</v>
      </c>
      <c r="L1672" s="25" t="n">
        <f aca="false">C1672/K1672-1</f>
        <v>-0.469860829587364</v>
      </c>
      <c r="M1672" s="25" t="n">
        <f aca="false">IF(COUNT(G1643:G1672)&lt;20,"",_xlfn.STDEV.S(G1643:G1672)*SQRT($R$3))</f>
        <v>1.03939007687846</v>
      </c>
      <c r="N1672" s="25" t="n">
        <f aca="false">IF(A1672-7&lt;$R$2,"",C1672/INDEX(Clean_Data!$C$2:$C$4314,MATCH(A1672-7,Clean_Data!$A$2:$A$4314,1))-1)</f>
        <v>0.0543050218254431</v>
      </c>
      <c r="O1672" s="25" t="n">
        <f aca="false">IF(A1672-30&lt;$R$2,"",C1672/INDEX(Clean_Data!$C$2:$C$4314,MATCH(A1672-30,Clean_Data!$A$2:$A$4314,1))-1)</f>
        <v>-0.0429737776997908</v>
      </c>
    </row>
    <row r="1673" customFormat="false" ht="15" hidden="false" customHeight="false" outlineLevel="0" collapsed="false">
      <c r="A1673" s="16" t="n">
        <v>43679</v>
      </c>
      <c r="B1673" s="23" t="n">
        <f aca="false">YEAR(A1673)</f>
        <v>2019</v>
      </c>
      <c r="C1673" s="17" t="n">
        <v>10533.07</v>
      </c>
      <c r="D1673" s="23" t="n">
        <f aca="false">A1673-A1672</f>
        <v>1</v>
      </c>
      <c r="E1673" s="24" t="n">
        <f aca="false">LN(C1673)</f>
        <v>9.26227511059439</v>
      </c>
      <c r="F1673" s="25" t="n">
        <f aca="false">LN(C1673/C1672)</f>
        <v>0.011057705612596</v>
      </c>
      <c r="G1673" s="25" t="n">
        <f aca="false">IF(AND(D1673=1,A1673&gt;=$R$2),F1673,"")</f>
        <v>0.011057705612596</v>
      </c>
      <c r="H1673" s="27" t="n">
        <f aca="false">IF(G1673="","",G1673^2)</f>
        <v>0.000122272853414837</v>
      </c>
      <c r="I1673" s="25" t="n">
        <f aca="false">IF(G1673="","",C1673/C1672-1)</f>
        <v>0.011119068006497</v>
      </c>
      <c r="J1673" s="17" t="n">
        <f aca="false">AVERAGE(C1474:C1673)</f>
        <v>6488.80615</v>
      </c>
      <c r="K1673" s="17" t="n">
        <f aca="false">MAX(K1672,C1673)</f>
        <v>19650.01</v>
      </c>
      <c r="L1673" s="25" t="n">
        <f aca="false">C1673/K1673-1</f>
        <v>-0.463966176098638</v>
      </c>
      <c r="M1673" s="25" t="n">
        <f aca="false">IF(COUNT(G1644:G1673)&lt;20,"",_xlfn.STDEV.S(G1644:G1673)*SQRT($R$3))</f>
        <v>0.975180944604383</v>
      </c>
      <c r="N1673" s="25" t="n">
        <f aca="false">IF(A1673-7&lt;$R$2,"",C1673/INDEX(Clean_Data!$C$2:$C$4314,MATCH(A1673-7,Clean_Data!$A$2:$A$4314,1))-1)</f>
        <v>0.0702207690338104</v>
      </c>
      <c r="O1673" s="25" t="n">
        <f aca="false">IF(A1673-30&lt;$R$2,"",C1673/INDEX(Clean_Data!$C$2:$C$4314,MATCH(A1673-30,Clean_Data!$A$2:$A$4314,1))-1)</f>
        <v>-0.123894894702565</v>
      </c>
    </row>
    <row r="1674" customFormat="false" ht="15" hidden="false" customHeight="false" outlineLevel="0" collapsed="false">
      <c r="A1674" s="16" t="n">
        <v>43680</v>
      </c>
      <c r="B1674" s="23" t="n">
        <f aca="false">YEAR(A1674)</f>
        <v>2019</v>
      </c>
      <c r="C1674" s="17" t="n">
        <v>10820.75</v>
      </c>
      <c r="D1674" s="23" t="n">
        <f aca="false">A1674-A1673</f>
        <v>1</v>
      </c>
      <c r="E1674" s="24" t="n">
        <f aca="false">LN(C1674)</f>
        <v>9.28922086607956</v>
      </c>
      <c r="F1674" s="25" t="n">
        <f aca="false">LN(C1674/C1673)</f>
        <v>0.0269457554851663</v>
      </c>
      <c r="G1674" s="25" t="n">
        <f aca="false">IF(AND(D1674=1,A1674&gt;=$R$2),F1674,"")</f>
        <v>0.0269457554851663</v>
      </c>
      <c r="H1674" s="27" t="n">
        <f aca="false">IF(G1674="","",G1674^2)</f>
        <v>0.000726073738666372</v>
      </c>
      <c r="I1674" s="25" t="n">
        <f aca="false">IF(G1674="","",C1674/C1673-1)</f>
        <v>0.0273120752069436</v>
      </c>
      <c r="J1674" s="17" t="n">
        <f aca="false">AVERAGE(C1475:C1674)</f>
        <v>6525.0061</v>
      </c>
      <c r="K1674" s="17" t="n">
        <f aca="false">MAX(K1673,C1674)</f>
        <v>19650.01</v>
      </c>
      <c r="L1674" s="25" t="n">
        <f aca="false">C1674/K1674-1</f>
        <v>-0.449325979986779</v>
      </c>
      <c r="M1674" s="25" t="n">
        <f aca="false">IF(COUNT(G1645:G1674)&lt;20,"",_xlfn.STDEV.S(G1645:G1674)*SQRT($R$3))</f>
        <v>0.944659785915623</v>
      </c>
      <c r="N1674" s="25" t="n">
        <f aca="false">IF(A1674-7&lt;$R$2,"",C1674/INDEX(Clean_Data!$C$2:$C$4314,MATCH(A1674-7,Clean_Data!$A$2:$A$4314,1))-1)</f>
        <v>0.142764961579568</v>
      </c>
      <c r="O1674" s="25" t="n">
        <f aca="false">IF(A1674-30&lt;$R$2,"",C1674/INDEX(Clean_Data!$C$2:$C$4314,MATCH(A1674-30,Clean_Data!$A$2:$A$4314,1))-1)</f>
        <v>-0.0278682412552388</v>
      </c>
    </row>
    <row r="1675" customFormat="false" ht="15" hidden="false" customHeight="false" outlineLevel="0" collapsed="false">
      <c r="A1675" s="16" t="n">
        <v>43681</v>
      </c>
      <c r="B1675" s="23" t="n">
        <f aca="false">YEAR(A1675)</f>
        <v>2019</v>
      </c>
      <c r="C1675" s="17" t="n">
        <v>10997.82</v>
      </c>
      <c r="D1675" s="23" t="n">
        <f aca="false">A1675-A1674</f>
        <v>1</v>
      </c>
      <c r="E1675" s="24" t="n">
        <f aca="false">LN(C1675)</f>
        <v>9.30545235032171</v>
      </c>
      <c r="F1675" s="25" t="n">
        <f aca="false">LN(C1675/C1674)</f>
        <v>0.0162314842421595</v>
      </c>
      <c r="G1675" s="25" t="n">
        <f aca="false">IF(AND(D1675=1,A1675&gt;=$R$2),F1675,"")</f>
        <v>0.0162314842421595</v>
      </c>
      <c r="H1675" s="27" t="n">
        <f aca="false">IF(G1675="","",G1675^2)</f>
        <v>0.000263461080703471</v>
      </c>
      <c r="I1675" s="25" t="n">
        <f aca="false">IF(G1675="","",C1675/C1674-1)</f>
        <v>0.016363930411478</v>
      </c>
      <c r="J1675" s="17" t="n">
        <f aca="false">AVERAGE(C1476:C1675)</f>
        <v>6561.94665</v>
      </c>
      <c r="K1675" s="17" t="n">
        <f aca="false">MAX(K1674,C1675)</f>
        <v>19650.01</v>
      </c>
      <c r="L1675" s="25" t="n">
        <f aca="false">C1675/K1675-1</f>
        <v>-0.440314788643873</v>
      </c>
      <c r="M1675" s="25" t="n">
        <f aca="false">IF(COUNT(G1646:G1675)&lt;20,"",_xlfn.STDEV.S(G1646:G1675)*SQRT($R$3))</f>
        <v>0.946125817102691</v>
      </c>
      <c r="N1675" s="25" t="n">
        <f aca="false">IF(A1675-7&lt;$R$2,"",C1675/INDEX(Clean_Data!$C$2:$C$4314,MATCH(A1675-7,Clean_Data!$A$2:$A$4314,1))-1)</f>
        <v>0.151640365665937</v>
      </c>
      <c r="O1675" s="25" t="n">
        <f aca="false">IF(A1675-30&lt;$R$2,"",C1675/INDEX(Clean_Data!$C$2:$C$4314,MATCH(A1675-30,Clean_Data!$A$2:$A$4314,1))-1)</f>
        <v>-0.00369521162537678</v>
      </c>
    </row>
    <row r="1676" customFormat="false" ht="15" hidden="false" customHeight="false" outlineLevel="0" collapsed="false">
      <c r="A1676" s="16" t="n">
        <v>43682</v>
      </c>
      <c r="B1676" s="23" t="n">
        <f aca="false">YEAR(A1676)</f>
        <v>2019</v>
      </c>
      <c r="C1676" s="17" t="n">
        <v>11775.14</v>
      </c>
      <c r="D1676" s="23" t="n">
        <f aca="false">A1676-A1675</f>
        <v>1</v>
      </c>
      <c r="E1676" s="24" t="n">
        <f aca="false">LN(C1676)</f>
        <v>9.37374580841054</v>
      </c>
      <c r="F1676" s="25" t="n">
        <f aca="false">LN(C1676/C1675)</f>
        <v>0.0682934580888266</v>
      </c>
      <c r="G1676" s="25" t="n">
        <f aca="false">IF(AND(D1676=1,A1676&gt;=$R$2),F1676,"")</f>
        <v>0.0682934580888266</v>
      </c>
      <c r="H1676" s="27" t="n">
        <f aca="false">IF(G1676="","",G1676^2)</f>
        <v>0.00466399641773031</v>
      </c>
      <c r="I1676" s="25" t="n">
        <f aca="false">IF(G1676="","",C1676/C1675-1)</f>
        <v>0.070679461929728</v>
      </c>
      <c r="J1676" s="17" t="n">
        <f aca="false">AVERAGE(C1477:C1676)</f>
        <v>6602.6191</v>
      </c>
      <c r="K1676" s="17" t="n">
        <f aca="false">MAX(K1675,C1676)</f>
        <v>19650.01</v>
      </c>
      <c r="L1676" s="25" t="n">
        <f aca="false">C1676/K1676-1</f>
        <v>-0.400756539055196</v>
      </c>
      <c r="M1676" s="25" t="n">
        <f aca="false">IF(COUNT(G1647:G1676)&lt;20,"",_xlfn.STDEV.S(G1647:G1676)*SQRT($R$3))</f>
        <v>0.974933395841635</v>
      </c>
      <c r="N1676" s="25" t="n">
        <f aca="false">IF(A1676-7&lt;$R$2,"",C1676/INDEX(Clean_Data!$C$2:$C$4314,MATCH(A1676-7,Clean_Data!$A$2:$A$4314,1))-1)</f>
        <v>0.239055403795726</v>
      </c>
      <c r="O1676" s="25" t="n">
        <f aca="false">IF(A1676-30&lt;$R$2,"",C1676/INDEX(Clean_Data!$C$2:$C$4314,MATCH(A1676-30,Clean_Data!$A$2:$A$4314,1))-1)</f>
        <v>0.052498257029979</v>
      </c>
    </row>
    <row r="1677" customFormat="false" ht="15" hidden="false" customHeight="false" outlineLevel="0" collapsed="false">
      <c r="A1677" s="16" t="n">
        <v>43683</v>
      </c>
      <c r="B1677" s="23" t="n">
        <f aca="false">YEAR(A1677)</f>
        <v>2019</v>
      </c>
      <c r="C1677" s="17" t="n">
        <v>11440.08</v>
      </c>
      <c r="D1677" s="23" t="n">
        <f aca="false">A1677-A1676</f>
        <v>1</v>
      </c>
      <c r="E1677" s="24" t="n">
        <f aca="false">LN(C1677)</f>
        <v>9.34487825791633</v>
      </c>
      <c r="F1677" s="25" t="n">
        <f aca="false">LN(C1677/C1676)</f>
        <v>-0.0288675504942098</v>
      </c>
      <c r="G1677" s="25" t="n">
        <f aca="false">IF(AND(D1677=1,A1677&gt;=$R$2),F1677,"")</f>
        <v>-0.0288675504942098</v>
      </c>
      <c r="H1677" s="27" t="n">
        <f aca="false">IF(G1677="","",G1677^2)</f>
        <v>0.000833335471535755</v>
      </c>
      <c r="I1677" s="25" t="n">
        <f aca="false">IF(G1677="","",C1677/C1676-1)</f>
        <v>-0.0284548633816668</v>
      </c>
      <c r="J1677" s="17" t="n">
        <f aca="false">AVERAGE(C1478:C1677)</f>
        <v>6641.78025</v>
      </c>
      <c r="K1677" s="17" t="n">
        <f aca="false">MAX(K1676,C1677)</f>
        <v>19650.01</v>
      </c>
      <c r="L1677" s="25" t="n">
        <f aca="false">C1677/K1677-1</f>
        <v>-0.417807929868738</v>
      </c>
      <c r="M1677" s="25" t="n">
        <f aca="false">IF(COUNT(G1648:G1677)&lt;20,"",_xlfn.STDEV.S(G1648:G1677)*SQRT($R$3))</f>
        <v>0.976612906598805</v>
      </c>
      <c r="N1677" s="25" t="n">
        <f aca="false">IF(A1677-7&lt;$R$2,"",C1677/INDEX(Clean_Data!$C$2:$C$4314,MATCH(A1677-7,Clean_Data!$A$2:$A$4314,1))-1)</f>
        <v>0.194162839248434</v>
      </c>
      <c r="O1677" s="25" t="n">
        <f aca="false">IF(A1677-30&lt;$R$2,"",C1677/INDEX(Clean_Data!$C$2:$C$4314,MATCH(A1677-30,Clean_Data!$A$2:$A$4314,1))-1)</f>
        <v>-0.00338185714659067</v>
      </c>
    </row>
    <row r="1678" customFormat="false" ht="15" hidden="false" customHeight="false" outlineLevel="0" collapsed="false">
      <c r="A1678" s="16" t="n">
        <v>43684</v>
      </c>
      <c r="B1678" s="23" t="n">
        <f aca="false">YEAR(A1678)</f>
        <v>2019</v>
      </c>
      <c r="C1678" s="17" t="n">
        <v>12014.41</v>
      </c>
      <c r="D1678" s="23" t="n">
        <f aca="false">A1678-A1677</f>
        <v>1</v>
      </c>
      <c r="E1678" s="24" t="n">
        <f aca="false">LN(C1678)</f>
        <v>9.39386204167981</v>
      </c>
      <c r="F1678" s="25" t="n">
        <f aca="false">LN(C1678/C1677)</f>
        <v>0.0489837837634741</v>
      </c>
      <c r="G1678" s="25" t="n">
        <f aca="false">IF(AND(D1678=1,A1678&gt;=$R$2),F1678,"")</f>
        <v>0.0489837837634741</v>
      </c>
      <c r="H1678" s="27" t="n">
        <f aca="false">IF(G1678="","",G1678^2)</f>
        <v>0.00239941107178679</v>
      </c>
      <c r="I1678" s="25" t="n">
        <f aca="false">IF(G1678="","",C1678/C1677-1)</f>
        <v>0.0502033202565018</v>
      </c>
      <c r="J1678" s="17" t="n">
        <f aca="false">AVERAGE(C1479:C1678)</f>
        <v>6683.43905</v>
      </c>
      <c r="K1678" s="17" t="n">
        <f aca="false">MAX(K1677,C1678)</f>
        <v>19650.01</v>
      </c>
      <c r="L1678" s="25" t="n">
        <f aca="false">C1678/K1678-1</f>
        <v>-0.388579954921143</v>
      </c>
      <c r="M1678" s="25" t="n">
        <f aca="false">IF(COUNT(G1649:G1678)&lt;20,"",_xlfn.STDEV.S(G1649:G1678)*SQRT($R$3))</f>
        <v>0.961202306443862</v>
      </c>
      <c r="N1678" s="25" t="n">
        <f aca="false">IF(A1678-7&lt;$R$2,"",C1678/INDEX(Clean_Data!$C$2:$C$4314,MATCH(A1678-7,Clean_Data!$A$2:$A$4314,1))-1)</f>
        <v>0.189663333003268</v>
      </c>
      <c r="O1678" s="25" t="n">
        <f aca="false">IF(A1678-30&lt;$R$2,"",C1678/INDEX(Clean_Data!$C$2:$C$4314,MATCH(A1678-30,Clean_Data!$A$2:$A$4314,1))-1)</f>
        <v>-0.0230844725820052</v>
      </c>
    </row>
    <row r="1679" customFormat="false" ht="15" hidden="false" customHeight="false" outlineLevel="0" collapsed="false">
      <c r="A1679" s="16" t="n">
        <v>43685</v>
      </c>
      <c r="B1679" s="23" t="n">
        <f aca="false">YEAR(A1679)</f>
        <v>2019</v>
      </c>
      <c r="C1679" s="17" t="n">
        <v>12017.89</v>
      </c>
      <c r="D1679" s="23" t="n">
        <f aca="false">A1679-A1678</f>
        <v>1</v>
      </c>
      <c r="E1679" s="24" t="n">
        <f aca="false">LN(C1679)</f>
        <v>9.39415165191472</v>
      </c>
      <c r="F1679" s="25" t="n">
        <f aca="false">LN(C1679/C1678)</f>
        <v>0.000289610234919002</v>
      </c>
      <c r="G1679" s="25" t="n">
        <f aca="false">IF(AND(D1679=1,A1679&gt;=$R$2),F1679,"")</f>
        <v>0.000289610234919002</v>
      </c>
      <c r="H1679" s="27" t="n">
        <f aca="false">IF(G1679="","",G1679^2)</f>
        <v>8.38740881698393E-008</v>
      </c>
      <c r="I1679" s="25" t="n">
        <f aca="false">IF(G1679="","",C1679/C1678-1)</f>
        <v>0.000289652176011845</v>
      </c>
      <c r="J1679" s="17" t="n">
        <f aca="false">AVERAGE(C1480:C1679)</f>
        <v>6725.84755</v>
      </c>
      <c r="K1679" s="17" t="n">
        <f aca="false">MAX(K1678,C1679)</f>
        <v>19650.01</v>
      </c>
      <c r="L1679" s="25" t="n">
        <f aca="false">C1679/K1679-1</f>
        <v>-0.388402855774628</v>
      </c>
      <c r="M1679" s="25" t="n">
        <f aca="false">IF(COUNT(G1650:G1679)&lt;20,"",_xlfn.STDEV.S(G1650:G1679)*SQRT($R$3))</f>
        <v>0.958001899843867</v>
      </c>
      <c r="N1679" s="25" t="n">
        <f aca="false">IF(A1679-7&lt;$R$2,"",C1679/INDEX(Clean_Data!$C$2:$C$4314,MATCH(A1679-7,Clean_Data!$A$2:$A$4314,1))-1)</f>
        <v>0.153653942886983</v>
      </c>
      <c r="O1679" s="25" t="n">
        <f aca="false">IF(A1679-30&lt;$R$2,"",C1679/INDEX(Clean_Data!$C$2:$C$4314,MATCH(A1679-30,Clean_Data!$A$2:$A$4314,1))-1)</f>
        <v>-0.0431204844794283</v>
      </c>
    </row>
    <row r="1680" customFormat="false" ht="15" hidden="false" customHeight="false" outlineLevel="0" collapsed="false">
      <c r="A1680" s="16" t="n">
        <v>43686</v>
      </c>
      <c r="B1680" s="23" t="n">
        <f aca="false">YEAR(A1680)</f>
        <v>2019</v>
      </c>
      <c r="C1680" s="17" t="n">
        <v>11889</v>
      </c>
      <c r="D1680" s="23" t="n">
        <f aca="false">A1680-A1679</f>
        <v>1</v>
      </c>
      <c r="E1680" s="24" t="n">
        <f aca="false">LN(C1680)</f>
        <v>9.38336888185854</v>
      </c>
      <c r="F1680" s="25" t="n">
        <f aca="false">LN(C1680/C1679)</f>
        <v>-0.0107827700561793</v>
      </c>
      <c r="G1680" s="25" t="n">
        <f aca="false">IF(AND(D1680=1,A1680&gt;=$R$2),F1680,"")</f>
        <v>-0.0107827700561793</v>
      </c>
      <c r="H1680" s="27" t="n">
        <f aca="false">IF(G1680="","",G1680^2)</f>
        <v>0.000116268130084437</v>
      </c>
      <c r="I1680" s="25" t="n">
        <f aca="false">IF(G1680="","",C1680/C1679-1)</f>
        <v>-0.0107248443778399</v>
      </c>
      <c r="J1680" s="17" t="n">
        <f aca="false">AVERAGE(C1481:C1680)</f>
        <v>6767.63375</v>
      </c>
      <c r="K1680" s="17" t="n">
        <f aca="false">MAX(K1679,C1680)</f>
        <v>19650.01</v>
      </c>
      <c r="L1680" s="25" t="n">
        <f aca="false">C1680/K1680-1</f>
        <v>-0.394962139968377</v>
      </c>
      <c r="M1680" s="25" t="n">
        <f aca="false">IF(COUNT(G1651:G1680)&lt;20,"",_xlfn.STDEV.S(G1651:G1680)*SQRT($R$3))</f>
        <v>0.949273919413564</v>
      </c>
      <c r="N1680" s="25" t="n">
        <f aca="false">IF(A1680-7&lt;$R$2,"",C1680/INDEX(Clean_Data!$C$2:$C$4314,MATCH(A1680-7,Clean_Data!$A$2:$A$4314,1))-1)</f>
        <v>0.128730749914318</v>
      </c>
      <c r="O1680" s="25" t="n">
        <f aca="false">IF(A1680-30&lt;$R$2,"",C1680/INDEX(Clean_Data!$C$2:$C$4314,MATCH(A1680-30,Clean_Data!$A$2:$A$4314,1))-1)</f>
        <v>-0.0160662013898716</v>
      </c>
    </row>
    <row r="1681" customFormat="false" ht="15" hidden="false" customHeight="false" outlineLevel="0" collapsed="false">
      <c r="A1681" s="16" t="n">
        <v>43687</v>
      </c>
      <c r="B1681" s="23" t="n">
        <f aca="false">YEAR(A1681)</f>
        <v>2019</v>
      </c>
      <c r="C1681" s="17" t="n">
        <v>11283.82</v>
      </c>
      <c r="D1681" s="23" t="n">
        <f aca="false">A1681-A1680</f>
        <v>1</v>
      </c>
      <c r="E1681" s="24" t="n">
        <f aca="false">LN(C1681)</f>
        <v>9.33112512020451</v>
      </c>
      <c r="F1681" s="25" t="n">
        <f aca="false">LN(C1681/C1680)</f>
        <v>-0.0522437616540343</v>
      </c>
      <c r="G1681" s="25" t="n">
        <f aca="false">IF(AND(D1681=1,A1681&gt;=$R$2),F1681,"")</f>
        <v>-0.0522437616540343</v>
      </c>
      <c r="H1681" s="27" t="n">
        <f aca="false">IF(G1681="","",G1681^2)</f>
        <v>0.00272941063176355</v>
      </c>
      <c r="I1681" s="25" t="n">
        <f aca="false">IF(G1681="","",C1681/C1680-1)</f>
        <v>-0.0509025149297671</v>
      </c>
      <c r="J1681" s="17" t="n">
        <f aca="false">AVERAGE(C1482:C1681)</f>
        <v>6806.1677</v>
      </c>
      <c r="K1681" s="17" t="n">
        <f aca="false">MAX(K1680,C1681)</f>
        <v>19650.01</v>
      </c>
      <c r="L1681" s="25" t="n">
        <f aca="false">C1681/K1681-1</f>
        <v>-0.425760088671711</v>
      </c>
      <c r="M1681" s="25" t="n">
        <f aca="false">IF(COUNT(G1652:G1681)&lt;20,"",_xlfn.STDEV.S(G1652:G1681)*SQRT($R$3))</f>
        <v>0.939457964537309</v>
      </c>
      <c r="N1681" s="25" t="n">
        <f aca="false">IF(A1681-7&lt;$R$2,"",C1681/INDEX(Clean_Data!$C$2:$C$4314,MATCH(A1681-7,Clean_Data!$A$2:$A$4314,1))-1)</f>
        <v>0.0427946306864127</v>
      </c>
      <c r="O1681" s="25" t="n">
        <f aca="false">IF(A1681-30&lt;$R$2,"",C1681/INDEX(Clean_Data!$C$2:$C$4314,MATCH(A1681-30,Clean_Data!$A$2:$A$4314,1))-1)</f>
        <v>-0.00354381642448098</v>
      </c>
    </row>
    <row r="1682" customFormat="false" ht="15" hidden="false" customHeight="false" outlineLevel="0" collapsed="false">
      <c r="A1682" s="16" t="n">
        <v>43688</v>
      </c>
      <c r="B1682" s="23" t="n">
        <f aca="false">YEAR(A1682)</f>
        <v>2019</v>
      </c>
      <c r="C1682" s="17" t="n">
        <v>11531.95</v>
      </c>
      <c r="D1682" s="23" t="n">
        <f aca="false">A1682-A1681</f>
        <v>1</v>
      </c>
      <c r="E1682" s="24" t="n">
        <f aca="false">LN(C1682)</f>
        <v>9.35287672298753</v>
      </c>
      <c r="F1682" s="25" t="n">
        <f aca="false">LN(C1682/C1681)</f>
        <v>0.0217516027830234</v>
      </c>
      <c r="G1682" s="25" t="n">
        <f aca="false">IF(AND(D1682=1,A1682&gt;=$R$2),F1682,"")</f>
        <v>0.0217516027830234</v>
      </c>
      <c r="H1682" s="27" t="n">
        <f aca="false">IF(G1682="","",G1682^2)</f>
        <v>0.000473132223630432</v>
      </c>
      <c r="I1682" s="25" t="n">
        <f aca="false">IF(G1682="","",C1682/C1681-1)</f>
        <v>0.0219898934935157</v>
      </c>
      <c r="J1682" s="17" t="n">
        <f aca="false">AVERAGE(C1483:C1682)</f>
        <v>6846.0624</v>
      </c>
      <c r="K1682" s="17" t="n">
        <f aca="false">MAX(K1681,C1682)</f>
        <v>19650.01</v>
      </c>
      <c r="L1682" s="25" t="n">
        <f aca="false">C1682/K1682-1</f>
        <v>-0.413132614181876</v>
      </c>
      <c r="M1682" s="25" t="n">
        <f aca="false">IF(COUNT(G1653:G1682)&lt;20,"",_xlfn.STDEV.S(G1653:G1682)*SQRT($R$3))</f>
        <v>0.930532687033771</v>
      </c>
      <c r="N1682" s="25" t="n">
        <f aca="false">IF(A1682-7&lt;$R$2,"",C1682/INDEX(Clean_Data!$C$2:$C$4314,MATCH(A1682-7,Clean_Data!$A$2:$A$4314,1))-1)</f>
        <v>0.0485668978033829</v>
      </c>
      <c r="O1682" s="25" t="n">
        <f aca="false">IF(A1682-30&lt;$R$2,"",C1682/INDEX(Clean_Data!$C$2:$C$4314,MATCH(A1682-30,Clean_Data!$A$2:$A$4314,1))-1)</f>
        <v>-0.0237081135354837</v>
      </c>
    </row>
    <row r="1683" customFormat="false" ht="15" hidden="false" customHeight="false" outlineLevel="0" collapsed="false">
      <c r="A1683" s="16" t="n">
        <v>43689</v>
      </c>
      <c r="B1683" s="23" t="n">
        <f aca="false">YEAR(A1683)</f>
        <v>2019</v>
      </c>
      <c r="C1683" s="17" t="n">
        <v>11387.38</v>
      </c>
      <c r="D1683" s="23" t="n">
        <f aca="false">A1683-A1682</f>
        <v>1</v>
      </c>
      <c r="E1683" s="24" t="n">
        <f aca="false">LN(C1683)</f>
        <v>9.34026100364222</v>
      </c>
      <c r="F1683" s="25" t="n">
        <f aca="false">LN(C1683/C1682)</f>
        <v>-0.0126157193453158</v>
      </c>
      <c r="G1683" s="25" t="n">
        <f aca="false">IF(AND(D1683=1,A1683&gt;=$R$2),F1683,"")</f>
        <v>-0.0126157193453158</v>
      </c>
      <c r="H1683" s="27" t="n">
        <f aca="false">IF(G1683="","",G1683^2)</f>
        <v>0.000159156374599776</v>
      </c>
      <c r="I1683" s="25" t="n">
        <f aca="false">IF(G1683="","",C1683/C1682-1)</f>
        <v>-0.0125364747505844</v>
      </c>
      <c r="J1683" s="17" t="n">
        <f aca="false">AVERAGE(C1484:C1683)</f>
        <v>6885.15445</v>
      </c>
      <c r="K1683" s="17" t="n">
        <f aca="false">MAX(K1682,C1683)</f>
        <v>19650.01</v>
      </c>
      <c r="L1683" s="25" t="n">
        <f aca="false">C1683/K1683-1</f>
        <v>-0.420489862346126</v>
      </c>
      <c r="M1683" s="25" t="n">
        <f aca="false">IF(COUNT(G1654:G1683)&lt;20,"",_xlfn.STDEV.S(G1654:G1683)*SQRT($R$3))</f>
        <v>0.923525556605993</v>
      </c>
      <c r="N1683" s="25" t="n">
        <f aca="false">IF(A1683-7&lt;$R$2,"",C1683/INDEX(Clean_Data!$C$2:$C$4314,MATCH(A1683-7,Clean_Data!$A$2:$A$4314,1))-1)</f>
        <v>-0.0329303940335317</v>
      </c>
      <c r="O1683" s="25" t="n">
        <f aca="false">IF(A1683-30&lt;$R$2,"",C1683/INDEX(Clean_Data!$C$2:$C$4314,MATCH(A1683-30,Clean_Data!$A$2:$A$4314,1))-1)</f>
        <v>-0.00181625336383806</v>
      </c>
    </row>
    <row r="1684" customFormat="false" ht="15" hidden="false" customHeight="false" outlineLevel="0" collapsed="false">
      <c r="A1684" s="16" t="n">
        <v>43690</v>
      </c>
      <c r="B1684" s="23" t="n">
        <f aca="false">YEAR(A1684)</f>
        <v>2019</v>
      </c>
      <c r="C1684" s="17" t="n">
        <v>10855.58</v>
      </c>
      <c r="D1684" s="23" t="n">
        <f aca="false">A1684-A1683</f>
        <v>1</v>
      </c>
      <c r="E1684" s="24" t="n">
        <f aca="false">LN(C1684)</f>
        <v>9.29243451248332</v>
      </c>
      <c r="F1684" s="25" t="n">
        <f aca="false">LN(C1684/C1683)</f>
        <v>-0.047826491158901</v>
      </c>
      <c r="G1684" s="25" t="n">
        <f aca="false">IF(AND(D1684=1,A1684&gt;=$R$2),F1684,"")</f>
        <v>-0.047826491158901</v>
      </c>
      <c r="H1684" s="27" t="n">
        <f aca="false">IF(G1684="","",G1684^2)</f>
        <v>0.00228737325657244</v>
      </c>
      <c r="I1684" s="25" t="n">
        <f aca="false">IF(G1684="","",C1684/C1683-1)</f>
        <v>-0.0467008214356595</v>
      </c>
      <c r="J1684" s="17" t="n">
        <f aca="false">AVERAGE(C1485:C1684)</f>
        <v>6921.6215</v>
      </c>
      <c r="K1684" s="17" t="n">
        <f aca="false">MAX(K1683,C1684)</f>
        <v>19650.01</v>
      </c>
      <c r="L1684" s="25" t="n">
        <f aca="false">C1684/K1684-1</f>
        <v>-0.447553461804854</v>
      </c>
      <c r="M1684" s="25" t="n">
        <f aca="false">IF(COUNT(G1655:G1684)&lt;20,"",_xlfn.STDEV.S(G1655:G1684)*SQRT($R$3))</f>
        <v>0.848313758167027</v>
      </c>
      <c r="N1684" s="25" t="n">
        <f aca="false">IF(A1684-7&lt;$R$2,"",C1684/INDEX(Clean_Data!$C$2:$C$4314,MATCH(A1684-7,Clean_Data!$A$2:$A$4314,1))-1)</f>
        <v>-0.0510923000538458</v>
      </c>
      <c r="O1684" s="25" t="n">
        <f aca="false">IF(A1684-30&lt;$R$2,"",C1684/INDEX(Clean_Data!$C$2:$C$4314,MATCH(A1684-30,Clean_Data!$A$2:$A$4314,1))-1)</f>
        <v>0.0652793424373623</v>
      </c>
    </row>
    <row r="1685" customFormat="false" ht="15" hidden="false" customHeight="false" outlineLevel="0" collapsed="false">
      <c r="A1685" s="16" t="n">
        <v>43691</v>
      </c>
      <c r="B1685" s="23" t="n">
        <f aca="false">YEAR(A1685)</f>
        <v>2019</v>
      </c>
      <c r="C1685" s="17" t="n">
        <v>10105.34</v>
      </c>
      <c r="D1685" s="23" t="n">
        <f aca="false">A1685-A1684</f>
        <v>1</v>
      </c>
      <c r="E1685" s="24" t="n">
        <f aca="false">LN(C1685)</f>
        <v>9.22081927598123</v>
      </c>
      <c r="F1685" s="25" t="n">
        <f aca="false">LN(C1685/C1684)</f>
        <v>-0.0716152365020837</v>
      </c>
      <c r="G1685" s="25" t="n">
        <f aca="false">IF(AND(D1685=1,A1685&gt;=$R$2),F1685,"")</f>
        <v>-0.0716152365020837</v>
      </c>
      <c r="H1685" s="27" t="n">
        <f aca="false">IF(G1685="","",G1685^2)</f>
        <v>0.00512874209924938</v>
      </c>
      <c r="I1685" s="25" t="n">
        <f aca="false">IF(G1685="","",C1685/C1684-1)</f>
        <v>-0.0691110009782987</v>
      </c>
      <c r="J1685" s="17" t="n">
        <f aca="false">AVERAGE(C1486:C1685)</f>
        <v>6954.36785</v>
      </c>
      <c r="K1685" s="17" t="n">
        <f aca="false">MAX(K1684,C1685)</f>
        <v>19650.01</v>
      </c>
      <c r="L1685" s="25" t="n">
        <f aca="false">C1685/K1685-1</f>
        <v>-0.485733595046517</v>
      </c>
      <c r="M1685" s="25" t="n">
        <f aca="false">IF(COUNT(G1656:G1685)&lt;20,"",_xlfn.STDEV.S(G1656:G1685)*SQRT($R$3))</f>
        <v>0.856379225224163</v>
      </c>
      <c r="N1685" s="25" t="n">
        <f aca="false">IF(A1685-7&lt;$R$2,"",C1685/INDEX(Clean_Data!$C$2:$C$4314,MATCH(A1685-7,Clean_Data!$A$2:$A$4314,1))-1)</f>
        <v>-0.158898356223901</v>
      </c>
      <c r="O1685" s="25" t="n">
        <f aca="false">IF(A1685-30&lt;$R$2,"",C1685/INDEX(Clean_Data!$C$2:$C$4314,MATCH(A1685-30,Clean_Data!$A$2:$A$4314,1))-1)</f>
        <v>-0.0691092859327386</v>
      </c>
    </row>
    <row r="1686" customFormat="false" ht="15" hidden="false" customHeight="false" outlineLevel="0" collapsed="false">
      <c r="A1686" s="16" t="n">
        <v>43692</v>
      </c>
      <c r="B1686" s="23" t="n">
        <f aca="false">YEAR(A1686)</f>
        <v>2019</v>
      </c>
      <c r="C1686" s="17" t="n">
        <v>10280.96</v>
      </c>
      <c r="D1686" s="23" t="n">
        <f aca="false">A1686-A1685</f>
        <v>1</v>
      </c>
      <c r="E1686" s="24" t="n">
        <f aca="false">LN(C1686)</f>
        <v>9.23804891986304</v>
      </c>
      <c r="F1686" s="25" t="n">
        <f aca="false">LN(C1686/C1685)</f>
        <v>0.0172296438818028</v>
      </c>
      <c r="G1686" s="25" t="n">
        <f aca="false">IF(AND(D1686=1,A1686&gt;=$R$2),F1686,"")</f>
        <v>0.0172296438818028</v>
      </c>
      <c r="H1686" s="27" t="n">
        <f aca="false">IF(G1686="","",G1686^2)</f>
        <v>0.000296860628293744</v>
      </c>
      <c r="I1686" s="25" t="n">
        <f aca="false">IF(G1686="","",C1686/C1685-1)</f>
        <v>0.017378930347717</v>
      </c>
      <c r="J1686" s="17" t="n">
        <f aca="false">AVERAGE(C1487:C1686)</f>
        <v>6988.11755</v>
      </c>
      <c r="K1686" s="17" t="n">
        <f aca="false">MAX(K1685,C1686)</f>
        <v>19650.01</v>
      </c>
      <c r="L1686" s="25" t="n">
        <f aca="false">C1686/K1686-1</f>
        <v>-0.476796195014659</v>
      </c>
      <c r="M1686" s="25" t="n">
        <f aca="false">IF(COUNT(G1657:G1686)&lt;20,"",_xlfn.STDEV.S(G1657:G1686)*SQRT($R$3))</f>
        <v>0.699275245060915</v>
      </c>
      <c r="N1686" s="25" t="n">
        <f aca="false">IF(A1686-7&lt;$R$2,"",C1686/INDEX(Clean_Data!$C$2:$C$4314,MATCH(A1686-7,Clean_Data!$A$2:$A$4314,1))-1)</f>
        <v>-0.144528698465371</v>
      </c>
      <c r="O1686" s="25" t="n">
        <f aca="false">IF(A1686-30&lt;$R$2,"",C1686/INDEX(Clean_Data!$C$2:$C$4314,MATCH(A1686-30,Clean_Data!$A$2:$A$4314,1))-1)</f>
        <v>0.0895464179737175</v>
      </c>
    </row>
    <row r="1687" customFormat="false" ht="15" hidden="false" customHeight="false" outlineLevel="0" collapsed="false">
      <c r="A1687" s="16" t="n">
        <v>43693</v>
      </c>
      <c r="B1687" s="23" t="n">
        <f aca="false">YEAR(A1687)</f>
        <v>2019</v>
      </c>
      <c r="C1687" s="17" t="n">
        <v>10368.83</v>
      </c>
      <c r="D1687" s="23" t="n">
        <f aca="false">A1687-A1686</f>
        <v>1</v>
      </c>
      <c r="E1687" s="24" t="n">
        <f aca="false">LN(C1687)</f>
        <v>9.24655946940025</v>
      </c>
      <c r="F1687" s="25" t="n">
        <f aca="false">LN(C1687/C1686)</f>
        <v>0.00851054953721396</v>
      </c>
      <c r="G1687" s="25" t="n">
        <f aca="false">IF(AND(D1687=1,A1687&gt;=$R$2),F1687,"")</f>
        <v>0.00851054953721396</v>
      </c>
      <c r="H1687" s="27" t="n">
        <f aca="false">IF(G1687="","",G1687^2)</f>
        <v>7.24294534253727E-005</v>
      </c>
      <c r="I1687" s="25" t="n">
        <f aca="false">IF(G1687="","",C1687/C1686-1)</f>
        <v>0.00854686721862552</v>
      </c>
      <c r="J1687" s="17" t="n">
        <f aca="false">AVERAGE(C1488:C1687)</f>
        <v>7022.81195</v>
      </c>
      <c r="K1687" s="17" t="n">
        <f aca="false">MAX(K1686,C1687)</f>
        <v>19650.01</v>
      </c>
      <c r="L1687" s="25" t="n">
        <f aca="false">C1687/K1687-1</f>
        <v>-0.47232444156517</v>
      </c>
      <c r="M1687" s="25" t="n">
        <f aca="false">IF(COUNT(G1658:G1687)&lt;20,"",_xlfn.STDEV.S(G1658:G1687)*SQRT($R$3))</f>
        <v>0.69351412745263</v>
      </c>
      <c r="N1687" s="25" t="n">
        <f aca="false">IF(A1687-7&lt;$R$2,"",C1687/INDEX(Clean_Data!$C$2:$C$4314,MATCH(A1687-7,Clean_Data!$A$2:$A$4314,1))-1)</f>
        <v>-0.127863571368492</v>
      </c>
      <c r="O1687" s="25" t="n">
        <f aca="false">IF(A1687-30&lt;$R$2,"",C1687/INDEX(Clean_Data!$C$2:$C$4314,MATCH(A1687-30,Clean_Data!$A$2:$A$4314,1))-1)</f>
        <v>0.0680101559965185</v>
      </c>
    </row>
    <row r="1688" customFormat="false" ht="15" hidden="false" customHeight="false" outlineLevel="0" collapsed="false">
      <c r="A1688" s="16" t="n">
        <v>43694</v>
      </c>
      <c r="B1688" s="23" t="n">
        <f aca="false">YEAR(A1688)</f>
        <v>2019</v>
      </c>
      <c r="C1688" s="17" t="n">
        <v>10218.37</v>
      </c>
      <c r="D1688" s="23" t="n">
        <f aca="false">A1688-A1687</f>
        <v>1</v>
      </c>
      <c r="E1688" s="24" t="n">
        <f aca="false">LN(C1688)</f>
        <v>9.23194235984389</v>
      </c>
      <c r="F1688" s="25" t="n">
        <f aca="false">LN(C1688/C1687)</f>
        <v>-0.0146171095563654</v>
      </c>
      <c r="G1688" s="25" t="n">
        <f aca="false">IF(AND(D1688=1,A1688&gt;=$R$2),F1688,"")</f>
        <v>-0.0146171095563654</v>
      </c>
      <c r="H1688" s="27" t="n">
        <f aca="false">IF(G1688="","",G1688^2)</f>
        <v>0.000213659891782787</v>
      </c>
      <c r="I1688" s="25" t="n">
        <f aca="false">IF(G1688="","",C1688/C1687-1)</f>
        <v>-0.0145107982289225</v>
      </c>
      <c r="J1688" s="17" t="n">
        <f aca="false">AVERAGE(C1489:C1688)</f>
        <v>7056.9167</v>
      </c>
      <c r="K1688" s="17" t="n">
        <f aca="false">MAX(K1687,C1688)</f>
        <v>19650.01</v>
      </c>
      <c r="L1688" s="25" t="n">
        <f aca="false">C1688/K1688-1</f>
        <v>-0.479981435123952</v>
      </c>
      <c r="M1688" s="25" t="n">
        <f aca="false">IF(COUNT(G1659:G1688)&lt;20,"",_xlfn.STDEV.S(G1659:G1688)*SQRT($R$3))</f>
        <v>0.613179960827323</v>
      </c>
      <c r="N1688" s="25" t="n">
        <f aca="false">IF(A1688-7&lt;$R$2,"",C1688/INDEX(Clean_Data!$C$2:$C$4314,MATCH(A1688-7,Clean_Data!$A$2:$A$4314,1))-1)</f>
        <v>-0.0944228107148111</v>
      </c>
      <c r="O1688" s="25" t="n">
        <f aca="false">IF(A1688-30&lt;$R$2,"",C1688/INDEX(Clean_Data!$C$2:$C$4314,MATCH(A1688-30,Clean_Data!$A$2:$A$4314,1))-1)</f>
        <v>-0.0409113733955933</v>
      </c>
    </row>
    <row r="1689" customFormat="false" ht="15" hidden="false" customHeight="false" outlineLevel="0" collapsed="false">
      <c r="A1689" s="16" t="n">
        <v>43695</v>
      </c>
      <c r="B1689" s="23" t="n">
        <f aca="false">YEAR(A1689)</f>
        <v>2019</v>
      </c>
      <c r="C1689" s="17" t="n">
        <v>10309.04</v>
      </c>
      <c r="D1689" s="23" t="n">
        <f aca="false">A1689-A1688</f>
        <v>1</v>
      </c>
      <c r="E1689" s="24" t="n">
        <f aca="false">LN(C1689)</f>
        <v>9.24077645919362</v>
      </c>
      <c r="F1689" s="25" t="n">
        <f aca="false">LN(C1689/C1688)</f>
        <v>0.00883409934973535</v>
      </c>
      <c r="G1689" s="25" t="n">
        <f aca="false">IF(AND(D1689=1,A1689&gt;=$R$2),F1689,"")</f>
        <v>0.00883409934973535</v>
      </c>
      <c r="H1689" s="27" t="n">
        <f aca="false">IF(G1689="","",G1689^2)</f>
        <v>7.80413113209945E-005</v>
      </c>
      <c r="I1689" s="25" t="n">
        <f aca="false">IF(G1689="","",C1689/C1688-1)</f>
        <v>0.00887323516372973</v>
      </c>
      <c r="J1689" s="17" t="n">
        <f aca="false">AVERAGE(C1490:C1689)</f>
        <v>7091.27415</v>
      </c>
      <c r="K1689" s="17" t="n">
        <f aca="false">MAX(K1688,C1689)</f>
        <v>19650.01</v>
      </c>
      <c r="L1689" s="25" t="n">
        <f aca="false">C1689/K1689-1</f>
        <v>-0.475367188108301</v>
      </c>
      <c r="M1689" s="25" t="n">
        <f aca="false">IF(COUNT(G1660:G1689)&lt;20,"",_xlfn.STDEV.S(G1660:G1689)*SQRT($R$3))</f>
        <v>0.613367933698348</v>
      </c>
      <c r="N1689" s="25" t="n">
        <f aca="false">IF(A1689-7&lt;$R$2,"",C1689/INDEX(Clean_Data!$C$2:$C$4314,MATCH(A1689-7,Clean_Data!$A$2:$A$4314,1))-1)</f>
        <v>-0.10604537827514</v>
      </c>
      <c r="O1689" s="25" t="n">
        <f aca="false">IF(A1689-30&lt;$R$2,"",C1689/INDEX(Clean_Data!$C$2:$C$4314,MATCH(A1689-30,Clean_Data!$A$2:$A$4314,1))-1)</f>
        <v>-0.022658237928563</v>
      </c>
    </row>
    <row r="1690" customFormat="false" ht="15" hidden="false" customHeight="false" outlineLevel="0" collapsed="false">
      <c r="A1690" s="16" t="n">
        <v>43696</v>
      </c>
      <c r="B1690" s="23" t="n">
        <f aca="false">YEAR(A1690)</f>
        <v>2019</v>
      </c>
      <c r="C1690" s="17" t="n">
        <v>10935.67</v>
      </c>
      <c r="D1690" s="23" t="n">
        <f aca="false">A1690-A1689</f>
        <v>1</v>
      </c>
      <c r="E1690" s="24" t="n">
        <f aca="false">LN(C1690)</f>
        <v>9.29978520238156</v>
      </c>
      <c r="F1690" s="25" t="n">
        <f aca="false">LN(C1690/C1689)</f>
        <v>0.0590087431879389</v>
      </c>
      <c r="G1690" s="25" t="n">
        <f aca="false">IF(AND(D1690=1,A1690&gt;=$R$2),F1690,"")</f>
        <v>0.0590087431879389</v>
      </c>
      <c r="H1690" s="27" t="n">
        <f aca="false">IF(G1690="","",G1690^2)</f>
        <v>0.00348203177262013</v>
      </c>
      <c r="I1690" s="25" t="n">
        <f aca="false">IF(G1690="","",C1690/C1689-1)</f>
        <v>0.0607845153379945</v>
      </c>
      <c r="J1690" s="17" t="n">
        <f aca="false">AVERAGE(C1491:C1690)</f>
        <v>7128.895</v>
      </c>
      <c r="K1690" s="17" t="n">
        <f aca="false">MAX(K1689,C1690)</f>
        <v>19650.01</v>
      </c>
      <c r="L1690" s="25" t="n">
        <f aca="false">C1690/K1690-1</f>
        <v>-0.443477636907055</v>
      </c>
      <c r="M1690" s="25" t="n">
        <f aca="false">IF(COUNT(G1661:G1690)&lt;20,"",_xlfn.STDEV.S(G1661:G1690)*SQRT($R$3))</f>
        <v>0.644516344333551</v>
      </c>
      <c r="N1690" s="25" t="n">
        <f aca="false">IF(A1690-7&lt;$R$2,"",C1690/INDEX(Clean_Data!$C$2:$C$4314,MATCH(A1690-7,Clean_Data!$A$2:$A$4314,1))-1)</f>
        <v>-0.0396675969362574</v>
      </c>
      <c r="O1690" s="25" t="n">
        <f aca="false">IF(A1690-30&lt;$R$2,"",C1690/INDEX(Clean_Data!$C$2:$C$4314,MATCH(A1690-30,Clean_Data!$A$2:$A$4314,1))-1)</f>
        <v>0.0168062616923232</v>
      </c>
    </row>
    <row r="1691" customFormat="false" ht="15" hidden="false" customHeight="false" outlineLevel="0" collapsed="false">
      <c r="A1691" s="16" t="n">
        <v>43697</v>
      </c>
      <c r="B1691" s="23" t="n">
        <f aca="false">YEAR(A1691)</f>
        <v>2019</v>
      </c>
      <c r="C1691" s="17" t="n">
        <v>10770.99</v>
      </c>
      <c r="D1691" s="23" t="n">
        <f aca="false">A1691-A1690</f>
        <v>1</v>
      </c>
      <c r="E1691" s="24" t="n">
        <f aca="false">LN(C1691)</f>
        <v>9.28461168793144</v>
      </c>
      <c r="F1691" s="25" t="n">
        <f aca="false">LN(C1691/C1690)</f>
        <v>-0.0151735144501225</v>
      </c>
      <c r="G1691" s="25" t="n">
        <f aca="false">IF(AND(D1691=1,A1691&gt;=$R$2),F1691,"")</f>
        <v>-0.0151735144501225</v>
      </c>
      <c r="H1691" s="27" t="n">
        <f aca="false">IF(G1691="","",G1691^2)</f>
        <v>0.000230235540768076</v>
      </c>
      <c r="I1691" s="25" t="n">
        <f aca="false">IF(G1691="","",C1691/C1690-1)</f>
        <v>-0.0150589767247915</v>
      </c>
      <c r="J1691" s="17" t="n">
        <f aca="false">AVERAGE(C1492:C1691)</f>
        <v>7165.56245</v>
      </c>
      <c r="K1691" s="17" t="n">
        <f aca="false">MAX(K1690,C1691)</f>
        <v>19650.01</v>
      </c>
      <c r="L1691" s="25" t="n">
        <f aca="false">C1691/K1691-1</f>
        <v>-0.451858294219698</v>
      </c>
      <c r="M1691" s="25" t="n">
        <f aca="false">IF(COUNT(G1662:G1691)&lt;20,"",_xlfn.STDEV.S(G1662:G1691)*SQRT($R$3))</f>
        <v>0.645542416071829</v>
      </c>
      <c r="N1691" s="25" t="n">
        <f aca="false">IF(A1691-7&lt;$R$2,"",C1691/INDEX(Clean_Data!$C$2:$C$4314,MATCH(A1691-7,Clean_Data!$A$2:$A$4314,1))-1)</f>
        <v>-0.0077923058924535</v>
      </c>
      <c r="O1691" s="25" t="n">
        <f aca="false">IF(A1691-30&lt;$R$2,"",C1691/INDEX(Clean_Data!$C$2:$C$4314,MATCH(A1691-30,Clean_Data!$A$2:$A$4314,1))-1)</f>
        <v>0.0129260810604934</v>
      </c>
    </row>
    <row r="1692" customFormat="false" ht="15" hidden="false" customHeight="false" outlineLevel="0" collapsed="false">
      <c r="A1692" s="16" t="n">
        <v>43698</v>
      </c>
      <c r="B1692" s="23" t="n">
        <f aca="false">YEAR(A1692)</f>
        <v>2019</v>
      </c>
      <c r="C1692" s="17" t="n">
        <v>10137.75</v>
      </c>
      <c r="D1692" s="23" t="n">
        <f aca="false">A1692-A1691</f>
        <v>1</v>
      </c>
      <c r="E1692" s="24" t="n">
        <f aca="false">LN(C1692)</f>
        <v>9.22402135903205</v>
      </c>
      <c r="F1692" s="25" t="n">
        <f aca="false">LN(C1692/C1691)</f>
        <v>-0.0605903288993897</v>
      </c>
      <c r="G1692" s="25" t="n">
        <f aca="false">IF(AND(D1692=1,A1692&gt;=$R$2),F1692,"")</f>
        <v>-0.0605903288993897</v>
      </c>
      <c r="H1692" s="27" t="n">
        <f aca="false">IF(G1692="","",G1692^2)</f>
        <v>0.00367118795613622</v>
      </c>
      <c r="I1692" s="25" t="n">
        <f aca="false">IF(G1692="","",C1692/C1691-1)</f>
        <v>-0.058791253171714</v>
      </c>
      <c r="J1692" s="17" t="n">
        <f aca="false">AVERAGE(C1493:C1692)</f>
        <v>7198.90905</v>
      </c>
      <c r="K1692" s="17" t="n">
        <f aca="false">MAX(K1691,C1692)</f>
        <v>19650.01</v>
      </c>
      <c r="L1692" s="25" t="n">
        <f aca="false">C1692/K1692-1</f>
        <v>-0.484084232018203</v>
      </c>
      <c r="M1692" s="25" t="n">
        <f aca="false">IF(COUNT(G1663:G1692)&lt;20,"",_xlfn.STDEV.S(G1663:G1692)*SQRT($R$3))</f>
        <v>0.671166349897545</v>
      </c>
      <c r="N1692" s="25" t="n">
        <f aca="false">IF(A1692-7&lt;$R$2,"",C1692/INDEX(Clean_Data!$C$2:$C$4314,MATCH(A1692-7,Clean_Data!$A$2:$A$4314,1))-1)</f>
        <v>0.00320721519513434</v>
      </c>
      <c r="O1692" s="25" t="n">
        <f aca="false">IF(A1692-30&lt;$R$2,"",C1692/INDEX(Clean_Data!$C$2:$C$4314,MATCH(A1692-30,Clean_Data!$A$2:$A$4314,1))-1)</f>
        <v>-0.01619561673188</v>
      </c>
    </row>
    <row r="1693" customFormat="false" ht="15" hidden="false" customHeight="false" outlineLevel="0" collapsed="false">
      <c r="A1693" s="16" t="n">
        <v>43699</v>
      </c>
      <c r="B1693" s="23" t="n">
        <f aca="false">YEAR(A1693)</f>
        <v>2019</v>
      </c>
      <c r="C1693" s="17" t="n">
        <v>10088.89</v>
      </c>
      <c r="D1693" s="23" t="n">
        <f aca="false">A1693-A1692</f>
        <v>1</v>
      </c>
      <c r="E1693" s="24" t="n">
        <f aca="false">LN(C1693)</f>
        <v>9.21919009738532</v>
      </c>
      <c r="F1693" s="25" t="n">
        <f aca="false">LN(C1693/C1692)</f>
        <v>-0.00483126164672906</v>
      </c>
      <c r="G1693" s="25" t="n">
        <f aca="false">IF(AND(D1693=1,A1693&gt;=$R$2),F1693,"")</f>
        <v>-0.00483126164672906</v>
      </c>
      <c r="H1693" s="27" t="n">
        <f aca="false">IF(G1693="","",G1693^2)</f>
        <v>2.33410890991551E-005</v>
      </c>
      <c r="I1693" s="25" t="n">
        <f aca="false">IF(G1693="","",C1693/C1692-1)</f>
        <v>-0.00481960987398589</v>
      </c>
      <c r="J1693" s="17" t="n">
        <f aca="false">AVERAGE(C1494:C1693)</f>
        <v>7232.2796</v>
      </c>
      <c r="K1693" s="17" t="n">
        <f aca="false">MAX(K1692,C1693)</f>
        <v>19650.01</v>
      </c>
      <c r="L1693" s="25" t="n">
        <f aca="false">C1693/K1693-1</f>
        <v>-0.486570744747713</v>
      </c>
      <c r="M1693" s="25" t="n">
        <f aca="false">IF(COUNT(G1664:G1693)&lt;20,"",_xlfn.STDEV.S(G1664:G1693)*SQRT($R$3))</f>
        <v>0.65037697287165</v>
      </c>
      <c r="N1693" s="25" t="n">
        <f aca="false">IF(A1693-7&lt;$R$2,"",C1693/INDEX(Clean_Data!$C$2:$C$4314,MATCH(A1693-7,Clean_Data!$A$2:$A$4314,1))-1)</f>
        <v>-0.0186821075074701</v>
      </c>
      <c r="O1693" s="25" t="n">
        <f aca="false">IF(A1693-30&lt;$R$2,"",C1693/INDEX(Clean_Data!$C$2:$C$4314,MATCH(A1693-30,Clean_Data!$A$2:$A$4314,1))-1)</f>
        <v>0.0260037688684953</v>
      </c>
    </row>
    <row r="1694" customFormat="false" ht="15" hidden="false" customHeight="false" outlineLevel="0" collapsed="false">
      <c r="A1694" s="16" t="n">
        <v>43700</v>
      </c>
      <c r="B1694" s="23" t="n">
        <f aca="false">YEAR(A1694)</f>
        <v>2019</v>
      </c>
      <c r="C1694" s="17" t="n">
        <v>10415.01</v>
      </c>
      <c r="D1694" s="23" t="n">
        <f aca="false">A1694-A1693</f>
        <v>1</v>
      </c>
      <c r="E1694" s="24" t="n">
        <f aca="false">LN(C1694)</f>
        <v>9.25100331384824</v>
      </c>
      <c r="F1694" s="25" t="n">
        <f aca="false">LN(C1694/C1693)</f>
        <v>0.0318132164629182</v>
      </c>
      <c r="G1694" s="25" t="n">
        <f aca="false">IF(AND(D1694=1,A1694&gt;=$R$2),F1694,"")</f>
        <v>0.0318132164629182</v>
      </c>
      <c r="H1694" s="27" t="n">
        <f aca="false">IF(G1694="","",G1694^2)</f>
        <v>0.00101208074171649</v>
      </c>
      <c r="I1694" s="25" t="n">
        <f aca="false">IF(G1694="","",C1694/C1693-1)</f>
        <v>0.032324666043539</v>
      </c>
      <c r="J1694" s="17" t="n">
        <f aca="false">AVERAGE(C1495:C1694)</f>
        <v>7267.3068</v>
      </c>
      <c r="K1694" s="17" t="n">
        <f aca="false">MAX(K1693,C1694)</f>
        <v>19650.01</v>
      </c>
      <c r="L1694" s="25" t="n">
        <f aca="false">C1694/K1694-1</f>
        <v>-0.469974315534699</v>
      </c>
      <c r="M1694" s="25" t="n">
        <f aca="false">IF(COUNT(G1665:G1694)&lt;20,"",_xlfn.STDEV.S(G1665:G1694)*SQRT($R$3))</f>
        <v>0.658258312053296</v>
      </c>
      <c r="N1694" s="25" t="n">
        <f aca="false">IF(A1694-7&lt;$R$2,"",C1694/INDEX(Clean_Data!$C$2:$C$4314,MATCH(A1694-7,Clean_Data!$A$2:$A$4314,1))-1)</f>
        <v>0.00445373296697893</v>
      </c>
      <c r="O1694" s="25" t="n">
        <f aca="false">IF(A1694-30&lt;$R$2,"",C1694/INDEX(Clean_Data!$C$2:$C$4314,MATCH(A1694-30,Clean_Data!$A$2:$A$4314,1))-1)</f>
        <v>0.0680703172109394</v>
      </c>
    </row>
    <row r="1695" customFormat="false" ht="15" hidden="false" customHeight="false" outlineLevel="0" collapsed="false">
      <c r="A1695" s="16" t="n">
        <v>43701</v>
      </c>
      <c r="B1695" s="23" t="n">
        <f aca="false">YEAR(A1695)</f>
        <v>2019</v>
      </c>
      <c r="C1695" s="17" t="n">
        <v>10156</v>
      </c>
      <c r="D1695" s="23" t="n">
        <f aca="false">A1695-A1694</f>
        <v>1</v>
      </c>
      <c r="E1695" s="24" t="n">
        <f aca="false">LN(C1695)</f>
        <v>9.22581994282457</v>
      </c>
      <c r="F1695" s="25" t="n">
        <f aca="false">LN(C1695/C1694)</f>
        <v>-0.025183371023667</v>
      </c>
      <c r="G1695" s="25" t="n">
        <f aca="false">IF(AND(D1695=1,A1695&gt;=$R$2),F1695,"")</f>
        <v>-0.025183371023667</v>
      </c>
      <c r="H1695" s="27" t="n">
        <f aca="false">IF(G1695="","",G1695^2)</f>
        <v>0.00063420217611567</v>
      </c>
      <c r="I1695" s="25" t="n">
        <f aca="false">IF(G1695="","",C1695/C1694-1)</f>
        <v>-0.0248689151522659</v>
      </c>
      <c r="J1695" s="17" t="n">
        <f aca="false">AVERAGE(C1496:C1695)</f>
        <v>7300.9448</v>
      </c>
      <c r="K1695" s="17" t="n">
        <f aca="false">MAX(K1694,C1695)</f>
        <v>19650.01</v>
      </c>
      <c r="L1695" s="25" t="n">
        <f aca="false">C1695/K1695-1</f>
        <v>-0.483155479310189</v>
      </c>
      <c r="M1695" s="25" t="n">
        <f aca="false">IF(COUNT(G1666:G1695)&lt;20,"",_xlfn.STDEV.S(G1666:G1695)*SQRT($R$3))</f>
        <v>0.663777356911482</v>
      </c>
      <c r="N1695" s="25" t="n">
        <f aca="false">IF(A1695-7&lt;$R$2,"",C1695/INDEX(Clean_Data!$C$2:$C$4314,MATCH(A1695-7,Clean_Data!$A$2:$A$4314,1))-1)</f>
        <v>-0.00610371321453429</v>
      </c>
      <c r="O1695" s="25" t="n">
        <f aca="false">IF(A1695-30&lt;$R$2,"",C1695/INDEX(Clean_Data!$C$2:$C$4314,MATCH(A1695-30,Clean_Data!$A$2:$A$4314,1))-1)</f>
        <v>0.0278655192411041</v>
      </c>
    </row>
    <row r="1696" customFormat="false" ht="15" hidden="false" customHeight="false" outlineLevel="0" collapsed="false">
      <c r="A1696" s="16" t="n">
        <v>43702</v>
      </c>
      <c r="B1696" s="23" t="n">
        <f aca="false">YEAR(A1696)</f>
        <v>2019</v>
      </c>
      <c r="C1696" s="17" t="n">
        <v>10148.5</v>
      </c>
      <c r="D1696" s="23" t="n">
        <f aca="false">A1696-A1695</f>
        <v>1</v>
      </c>
      <c r="E1696" s="24" t="n">
        <f aca="false">LN(C1696)</f>
        <v>9.22508119029768</v>
      </c>
      <c r="F1696" s="25" t="n">
        <f aca="false">LN(C1696/C1695)</f>
        <v>-0.000738752526887873</v>
      </c>
      <c r="G1696" s="25" t="n">
        <f aca="false">IF(AND(D1696=1,A1696&gt;=$R$2),F1696,"")</f>
        <v>-0.000738752526887873</v>
      </c>
      <c r="H1696" s="27" t="n">
        <f aca="false">IF(G1696="","",G1696^2)</f>
        <v>5.45755295983217E-007</v>
      </c>
      <c r="I1696" s="25" t="n">
        <f aca="false">IF(G1696="","",C1696/C1695-1)</f>
        <v>-0.000738479716423823</v>
      </c>
      <c r="J1696" s="17" t="n">
        <f aca="false">AVERAGE(C1497:C1696)</f>
        <v>7334.8505</v>
      </c>
      <c r="K1696" s="17" t="n">
        <f aca="false">MAX(K1695,C1696)</f>
        <v>19650.01</v>
      </c>
      <c r="L1696" s="25" t="n">
        <f aca="false">C1696/K1696-1</f>
        <v>-0.483537158505263</v>
      </c>
      <c r="M1696" s="25" t="n">
        <f aca="false">IF(COUNT(G1667:G1696)&lt;20,"",_xlfn.STDEV.S(G1667:G1696)*SQRT($R$3))</f>
        <v>0.66357784442189</v>
      </c>
      <c r="N1696" s="25" t="n">
        <f aca="false">IF(A1696-7&lt;$R$2,"",C1696/INDEX(Clean_Data!$C$2:$C$4314,MATCH(A1696-7,Clean_Data!$A$2:$A$4314,1))-1)</f>
        <v>-0.0155727400417498</v>
      </c>
      <c r="O1696" s="25" t="n">
        <f aca="false">IF(A1696-30&lt;$R$2,"",C1696/INDEX(Clean_Data!$C$2:$C$4314,MATCH(A1696-30,Clean_Data!$A$2:$A$4314,1))-1)</f>
        <v>0.0311462350995129</v>
      </c>
    </row>
    <row r="1697" customFormat="false" ht="15" hidden="false" customHeight="false" outlineLevel="0" collapsed="false">
      <c r="A1697" s="16" t="n">
        <v>43703</v>
      </c>
      <c r="B1697" s="23" t="n">
        <f aca="false">YEAR(A1697)</f>
        <v>2019</v>
      </c>
      <c r="C1697" s="17" t="n">
        <v>10373.75</v>
      </c>
      <c r="D1697" s="23" t="n">
        <f aca="false">A1697-A1696</f>
        <v>1</v>
      </c>
      <c r="E1697" s="24" t="n">
        <f aca="false">LN(C1697)</f>
        <v>9.24703385591266</v>
      </c>
      <c r="F1697" s="25" t="n">
        <f aca="false">LN(C1697/C1696)</f>
        <v>0.0219526656149764</v>
      </c>
      <c r="G1697" s="25" t="n">
        <f aca="false">IF(AND(D1697=1,A1697&gt;=$R$2),F1697,"")</f>
        <v>0.0219526656149764</v>
      </c>
      <c r="H1697" s="27" t="n">
        <f aca="false">IF(G1697="","",G1697^2)</f>
        <v>0.000481919527602968</v>
      </c>
      <c r="I1697" s="25" t="n">
        <f aca="false">IF(G1697="","",C1697/C1696-1)</f>
        <v>0.0221953983347292</v>
      </c>
      <c r="J1697" s="17" t="n">
        <f aca="false">AVERAGE(C1498:C1697)</f>
        <v>7369.92425</v>
      </c>
      <c r="K1697" s="17" t="n">
        <f aca="false">MAX(K1696,C1697)</f>
        <v>19650.01</v>
      </c>
      <c r="L1697" s="25" t="n">
        <f aca="false">C1697/K1697-1</f>
        <v>-0.472074060013201</v>
      </c>
      <c r="M1697" s="25" t="n">
        <f aca="false">IF(COUNT(G1668:G1697)&lt;20,"",_xlfn.STDEV.S(G1668:G1697)*SQRT($R$3))</f>
        <v>0.651543958704599</v>
      </c>
      <c r="N1697" s="25" t="n">
        <f aca="false">IF(A1697-7&lt;$R$2,"",C1697/INDEX(Clean_Data!$C$2:$C$4314,MATCH(A1697-7,Clean_Data!$A$2:$A$4314,1))-1)</f>
        <v>-0.0513841401578504</v>
      </c>
      <c r="O1697" s="25" t="n">
        <f aca="false">IF(A1697-30&lt;$R$2,"",C1697/INDEX(Clean_Data!$C$2:$C$4314,MATCH(A1697-30,Clean_Data!$A$2:$A$4314,1))-1)</f>
        <v>0.0955578883336219</v>
      </c>
    </row>
    <row r="1698" customFormat="false" ht="15" hidden="false" customHeight="false" outlineLevel="0" collapsed="false">
      <c r="A1698" s="16" t="n">
        <v>43704</v>
      </c>
      <c r="B1698" s="23" t="n">
        <f aca="false">YEAR(A1698)</f>
        <v>2019</v>
      </c>
      <c r="C1698" s="17" t="n">
        <v>10170.16</v>
      </c>
      <c r="D1698" s="23" t="n">
        <f aca="false">A1698-A1697</f>
        <v>1</v>
      </c>
      <c r="E1698" s="24" t="n">
        <f aca="false">LN(C1698)</f>
        <v>9.22721322146556</v>
      </c>
      <c r="F1698" s="25" t="n">
        <f aca="false">LN(C1698/C1697)</f>
        <v>-0.0198206344471013</v>
      </c>
      <c r="G1698" s="25" t="n">
        <f aca="false">IF(AND(D1698=1,A1698&gt;=$R$2),F1698,"")</f>
        <v>-0.0198206344471013</v>
      </c>
      <c r="H1698" s="27" t="n">
        <f aca="false">IF(G1698="","",G1698^2)</f>
        <v>0.00039285754988562</v>
      </c>
      <c r="I1698" s="25" t="n">
        <f aca="false">IF(G1698="","",C1698/C1697-1)</f>
        <v>-0.0196254970478371</v>
      </c>
      <c r="J1698" s="17" t="n">
        <f aca="false">AVERAGE(C1499:C1698)</f>
        <v>7402.6651</v>
      </c>
      <c r="K1698" s="17" t="n">
        <f aca="false">MAX(K1697,C1698)</f>
        <v>19650.01</v>
      </c>
      <c r="L1698" s="25" t="n">
        <f aca="false">C1698/K1698-1</f>
        <v>-0.482434868989889</v>
      </c>
      <c r="M1698" s="25" t="n">
        <f aca="false">IF(COUNT(G1669:G1698)&lt;20,"",_xlfn.STDEV.S(G1669:G1698)*SQRT($R$3))</f>
        <v>0.656031872542251</v>
      </c>
      <c r="N1698" s="25" t="n">
        <f aca="false">IF(A1698-7&lt;$R$2,"",C1698/INDEX(Clean_Data!$C$2:$C$4314,MATCH(A1698-7,Clean_Data!$A$2:$A$4314,1))-1)</f>
        <v>-0.0557822447147384</v>
      </c>
      <c r="O1698" s="25" t="n">
        <f aca="false">IF(A1698-30&lt;$R$2,"",C1698/INDEX(Clean_Data!$C$2:$C$4314,MATCH(A1698-30,Clean_Data!$A$2:$A$4314,1))-1)</f>
        <v>0.0649716745028639</v>
      </c>
    </row>
    <row r="1699" customFormat="false" ht="15" hidden="false" customHeight="false" outlineLevel="0" collapsed="false">
      <c r="A1699" s="16" t="n">
        <v>43705</v>
      </c>
      <c r="B1699" s="23" t="n">
        <f aca="false">YEAR(A1699)</f>
        <v>2019</v>
      </c>
      <c r="C1699" s="17" t="n">
        <v>9710.38</v>
      </c>
      <c r="D1699" s="23" t="n">
        <f aca="false">A1699-A1698</f>
        <v>1</v>
      </c>
      <c r="E1699" s="24" t="n">
        <f aca="false">LN(C1699)</f>
        <v>9.18095069543208</v>
      </c>
      <c r="F1699" s="25" t="n">
        <f aca="false">LN(C1699/C1698)</f>
        <v>-0.0462625260334752</v>
      </c>
      <c r="G1699" s="25" t="n">
        <f aca="false">IF(AND(D1699=1,A1699&gt;=$R$2),F1699,"")</f>
        <v>-0.0462625260334752</v>
      </c>
      <c r="H1699" s="27" t="n">
        <f aca="false">IF(G1699="","",G1699^2)</f>
        <v>0.00214022131499797</v>
      </c>
      <c r="I1699" s="25" t="n">
        <f aca="false">IF(G1699="","",C1699/C1698-1)</f>
        <v>-0.0452087282795944</v>
      </c>
      <c r="J1699" s="17" t="n">
        <f aca="false">AVERAGE(C1500:C1699)</f>
        <v>7433.09835</v>
      </c>
      <c r="K1699" s="17" t="n">
        <f aca="false">MAX(K1698,C1699)</f>
        <v>19650.01</v>
      </c>
      <c r="L1699" s="25" t="n">
        <f aca="false">C1699/K1699-1</f>
        <v>-0.505833330364717</v>
      </c>
      <c r="M1699" s="25" t="n">
        <f aca="false">IF(COUNT(G1670:G1699)&lt;20,"",_xlfn.STDEV.S(G1670:G1699)*SQRT($R$3))</f>
        <v>0.677114663196172</v>
      </c>
      <c r="N1699" s="25" t="n">
        <f aca="false">IF(A1699-7&lt;$R$2,"",C1699/INDEX(Clean_Data!$C$2:$C$4314,MATCH(A1699-7,Clean_Data!$A$2:$A$4314,1))-1)</f>
        <v>-0.0421562970087052</v>
      </c>
      <c r="O1699" s="25" t="n">
        <f aca="false">IF(A1699-30&lt;$R$2,"",C1699/INDEX(Clean_Data!$C$2:$C$4314,MATCH(A1699-30,Clean_Data!$A$2:$A$4314,1))-1)</f>
        <v>0.0217881750798667</v>
      </c>
    </row>
    <row r="1700" customFormat="false" ht="15" hidden="false" customHeight="false" outlineLevel="0" collapsed="false">
      <c r="A1700" s="16" t="n">
        <v>43706</v>
      </c>
      <c r="B1700" s="23" t="n">
        <f aca="false">YEAR(A1700)</f>
        <v>2019</v>
      </c>
      <c r="C1700" s="17" t="n">
        <v>9525</v>
      </c>
      <c r="D1700" s="23" t="n">
        <f aca="false">A1700-A1699</f>
        <v>1</v>
      </c>
      <c r="E1700" s="24" t="n">
        <f aca="false">LN(C1700)</f>
        <v>9.1616751999949</v>
      </c>
      <c r="F1700" s="25" t="n">
        <f aca="false">LN(C1700/C1699)</f>
        <v>-0.0192754954371795</v>
      </c>
      <c r="G1700" s="25" t="n">
        <f aca="false">IF(AND(D1700=1,A1700&gt;=$R$2),F1700,"")</f>
        <v>-0.0192754954371795</v>
      </c>
      <c r="H1700" s="27" t="n">
        <f aca="false">IF(G1700="","",G1700^2)</f>
        <v>0.000371544724348728</v>
      </c>
      <c r="I1700" s="25" t="n">
        <f aca="false">IF(G1700="","",C1700/C1699-1)</f>
        <v>-0.0190909109633196</v>
      </c>
      <c r="J1700" s="17" t="n">
        <f aca="false">AVERAGE(C1501:C1700)</f>
        <v>7462.47915</v>
      </c>
      <c r="K1700" s="17" t="n">
        <f aca="false">MAX(K1699,C1700)</f>
        <v>19650.01</v>
      </c>
      <c r="L1700" s="25" t="n">
        <f aca="false">C1700/K1700-1</f>
        <v>-0.515267422255765</v>
      </c>
      <c r="M1700" s="25" t="n">
        <f aca="false">IF(COUNT(G1671:G1700)&lt;20,"",_xlfn.STDEV.S(G1671:G1700)*SQRT($R$3))</f>
        <v>0.680094661905864</v>
      </c>
      <c r="N1700" s="25" t="n">
        <f aca="false">IF(A1700-7&lt;$R$2,"",C1700/INDEX(Clean_Data!$C$2:$C$4314,MATCH(A1700-7,Clean_Data!$A$2:$A$4314,1))-1)</f>
        <v>-0.0558921744612142</v>
      </c>
      <c r="O1700" s="25" t="n">
        <f aca="false">IF(A1700-30&lt;$R$2,"",C1700/INDEX(Clean_Data!$C$2:$C$4314,MATCH(A1700-30,Clean_Data!$A$2:$A$4314,1))-1)</f>
        <v>-0.00574112734864296</v>
      </c>
    </row>
    <row r="1701" customFormat="false" ht="15" hidden="false" customHeight="false" outlineLevel="0" collapsed="false">
      <c r="A1701" s="16" t="n">
        <v>43707</v>
      </c>
      <c r="B1701" s="23" t="n">
        <f aca="false">YEAR(A1701)</f>
        <v>2019</v>
      </c>
      <c r="C1701" s="17" t="n">
        <v>9580.6</v>
      </c>
      <c r="D1701" s="23" t="n">
        <f aca="false">A1701-A1700</f>
        <v>1</v>
      </c>
      <c r="E1701" s="24" t="n">
        <f aca="false">LN(C1701)</f>
        <v>9.16749549948387</v>
      </c>
      <c r="F1701" s="25" t="n">
        <f aca="false">LN(C1701/C1700)</f>
        <v>0.00582029948896484</v>
      </c>
      <c r="G1701" s="25" t="n">
        <f aca="false">IF(AND(D1701=1,A1701&gt;=$R$2),F1701,"")</f>
        <v>0.00582029948896484</v>
      </c>
      <c r="H1701" s="27" t="n">
        <f aca="false">IF(G1701="","",G1701^2)</f>
        <v>3.38758861412443E-005</v>
      </c>
      <c r="I1701" s="25" t="n">
        <f aca="false">IF(G1701="","",C1701/C1700-1)</f>
        <v>0.00583727034120729</v>
      </c>
      <c r="J1701" s="17" t="n">
        <f aca="false">AVERAGE(C1502:C1701)</f>
        <v>7492.43035</v>
      </c>
      <c r="K1701" s="17" t="n">
        <f aca="false">MAX(K1700,C1701)</f>
        <v>19650.01</v>
      </c>
      <c r="L1701" s="25" t="n">
        <f aca="false">C1701/K1701-1</f>
        <v>-0.512437907156281</v>
      </c>
      <c r="M1701" s="25" t="n">
        <f aca="false">IF(COUNT(G1672:G1701)&lt;20,"",_xlfn.STDEV.S(G1672:G1701)*SQRT($R$3))</f>
        <v>0.653276659465482</v>
      </c>
      <c r="N1701" s="25" t="n">
        <f aca="false">IF(A1701-7&lt;$R$2,"",C1701/INDEX(Clean_Data!$C$2:$C$4314,MATCH(A1701-7,Clean_Data!$A$2:$A$4314,1))-1)</f>
        <v>-0.0801161016648088</v>
      </c>
      <c r="O1701" s="25" t="n">
        <f aca="false">IF(A1701-30&lt;$R$2,"",C1701/INDEX(Clean_Data!$C$2:$C$4314,MATCH(A1701-30,Clean_Data!$A$2:$A$4314,1))-1)</f>
        <v>-0.0513318150311912</v>
      </c>
    </row>
    <row r="1702" customFormat="false" ht="15" hidden="false" customHeight="false" outlineLevel="0" collapsed="false">
      <c r="A1702" s="16" t="n">
        <v>43708</v>
      </c>
      <c r="B1702" s="23" t="n">
        <f aca="false">YEAR(A1702)</f>
        <v>2019</v>
      </c>
      <c r="C1702" s="17" t="n">
        <v>9593.95</v>
      </c>
      <c r="D1702" s="23" t="n">
        <f aca="false">A1702-A1701</f>
        <v>1</v>
      </c>
      <c r="E1702" s="24" t="n">
        <f aca="false">LN(C1702)</f>
        <v>9.16888797045785</v>
      </c>
      <c r="F1702" s="25" t="n">
        <f aca="false">LN(C1702/C1701)</f>
        <v>0.0013924709739849</v>
      </c>
      <c r="G1702" s="25" t="n">
        <f aca="false">IF(AND(D1702=1,A1702&gt;=$R$2),F1702,"")</f>
        <v>0.0013924709739849</v>
      </c>
      <c r="H1702" s="27" t="n">
        <f aca="false">IF(G1702="","",G1702^2)</f>
        <v>1.93897541339047E-006</v>
      </c>
      <c r="I1702" s="25" t="n">
        <f aca="false">IF(G1702="","",C1702/C1701-1)</f>
        <v>0.00139344091184279</v>
      </c>
      <c r="J1702" s="17" t="n">
        <f aca="false">AVERAGE(C1503:C1702)</f>
        <v>7522.4598</v>
      </c>
      <c r="K1702" s="17" t="n">
        <f aca="false">MAX(K1701,C1702)</f>
        <v>19650.01</v>
      </c>
      <c r="L1702" s="25" t="n">
        <f aca="false">C1702/K1702-1</f>
        <v>-0.511758518189049</v>
      </c>
      <c r="M1702" s="25" t="n">
        <f aca="false">IF(COUNT(G1673:G1702)&lt;20,"",_xlfn.STDEV.S(G1673:G1702)*SQRT($R$3))</f>
        <v>0.642651299389192</v>
      </c>
      <c r="N1702" s="25" t="n">
        <f aca="false">IF(A1702-7&lt;$R$2,"",C1702/INDEX(Clean_Data!$C$2:$C$4314,MATCH(A1702-7,Clean_Data!$A$2:$A$4314,1))-1)</f>
        <v>-0.0553416699487986</v>
      </c>
      <c r="O1702" s="25" t="n">
        <f aca="false">IF(A1702-30&lt;$R$2,"",C1702/INDEX(Clean_Data!$C$2:$C$4314,MATCH(A1702-30,Clean_Data!$A$2:$A$4314,1))-1)</f>
        <v>-0.0790314901067845</v>
      </c>
    </row>
    <row r="1703" customFormat="false" ht="15" hidden="false" customHeight="false" outlineLevel="0" collapsed="false">
      <c r="A1703" s="16" t="n">
        <v>43709</v>
      </c>
      <c r="B1703" s="23" t="n">
        <f aca="false">YEAR(A1703)</f>
        <v>2019</v>
      </c>
      <c r="C1703" s="17" t="n">
        <v>9769.64</v>
      </c>
      <c r="D1703" s="23" t="n">
        <f aca="false">A1703-A1702</f>
        <v>1</v>
      </c>
      <c r="E1703" s="24" t="n">
        <f aca="false">LN(C1703)</f>
        <v>9.18703489686562</v>
      </c>
      <c r="F1703" s="25" t="n">
        <f aca="false">LN(C1703/C1702)</f>
        <v>0.0181469264077679</v>
      </c>
      <c r="G1703" s="25" t="n">
        <f aca="false">IF(AND(D1703=1,A1703&gt;=$R$2),F1703,"")</f>
        <v>0.0181469264077679</v>
      </c>
      <c r="H1703" s="27" t="n">
        <f aca="false">IF(G1703="","",G1703^2)</f>
        <v>0.000329310938048946</v>
      </c>
      <c r="I1703" s="25" t="n">
        <f aca="false">IF(G1703="","",C1703/C1702-1)</f>
        <v>0.0183125824087054</v>
      </c>
      <c r="J1703" s="17" t="n">
        <f aca="false">AVERAGE(C1504:C1703)</f>
        <v>7553.4246</v>
      </c>
      <c r="K1703" s="17" t="n">
        <f aca="false">MAX(K1702,C1703)</f>
        <v>19650.01</v>
      </c>
      <c r="L1703" s="25" t="n">
        <f aca="false">C1703/K1703-1</f>
        <v>-0.502817555818038</v>
      </c>
      <c r="M1703" s="25" t="n">
        <f aca="false">IF(COUNT(G1674:G1703)&lt;20,"",_xlfn.STDEV.S(G1674:G1703)*SQRT($R$3))</f>
        <v>0.64503888450409</v>
      </c>
      <c r="N1703" s="25" t="n">
        <f aca="false">IF(A1703-7&lt;$R$2,"",C1703/INDEX(Clean_Data!$C$2:$C$4314,MATCH(A1703-7,Clean_Data!$A$2:$A$4314,1))-1)</f>
        <v>-0.0373316253633542</v>
      </c>
      <c r="O1703" s="25" t="n">
        <f aca="false">IF(A1703-30&lt;$R$2,"",C1703/INDEX(Clean_Data!$C$2:$C$4314,MATCH(A1703-30,Clean_Data!$A$2:$A$4314,1))-1)</f>
        <v>-0.0724793436291604</v>
      </c>
    </row>
    <row r="1704" customFormat="false" ht="15" hidden="false" customHeight="false" outlineLevel="0" collapsed="false">
      <c r="A1704" s="16" t="n">
        <v>43710</v>
      </c>
      <c r="B1704" s="23" t="n">
        <f aca="false">YEAR(A1704)</f>
        <v>2019</v>
      </c>
      <c r="C1704" s="17" t="n">
        <v>10405.05</v>
      </c>
      <c r="D1704" s="23" t="n">
        <f aca="false">A1704-A1703</f>
        <v>1</v>
      </c>
      <c r="E1704" s="24" t="n">
        <f aca="false">LN(C1704)</f>
        <v>9.25004654419822</v>
      </c>
      <c r="F1704" s="25" t="n">
        <f aca="false">LN(C1704/C1703)</f>
        <v>0.0630116473325974</v>
      </c>
      <c r="G1704" s="25" t="n">
        <f aca="false">IF(AND(D1704=1,A1704&gt;=$R$2),F1704,"")</f>
        <v>0.0630116473325974</v>
      </c>
      <c r="H1704" s="27" t="n">
        <f aca="false">IF(G1704="","",G1704^2)</f>
        <v>0.00397046769956763</v>
      </c>
      <c r="I1704" s="25" t="n">
        <f aca="false">IF(G1704="","",C1704/C1703-1)</f>
        <v>0.0650392440253684</v>
      </c>
      <c r="J1704" s="17" t="n">
        <f aca="false">AVERAGE(C1505:C1704)</f>
        <v>7587.64235</v>
      </c>
      <c r="K1704" s="17" t="n">
        <f aca="false">MAX(K1703,C1704)</f>
        <v>19650.01</v>
      </c>
      <c r="L1704" s="25" t="n">
        <f aca="false">C1704/K1704-1</f>
        <v>-0.470481185505758</v>
      </c>
      <c r="M1704" s="25" t="n">
        <f aca="false">IF(COUNT(G1675:G1704)&lt;20,"",_xlfn.STDEV.S(G1675:G1704)*SQRT($R$3))</f>
        <v>0.677230384061623</v>
      </c>
      <c r="N1704" s="25" t="n">
        <f aca="false">IF(A1704-7&lt;$R$2,"",C1704/INDEX(Clean_Data!$C$2:$C$4314,MATCH(A1704-7,Clean_Data!$A$2:$A$4314,1))-1)</f>
        <v>0.0030172309916856</v>
      </c>
      <c r="O1704" s="25" t="n">
        <f aca="false">IF(A1704-30&lt;$R$2,"",C1704/INDEX(Clean_Data!$C$2:$C$4314,MATCH(A1704-30,Clean_Data!$A$2:$A$4314,1))-1)</f>
        <v>-0.0384169304345817</v>
      </c>
    </row>
    <row r="1705" customFormat="false" ht="15" hidden="false" customHeight="false" outlineLevel="0" collapsed="false">
      <c r="A1705" s="16" t="n">
        <v>43711</v>
      </c>
      <c r="B1705" s="23" t="n">
        <f aca="false">YEAR(A1705)</f>
        <v>2019</v>
      </c>
      <c r="C1705" s="17" t="n">
        <v>10628.46</v>
      </c>
      <c r="D1705" s="23" t="n">
        <f aca="false">A1705-A1704</f>
        <v>1</v>
      </c>
      <c r="E1705" s="24" t="n">
        <f aca="false">LN(C1705)</f>
        <v>9.27129058783995</v>
      </c>
      <c r="F1705" s="25" t="n">
        <f aca="false">LN(C1705/C1704)</f>
        <v>0.0212440436417292</v>
      </c>
      <c r="G1705" s="25" t="n">
        <f aca="false">IF(AND(D1705=1,A1705&gt;=$R$2),F1705,"")</f>
        <v>0.0212440436417292</v>
      </c>
      <c r="H1705" s="27" t="n">
        <f aca="false">IF(G1705="","",G1705^2)</f>
        <v>0.000451309390251693</v>
      </c>
      <c r="I1705" s="25" t="n">
        <f aca="false">IF(G1705="","",C1705/C1704-1)</f>
        <v>0.021471304799112</v>
      </c>
      <c r="J1705" s="17" t="n">
        <f aca="false">AVERAGE(C1506:C1705)</f>
        <v>7622.9517</v>
      </c>
      <c r="K1705" s="17" t="n">
        <f aca="false">MAX(K1704,C1705)</f>
        <v>19650.01</v>
      </c>
      <c r="L1705" s="25" t="n">
        <f aca="false">C1705/K1705-1</f>
        <v>-0.459111725642888</v>
      </c>
      <c r="M1705" s="25" t="n">
        <f aca="false">IF(COUNT(G1676:G1705)&lt;20,"",_xlfn.STDEV.S(G1676:G1705)*SQRT($R$3))</f>
        <v>0.679087265669444</v>
      </c>
      <c r="N1705" s="25" t="n">
        <f aca="false">IF(A1705-7&lt;$R$2,"",C1705/INDEX(Clean_Data!$C$2:$C$4314,MATCH(A1705-7,Clean_Data!$A$2:$A$4314,1))-1)</f>
        <v>0.0450632045120234</v>
      </c>
      <c r="O1705" s="25" t="n">
        <f aca="false">IF(A1705-30&lt;$R$2,"",C1705/INDEX(Clean_Data!$C$2:$C$4314,MATCH(A1705-30,Clean_Data!$A$2:$A$4314,1))-1)</f>
        <v>-0.0335848377223851</v>
      </c>
    </row>
    <row r="1706" customFormat="false" ht="15" hidden="false" customHeight="false" outlineLevel="0" collapsed="false">
      <c r="A1706" s="16" t="n">
        <v>43712</v>
      </c>
      <c r="B1706" s="23" t="n">
        <f aca="false">YEAR(A1706)</f>
        <v>2019</v>
      </c>
      <c r="C1706" s="17" t="n">
        <v>10585.67</v>
      </c>
      <c r="D1706" s="23" t="n">
        <f aca="false">A1706-A1705</f>
        <v>1</v>
      </c>
      <c r="E1706" s="24" t="n">
        <f aca="false">LN(C1706)</f>
        <v>9.26725647868435</v>
      </c>
      <c r="F1706" s="25" t="n">
        <f aca="false">LN(C1706/C1705)</f>
        <v>-0.00403410915559449</v>
      </c>
      <c r="G1706" s="25" t="n">
        <f aca="false">IF(AND(D1706=1,A1706&gt;=$R$2),F1706,"")</f>
        <v>-0.00403410915559449</v>
      </c>
      <c r="H1706" s="27" t="n">
        <f aca="false">IF(G1706="","",G1706^2)</f>
        <v>1.62740366792513E-005</v>
      </c>
      <c r="I1706" s="25" t="n">
        <f aca="false">IF(G1706="","",C1706/C1705-1)</f>
        <v>-0.00402598306810198</v>
      </c>
      <c r="J1706" s="17" t="n">
        <f aca="false">AVERAGE(C1507:C1706)</f>
        <v>7657.9682</v>
      </c>
      <c r="K1706" s="17" t="n">
        <f aca="false">MAX(K1705,C1706)</f>
        <v>19650.01</v>
      </c>
      <c r="L1706" s="25" t="n">
        <f aca="false">C1706/K1706-1</f>
        <v>-0.461289332677184</v>
      </c>
      <c r="M1706" s="25" t="n">
        <f aca="false">IF(COUNT(G1677:G1706)&lt;20,"",_xlfn.STDEV.S(G1677:G1706)*SQRT($R$3))</f>
        <v>0.631184883032934</v>
      </c>
      <c r="N1706" s="25" t="n">
        <f aca="false">IF(A1706-7&lt;$R$2,"",C1706/INDEX(Clean_Data!$C$2:$C$4314,MATCH(A1706-7,Clean_Data!$A$2:$A$4314,1))-1)</f>
        <v>0.0901396237840333</v>
      </c>
      <c r="O1706" s="25" t="n">
        <f aca="false">IF(A1706-30&lt;$R$2,"",C1706/INDEX(Clean_Data!$C$2:$C$4314,MATCH(A1706-30,Clean_Data!$A$2:$A$4314,1))-1)</f>
        <v>-0.101015359477679</v>
      </c>
    </row>
    <row r="1707" customFormat="false" ht="15" hidden="false" customHeight="false" outlineLevel="0" collapsed="false">
      <c r="A1707" s="16" t="n">
        <v>43713</v>
      </c>
      <c r="B1707" s="23" t="n">
        <f aca="false">YEAR(A1707)</f>
        <v>2019</v>
      </c>
      <c r="C1707" s="17" t="n">
        <v>10574.27</v>
      </c>
      <c r="D1707" s="23" t="n">
        <f aca="false">A1707-A1706</f>
        <v>1</v>
      </c>
      <c r="E1707" s="24" t="n">
        <f aca="false">LN(C1707)</f>
        <v>9.26617897079889</v>
      </c>
      <c r="F1707" s="25" t="n">
        <f aca="false">LN(C1707/C1706)</f>
        <v>-0.00107750788546388</v>
      </c>
      <c r="G1707" s="25" t="n">
        <f aca="false">IF(AND(D1707=1,A1707&gt;=$R$2),F1707,"")</f>
        <v>-0.00107750788546388</v>
      </c>
      <c r="H1707" s="27" t="n">
        <f aca="false">IF(G1707="","",G1707^2)</f>
        <v>1.16102324323684E-006</v>
      </c>
      <c r="I1707" s="25" t="n">
        <f aca="false">IF(G1707="","",C1707/C1706-1)</f>
        <v>-0.00107692758228806</v>
      </c>
      <c r="J1707" s="17" t="n">
        <f aca="false">AVERAGE(C1508:C1707)</f>
        <v>7692.71415</v>
      </c>
      <c r="K1707" s="17" t="n">
        <f aca="false">MAX(K1706,C1707)</f>
        <v>19650.01</v>
      </c>
      <c r="L1707" s="25" t="n">
        <f aca="false">C1707/K1707-1</f>
        <v>-0.461869485053697</v>
      </c>
      <c r="M1707" s="25" t="n">
        <f aca="false">IF(COUNT(G1678:G1707)&lt;20,"",_xlfn.STDEV.S(G1678:G1707)*SQRT($R$3))</f>
        <v>0.624563494322637</v>
      </c>
      <c r="N1707" s="25" t="n">
        <f aca="false">IF(A1707-7&lt;$R$2,"",C1707/INDEX(Clean_Data!$C$2:$C$4314,MATCH(A1707-7,Clean_Data!$A$2:$A$4314,1))-1)</f>
        <v>0.110159580052493</v>
      </c>
      <c r="O1707" s="25" t="n">
        <f aca="false">IF(A1707-30&lt;$R$2,"",C1707/INDEX(Clean_Data!$C$2:$C$4314,MATCH(A1707-30,Clean_Data!$A$2:$A$4314,1))-1)</f>
        <v>-0.0756821630617968</v>
      </c>
    </row>
    <row r="1708" customFormat="false" ht="15" hidden="false" customHeight="false" outlineLevel="0" collapsed="false">
      <c r="A1708" s="16" t="n">
        <v>43714</v>
      </c>
      <c r="B1708" s="23" t="n">
        <f aca="false">YEAR(A1708)</f>
        <v>2019</v>
      </c>
      <c r="C1708" s="17" t="n">
        <v>10318.8</v>
      </c>
      <c r="D1708" s="23" t="n">
        <f aca="false">A1708-A1707</f>
        <v>1</v>
      </c>
      <c r="E1708" s="24" t="n">
        <f aca="false">LN(C1708)</f>
        <v>9.24172275320485</v>
      </c>
      <c r="F1708" s="25" t="n">
        <f aca="false">LN(C1708/C1707)</f>
        <v>-0.0244562175940365</v>
      </c>
      <c r="G1708" s="25" t="n">
        <f aca="false">IF(AND(D1708=1,A1708&gt;=$R$2),F1708,"")</f>
        <v>-0.0244562175940365</v>
      </c>
      <c r="H1708" s="27" t="n">
        <f aca="false">IF(G1708="","",G1708^2)</f>
        <v>0.000598106579006862</v>
      </c>
      <c r="I1708" s="25" t="n">
        <f aca="false">IF(G1708="","",C1708/C1707-1)</f>
        <v>-0.0241595873757717</v>
      </c>
      <c r="J1708" s="17" t="n">
        <f aca="false">AVERAGE(C1509:C1708)</f>
        <v>7724.97315</v>
      </c>
      <c r="K1708" s="17" t="n">
        <f aca="false">MAX(K1707,C1708)</f>
        <v>19650.01</v>
      </c>
      <c r="L1708" s="25" t="n">
        <f aca="false">C1708/K1708-1</f>
        <v>-0.474870496249111</v>
      </c>
      <c r="M1708" s="25" t="n">
        <f aca="false">IF(COUNT(G1679:G1708)&lt;20,"",_xlfn.STDEV.S(G1679:G1708)*SQRT($R$3))</f>
        <v>0.600246276095644</v>
      </c>
      <c r="N1708" s="25" t="n">
        <f aca="false">IF(A1708-7&lt;$R$2,"",C1708/INDEX(Clean_Data!$C$2:$C$4314,MATCH(A1708-7,Clean_Data!$A$2:$A$4314,1))-1)</f>
        <v>0.0770515416570987</v>
      </c>
      <c r="O1708" s="25" t="n">
        <f aca="false">IF(A1708-30&lt;$R$2,"",C1708/INDEX(Clean_Data!$C$2:$C$4314,MATCH(A1708-30,Clean_Data!$A$2:$A$4314,1))-1)</f>
        <v>-0.141131358094155</v>
      </c>
    </row>
    <row r="1709" customFormat="false" ht="15" hidden="false" customHeight="false" outlineLevel="0" collapsed="false">
      <c r="A1709" s="16" t="n">
        <v>43715</v>
      </c>
      <c r="B1709" s="23" t="n">
        <f aca="false">YEAR(A1709)</f>
        <v>2019</v>
      </c>
      <c r="C1709" s="17" t="n">
        <v>10484.87</v>
      </c>
      <c r="D1709" s="23" t="n">
        <f aca="false">A1709-A1708</f>
        <v>1</v>
      </c>
      <c r="E1709" s="24" t="n">
        <f aca="false">LN(C1709)</f>
        <v>9.2576885445944</v>
      </c>
      <c r="F1709" s="25" t="n">
        <f aca="false">LN(C1709/C1708)</f>
        <v>0.015965791389546</v>
      </c>
      <c r="G1709" s="25" t="n">
        <f aca="false">IF(AND(D1709=1,A1709&gt;=$R$2),F1709,"")</f>
        <v>0.015965791389546</v>
      </c>
      <c r="H1709" s="27" t="n">
        <f aca="false">IF(G1709="","",G1709^2)</f>
        <v>0.0002549064946945</v>
      </c>
      <c r="I1709" s="25" t="n">
        <f aca="false">IF(G1709="","",C1709/C1708-1)</f>
        <v>0.0160939256502695</v>
      </c>
      <c r="J1709" s="17" t="n">
        <f aca="false">AVERAGE(C1510:C1709)</f>
        <v>7757.95745</v>
      </c>
      <c r="K1709" s="17" t="n">
        <f aca="false">MAX(K1708,C1709)</f>
        <v>19650.01</v>
      </c>
      <c r="L1709" s="25" t="n">
        <f aca="false">C1709/K1709-1</f>
        <v>-0.466419101058982</v>
      </c>
      <c r="M1709" s="25" t="n">
        <f aca="false">IF(COUNT(G1680:G1709)&lt;20,"",_xlfn.STDEV.S(G1680:G1709)*SQRT($R$3))</f>
        <v>0.604484010666322</v>
      </c>
      <c r="N1709" s="25" t="n">
        <f aca="false">IF(A1709-7&lt;$R$2,"",C1709/INDEX(Clean_Data!$C$2:$C$4314,MATCH(A1709-7,Clean_Data!$A$2:$A$4314,1))-1)</f>
        <v>0.09286268950745</v>
      </c>
      <c r="O1709" s="25" t="n">
        <f aca="false">IF(A1709-30&lt;$R$2,"",C1709/INDEX(Clean_Data!$C$2:$C$4314,MATCH(A1709-30,Clean_Data!$A$2:$A$4314,1))-1)</f>
        <v>-0.12756149373975</v>
      </c>
    </row>
    <row r="1710" customFormat="false" ht="15" hidden="false" customHeight="false" outlineLevel="0" collapsed="false">
      <c r="A1710" s="16" t="n">
        <v>43716</v>
      </c>
      <c r="B1710" s="23" t="n">
        <f aca="false">YEAR(A1710)</f>
        <v>2019</v>
      </c>
      <c r="C1710" s="17" t="n">
        <v>10395.17</v>
      </c>
      <c r="D1710" s="23" t="n">
        <f aca="false">A1710-A1709</f>
        <v>1</v>
      </c>
      <c r="E1710" s="24" t="n">
        <f aca="false">LN(C1710)</f>
        <v>9.24909655417474</v>
      </c>
      <c r="F1710" s="25" t="n">
        <f aca="false">LN(C1710/C1709)</f>
        <v>-0.00859199041965534</v>
      </c>
      <c r="G1710" s="25" t="n">
        <f aca="false">IF(AND(D1710=1,A1710&gt;=$R$2),F1710,"")</f>
        <v>-0.00859199041965534</v>
      </c>
      <c r="H1710" s="27" t="n">
        <f aca="false">IF(G1710="","",G1710^2)</f>
        <v>7.38222993714491E-005</v>
      </c>
      <c r="I1710" s="25" t="n">
        <f aca="false">IF(G1710="","",C1710/C1709-1)</f>
        <v>-0.00855518475670192</v>
      </c>
      <c r="J1710" s="17" t="n">
        <f aca="false">AVERAGE(C1511:C1710)</f>
        <v>7790.23835</v>
      </c>
      <c r="K1710" s="17" t="n">
        <f aca="false">MAX(K1709,C1710)</f>
        <v>19650.01</v>
      </c>
      <c r="L1710" s="25" t="n">
        <f aca="false">C1710/K1710-1</f>
        <v>-0.470983984232069</v>
      </c>
      <c r="M1710" s="25" t="n">
        <f aca="false">IF(COUNT(G1681:G1710)&lt;20,"",_xlfn.STDEV.S(G1681:G1710)*SQRT($R$3))</f>
        <v>0.604247900740322</v>
      </c>
      <c r="N1710" s="25" t="n">
        <f aca="false">IF(A1710-7&lt;$R$2,"",C1710/INDEX(Clean_Data!$C$2:$C$4314,MATCH(A1710-7,Clean_Data!$A$2:$A$4314,1))-1)</f>
        <v>0.0640279478056511</v>
      </c>
      <c r="O1710" s="25" t="n">
        <f aca="false">IF(A1710-30&lt;$R$2,"",C1710/INDEX(Clean_Data!$C$2:$C$4314,MATCH(A1710-30,Clean_Data!$A$2:$A$4314,1))-1)</f>
        <v>-0.125648078055345</v>
      </c>
    </row>
    <row r="1711" customFormat="false" ht="15" hidden="false" customHeight="false" outlineLevel="0" collapsed="false">
      <c r="A1711" s="16" t="n">
        <v>43717</v>
      </c>
      <c r="B1711" s="23" t="n">
        <f aca="false">YEAR(A1711)</f>
        <v>2019</v>
      </c>
      <c r="C1711" s="17" t="n">
        <v>10310.01</v>
      </c>
      <c r="D1711" s="23" t="n">
        <f aca="false">A1711-A1710</f>
        <v>1</v>
      </c>
      <c r="E1711" s="24" t="n">
        <f aca="false">LN(C1711)</f>
        <v>9.24087054694264</v>
      </c>
      <c r="F1711" s="25" t="n">
        <f aca="false">LN(C1711/C1710)</f>
        <v>-0.00822600723210184</v>
      </c>
      <c r="G1711" s="25" t="n">
        <f aca="false">IF(AND(D1711=1,A1711&gt;=$R$2),F1711,"")</f>
        <v>-0.00822600723210184</v>
      </c>
      <c r="H1711" s="27" t="n">
        <f aca="false">IF(G1711="","",G1711^2)</f>
        <v>6.76671949825917E-005</v>
      </c>
      <c r="I1711" s="25" t="n">
        <f aca="false">IF(G1711="","",C1711/C1710-1)</f>
        <v>-0.00819226621594449</v>
      </c>
      <c r="J1711" s="17" t="n">
        <f aca="false">AVERAGE(C1512:C1711)</f>
        <v>7822.29985</v>
      </c>
      <c r="K1711" s="17" t="n">
        <f aca="false">MAX(K1710,C1711)</f>
        <v>19650.01</v>
      </c>
      <c r="L1711" s="25" t="n">
        <f aca="false">C1711/K1711-1</f>
        <v>-0.475317824265738</v>
      </c>
      <c r="M1711" s="25" t="n">
        <f aca="false">IF(COUNT(G1682:G1711)&lt;20,"",_xlfn.STDEV.S(G1682:G1711)*SQRT($R$3))</f>
        <v>0.57944858215077</v>
      </c>
      <c r="N1711" s="25" t="n">
        <f aca="false">IF(A1711-7&lt;$R$2,"",C1711/INDEX(Clean_Data!$C$2:$C$4314,MATCH(A1711-7,Clean_Data!$A$2:$A$4314,1))-1)</f>
        <v>-0.00913402626609183</v>
      </c>
      <c r="O1711" s="25" t="n">
        <f aca="false">IF(A1711-30&lt;$R$2,"",C1711/INDEX(Clean_Data!$C$2:$C$4314,MATCH(A1711-30,Clean_Data!$A$2:$A$4314,1))-1)</f>
        <v>-0.0863014475594257</v>
      </c>
    </row>
    <row r="1712" customFormat="false" ht="15" hidden="false" customHeight="false" outlineLevel="0" collapsed="false">
      <c r="A1712" s="16" t="n">
        <v>43718</v>
      </c>
      <c r="B1712" s="23" t="n">
        <f aca="false">YEAR(A1712)</f>
        <v>2019</v>
      </c>
      <c r="C1712" s="17" t="n">
        <v>10090.01</v>
      </c>
      <c r="D1712" s="23" t="n">
        <f aca="false">A1712-A1711</f>
        <v>1</v>
      </c>
      <c r="E1712" s="24" t="n">
        <f aca="false">LN(C1712)</f>
        <v>9.21930110442744</v>
      </c>
      <c r="F1712" s="25" t="n">
        <f aca="false">LN(C1712/C1711)</f>
        <v>-0.0215694425151989</v>
      </c>
      <c r="G1712" s="25" t="n">
        <f aca="false">IF(AND(D1712=1,A1712&gt;=$R$2),F1712,"")</f>
        <v>-0.0215694425151989</v>
      </c>
      <c r="H1712" s="27" t="n">
        <f aca="false">IF(G1712="","",G1712^2)</f>
        <v>0.00046524085041647</v>
      </c>
      <c r="I1712" s="25" t="n">
        <f aca="false">IF(G1712="","",C1712/C1711-1)</f>
        <v>-0.0213384856076764</v>
      </c>
      <c r="J1712" s="17" t="n">
        <f aca="false">AVERAGE(C1513:C1712)</f>
        <v>7853.0398</v>
      </c>
      <c r="K1712" s="17" t="n">
        <f aca="false">MAX(K1711,C1712)</f>
        <v>19650.01</v>
      </c>
      <c r="L1712" s="25" t="n">
        <f aca="false">C1712/K1712-1</f>
        <v>-0.486513747321248</v>
      </c>
      <c r="M1712" s="25" t="n">
        <f aca="false">IF(COUNT(G1683:G1712)&lt;20,"",_xlfn.STDEV.S(G1683:G1712)*SQRT($R$3))</f>
        <v>0.575841332989312</v>
      </c>
      <c r="N1712" s="25" t="n">
        <f aca="false">IF(A1712-7&lt;$R$2,"",C1712/INDEX(Clean_Data!$C$2:$C$4314,MATCH(A1712-7,Clean_Data!$A$2:$A$4314,1))-1)</f>
        <v>-0.0506611494045233</v>
      </c>
      <c r="O1712" s="25" t="n">
        <f aca="false">IF(A1712-30&lt;$R$2,"",C1712/INDEX(Clean_Data!$C$2:$C$4314,MATCH(A1712-30,Clean_Data!$A$2:$A$4314,1))-1)</f>
        <v>-0.125038696837916</v>
      </c>
    </row>
    <row r="1713" customFormat="false" ht="15" hidden="false" customHeight="false" outlineLevel="0" collapsed="false">
      <c r="A1713" s="16" t="n">
        <v>43719</v>
      </c>
      <c r="B1713" s="23" t="n">
        <f aca="false">YEAR(A1713)</f>
        <v>2019</v>
      </c>
      <c r="C1713" s="17" t="n">
        <v>10169.49</v>
      </c>
      <c r="D1713" s="23" t="n">
        <f aca="false">A1713-A1712</f>
        <v>1</v>
      </c>
      <c r="E1713" s="24" t="n">
        <f aca="false">LN(C1713)</f>
        <v>9.22714734029255</v>
      </c>
      <c r="F1713" s="25" t="n">
        <f aca="false">LN(C1713/C1712)</f>
        <v>0.00784623586511176</v>
      </c>
      <c r="G1713" s="25" t="n">
        <f aca="false">IF(AND(D1713=1,A1713&gt;=$R$2),F1713,"")</f>
        <v>0.00784623586511176</v>
      </c>
      <c r="H1713" s="27" t="n">
        <f aca="false">IF(G1713="","",G1713^2)</f>
        <v>6.1563417250966E-005</v>
      </c>
      <c r="I1713" s="25" t="n">
        <f aca="false">IF(G1713="","",C1713/C1712-1)</f>
        <v>0.00787709823875304</v>
      </c>
      <c r="J1713" s="17" t="n">
        <f aca="false">AVERAGE(C1514:C1713)</f>
        <v>7883.33725</v>
      </c>
      <c r="K1713" s="17" t="n">
        <f aca="false">MAX(K1712,C1713)</f>
        <v>19650.01</v>
      </c>
      <c r="L1713" s="25" t="n">
        <f aca="false">C1713/K1713-1</f>
        <v>-0.482468965664649</v>
      </c>
      <c r="M1713" s="25" t="n">
        <f aca="false">IF(COUNT(G1684:G1713)&lt;20,"",_xlfn.STDEV.S(G1684:G1713)*SQRT($R$3))</f>
        <v>0.576613083219095</v>
      </c>
      <c r="N1713" s="25" t="n">
        <f aca="false">IF(A1713-7&lt;$R$2,"",C1713/INDEX(Clean_Data!$C$2:$C$4314,MATCH(A1713-7,Clean_Data!$A$2:$A$4314,1))-1)</f>
        <v>-0.0393154141400592</v>
      </c>
      <c r="O1713" s="25" t="n">
        <f aca="false">IF(A1713-30&lt;$R$2,"",C1713/INDEX(Clean_Data!$C$2:$C$4314,MATCH(A1713-30,Clean_Data!$A$2:$A$4314,1))-1)</f>
        <v>-0.106950852610521</v>
      </c>
    </row>
    <row r="1714" customFormat="false" ht="15" hidden="false" customHeight="false" outlineLevel="0" collapsed="false">
      <c r="A1714" s="16" t="n">
        <v>43720</v>
      </c>
      <c r="B1714" s="23" t="n">
        <f aca="false">YEAR(A1714)</f>
        <v>2019</v>
      </c>
      <c r="C1714" s="17" t="n">
        <v>10437.19</v>
      </c>
      <c r="D1714" s="23" t="n">
        <f aca="false">A1714-A1713</f>
        <v>1</v>
      </c>
      <c r="E1714" s="24" t="n">
        <f aca="false">LN(C1714)</f>
        <v>9.25313066811924</v>
      </c>
      <c r="F1714" s="25" t="n">
        <f aca="false">LN(C1714/C1713)</f>
        <v>0.0259833278266844</v>
      </c>
      <c r="G1714" s="25" t="n">
        <f aca="false">IF(AND(D1714=1,A1714&gt;=$R$2),F1714,"")</f>
        <v>0.0259833278266844</v>
      </c>
      <c r="H1714" s="27" t="n">
        <f aca="false">IF(G1714="","",G1714^2)</f>
        <v>0.000675133324948951</v>
      </c>
      <c r="I1714" s="25" t="n">
        <f aca="false">IF(G1714="","",C1714/C1713-1)</f>
        <v>0.026323837281909</v>
      </c>
      <c r="J1714" s="17" t="n">
        <f aca="false">AVERAGE(C1515:C1714)</f>
        <v>7916.8521</v>
      </c>
      <c r="K1714" s="17" t="n">
        <f aca="false">MAX(K1713,C1714)</f>
        <v>19650.01</v>
      </c>
      <c r="L1714" s="25" t="n">
        <f aca="false">C1714/K1714-1</f>
        <v>-0.468845562928467</v>
      </c>
      <c r="M1714" s="25" t="n">
        <f aca="false">IF(COUNT(G1685:G1714)&lt;20,"",_xlfn.STDEV.S(G1685:G1714)*SQRT($R$3))</f>
        <v>0.562948000845785</v>
      </c>
      <c r="N1714" s="25" t="n">
        <f aca="false">IF(A1714-7&lt;$R$2,"",C1714/INDEX(Clean_Data!$C$2:$C$4314,MATCH(A1714-7,Clean_Data!$A$2:$A$4314,1))-1)</f>
        <v>-0.0129635426369858</v>
      </c>
      <c r="O1714" s="25" t="n">
        <f aca="false">IF(A1714-30&lt;$R$2,"",C1714/INDEX(Clean_Data!$C$2:$C$4314,MATCH(A1714-30,Clean_Data!$A$2:$A$4314,1))-1)</f>
        <v>-0.0385414689956686</v>
      </c>
    </row>
    <row r="1715" customFormat="false" ht="15" hidden="false" customHeight="false" outlineLevel="0" collapsed="false">
      <c r="A1715" s="16" t="n">
        <v>43721</v>
      </c>
      <c r="B1715" s="23" t="n">
        <f aca="false">YEAR(A1715)</f>
        <v>2019</v>
      </c>
      <c r="C1715" s="17" t="n">
        <v>10381.91</v>
      </c>
      <c r="D1715" s="23" t="n">
        <f aca="false">A1715-A1714</f>
        <v>1</v>
      </c>
      <c r="E1715" s="24" t="n">
        <f aca="false">LN(C1715)</f>
        <v>9.24782014749967</v>
      </c>
      <c r="F1715" s="25" t="n">
        <f aca="false">LN(C1715/C1714)</f>
        <v>-0.00531052061956999</v>
      </c>
      <c r="G1715" s="25" t="n">
        <f aca="false">IF(AND(D1715=1,A1715&gt;=$R$2),F1715,"")</f>
        <v>-0.00531052061956999</v>
      </c>
      <c r="H1715" s="27" t="n">
        <f aca="false">IF(G1715="","",G1715^2)</f>
        <v>2.82016292508781E-005</v>
      </c>
      <c r="I1715" s="25" t="n">
        <f aca="false">IF(G1715="","",C1715/C1714-1)</f>
        <v>-0.00529644473272983</v>
      </c>
      <c r="J1715" s="17" t="n">
        <f aca="false">AVERAGE(C1516:C1715)</f>
        <v>7949.6677</v>
      </c>
      <c r="K1715" s="17" t="n">
        <f aca="false">MAX(K1714,C1715)</f>
        <v>19650.01</v>
      </c>
      <c r="L1715" s="25" t="n">
        <f aca="false">C1715/K1715-1</f>
        <v>-0.47165879304896</v>
      </c>
      <c r="M1715" s="25" t="n">
        <f aca="false">IF(COUNT(G1686:G1715)&lt;20,"",_xlfn.STDEV.S(G1686:G1715)*SQRT($R$3))</f>
        <v>0.503046948019169</v>
      </c>
      <c r="N1715" s="25" t="n">
        <f aca="false">IF(A1715-7&lt;$R$2,"",C1715/INDEX(Clean_Data!$C$2:$C$4314,MATCH(A1715-7,Clean_Data!$A$2:$A$4314,1))-1)</f>
        <v>0.00611602124278021</v>
      </c>
      <c r="O1715" s="25" t="n">
        <f aca="false">IF(A1715-30&lt;$R$2,"",C1715/INDEX(Clean_Data!$C$2:$C$4314,MATCH(A1715-30,Clean_Data!$A$2:$A$4314,1))-1)</f>
        <v>0.0273686981338579</v>
      </c>
    </row>
    <row r="1716" customFormat="false" ht="15" hidden="false" customHeight="false" outlineLevel="0" collapsed="false">
      <c r="A1716" s="16" t="n">
        <v>43722</v>
      </c>
      <c r="B1716" s="23" t="n">
        <f aca="false">YEAR(A1716)</f>
        <v>2019</v>
      </c>
      <c r="C1716" s="17" t="n">
        <v>10360.2</v>
      </c>
      <c r="D1716" s="23" t="n">
        <f aca="false">A1716-A1715</f>
        <v>1</v>
      </c>
      <c r="E1716" s="24" t="n">
        <f aca="false">LN(C1716)</f>
        <v>9.24572682064644</v>
      </c>
      <c r="F1716" s="25" t="n">
        <f aca="false">LN(C1716/C1715)</f>
        <v>-0.00209332685322736</v>
      </c>
      <c r="G1716" s="25" t="n">
        <f aca="false">IF(AND(D1716=1,A1716&gt;=$R$2),F1716,"")</f>
        <v>-0.00209332685322736</v>
      </c>
      <c r="H1716" s="27" t="n">
        <f aca="false">IF(G1716="","",G1716^2)</f>
        <v>4.38201731444275E-006</v>
      </c>
      <c r="I1716" s="25" t="n">
        <f aca="false">IF(G1716="","",C1716/C1715-1)</f>
        <v>-0.0020911373726028</v>
      </c>
      <c r="J1716" s="17" t="n">
        <f aca="false">AVERAGE(C1517:C1716)</f>
        <v>7982.4713</v>
      </c>
      <c r="K1716" s="17" t="n">
        <f aca="false">MAX(K1715,C1716)</f>
        <v>19650.01</v>
      </c>
      <c r="L1716" s="25" t="n">
        <f aca="false">C1716/K1716-1</f>
        <v>-0.472763627092302</v>
      </c>
      <c r="M1716" s="25" t="n">
        <f aca="false">IF(COUNT(G1687:G1716)&lt;20,"",_xlfn.STDEV.S(G1687:G1716)*SQRT($R$3))</f>
        <v>0.499656049907575</v>
      </c>
      <c r="N1716" s="25" t="n">
        <f aca="false">IF(A1716-7&lt;$R$2,"",C1716/INDEX(Clean_Data!$C$2:$C$4314,MATCH(A1716-7,Clean_Data!$A$2:$A$4314,1))-1)</f>
        <v>-0.0118904669299668</v>
      </c>
      <c r="O1716" s="25" t="n">
        <f aca="false">IF(A1716-30&lt;$R$2,"",C1716/INDEX(Clean_Data!$C$2:$C$4314,MATCH(A1716-30,Clean_Data!$A$2:$A$4314,1))-1)</f>
        <v>0.00770745144422325</v>
      </c>
    </row>
    <row r="1717" customFormat="false" ht="15" hidden="false" customHeight="false" outlineLevel="0" collapsed="false">
      <c r="A1717" s="16" t="n">
        <v>43723</v>
      </c>
      <c r="B1717" s="23" t="n">
        <f aca="false">YEAR(A1717)</f>
        <v>2019</v>
      </c>
      <c r="C1717" s="17" t="n">
        <v>10306.65</v>
      </c>
      <c r="D1717" s="23" t="n">
        <f aca="false">A1717-A1716</f>
        <v>1</v>
      </c>
      <c r="E1717" s="24" t="n">
        <f aca="false">LN(C1717)</f>
        <v>9.24054459695562</v>
      </c>
      <c r="F1717" s="25" t="n">
        <f aca="false">LN(C1717/C1716)</f>
        <v>-0.0051822236908246</v>
      </c>
      <c r="G1717" s="25" t="n">
        <f aca="false">IF(AND(D1717=1,A1717&gt;=$R$2),F1717,"")</f>
        <v>-0.0051822236908246</v>
      </c>
      <c r="H1717" s="27" t="n">
        <f aca="false">IF(G1717="","",G1717^2)</f>
        <v>2.68554423817438E-005</v>
      </c>
      <c r="I1717" s="25" t="n">
        <f aca="false">IF(G1717="","",C1717/C1716-1)</f>
        <v>-0.00516881913476586</v>
      </c>
      <c r="J1717" s="17" t="n">
        <f aca="false">AVERAGE(C1518:C1717)</f>
        <v>8015.005</v>
      </c>
      <c r="K1717" s="17" t="n">
        <f aca="false">MAX(K1716,C1717)</f>
        <v>19650.01</v>
      </c>
      <c r="L1717" s="25" t="n">
        <f aca="false">C1717/K1717-1</f>
        <v>-0.475488816545132</v>
      </c>
      <c r="M1717" s="25" t="n">
        <f aca="false">IF(COUNT(G1688:G1717)&lt;20,"",_xlfn.STDEV.S(G1688:G1717)*SQRT($R$3))</f>
        <v>0.49909129207477</v>
      </c>
      <c r="N1717" s="25" t="n">
        <f aca="false">IF(A1717-7&lt;$R$2,"",C1717/INDEX(Clean_Data!$C$2:$C$4314,MATCH(A1717-7,Clean_Data!$A$2:$A$4314,1))-1)</f>
        <v>-0.00851549325311662</v>
      </c>
      <c r="O1717" s="25" t="n">
        <f aca="false">IF(A1717-30&lt;$R$2,"",C1717/INDEX(Clean_Data!$C$2:$C$4314,MATCH(A1717-30,Clean_Data!$A$2:$A$4314,1))-1)</f>
        <v>-0.00599681931326879</v>
      </c>
    </row>
    <row r="1718" customFormat="false" ht="15" hidden="false" customHeight="false" outlineLevel="0" collapsed="false">
      <c r="A1718" s="16" t="n">
        <v>43724</v>
      </c>
      <c r="B1718" s="23" t="n">
        <f aca="false">YEAR(A1718)</f>
        <v>2019</v>
      </c>
      <c r="C1718" s="17" t="n">
        <v>10268.77</v>
      </c>
      <c r="D1718" s="23" t="n">
        <f aca="false">A1718-A1717</f>
        <v>1</v>
      </c>
      <c r="E1718" s="24" t="n">
        <f aca="false">LN(C1718)</f>
        <v>9.23686252944041</v>
      </c>
      <c r="F1718" s="25" t="n">
        <f aca="false">LN(C1718/C1717)</f>
        <v>-0.00368206751520804</v>
      </c>
      <c r="G1718" s="25" t="n">
        <f aca="false">IF(AND(D1718=1,A1718&gt;=$R$2),F1718,"")</f>
        <v>-0.00368206751520804</v>
      </c>
      <c r="H1718" s="27" t="n">
        <f aca="false">IF(G1718="","",G1718^2)</f>
        <v>1.35576211865503E-005</v>
      </c>
      <c r="I1718" s="25" t="n">
        <f aca="false">IF(G1718="","",C1718/C1717-1)</f>
        <v>-0.00367529701697444</v>
      </c>
      <c r="J1718" s="17" t="n">
        <f aca="false">AVERAGE(C1519:C1718)</f>
        <v>8047.38815</v>
      </c>
      <c r="K1718" s="17" t="n">
        <f aca="false">MAX(K1717,C1718)</f>
        <v>19650.01</v>
      </c>
      <c r="L1718" s="25" t="n">
        <f aca="false">C1718/K1718-1</f>
        <v>-0.477416550933053</v>
      </c>
      <c r="M1718" s="25" t="n">
        <f aca="false">IF(COUNT(G1689:G1718)&lt;20,"",_xlfn.STDEV.S(G1689:G1718)*SQRT($R$3))</f>
        <v>0.496566824711473</v>
      </c>
      <c r="N1718" s="25" t="n">
        <f aca="false">IF(A1718-7&lt;$R$2,"",C1718/INDEX(Clean_Data!$C$2:$C$4314,MATCH(A1718-7,Clean_Data!$A$2:$A$4314,1))-1)</f>
        <v>-0.00399999612027535</v>
      </c>
      <c r="O1718" s="25" t="n">
        <f aca="false">IF(A1718-30&lt;$R$2,"",C1718/INDEX(Clean_Data!$C$2:$C$4314,MATCH(A1718-30,Clean_Data!$A$2:$A$4314,1))-1)</f>
        <v>0.00493229350669422</v>
      </c>
    </row>
    <row r="1719" customFormat="false" ht="15" hidden="false" customHeight="false" outlineLevel="0" collapsed="false">
      <c r="A1719" s="16" t="n">
        <v>43725</v>
      </c>
      <c r="B1719" s="23" t="n">
        <f aca="false">YEAR(A1719)</f>
        <v>2019</v>
      </c>
      <c r="C1719" s="17" t="n">
        <v>10185.14</v>
      </c>
      <c r="D1719" s="23" t="n">
        <f aca="false">A1719-A1718</f>
        <v>1</v>
      </c>
      <c r="E1719" s="24" t="n">
        <f aca="false">LN(C1719)</f>
        <v>9.2286850742709</v>
      </c>
      <c r="F1719" s="25" t="n">
        <f aca="false">LN(C1719/C1718)</f>
        <v>-0.00817745516950487</v>
      </c>
      <c r="G1719" s="25" t="n">
        <f aca="false">IF(AND(D1719=1,A1719&gt;=$R$2),F1719,"")</f>
        <v>-0.00817745516950487</v>
      </c>
      <c r="H1719" s="27" t="n">
        <f aca="false">IF(G1719="","",G1719^2)</f>
        <v>6.68707730492619E-005</v>
      </c>
      <c r="I1719" s="25" t="n">
        <f aca="false">IF(G1719="","",C1719/C1718-1)</f>
        <v>-0.00814411073575516</v>
      </c>
      <c r="J1719" s="17" t="n">
        <f aca="false">AVERAGE(C1520:C1719)</f>
        <v>8079.283</v>
      </c>
      <c r="K1719" s="17" t="n">
        <f aca="false">MAX(K1718,C1719)</f>
        <v>19650.01</v>
      </c>
      <c r="L1719" s="25" t="n">
        <f aca="false">C1719/K1719-1</f>
        <v>-0.481672528410927</v>
      </c>
      <c r="M1719" s="25" t="n">
        <f aca="false">IF(COUNT(G1690:G1719)&lt;20,"",_xlfn.STDEV.S(G1690:G1719)*SQRT($R$3))</f>
        <v>0.496373685350634</v>
      </c>
      <c r="N1719" s="25" t="n">
        <f aca="false">IF(A1719-7&lt;$R$2,"",C1719/INDEX(Clean_Data!$C$2:$C$4314,MATCH(A1719-7,Clean_Data!$A$2:$A$4314,1))-1)</f>
        <v>0.00942813733584003</v>
      </c>
      <c r="O1719" s="25" t="n">
        <f aca="false">IF(A1719-30&lt;$R$2,"",C1719/INDEX(Clean_Data!$C$2:$C$4314,MATCH(A1719-30,Clean_Data!$A$2:$A$4314,1))-1)</f>
        <v>-0.0120185778695204</v>
      </c>
    </row>
    <row r="1720" customFormat="false" ht="15" hidden="false" customHeight="false" outlineLevel="0" collapsed="false">
      <c r="A1720" s="16" t="n">
        <v>43726</v>
      </c>
      <c r="B1720" s="23" t="n">
        <f aca="false">YEAR(A1720)</f>
        <v>2019</v>
      </c>
      <c r="C1720" s="17" t="n">
        <v>10155.26</v>
      </c>
      <c r="D1720" s="23" t="n">
        <f aca="false">A1720-A1719</f>
        <v>1</v>
      </c>
      <c r="E1720" s="24" t="n">
        <f aca="false">LN(C1720)</f>
        <v>9.22574707683789</v>
      </c>
      <c r="F1720" s="25" t="n">
        <f aca="false">LN(C1720/C1719)</f>
        <v>-0.00293799743301504</v>
      </c>
      <c r="G1720" s="25" t="n">
        <f aca="false">IF(AND(D1720=1,A1720&gt;=$R$2),F1720,"")</f>
        <v>-0.00293799743301504</v>
      </c>
      <c r="H1720" s="27" t="n">
        <f aca="false">IF(G1720="","",G1720^2)</f>
        <v>8.63182891640298E-006</v>
      </c>
      <c r="I1720" s="25" t="n">
        <f aca="false">IF(G1720="","",C1720/C1719-1)</f>
        <v>-0.00293368574216935</v>
      </c>
      <c r="J1720" s="17" t="n">
        <f aca="false">AVERAGE(C1521:C1720)</f>
        <v>8111.0108</v>
      </c>
      <c r="K1720" s="17" t="n">
        <f aca="false">MAX(K1719,C1720)</f>
        <v>19650.01</v>
      </c>
      <c r="L1720" s="25" t="n">
        <f aca="false">C1720/K1720-1</f>
        <v>-0.483193138324103</v>
      </c>
      <c r="M1720" s="25" t="n">
        <f aca="false">IF(COUNT(G1691:G1720)&lt;20,"",_xlfn.STDEV.S(G1691:G1720)*SQRT($R$3))</f>
        <v>0.447695736447052</v>
      </c>
      <c r="N1720" s="25" t="n">
        <f aca="false">IF(A1720-7&lt;$R$2,"",C1720/INDEX(Clean_Data!$C$2:$C$4314,MATCH(A1720-7,Clean_Data!$A$2:$A$4314,1))-1)</f>
        <v>-0.00139928354322583</v>
      </c>
      <c r="O1720" s="25" t="n">
        <f aca="false">IF(A1720-30&lt;$R$2,"",C1720/INDEX(Clean_Data!$C$2:$C$4314,MATCH(A1720-30,Clean_Data!$A$2:$A$4314,1))-1)</f>
        <v>-0.0713637115970032</v>
      </c>
    </row>
    <row r="1721" customFormat="false" ht="15" hidden="false" customHeight="false" outlineLevel="0" collapsed="false">
      <c r="A1721" s="16" t="n">
        <v>43727</v>
      </c>
      <c r="B1721" s="23" t="n">
        <f aca="false">YEAR(A1721)</f>
        <v>2019</v>
      </c>
      <c r="C1721" s="17" t="n">
        <v>10304.94</v>
      </c>
      <c r="D1721" s="23" t="n">
        <f aca="false">A1721-A1720</f>
        <v>1</v>
      </c>
      <c r="E1721" s="24" t="n">
        <f aca="false">LN(C1721)</f>
        <v>9.24037867089131</v>
      </c>
      <c r="F1721" s="25" t="n">
        <f aca="false">LN(C1721/C1720)</f>
        <v>0.0146315940534193</v>
      </c>
      <c r="G1721" s="25" t="n">
        <f aca="false">IF(AND(D1721=1,A1721&gt;=$R$2),F1721,"")</f>
        <v>0.0146315940534193</v>
      </c>
      <c r="H1721" s="27" t="n">
        <f aca="false">IF(G1721="","",G1721^2)</f>
        <v>0.000214083544544055</v>
      </c>
      <c r="I1721" s="25" t="n">
        <f aca="false">IF(G1721="","",C1721/C1720-1)</f>
        <v>0.0147391598048696</v>
      </c>
      <c r="J1721" s="17" t="n">
        <f aca="false">AVERAGE(C1522:C1721)</f>
        <v>8143.60085</v>
      </c>
      <c r="K1721" s="17" t="n">
        <f aca="false">MAX(K1720,C1721)</f>
        <v>19650.01</v>
      </c>
      <c r="L1721" s="25" t="n">
        <f aca="false">C1721/K1721-1</f>
        <v>-0.475575839401608</v>
      </c>
      <c r="M1721" s="25" t="n">
        <f aca="false">IF(COUNT(G1692:G1721)&lt;20,"",_xlfn.STDEV.S(G1692:G1721)*SQRT($R$3))</f>
        <v>0.449118130025927</v>
      </c>
      <c r="N1721" s="25" t="n">
        <f aca="false">IF(A1721-7&lt;$R$2,"",C1721/INDEX(Clean_Data!$C$2:$C$4314,MATCH(A1721-7,Clean_Data!$A$2:$A$4314,1))-1)</f>
        <v>-0.0126710350199623</v>
      </c>
      <c r="O1721" s="25" t="n">
        <f aca="false">IF(A1721-30&lt;$R$2,"",C1721/INDEX(Clean_Data!$C$2:$C$4314,MATCH(A1721-30,Clean_Data!$A$2:$A$4314,1))-1)</f>
        <v>-0.0432690031278461</v>
      </c>
    </row>
    <row r="1722" customFormat="false" ht="15" hidden="false" customHeight="false" outlineLevel="0" collapsed="false">
      <c r="A1722" s="16" t="n">
        <v>43728</v>
      </c>
      <c r="B1722" s="23" t="n">
        <f aca="false">YEAR(A1722)</f>
        <v>2019</v>
      </c>
      <c r="C1722" s="17" t="n">
        <v>10168.44</v>
      </c>
      <c r="D1722" s="23" t="n">
        <f aca="false">A1722-A1721</f>
        <v>1</v>
      </c>
      <c r="E1722" s="24" t="n">
        <f aca="false">LN(C1722)</f>
        <v>9.22704408494642</v>
      </c>
      <c r="F1722" s="25" t="n">
        <f aca="false">LN(C1722/C1721)</f>
        <v>-0.0133345859448909</v>
      </c>
      <c r="G1722" s="25" t="n">
        <f aca="false">IF(AND(D1722=1,A1722&gt;=$R$2),F1722,"")</f>
        <v>-0.0133345859448909</v>
      </c>
      <c r="H1722" s="27" t="n">
        <f aca="false">IF(G1722="","",G1722^2)</f>
        <v>0.000177811182321682</v>
      </c>
      <c r="I1722" s="25" t="n">
        <f aca="false">IF(G1722="","",C1722/C1721-1)</f>
        <v>-0.0132460742129503</v>
      </c>
      <c r="J1722" s="17" t="n">
        <f aca="false">AVERAGE(C1523:C1722)</f>
        <v>8175.93945</v>
      </c>
      <c r="K1722" s="17" t="n">
        <f aca="false">MAX(K1721,C1722)</f>
        <v>19650.01</v>
      </c>
      <c r="L1722" s="25" t="n">
        <f aca="false">C1722/K1722-1</f>
        <v>-0.482522400751959</v>
      </c>
      <c r="M1722" s="25" t="n">
        <f aca="false">IF(COUNT(G1693:G1722)&lt;20,"",_xlfn.STDEV.S(G1693:G1722)*SQRT($R$3))</f>
        <v>0.398190600261462</v>
      </c>
      <c r="N1722" s="25" t="n">
        <f aca="false">IF(A1722-7&lt;$R$2,"",C1722/INDEX(Clean_Data!$C$2:$C$4314,MATCH(A1722-7,Clean_Data!$A$2:$A$4314,1))-1)</f>
        <v>-0.0205617270810476</v>
      </c>
      <c r="O1722" s="25" t="n">
        <f aca="false">IF(A1722-30&lt;$R$2,"",C1722/INDEX(Clean_Data!$C$2:$C$4314,MATCH(A1722-30,Clean_Data!$A$2:$A$4314,1))-1)</f>
        <v>0.00302729895686915</v>
      </c>
    </row>
    <row r="1723" customFormat="false" ht="15" hidden="false" customHeight="false" outlineLevel="0" collapsed="false">
      <c r="A1723" s="16" t="n">
        <v>43729</v>
      </c>
      <c r="B1723" s="23" t="n">
        <f aca="false">YEAR(A1723)</f>
        <v>2019</v>
      </c>
      <c r="C1723" s="17" t="n">
        <v>9982.39</v>
      </c>
      <c r="D1723" s="23" t="n">
        <f aca="false">A1723-A1722</f>
        <v>1</v>
      </c>
      <c r="E1723" s="24" t="n">
        <f aca="false">LN(C1723)</f>
        <v>9.20857781959292</v>
      </c>
      <c r="F1723" s="25" t="n">
        <f aca="false">LN(C1723/C1722)</f>
        <v>-0.0184662653534984</v>
      </c>
      <c r="G1723" s="25" t="n">
        <f aca="false">IF(AND(D1723=1,A1723&gt;=$R$2),F1723,"")</f>
        <v>-0.0184662653534984</v>
      </c>
      <c r="H1723" s="27" t="n">
        <f aca="false">IF(G1723="","",G1723^2)</f>
        <v>0.000341002956105816</v>
      </c>
      <c r="I1723" s="25" t="n">
        <f aca="false">IF(G1723="","",C1723/C1722-1)</f>
        <v>-0.0182968085566715</v>
      </c>
      <c r="J1723" s="17" t="n">
        <f aca="false">AVERAGE(C1524:C1723)</f>
        <v>8206.62845</v>
      </c>
      <c r="K1723" s="17" t="n">
        <f aca="false">MAX(K1722,C1723)</f>
        <v>19650.01</v>
      </c>
      <c r="L1723" s="25" t="n">
        <f aca="false">C1723/K1723-1</f>
        <v>-0.491990589317766</v>
      </c>
      <c r="M1723" s="25" t="n">
        <f aca="false">IF(COUNT(G1694:G1723)&lt;20,"",_xlfn.STDEV.S(G1694:G1723)*SQRT($R$3))</f>
        <v>0.403125906632122</v>
      </c>
      <c r="N1723" s="25" t="n">
        <f aca="false">IF(A1723-7&lt;$R$2,"",C1723/INDEX(Clean_Data!$C$2:$C$4314,MATCH(A1723-7,Clean_Data!$A$2:$A$4314,1))-1)</f>
        <v>-0.0364674427134613</v>
      </c>
      <c r="O1723" s="25" t="n">
        <f aca="false">IF(A1723-30&lt;$R$2,"",C1723/INDEX(Clean_Data!$C$2:$C$4314,MATCH(A1723-30,Clean_Data!$A$2:$A$4314,1))-1)</f>
        <v>-0.0105561662383077</v>
      </c>
    </row>
    <row r="1724" customFormat="false" ht="15" hidden="false" customHeight="false" outlineLevel="0" collapsed="false">
      <c r="A1724" s="16" t="n">
        <v>43730</v>
      </c>
      <c r="B1724" s="23" t="n">
        <f aca="false">YEAR(A1724)</f>
        <v>2019</v>
      </c>
      <c r="C1724" s="17" t="n">
        <v>10035</v>
      </c>
      <c r="D1724" s="23" t="n">
        <f aca="false">A1724-A1723</f>
        <v>1</v>
      </c>
      <c r="E1724" s="24" t="n">
        <f aca="false">LN(C1724)</f>
        <v>9.21383426123044</v>
      </c>
      <c r="F1724" s="25" t="n">
        <f aca="false">LN(C1724/C1723)</f>
        <v>0.00525644163752157</v>
      </c>
      <c r="G1724" s="25" t="n">
        <f aca="false">IF(AND(D1724=1,A1724&gt;=$R$2),F1724,"")</f>
        <v>0.00525644163752157</v>
      </c>
      <c r="H1724" s="27" t="n">
        <f aca="false">IF(G1724="","",G1724^2)</f>
        <v>2.76301786886704E-005</v>
      </c>
      <c r="I1724" s="25" t="n">
        <f aca="false">IF(G1724="","",C1724/C1723-1)</f>
        <v>0.00527028096477911</v>
      </c>
      <c r="J1724" s="17" t="n">
        <f aca="false">AVERAGE(C1525:C1724)</f>
        <v>8237.544</v>
      </c>
      <c r="K1724" s="17" t="n">
        <f aca="false">MAX(K1723,C1724)</f>
        <v>19650.01</v>
      </c>
      <c r="L1724" s="25" t="n">
        <f aca="false">C1724/K1724-1</f>
        <v>-0.489313236990719</v>
      </c>
      <c r="M1724" s="25" t="n">
        <f aca="false">IF(COUNT(G1695:G1724)&lt;20,"",_xlfn.STDEV.S(G1695:G1724)*SQRT($R$3))</f>
        <v>0.386765608565691</v>
      </c>
      <c r="N1724" s="25" t="n">
        <f aca="false">IF(A1724-7&lt;$R$2,"",C1724/INDEX(Clean_Data!$C$2:$C$4314,MATCH(A1724-7,Clean_Data!$A$2:$A$4314,1))-1)</f>
        <v>-0.0263567696584244</v>
      </c>
      <c r="O1724" s="25" t="n">
        <f aca="false">IF(A1724-30&lt;$R$2,"",C1724/INDEX(Clean_Data!$C$2:$C$4314,MATCH(A1724-30,Clean_Data!$A$2:$A$4314,1))-1)</f>
        <v>-0.0364867628547645</v>
      </c>
    </row>
    <row r="1725" customFormat="false" ht="15" hidden="false" customHeight="false" outlineLevel="0" collapsed="false">
      <c r="A1725" s="16" t="n">
        <v>43731</v>
      </c>
      <c r="B1725" s="23" t="n">
        <f aca="false">YEAR(A1725)</f>
        <v>2019</v>
      </c>
      <c r="C1725" s="17" t="n">
        <v>9683.89</v>
      </c>
      <c r="D1725" s="23" t="n">
        <f aca="false">A1725-A1724</f>
        <v>1</v>
      </c>
      <c r="E1725" s="24" t="n">
        <f aca="false">LN(C1725)</f>
        <v>9.17821895905085</v>
      </c>
      <c r="F1725" s="25" t="n">
        <f aca="false">LN(C1725/C1724)</f>
        <v>-0.0356153021795884</v>
      </c>
      <c r="G1725" s="25" t="n">
        <f aca="false">IF(AND(D1725=1,A1725&gt;=$R$2),F1725,"")</f>
        <v>-0.0356153021795884</v>
      </c>
      <c r="H1725" s="27" t="n">
        <f aca="false">IF(G1725="","",G1725^2)</f>
        <v>0.0012684497493434</v>
      </c>
      <c r="I1725" s="25" t="n">
        <f aca="false">IF(G1725="","",C1725/C1724-1)</f>
        <v>-0.0349885401096164</v>
      </c>
      <c r="J1725" s="17" t="n">
        <f aca="false">AVERAGE(C1526:C1725)</f>
        <v>8266.6782</v>
      </c>
      <c r="K1725" s="17" t="n">
        <f aca="false">MAX(K1724,C1725)</f>
        <v>19650.01</v>
      </c>
      <c r="L1725" s="25" t="n">
        <f aca="false">C1725/K1725-1</f>
        <v>-0.507181421281719</v>
      </c>
      <c r="M1725" s="25" t="n">
        <f aca="false">IF(COUNT(G1696:G1725)&lt;20,"",_xlfn.STDEV.S(G1696:G1725)*SQRT($R$3))</f>
        <v>0.396483797088859</v>
      </c>
      <c r="N1725" s="25" t="n">
        <f aca="false">IF(A1725-7&lt;$R$2,"",C1725/INDEX(Clean_Data!$C$2:$C$4314,MATCH(A1725-7,Clean_Data!$A$2:$A$4314,1))-1)</f>
        <v>-0.0569571623475841</v>
      </c>
      <c r="O1725" s="25" t="n">
        <f aca="false">IF(A1725-30&lt;$R$2,"",C1725/INDEX(Clean_Data!$C$2:$C$4314,MATCH(A1725-30,Clean_Data!$A$2:$A$4314,1))-1)</f>
        <v>-0.0464858211894448</v>
      </c>
    </row>
    <row r="1726" customFormat="false" ht="15" hidden="false" customHeight="false" outlineLevel="0" collapsed="false">
      <c r="A1726" s="16" t="n">
        <v>43732</v>
      </c>
      <c r="B1726" s="23" t="n">
        <f aca="false">YEAR(A1726)</f>
        <v>2019</v>
      </c>
      <c r="C1726" s="17" t="n">
        <v>8556.43</v>
      </c>
      <c r="D1726" s="23" t="n">
        <f aca="false">A1726-A1725</f>
        <v>1</v>
      </c>
      <c r="E1726" s="24" t="n">
        <f aca="false">LN(C1726)</f>
        <v>9.05443832606895</v>
      </c>
      <c r="F1726" s="25" t="n">
        <f aca="false">LN(C1726/C1725)</f>
        <v>-0.123780632981901</v>
      </c>
      <c r="G1726" s="25" t="n">
        <f aca="false">IF(AND(D1726=1,A1726&gt;=$R$2),F1726,"")</f>
        <v>-0.123780632981901</v>
      </c>
      <c r="H1726" s="27" t="n">
        <f aca="false">IF(G1726="","",G1726^2)</f>
        <v>0.0153216451014001</v>
      </c>
      <c r="I1726" s="25" t="n">
        <f aca="false">IF(G1726="","",C1726/C1725-1)</f>
        <v>-0.116426353459199</v>
      </c>
      <c r="J1726" s="17" t="n">
        <f aca="false">AVERAGE(C1527:C1726)</f>
        <v>8290.24475</v>
      </c>
      <c r="K1726" s="17" t="n">
        <f aca="false">MAX(K1725,C1726)</f>
        <v>19650.01</v>
      </c>
      <c r="L1726" s="25" t="n">
        <f aca="false">C1726/K1726-1</f>
        <v>-0.564558491318834</v>
      </c>
      <c r="M1726" s="25" t="n">
        <f aca="false">IF(COUNT(G1697:G1726)&lt;20,"",_xlfn.STDEV.S(G1697:G1726)*SQRT($R$3))</f>
        <v>0.582037763227991</v>
      </c>
      <c r="N1726" s="25" t="n">
        <f aca="false">IF(A1726-7&lt;$R$2,"",C1726/INDEX(Clean_Data!$C$2:$C$4314,MATCH(A1726-7,Clean_Data!$A$2:$A$4314,1))-1)</f>
        <v>-0.159910418511675</v>
      </c>
      <c r="O1726" s="25" t="n">
        <f aca="false">IF(A1726-30&lt;$R$2,"",C1726/INDEX(Clean_Data!$C$2:$C$4314,MATCH(A1726-30,Clean_Data!$A$2:$A$4314,1))-1)</f>
        <v>-0.156877371040055</v>
      </c>
    </row>
    <row r="1727" customFormat="false" ht="15" hidden="false" customHeight="false" outlineLevel="0" collapsed="false">
      <c r="A1727" s="16" t="n">
        <v>43733</v>
      </c>
      <c r="B1727" s="23" t="n">
        <f aca="false">YEAR(A1727)</f>
        <v>2019</v>
      </c>
      <c r="C1727" s="17" t="n">
        <v>8446.57</v>
      </c>
      <c r="D1727" s="23" t="n">
        <f aca="false">A1727-A1726</f>
        <v>1</v>
      </c>
      <c r="E1727" s="24" t="n">
        <f aca="false">LN(C1727)</f>
        <v>9.04151572078479</v>
      </c>
      <c r="F1727" s="25" t="n">
        <f aca="false">LN(C1727/C1726)</f>
        <v>-0.0129226052841638</v>
      </c>
      <c r="G1727" s="25" t="n">
        <f aca="false">IF(AND(D1727=1,A1727&gt;=$R$2),F1727,"")</f>
        <v>-0.0129226052841638</v>
      </c>
      <c r="H1727" s="27" t="n">
        <f aca="false">IF(G1727="","",G1727^2)</f>
        <v>0.000166993727330299</v>
      </c>
      <c r="I1727" s="25" t="n">
        <f aca="false">IF(G1727="","",C1727/C1726-1)</f>
        <v>-0.0128394669272115</v>
      </c>
      <c r="J1727" s="17" t="n">
        <f aca="false">AVERAGE(C1528:C1727)</f>
        <v>8312.8926</v>
      </c>
      <c r="K1727" s="17" t="n">
        <f aca="false">MAX(K1726,C1727)</f>
        <v>19650.01</v>
      </c>
      <c r="L1727" s="25" t="n">
        <f aca="false">C1727/K1727-1</f>
        <v>-0.570149328168281</v>
      </c>
      <c r="M1727" s="25" t="n">
        <f aca="false">IF(COUNT(G1698:G1727)&lt;20,"",_xlfn.STDEV.S(G1698:G1727)*SQRT($R$3))</f>
        <v>0.573847024128619</v>
      </c>
      <c r="N1727" s="25" t="n">
        <f aca="false">IF(A1727-7&lt;$R$2,"",C1727/INDEX(Clean_Data!$C$2:$C$4314,MATCH(A1727-7,Clean_Data!$A$2:$A$4314,1))-1)</f>
        <v>-0.168256647294112</v>
      </c>
      <c r="O1727" s="25" t="n">
        <f aca="false">IF(A1727-30&lt;$R$2,"",C1727/INDEX(Clean_Data!$C$2:$C$4314,MATCH(A1727-30,Clean_Data!$A$2:$A$4314,1))-1)</f>
        <v>-0.185774671647186</v>
      </c>
    </row>
    <row r="1728" customFormat="false" ht="15" hidden="false" customHeight="false" outlineLevel="0" collapsed="false">
      <c r="A1728" s="16" t="n">
        <v>43734</v>
      </c>
      <c r="B1728" s="23" t="n">
        <f aca="false">YEAR(A1728)</f>
        <v>2019</v>
      </c>
      <c r="C1728" s="17" t="n">
        <v>8063</v>
      </c>
      <c r="D1728" s="23" t="n">
        <f aca="false">A1728-A1727</f>
        <v>1</v>
      </c>
      <c r="E1728" s="24" t="n">
        <f aca="false">LN(C1728)</f>
        <v>8.99504097468502</v>
      </c>
      <c r="F1728" s="25" t="n">
        <f aca="false">LN(C1728/C1727)</f>
        <v>-0.0464747460997629</v>
      </c>
      <c r="G1728" s="25" t="n">
        <f aca="false">IF(AND(D1728=1,A1728&gt;=$R$2),F1728,"")</f>
        <v>-0.0464747460997629</v>
      </c>
      <c r="H1728" s="27" t="n">
        <f aca="false">IF(G1728="","",G1728^2)</f>
        <v>0.00215990202503743</v>
      </c>
      <c r="I1728" s="25" t="n">
        <f aca="false">IF(G1728="","",C1728/C1727-1)</f>
        <v>-0.0454113326474533</v>
      </c>
      <c r="J1728" s="17" t="n">
        <f aca="false">AVERAGE(C1529:C1728)</f>
        <v>8333.70295</v>
      </c>
      <c r="K1728" s="17" t="n">
        <f aca="false">MAX(K1727,C1728)</f>
        <v>19650.01</v>
      </c>
      <c r="L1728" s="25" t="n">
        <f aca="false">C1728/K1728-1</f>
        <v>-0.589669420015562</v>
      </c>
      <c r="M1728" s="25" t="n">
        <f aca="false">IF(COUNT(G1699:G1728)&lt;20,"",_xlfn.STDEV.S(G1699:G1728)*SQRT($R$3))</f>
        <v>0.588766790812475</v>
      </c>
      <c r="N1728" s="25" t="n">
        <f aca="false">IF(A1728-7&lt;$R$2,"",C1728/INDEX(Clean_Data!$C$2:$C$4314,MATCH(A1728-7,Clean_Data!$A$2:$A$4314,1))-1)</f>
        <v>-0.217559733487046</v>
      </c>
      <c r="O1728" s="25" t="n">
        <f aca="false">IF(A1728-30&lt;$R$2,"",C1728/INDEX(Clean_Data!$C$2:$C$4314,MATCH(A1728-30,Clean_Data!$A$2:$A$4314,1))-1)</f>
        <v>-0.207190447347928</v>
      </c>
    </row>
    <row r="1729" customFormat="false" ht="15" hidden="false" customHeight="false" outlineLevel="0" collapsed="false">
      <c r="A1729" s="16" t="n">
        <v>43735</v>
      </c>
      <c r="B1729" s="23" t="n">
        <f aca="false">YEAR(A1729)</f>
        <v>2019</v>
      </c>
      <c r="C1729" s="17" t="n">
        <v>8193.98</v>
      </c>
      <c r="D1729" s="23" t="n">
        <f aca="false">A1729-A1728</f>
        <v>1</v>
      </c>
      <c r="E1729" s="24" t="n">
        <f aca="false">LN(C1729)</f>
        <v>9.01115501729349</v>
      </c>
      <c r="F1729" s="25" t="n">
        <f aca="false">LN(C1729/C1728)</f>
        <v>0.0161140426084665</v>
      </c>
      <c r="G1729" s="25" t="n">
        <f aca="false">IF(AND(D1729=1,A1729&gt;=$R$2),F1729,"")</f>
        <v>0.0161140426084665</v>
      </c>
      <c r="H1729" s="27" t="n">
        <f aca="false">IF(G1729="","",G1729^2)</f>
        <v>0.000259662369187474</v>
      </c>
      <c r="I1729" s="25" t="n">
        <f aca="false">IF(G1729="","",C1729/C1728-1)</f>
        <v>0.0162445739799082</v>
      </c>
      <c r="J1729" s="17" t="n">
        <f aca="false">AVERAGE(C1530:C1729)</f>
        <v>8355.42445</v>
      </c>
      <c r="K1729" s="17" t="n">
        <f aca="false">MAX(K1728,C1729)</f>
        <v>19650.01</v>
      </c>
      <c r="L1729" s="25" t="n">
        <f aca="false">C1729/K1729-1</f>
        <v>-0.583003774552787</v>
      </c>
      <c r="M1729" s="25" t="n">
        <f aca="false">IF(COUNT(G1700:G1729)&lt;20,"",_xlfn.STDEV.S(G1700:G1729)*SQRT($R$3))</f>
        <v>0.577491577030514</v>
      </c>
      <c r="N1729" s="25" t="n">
        <f aca="false">IF(A1729-7&lt;$R$2,"",C1729/INDEX(Clean_Data!$C$2:$C$4314,MATCH(A1729-7,Clean_Data!$A$2:$A$4314,1))-1)</f>
        <v>-0.194175311060497</v>
      </c>
      <c r="O1729" s="25" t="n">
        <f aca="false">IF(A1729-30&lt;$R$2,"",C1729/INDEX(Clean_Data!$C$2:$C$4314,MATCH(A1729-30,Clean_Data!$A$2:$A$4314,1))-1)</f>
        <v>-0.15616278662627</v>
      </c>
    </row>
    <row r="1730" customFormat="false" ht="15" hidden="false" customHeight="false" outlineLevel="0" collapsed="false">
      <c r="A1730" s="16" t="n">
        <v>43736</v>
      </c>
      <c r="B1730" s="23" t="n">
        <f aca="false">YEAR(A1730)</f>
        <v>2019</v>
      </c>
      <c r="C1730" s="17" t="n">
        <v>8228.22</v>
      </c>
      <c r="D1730" s="23" t="n">
        <f aca="false">A1730-A1729</f>
        <v>1</v>
      </c>
      <c r="E1730" s="24" t="n">
        <f aca="false">LN(C1730)</f>
        <v>9.01532498838331</v>
      </c>
      <c r="F1730" s="25" t="n">
        <f aca="false">LN(C1730/C1729)</f>
        <v>0.00416997108982063</v>
      </c>
      <c r="G1730" s="25" t="n">
        <f aca="false">IF(AND(D1730=1,A1730&gt;=$R$2),F1730,"")</f>
        <v>0.00416997108982063</v>
      </c>
      <c r="H1730" s="27" t="n">
        <f aca="false">IF(G1730="","",G1730^2)</f>
        <v>1.73886588899398E-005</v>
      </c>
      <c r="I1730" s="25" t="n">
        <f aca="false">IF(G1730="","",C1730/C1729-1)</f>
        <v>0.00417867751690881</v>
      </c>
      <c r="J1730" s="17" t="n">
        <f aca="false">AVERAGE(C1531:C1730)</f>
        <v>8377.26555</v>
      </c>
      <c r="K1730" s="17" t="n">
        <f aca="false">MAX(K1729,C1730)</f>
        <v>19650.01</v>
      </c>
      <c r="L1730" s="25" t="n">
        <f aca="false">C1730/K1730-1</f>
        <v>-0.581261281800874</v>
      </c>
      <c r="M1730" s="25" t="n">
        <f aca="false">IF(COUNT(G1701:G1730)&lt;20,"",_xlfn.STDEV.S(G1701:G1730)*SQRT($R$3))</f>
        <v>0.576323477773564</v>
      </c>
      <c r="N1730" s="25" t="n">
        <f aca="false">IF(A1730-7&lt;$R$2,"",C1730/INDEX(Clean_Data!$C$2:$C$4314,MATCH(A1730-7,Clean_Data!$A$2:$A$4314,1))-1)</f>
        <v>-0.175726454285998</v>
      </c>
      <c r="O1730" s="25" t="n">
        <f aca="false">IF(A1730-30&lt;$R$2,"",C1730/INDEX(Clean_Data!$C$2:$C$4314,MATCH(A1730-30,Clean_Data!$A$2:$A$4314,1))-1)</f>
        <v>-0.136144881889764</v>
      </c>
    </row>
    <row r="1731" customFormat="false" ht="15" hidden="false" customHeight="false" outlineLevel="0" collapsed="false">
      <c r="A1731" s="16" t="n">
        <v>43737</v>
      </c>
      <c r="B1731" s="23" t="n">
        <f aca="false">YEAR(A1731)</f>
        <v>2019</v>
      </c>
      <c r="C1731" s="17" t="n">
        <v>8063.06</v>
      </c>
      <c r="D1731" s="23" t="n">
        <f aca="false">A1731-A1730</f>
        <v>1</v>
      </c>
      <c r="E1731" s="24" t="n">
        <f aca="false">LN(C1731)</f>
        <v>8.99504841605632</v>
      </c>
      <c r="F1731" s="25" t="n">
        <f aca="false">LN(C1731/C1730)</f>
        <v>-0.0202765723269911</v>
      </c>
      <c r="G1731" s="25" t="n">
        <f aca="false">IF(AND(D1731=1,A1731&gt;=$R$2),F1731,"")</f>
        <v>-0.0202765723269911</v>
      </c>
      <c r="H1731" s="27" t="n">
        <f aca="false">IF(G1731="","",G1731^2)</f>
        <v>0.0004111393853317</v>
      </c>
      <c r="I1731" s="25" t="n">
        <f aca="false">IF(G1731="","",C1731/C1730-1)</f>
        <v>-0.0200723850358886</v>
      </c>
      <c r="J1731" s="17" t="n">
        <f aca="false">AVERAGE(C1532:C1731)</f>
        <v>8398.32575</v>
      </c>
      <c r="K1731" s="17" t="n">
        <f aca="false">MAX(K1730,C1731)</f>
        <v>19650.01</v>
      </c>
      <c r="L1731" s="25" t="n">
        <f aca="false">C1731/K1731-1</f>
        <v>-0.589666366582002</v>
      </c>
      <c r="M1731" s="25" t="n">
        <f aca="false">IF(COUNT(G1702:G1731)&lt;20,"",_xlfn.STDEV.S(G1702:G1731)*SQRT($R$3))</f>
        <v>0.577413764554443</v>
      </c>
      <c r="N1731" s="25" t="n">
        <f aca="false">IF(A1731-7&lt;$R$2,"",C1731/INDEX(Clean_Data!$C$2:$C$4314,MATCH(A1731-7,Clean_Data!$A$2:$A$4314,1))-1)</f>
        <v>-0.196506228201295</v>
      </c>
      <c r="O1731" s="25" t="n">
        <f aca="false">IF(A1731-30&lt;$R$2,"",C1731/INDEX(Clean_Data!$C$2:$C$4314,MATCH(A1731-30,Clean_Data!$A$2:$A$4314,1))-1)</f>
        <v>-0.158397177629794</v>
      </c>
    </row>
    <row r="1732" customFormat="false" ht="15" hidden="false" customHeight="false" outlineLevel="0" collapsed="false">
      <c r="A1732" s="16" t="n">
        <v>43738</v>
      </c>
      <c r="B1732" s="23" t="n">
        <f aca="false">YEAR(A1732)</f>
        <v>2019</v>
      </c>
      <c r="C1732" s="17" t="n">
        <v>8305.14</v>
      </c>
      <c r="D1732" s="23" t="n">
        <f aca="false">A1732-A1731</f>
        <v>1</v>
      </c>
      <c r="E1732" s="24" t="n">
        <f aca="false">LN(C1732)</f>
        <v>9.02462987922018</v>
      </c>
      <c r="F1732" s="25" t="n">
        <f aca="false">LN(C1732/C1731)</f>
        <v>0.0295814631638648</v>
      </c>
      <c r="G1732" s="25" t="n">
        <f aca="false">IF(AND(D1732=1,A1732&gt;=$R$2),F1732,"")</f>
        <v>0.0295814631638648</v>
      </c>
      <c r="H1732" s="27" t="n">
        <f aca="false">IF(G1732="","",G1732^2)</f>
        <v>0.000875062962915091</v>
      </c>
      <c r="I1732" s="25" t="n">
        <f aca="false">IF(G1732="","",C1732/C1731-1)</f>
        <v>0.0300233410144535</v>
      </c>
      <c r="J1732" s="17" t="n">
        <f aca="false">AVERAGE(C1533:C1732)</f>
        <v>8420.5817</v>
      </c>
      <c r="K1732" s="17" t="n">
        <f aca="false">MAX(K1731,C1732)</f>
        <v>19650.01</v>
      </c>
      <c r="L1732" s="25" t="n">
        <f aca="false">C1732/K1732-1</f>
        <v>-0.577346779976193</v>
      </c>
      <c r="M1732" s="25" t="n">
        <f aca="false">IF(COUNT(G1703:G1732)&lt;20,"",_xlfn.STDEV.S(G1703:G1732)*SQRT($R$3))</f>
        <v>0.590035136138849</v>
      </c>
      <c r="N1732" s="25" t="n">
        <f aca="false">IF(A1732-7&lt;$R$2,"",C1732/INDEX(Clean_Data!$C$2:$C$4314,MATCH(A1732-7,Clean_Data!$A$2:$A$4314,1))-1)</f>
        <v>-0.142375636237091</v>
      </c>
      <c r="O1732" s="25" t="n">
        <f aca="false">IF(A1732-30&lt;$R$2,"",C1732/INDEX(Clean_Data!$C$2:$C$4314,MATCH(A1732-30,Clean_Data!$A$2:$A$4314,1))-1)</f>
        <v>-0.134335701144993</v>
      </c>
    </row>
    <row r="1733" customFormat="false" ht="15" hidden="false" customHeight="false" outlineLevel="0" collapsed="false">
      <c r="A1733" s="16" t="n">
        <v>43739</v>
      </c>
      <c r="B1733" s="23" t="n">
        <f aca="false">YEAR(A1733)</f>
        <v>2019</v>
      </c>
      <c r="C1733" s="17" t="n">
        <v>8323.43</v>
      </c>
      <c r="D1733" s="23" t="n">
        <f aca="false">A1733-A1732</f>
        <v>1</v>
      </c>
      <c r="E1733" s="24" t="n">
        <f aca="false">LN(C1733)</f>
        <v>9.02682970847499</v>
      </c>
      <c r="F1733" s="25" t="n">
        <f aca="false">LN(C1733/C1732)</f>
        <v>0.0021998292548093</v>
      </c>
      <c r="G1733" s="25" t="n">
        <f aca="false">IF(AND(D1733=1,A1733&gt;=$R$2),F1733,"")</f>
        <v>0.0021998292548093</v>
      </c>
      <c r="H1733" s="27" t="n">
        <f aca="false">IF(G1733="","",G1733^2)</f>
        <v>4.83924875031486E-006</v>
      </c>
      <c r="I1733" s="25" t="n">
        <f aca="false">IF(G1733="","",C1733/C1732-1)</f>
        <v>0.00220225065441415</v>
      </c>
      <c r="J1733" s="17" t="n">
        <f aca="false">AVERAGE(C1534:C1733)</f>
        <v>8442.68485</v>
      </c>
      <c r="K1733" s="17" t="n">
        <f aca="false">MAX(K1732,C1733)</f>
        <v>19650.01</v>
      </c>
      <c r="L1733" s="25" t="n">
        <f aca="false">C1733/K1733-1</f>
        <v>-0.576415991645806</v>
      </c>
      <c r="M1733" s="25" t="n">
        <f aca="false">IF(COUNT(G1704:G1733)&lt;20,"",_xlfn.STDEV.S(G1704:G1733)*SQRT($R$3))</f>
        <v>0.584825271409573</v>
      </c>
      <c r="N1733" s="25" t="n">
        <f aca="false">IF(A1733-7&lt;$R$2,"",C1733/INDEX(Clean_Data!$C$2:$C$4314,MATCH(A1733-7,Clean_Data!$A$2:$A$4314,1))-1)</f>
        <v>-0.0272309830151126</v>
      </c>
      <c r="O1733" s="25" t="n">
        <f aca="false">IF(A1733-30&lt;$R$2,"",C1733/INDEX(Clean_Data!$C$2:$C$4314,MATCH(A1733-30,Clean_Data!$A$2:$A$4314,1))-1)</f>
        <v>-0.14803104310906</v>
      </c>
    </row>
    <row r="1734" customFormat="false" ht="15" hidden="false" customHeight="false" outlineLevel="0" collapsed="false">
      <c r="A1734" s="16" t="n">
        <v>43740</v>
      </c>
      <c r="B1734" s="23" t="n">
        <f aca="false">YEAR(A1734)</f>
        <v>2019</v>
      </c>
      <c r="C1734" s="17" t="n">
        <v>8396</v>
      </c>
      <c r="D1734" s="23" t="n">
        <f aca="false">A1734-A1733</f>
        <v>1</v>
      </c>
      <c r="E1734" s="24" t="n">
        <f aca="false">LN(C1734)</f>
        <v>9.03551068094052</v>
      </c>
      <c r="F1734" s="25" t="n">
        <f aca="false">LN(C1734/C1733)</f>
        <v>0.00868097246553143</v>
      </c>
      <c r="G1734" s="25" t="n">
        <f aca="false">IF(AND(D1734=1,A1734&gt;=$R$2),F1734,"")</f>
        <v>0.00868097246553143</v>
      </c>
      <c r="H1734" s="27" t="n">
        <f aca="false">IF(G1734="","",G1734^2)</f>
        <v>7.53592829473149E-005</v>
      </c>
      <c r="I1734" s="25" t="n">
        <f aca="false">IF(G1734="","",C1734/C1733-1)</f>
        <v>0.00871876137601912</v>
      </c>
      <c r="J1734" s="17" t="n">
        <f aca="false">AVERAGE(C1535:C1734)</f>
        <v>8464.71485</v>
      </c>
      <c r="K1734" s="17" t="n">
        <f aca="false">MAX(K1733,C1734)</f>
        <v>19650.01</v>
      </c>
      <c r="L1734" s="25" t="n">
        <f aca="false">C1734/K1734-1</f>
        <v>-0.572722863754268</v>
      </c>
      <c r="M1734" s="25" t="n">
        <f aca="false">IF(COUNT(G1705:G1734)&lt;20,"",_xlfn.STDEV.S(G1705:G1734)*SQRT($R$3))</f>
        <v>0.533342428626481</v>
      </c>
      <c r="N1734" s="25" t="n">
        <f aca="false">IF(A1734-7&lt;$R$2,"",C1734/INDEX(Clean_Data!$C$2:$C$4314,MATCH(A1734-7,Clean_Data!$A$2:$A$4314,1))-1)</f>
        <v>-0.00598704562917252</v>
      </c>
      <c r="O1734" s="25" t="n">
        <f aca="false">IF(A1734-30&lt;$R$2,"",C1734/INDEX(Clean_Data!$C$2:$C$4314,MATCH(A1734-30,Clean_Data!$A$2:$A$4314,1))-1)</f>
        <v>-0.193084127418897</v>
      </c>
    </row>
    <row r="1735" customFormat="false" ht="15" hidden="false" customHeight="false" outlineLevel="0" collapsed="false">
      <c r="A1735" s="16" t="n">
        <v>43741</v>
      </c>
      <c r="B1735" s="23" t="n">
        <f aca="false">YEAR(A1735)</f>
        <v>2019</v>
      </c>
      <c r="C1735" s="17" t="n">
        <v>8241.25</v>
      </c>
      <c r="D1735" s="23" t="n">
        <f aca="false">A1735-A1734</f>
        <v>1</v>
      </c>
      <c r="E1735" s="24" t="n">
        <f aca="false">LN(C1735)</f>
        <v>9.01690731042751</v>
      </c>
      <c r="F1735" s="25" t="n">
        <f aca="false">LN(C1735/C1734)</f>
        <v>-0.0186033705130142</v>
      </c>
      <c r="G1735" s="25" t="n">
        <f aca="false">IF(AND(D1735=1,A1735&gt;=$R$2),F1735,"")</f>
        <v>-0.0186033705130142</v>
      </c>
      <c r="H1735" s="27" t="n">
        <f aca="false">IF(G1735="","",G1735^2)</f>
        <v>0.000346085394444486</v>
      </c>
      <c r="I1735" s="25" t="n">
        <f aca="false">IF(G1735="","",C1735/C1734-1)</f>
        <v>-0.0184313959028108</v>
      </c>
      <c r="J1735" s="17" t="n">
        <f aca="false">AVERAGE(C1536:C1735)</f>
        <v>8486.08605</v>
      </c>
      <c r="K1735" s="17" t="n">
        <f aca="false">MAX(K1734,C1735)</f>
        <v>19650.01</v>
      </c>
      <c r="L1735" s="25" t="n">
        <f aca="false">C1735/K1735-1</f>
        <v>-0.580598177812632</v>
      </c>
      <c r="M1735" s="25" t="n">
        <f aca="false">IF(COUNT(G1706:G1735)&lt;20,"",_xlfn.STDEV.S(G1706:G1735)*SQRT($R$3))</f>
        <v>0.524681404005906</v>
      </c>
      <c r="N1735" s="25" t="n">
        <f aca="false">IF(A1735-7&lt;$R$2,"",C1735/INDEX(Clean_Data!$C$2:$C$4314,MATCH(A1735-7,Clean_Data!$A$2:$A$4314,1))-1)</f>
        <v>0.0221071561453554</v>
      </c>
      <c r="O1735" s="25" t="n">
        <f aca="false">IF(A1735-30&lt;$R$2,"",C1735/INDEX(Clean_Data!$C$2:$C$4314,MATCH(A1735-30,Clean_Data!$A$2:$A$4314,1))-1)</f>
        <v>-0.224605446132365</v>
      </c>
    </row>
    <row r="1736" customFormat="false" ht="15" hidden="false" customHeight="false" outlineLevel="0" collapsed="false">
      <c r="A1736" s="16" t="n">
        <v>43742</v>
      </c>
      <c r="B1736" s="23" t="n">
        <f aca="false">YEAR(A1736)</f>
        <v>2019</v>
      </c>
      <c r="C1736" s="17" t="n">
        <v>8159.71</v>
      </c>
      <c r="D1736" s="23" t="n">
        <f aca="false">A1736-A1735</f>
        <v>1</v>
      </c>
      <c r="E1736" s="24" t="n">
        <f aca="false">LN(C1736)</f>
        <v>9.00696390811093</v>
      </c>
      <c r="F1736" s="25" t="n">
        <f aca="false">LN(C1736/C1735)</f>
        <v>-0.0099434023165759</v>
      </c>
      <c r="G1736" s="25" t="n">
        <f aca="false">IF(AND(D1736=1,A1736&gt;=$R$2),F1736,"")</f>
        <v>-0.0099434023165759</v>
      </c>
      <c r="H1736" s="27" t="n">
        <f aca="false">IF(G1736="","",G1736^2)</f>
        <v>9.8871249629287E-005</v>
      </c>
      <c r="I1736" s="25" t="n">
        <f aca="false">IF(G1736="","",C1736/C1735-1)</f>
        <v>-0.0098941301380252</v>
      </c>
      <c r="J1736" s="17" t="n">
        <f aca="false">AVERAGE(C1537:C1736)</f>
        <v>8507.0321</v>
      </c>
      <c r="K1736" s="17" t="n">
        <f aca="false">MAX(K1735,C1736)</f>
        <v>19650.01</v>
      </c>
      <c r="L1736" s="25" t="n">
        <f aca="false">C1736/K1736-1</f>
        <v>-0.584747794021479</v>
      </c>
      <c r="M1736" s="25" t="n">
        <f aca="false">IF(COUNT(G1707:G1736)&lt;20,"",_xlfn.STDEV.S(G1707:G1736)*SQRT($R$3))</f>
        <v>0.52445608401019</v>
      </c>
      <c r="N1736" s="25" t="n">
        <f aca="false">IF(A1736-7&lt;$R$2,"",C1736/INDEX(Clean_Data!$C$2:$C$4314,MATCH(A1736-7,Clean_Data!$A$2:$A$4314,1))-1)</f>
        <v>-0.00418233874136864</v>
      </c>
      <c r="O1736" s="25" t="n">
        <f aca="false">IF(A1736-30&lt;$R$2,"",C1736/INDEX(Clean_Data!$C$2:$C$4314,MATCH(A1736-30,Clean_Data!$A$2:$A$4314,1))-1)</f>
        <v>-0.229173968204185</v>
      </c>
    </row>
    <row r="1737" customFormat="false" ht="15" hidden="false" customHeight="false" outlineLevel="0" collapsed="false">
      <c r="A1737" s="16" t="n">
        <v>43743</v>
      </c>
      <c r="B1737" s="23" t="n">
        <f aca="false">YEAR(A1737)</f>
        <v>2019</v>
      </c>
      <c r="C1737" s="17" t="n">
        <v>8152.99</v>
      </c>
      <c r="D1737" s="23" t="n">
        <f aca="false">A1737-A1736</f>
        <v>1</v>
      </c>
      <c r="E1737" s="24" t="n">
        <f aca="false">LN(C1737)</f>
        <v>9.00614001011978</v>
      </c>
      <c r="F1737" s="25" t="n">
        <f aca="false">LN(C1737/C1736)</f>
        <v>-0.000823897991151996</v>
      </c>
      <c r="G1737" s="25" t="n">
        <f aca="false">IF(AND(D1737=1,A1737&gt;=$R$2),F1737,"")</f>
        <v>-0.000823897991151996</v>
      </c>
      <c r="H1737" s="27" t="n">
        <f aca="false">IF(G1737="","",G1737^2)</f>
        <v>6.78807899824294E-007</v>
      </c>
      <c r="I1737" s="25" t="n">
        <f aca="false">IF(G1737="","",C1737/C1736-1)</f>
        <v>-0.000823558680394299</v>
      </c>
      <c r="J1737" s="17" t="n">
        <f aca="false">AVERAGE(C1538:C1737)</f>
        <v>8527.7928</v>
      </c>
      <c r="K1737" s="17" t="n">
        <f aca="false">MAX(K1736,C1737)</f>
        <v>19650.01</v>
      </c>
      <c r="L1737" s="25" t="n">
        <f aca="false">C1737/K1737-1</f>
        <v>-0.585089778580265</v>
      </c>
      <c r="M1737" s="25" t="n">
        <f aca="false">IF(COUNT(G1708:G1737)&lt;20,"",_xlfn.STDEV.S(G1708:G1737)*SQRT($R$3))</f>
        <v>0.524503077050791</v>
      </c>
      <c r="N1737" s="25" t="n">
        <f aca="false">IF(A1737-7&lt;$R$2,"",C1737/INDEX(Clean_Data!$C$2:$C$4314,MATCH(A1737-7,Clean_Data!$A$2:$A$4314,1))-1)</f>
        <v>-0.00914292520131932</v>
      </c>
      <c r="O1737" s="25" t="n">
        <f aca="false">IF(A1737-30&lt;$R$2,"",C1737/INDEX(Clean_Data!$C$2:$C$4314,MATCH(A1737-30,Clean_Data!$A$2:$A$4314,1))-1)</f>
        <v>-0.228978454304647</v>
      </c>
    </row>
    <row r="1738" customFormat="false" ht="15" hidden="false" customHeight="false" outlineLevel="0" collapsed="false">
      <c r="A1738" s="16" t="n">
        <v>43744</v>
      </c>
      <c r="B1738" s="23" t="n">
        <f aca="false">YEAR(A1738)</f>
        <v>2019</v>
      </c>
      <c r="C1738" s="17" t="n">
        <v>7862.67</v>
      </c>
      <c r="D1738" s="23" t="n">
        <f aca="false">A1738-A1737</f>
        <v>1</v>
      </c>
      <c r="E1738" s="24" t="n">
        <f aca="false">LN(C1738)</f>
        <v>8.96988152239657</v>
      </c>
      <c r="F1738" s="25" t="n">
        <f aca="false">LN(C1738/C1737)</f>
        <v>-0.0362584877232078</v>
      </c>
      <c r="G1738" s="25" t="n">
        <f aca="false">IF(AND(D1738=1,A1738&gt;=$R$2),F1738,"")</f>
        <v>-0.0362584877232078</v>
      </c>
      <c r="H1738" s="27" t="n">
        <f aca="false">IF(G1738="","",G1738^2)</f>
        <v>0.00131467793197401</v>
      </c>
      <c r="I1738" s="25" t="n">
        <f aca="false">IF(G1738="","",C1738/C1737-1)</f>
        <v>-0.0356090219661743</v>
      </c>
      <c r="J1738" s="17" t="n">
        <f aca="false">AVERAGE(C1539:C1738)</f>
        <v>8546.9469</v>
      </c>
      <c r="K1738" s="17" t="n">
        <f aca="false">MAX(K1737,C1738)</f>
        <v>19650.01</v>
      </c>
      <c r="L1738" s="25" t="n">
        <f aca="false">C1738/K1738-1</f>
        <v>-0.599864325768791</v>
      </c>
      <c r="M1738" s="25" t="n">
        <f aca="false">IF(COUNT(G1709:G1738)&lt;20,"",_xlfn.STDEV.S(G1709:G1738)*SQRT($R$3))</f>
        <v>0.5305551563654</v>
      </c>
      <c r="N1738" s="25" t="n">
        <f aca="false">IF(A1738-7&lt;$R$2,"",C1738/INDEX(Clean_Data!$C$2:$C$4314,MATCH(A1738-7,Clean_Data!$A$2:$A$4314,1))-1)</f>
        <v>-0.0248528474301321</v>
      </c>
      <c r="O1738" s="25" t="n">
        <f aca="false">IF(A1738-30&lt;$R$2,"",C1738/INDEX(Clean_Data!$C$2:$C$4314,MATCH(A1738-30,Clean_Data!$A$2:$A$4314,1))-1)</f>
        <v>-0.23802477032213</v>
      </c>
    </row>
    <row r="1739" customFormat="false" ht="15" hidden="false" customHeight="false" outlineLevel="0" collapsed="false">
      <c r="A1739" s="16" t="n">
        <v>43745</v>
      </c>
      <c r="B1739" s="23" t="n">
        <f aca="false">YEAR(A1739)</f>
        <v>2019</v>
      </c>
      <c r="C1739" s="17" t="n">
        <v>8224.82</v>
      </c>
      <c r="D1739" s="23" t="n">
        <f aca="false">A1739-A1738</f>
        <v>1</v>
      </c>
      <c r="E1739" s="24" t="n">
        <f aca="false">LN(C1739)</f>
        <v>9.01491169089562</v>
      </c>
      <c r="F1739" s="25" t="n">
        <f aca="false">LN(C1739/C1738)</f>
        <v>0.0450301684990496</v>
      </c>
      <c r="G1739" s="25" t="n">
        <f aca="false">IF(AND(D1739=1,A1739&gt;=$R$2),F1739,"")</f>
        <v>0.0450301684990496</v>
      </c>
      <c r="H1739" s="27" t="n">
        <f aca="false">IF(G1739="","",G1739^2)</f>
        <v>0.0020277160750528</v>
      </c>
      <c r="I1739" s="25" t="n">
        <f aca="false">IF(G1739="","",C1739/C1738-1)</f>
        <v>0.0460594174752342</v>
      </c>
      <c r="J1739" s="17" t="n">
        <f aca="false">AVERAGE(C1540:C1739)</f>
        <v>8568.2072</v>
      </c>
      <c r="K1739" s="17" t="n">
        <f aca="false">MAX(K1738,C1739)</f>
        <v>19650.01</v>
      </c>
      <c r="L1739" s="25" t="n">
        <f aca="false">C1739/K1739-1</f>
        <v>-0.581434309702641</v>
      </c>
      <c r="M1739" s="25" t="n">
        <f aca="false">IF(COUNT(G1710:G1739)&lt;20,"",_xlfn.STDEV.S(G1710:G1739)*SQRT($R$3))</f>
        <v>0.556845407647153</v>
      </c>
      <c r="N1739" s="25" t="n">
        <f aca="false">IF(A1739-7&lt;$R$2,"",C1739/INDEX(Clean_Data!$C$2:$C$4314,MATCH(A1739-7,Clean_Data!$A$2:$A$4314,1))-1)</f>
        <v>-0.00967111933092035</v>
      </c>
      <c r="O1739" s="25" t="n">
        <f aca="false">IF(A1739-30&lt;$R$2,"",C1739/INDEX(Clean_Data!$C$2:$C$4314,MATCH(A1739-30,Clean_Data!$A$2:$A$4314,1))-1)</f>
        <v>-0.215553459413422</v>
      </c>
    </row>
    <row r="1740" customFormat="false" ht="15" hidden="false" customHeight="false" outlineLevel="0" collapsed="false">
      <c r="A1740" s="16" t="n">
        <v>43746</v>
      </c>
      <c r="B1740" s="23" t="n">
        <f aca="false">YEAR(A1740)</f>
        <v>2019</v>
      </c>
      <c r="C1740" s="17" t="n">
        <v>8186.73</v>
      </c>
      <c r="D1740" s="23" t="n">
        <f aca="false">A1740-A1739</f>
        <v>1</v>
      </c>
      <c r="E1740" s="24" t="n">
        <f aca="false">LN(C1740)</f>
        <v>9.0102698297194</v>
      </c>
      <c r="F1740" s="25" t="n">
        <f aca="false">LN(C1740/C1739)</f>
        <v>-0.00464186117622634</v>
      </c>
      <c r="G1740" s="25" t="n">
        <f aca="false">IF(AND(D1740=1,A1740&gt;=$R$2),F1740,"")</f>
        <v>-0.00464186117622634</v>
      </c>
      <c r="H1740" s="27" t="n">
        <f aca="false">IF(G1740="","",G1740^2)</f>
        <v>2.15468751793574E-005</v>
      </c>
      <c r="I1740" s="25" t="n">
        <f aca="false">IF(G1740="","",C1740/C1739-1)</f>
        <v>-0.00463110438891068</v>
      </c>
      <c r="J1740" s="17" t="n">
        <f aca="false">AVERAGE(C1541:C1740)</f>
        <v>8589.22195</v>
      </c>
      <c r="K1740" s="17" t="n">
        <f aca="false">MAX(K1739,C1740)</f>
        <v>19650.01</v>
      </c>
      <c r="L1740" s="25" t="n">
        <f aca="false">C1740/K1740-1</f>
        <v>-0.583372731108025</v>
      </c>
      <c r="M1740" s="25" t="n">
        <f aca="false">IF(COUNT(G1711:G1740)&lt;20,"",_xlfn.STDEV.S(G1711:G1740)*SQRT($R$3))</f>
        <v>0.556971265440969</v>
      </c>
      <c r="N1740" s="25" t="n">
        <f aca="false">IF(A1740-7&lt;$R$2,"",C1740/INDEX(Clean_Data!$C$2:$C$4314,MATCH(A1740-7,Clean_Data!$A$2:$A$4314,1))-1)</f>
        <v>-0.0164235177084449</v>
      </c>
      <c r="O1740" s="25" t="n">
        <f aca="false">IF(A1740-30&lt;$R$2,"",C1740/INDEX(Clean_Data!$C$2:$C$4314,MATCH(A1740-30,Clean_Data!$A$2:$A$4314,1))-1)</f>
        <v>-0.212448666063181</v>
      </c>
    </row>
    <row r="1741" customFormat="false" ht="15" hidden="false" customHeight="false" outlineLevel="0" collapsed="false">
      <c r="A1741" s="16" t="n">
        <v>43747</v>
      </c>
      <c r="B1741" s="23" t="n">
        <f aca="false">YEAR(A1741)</f>
        <v>2019</v>
      </c>
      <c r="C1741" s="17" t="n">
        <v>8600</v>
      </c>
      <c r="D1741" s="23" t="n">
        <f aca="false">A1741-A1740</f>
        <v>1</v>
      </c>
      <c r="E1741" s="24" t="n">
        <f aca="false">LN(C1741)</f>
        <v>9.0595174822416</v>
      </c>
      <c r="F1741" s="25" t="n">
        <f aca="false">LN(C1741/C1740)</f>
        <v>0.0492476525222021</v>
      </c>
      <c r="G1741" s="25" t="n">
        <f aca="false">IF(AND(D1741=1,A1741&gt;=$R$2),F1741,"")</f>
        <v>0.0492476525222021</v>
      </c>
      <c r="H1741" s="27" t="n">
        <f aca="false">IF(G1741="","",G1741^2)</f>
        <v>0.00242533127894756</v>
      </c>
      <c r="I1741" s="25" t="n">
        <f aca="false">IF(G1741="","",C1741/C1740-1)</f>
        <v>0.0504804726673531</v>
      </c>
      <c r="J1741" s="17" t="n">
        <f aca="false">AVERAGE(C1542:C1741)</f>
        <v>8612.3048</v>
      </c>
      <c r="K1741" s="17" t="n">
        <f aca="false">MAX(K1740,C1741)</f>
        <v>19650.01</v>
      </c>
      <c r="L1741" s="25" t="n">
        <f aca="false">C1741/K1741-1</f>
        <v>-0.56234118964825</v>
      </c>
      <c r="M1741" s="25" t="n">
        <f aca="false">IF(COUNT(G1712:G1741)&lt;20,"",_xlfn.STDEV.S(G1712:G1741)*SQRT($R$3))</f>
        <v>0.591627102884334</v>
      </c>
      <c r="N1741" s="25" t="n">
        <f aca="false">IF(A1741-7&lt;$R$2,"",C1741/INDEX(Clean_Data!$C$2:$C$4314,MATCH(A1741-7,Clean_Data!$A$2:$A$4314,1))-1)</f>
        <v>0.0242972844211529</v>
      </c>
      <c r="O1741" s="25" t="n">
        <f aca="false">IF(A1741-30&lt;$R$2,"",C1741/INDEX(Clean_Data!$C$2:$C$4314,MATCH(A1741-30,Clean_Data!$A$2:$A$4314,1))-1)</f>
        <v>-0.165859198972649</v>
      </c>
    </row>
    <row r="1742" customFormat="false" ht="15" hidden="false" customHeight="false" outlineLevel="0" collapsed="false">
      <c r="A1742" s="16" t="n">
        <v>43748</v>
      </c>
      <c r="B1742" s="23" t="n">
        <f aca="false">YEAR(A1742)</f>
        <v>2019</v>
      </c>
      <c r="C1742" s="17" t="n">
        <v>8589.01</v>
      </c>
      <c r="D1742" s="23" t="n">
        <f aca="false">A1742-A1741</f>
        <v>1</v>
      </c>
      <c r="E1742" s="24" t="n">
        <f aca="false">LN(C1742)</f>
        <v>9.05823875804544</v>
      </c>
      <c r="F1742" s="25" t="n">
        <f aca="false">LN(C1742/C1741)</f>
        <v>-0.00127872419615919</v>
      </c>
      <c r="G1742" s="25" t="n">
        <f aca="false">IF(AND(D1742=1,A1742&gt;=$R$2),F1742,"")</f>
        <v>-0.00127872419615919</v>
      </c>
      <c r="H1742" s="27" t="n">
        <f aca="false">IF(G1742="","",G1742^2)</f>
        <v>1.63513556984295E-006</v>
      </c>
      <c r="I1742" s="25" t="n">
        <f aca="false">IF(G1742="","",C1742/C1741-1)</f>
        <v>-0.00127790697674413</v>
      </c>
      <c r="J1742" s="17" t="n">
        <f aca="false">AVERAGE(C1543:C1742)</f>
        <v>8635.40225</v>
      </c>
      <c r="K1742" s="17" t="n">
        <f aca="false">MAX(K1741,C1742)</f>
        <v>19650.01</v>
      </c>
      <c r="L1742" s="25" t="n">
        <f aca="false">C1742/K1742-1</f>
        <v>-0.562900476895432</v>
      </c>
      <c r="M1742" s="25" t="n">
        <f aca="false">IF(COUNT(G1713:G1742)&lt;20,"",_xlfn.STDEV.S(G1713:G1742)*SQRT($R$3))</f>
        <v>0.58915405112817</v>
      </c>
      <c r="N1742" s="25" t="n">
        <f aca="false">IF(A1742-7&lt;$R$2,"",C1742/INDEX(Clean_Data!$C$2:$C$4314,MATCH(A1742-7,Clean_Data!$A$2:$A$4314,1))-1)</f>
        <v>0.0421974821780677</v>
      </c>
      <c r="O1742" s="25" t="n">
        <f aca="false">IF(A1742-30&lt;$R$2,"",C1742/INDEX(Clean_Data!$C$2:$C$4314,MATCH(A1742-30,Clean_Data!$A$2:$A$4314,1))-1)</f>
        <v>-0.148761002219027</v>
      </c>
    </row>
    <row r="1743" customFormat="false" ht="15" hidden="false" customHeight="false" outlineLevel="0" collapsed="false">
      <c r="A1743" s="16" t="n">
        <v>43749</v>
      </c>
      <c r="B1743" s="23" t="n">
        <f aca="false">YEAR(A1743)</f>
        <v>2019</v>
      </c>
      <c r="C1743" s="17" t="n">
        <v>8263.64</v>
      </c>
      <c r="D1743" s="23" t="n">
        <f aca="false">A1743-A1742</f>
        <v>1</v>
      </c>
      <c r="E1743" s="24" t="n">
        <f aca="false">LN(C1743)</f>
        <v>9.01962044741111</v>
      </c>
      <c r="F1743" s="25" t="n">
        <f aca="false">LN(C1743/C1742)</f>
        <v>-0.0386183106343327</v>
      </c>
      <c r="G1743" s="25" t="n">
        <f aca="false">IF(AND(D1743=1,A1743&gt;=$R$2),F1743,"")</f>
        <v>-0.0386183106343327</v>
      </c>
      <c r="H1743" s="27" t="n">
        <f aca="false">IF(G1743="","",G1743^2)</f>
        <v>0.00149137391624981</v>
      </c>
      <c r="I1743" s="25" t="n">
        <f aca="false">IF(G1743="","",C1743/C1742-1)</f>
        <v>-0.0378821307694368</v>
      </c>
      <c r="J1743" s="17" t="n">
        <f aca="false">AVERAGE(C1544:C1743)</f>
        <v>8657.1828</v>
      </c>
      <c r="K1743" s="17" t="n">
        <f aca="false">MAX(K1742,C1743)</f>
        <v>19650.01</v>
      </c>
      <c r="L1743" s="25" t="n">
        <f aca="false">C1743/K1743-1</f>
        <v>-0.579458738188937</v>
      </c>
      <c r="M1743" s="25" t="n">
        <f aca="false">IF(COUNT(G1714:G1743)&lt;20,"",_xlfn.STDEV.S(G1714:G1743)*SQRT($R$3))</f>
        <v>0.598258473842066</v>
      </c>
      <c r="N1743" s="25" t="n">
        <f aca="false">IF(A1743-7&lt;$R$2,"",C1743/INDEX(Clean_Data!$C$2:$C$4314,MATCH(A1743-7,Clean_Data!$A$2:$A$4314,1))-1)</f>
        <v>0.0127369722698478</v>
      </c>
      <c r="O1743" s="25" t="n">
        <f aca="false">IF(A1743-30&lt;$R$2,"",C1743/INDEX(Clean_Data!$C$2:$C$4314,MATCH(A1743-30,Clean_Data!$A$2:$A$4314,1))-1)</f>
        <v>-0.187408611444625</v>
      </c>
    </row>
    <row r="1744" customFormat="false" ht="15" hidden="false" customHeight="false" outlineLevel="0" collapsed="false">
      <c r="A1744" s="16" t="n">
        <v>43750</v>
      </c>
      <c r="B1744" s="23" t="n">
        <f aca="false">YEAR(A1744)</f>
        <v>2019</v>
      </c>
      <c r="C1744" s="17" t="n">
        <v>8304.1</v>
      </c>
      <c r="D1744" s="23" t="n">
        <f aca="false">A1744-A1743</f>
        <v>1</v>
      </c>
      <c r="E1744" s="24" t="n">
        <f aca="false">LN(C1744)</f>
        <v>9.02450464772237</v>
      </c>
      <c r="F1744" s="25" t="n">
        <f aca="false">LN(C1744/C1743)</f>
        <v>0.00488420031126371</v>
      </c>
      <c r="G1744" s="25" t="n">
        <f aca="false">IF(AND(D1744=1,A1744&gt;=$R$2),F1744,"")</f>
        <v>0.00488420031126371</v>
      </c>
      <c r="H1744" s="27" t="n">
        <f aca="false">IF(G1744="","",G1744^2)</f>
        <v>2.38554126805485E-005</v>
      </c>
      <c r="I1744" s="25" t="n">
        <f aca="false">IF(G1744="","",C1744/C1743-1)</f>
        <v>0.0048961474604412</v>
      </c>
      <c r="J1744" s="17" t="n">
        <f aca="false">AVERAGE(C1545:C1744)</f>
        <v>8679.09605</v>
      </c>
      <c r="K1744" s="17" t="n">
        <f aca="false">MAX(K1743,C1744)</f>
        <v>19650.01</v>
      </c>
      <c r="L1744" s="25" t="n">
        <f aca="false">C1744/K1744-1</f>
        <v>-0.57739970615791</v>
      </c>
      <c r="M1744" s="25" t="n">
        <f aca="false">IF(COUNT(G1715:G1744)&lt;20,"",_xlfn.STDEV.S(G1715:G1744)*SQRT($R$3))</f>
        <v>0.588094623925807</v>
      </c>
      <c r="N1744" s="25" t="n">
        <f aca="false">IF(A1744-7&lt;$R$2,"",C1744/INDEX(Clean_Data!$C$2:$C$4314,MATCH(A1744-7,Clean_Data!$A$2:$A$4314,1))-1)</f>
        <v>0.0185343045925483</v>
      </c>
      <c r="O1744" s="25" t="n">
        <f aca="false">IF(A1744-30&lt;$R$2,"",C1744/INDEX(Clean_Data!$C$2:$C$4314,MATCH(A1744-30,Clean_Data!$A$2:$A$4314,1))-1)</f>
        <v>-0.204373974221031</v>
      </c>
    </row>
    <row r="1745" customFormat="false" ht="15" hidden="false" customHeight="false" outlineLevel="0" collapsed="false">
      <c r="A1745" s="16" t="n">
        <v>43751</v>
      </c>
      <c r="B1745" s="23" t="n">
        <f aca="false">YEAR(A1745)</f>
        <v>2019</v>
      </c>
      <c r="C1745" s="17" t="n">
        <v>8280.01</v>
      </c>
      <c r="D1745" s="23" t="n">
        <f aca="false">A1745-A1744</f>
        <v>1</v>
      </c>
      <c r="E1745" s="24" t="n">
        <f aca="false">LN(C1745)</f>
        <v>9.02159945510804</v>
      </c>
      <c r="F1745" s="25" t="n">
        <f aca="false">LN(C1745/C1744)</f>
        <v>-0.0029051926143263</v>
      </c>
      <c r="G1745" s="25" t="n">
        <f aca="false">IF(AND(D1745=1,A1745&gt;=$R$2),F1745,"")</f>
        <v>-0.0029051926143263</v>
      </c>
      <c r="H1745" s="27" t="n">
        <f aca="false">IF(G1745="","",G1745^2)</f>
        <v>8.44014412633607E-006</v>
      </c>
      <c r="I1745" s="25" t="n">
        <f aca="false">IF(G1745="","",C1745/C1744-1)</f>
        <v>-0.00290097662600408</v>
      </c>
      <c r="J1745" s="17" t="n">
        <f aca="false">AVERAGE(C1546:C1745)</f>
        <v>8700.36345</v>
      </c>
      <c r="K1745" s="17" t="n">
        <f aca="false">MAX(K1744,C1745)</f>
        <v>19650.01</v>
      </c>
      <c r="L1745" s="25" t="n">
        <f aca="false">C1745/K1745-1</f>
        <v>-0.578625659732489</v>
      </c>
      <c r="M1745" s="25" t="n">
        <f aca="false">IF(COUNT(G1716:G1745)&lt;20,"",_xlfn.STDEV.S(G1716:G1745)*SQRT($R$3))</f>
        <v>0.588273375958243</v>
      </c>
      <c r="N1745" s="25" t="n">
        <f aca="false">IF(A1745-7&lt;$R$2,"",C1745/INDEX(Clean_Data!$C$2:$C$4314,MATCH(A1745-7,Clean_Data!$A$2:$A$4314,1))-1)</f>
        <v>0.0530786615742489</v>
      </c>
      <c r="O1745" s="25" t="n">
        <f aca="false">IF(A1745-30&lt;$R$2,"",C1745/INDEX(Clean_Data!$C$2:$C$4314,MATCH(A1745-30,Clean_Data!$A$2:$A$4314,1))-1)</f>
        <v>-0.202457929224969</v>
      </c>
    </row>
    <row r="1746" customFormat="false" ht="15" hidden="false" customHeight="false" outlineLevel="0" collapsed="false">
      <c r="A1746" s="16" t="n">
        <v>43752</v>
      </c>
      <c r="B1746" s="23" t="n">
        <f aca="false">YEAR(A1746)</f>
        <v>2019</v>
      </c>
      <c r="C1746" s="17" t="n">
        <v>8363</v>
      </c>
      <c r="D1746" s="23" t="n">
        <f aca="false">A1746-A1745</f>
        <v>1</v>
      </c>
      <c r="E1746" s="24" t="n">
        <f aca="false">LN(C1746)</f>
        <v>9.03157249338153</v>
      </c>
      <c r="F1746" s="25" t="n">
        <f aca="false">LN(C1746/C1745)</f>
        <v>0.00997303827348105</v>
      </c>
      <c r="G1746" s="25" t="n">
        <f aca="false">IF(AND(D1746=1,A1746&gt;=$R$2),F1746,"")</f>
        <v>0.00997303827348105</v>
      </c>
      <c r="H1746" s="27" t="n">
        <f aca="false">IF(G1746="","",G1746^2)</f>
        <v>9.94614924043179E-005</v>
      </c>
      <c r="I1746" s="25" t="n">
        <f aca="false">IF(G1746="","",C1746/C1745-1)</f>
        <v>0.0100229347549097</v>
      </c>
      <c r="J1746" s="17" t="n">
        <f aca="false">AVERAGE(C1547:C1746)</f>
        <v>8722.1226</v>
      </c>
      <c r="K1746" s="17" t="n">
        <f aca="false">MAX(K1745,C1746)</f>
        <v>19650.01</v>
      </c>
      <c r="L1746" s="25" t="n">
        <f aca="false">C1746/K1746-1</f>
        <v>-0.574402252212594</v>
      </c>
      <c r="M1746" s="25" t="n">
        <f aca="false">IF(COUNT(G1717:G1746)&lt;20,"",_xlfn.STDEV.S(G1717:G1746)*SQRT($R$3))</f>
        <v>0.591178125899151</v>
      </c>
      <c r="N1746" s="25" t="n">
        <f aca="false">IF(A1746-7&lt;$R$2,"",C1746/INDEX(Clean_Data!$C$2:$C$4314,MATCH(A1746-7,Clean_Data!$A$2:$A$4314,1))-1)</f>
        <v>0.0168003676676207</v>
      </c>
      <c r="O1746" s="25" t="n">
        <f aca="false">IF(A1746-30&lt;$R$2,"",C1746/INDEX(Clean_Data!$C$2:$C$4314,MATCH(A1746-30,Clean_Data!$A$2:$A$4314,1))-1)</f>
        <v>-0.192776201231637</v>
      </c>
    </row>
    <row r="1747" customFormat="false" ht="15" hidden="false" customHeight="false" outlineLevel="0" collapsed="false">
      <c r="A1747" s="16" t="n">
        <v>43753</v>
      </c>
      <c r="B1747" s="23" t="n">
        <f aca="false">YEAR(A1747)</f>
        <v>2019</v>
      </c>
      <c r="C1747" s="17" t="n">
        <v>8156.52</v>
      </c>
      <c r="D1747" s="23" t="n">
        <f aca="false">A1747-A1746</f>
        <v>1</v>
      </c>
      <c r="E1747" s="24" t="n">
        <f aca="false">LN(C1747)</f>
        <v>9.00657288640547</v>
      </c>
      <c r="F1747" s="25" t="n">
        <f aca="false">LN(C1747/C1746)</f>
        <v>-0.024999606976053</v>
      </c>
      <c r="G1747" s="25" t="n">
        <f aca="false">IF(AND(D1747=1,A1747&gt;=$R$2),F1747,"")</f>
        <v>-0.024999606976053</v>
      </c>
      <c r="H1747" s="27" t="n">
        <f aca="false">IF(G1747="","",G1747^2)</f>
        <v>0.000624980348957118</v>
      </c>
      <c r="I1747" s="25" t="n">
        <f aca="false">IF(G1747="","",C1747/C1746-1)</f>
        <v>-0.0246897046514408</v>
      </c>
      <c r="J1747" s="17" t="n">
        <f aca="false">AVERAGE(C1548:C1747)</f>
        <v>8742.45015</v>
      </c>
      <c r="K1747" s="17" t="n">
        <f aca="false">MAX(K1746,C1747)</f>
        <v>19650.01</v>
      </c>
      <c r="L1747" s="25" t="n">
        <f aca="false">C1747/K1747-1</f>
        <v>-0.584910134905784</v>
      </c>
      <c r="M1747" s="25" t="n">
        <f aca="false">IF(COUNT(G1718:G1747)&lt;20,"",_xlfn.STDEV.S(G1718:G1747)*SQRT($R$3))</f>
        <v>0.594385308995708</v>
      </c>
      <c r="N1747" s="25" t="n">
        <f aca="false">IF(A1747-7&lt;$R$2,"",C1747/INDEX(Clean_Data!$C$2:$C$4314,MATCH(A1747-7,Clean_Data!$A$2:$A$4314,1))-1)</f>
        <v>-0.00369011803247443</v>
      </c>
      <c r="O1747" s="25" t="n">
        <f aca="false">IF(A1747-30&lt;$R$2,"",C1747/INDEX(Clean_Data!$C$2:$C$4314,MATCH(A1747-30,Clean_Data!$A$2:$A$4314,1))-1)</f>
        <v>-0.208615796597342</v>
      </c>
    </row>
    <row r="1748" customFormat="false" ht="15" hidden="false" customHeight="false" outlineLevel="0" collapsed="false">
      <c r="A1748" s="16" t="n">
        <v>43754</v>
      </c>
      <c r="B1748" s="23" t="n">
        <f aca="false">YEAR(A1748)</f>
        <v>2019</v>
      </c>
      <c r="C1748" s="17" t="n">
        <v>7993</v>
      </c>
      <c r="D1748" s="23" t="n">
        <f aca="false">A1748-A1747</f>
        <v>1</v>
      </c>
      <c r="E1748" s="24" t="n">
        <f aca="false">LN(C1748)</f>
        <v>8.98632143762602</v>
      </c>
      <c r="F1748" s="25" t="n">
        <f aca="false">LN(C1748/C1747)</f>
        <v>-0.0202514487794537</v>
      </c>
      <c r="G1748" s="25" t="n">
        <f aca="false">IF(AND(D1748=1,A1748&gt;=$R$2),F1748,"")</f>
        <v>-0.0202514487794537</v>
      </c>
      <c r="H1748" s="27" t="n">
        <f aca="false">IF(G1748="","",G1748^2)</f>
        <v>0.000410121177666838</v>
      </c>
      <c r="I1748" s="25" t="n">
        <f aca="false">IF(G1748="","",C1748/C1747-1)</f>
        <v>-0.0200477654686068</v>
      </c>
      <c r="J1748" s="17" t="n">
        <f aca="false">AVERAGE(C1549:C1748)</f>
        <v>8761.94445</v>
      </c>
      <c r="K1748" s="17" t="n">
        <f aca="false">MAX(K1747,C1748)</f>
        <v>19650.01</v>
      </c>
      <c r="L1748" s="25" t="n">
        <f aca="false">C1748/K1748-1</f>
        <v>-0.593231759169588</v>
      </c>
      <c r="M1748" s="25" t="n">
        <f aca="false">IF(COUNT(G1719:G1748)&lt;20,"",_xlfn.STDEV.S(G1719:G1748)*SQRT($R$3))</f>
        <v>0.59574912933428</v>
      </c>
      <c r="N1748" s="25" t="n">
        <f aca="false">IF(A1748-7&lt;$R$2,"",C1748/INDEX(Clean_Data!$C$2:$C$4314,MATCH(A1748-7,Clean_Data!$A$2:$A$4314,1))-1)</f>
        <v>-0.0705813953488372</v>
      </c>
      <c r="O1748" s="25" t="n">
        <f aca="false">IF(A1748-30&lt;$R$2,"",C1748/INDEX(Clean_Data!$C$2:$C$4314,MATCH(A1748-30,Clean_Data!$A$2:$A$4314,1))-1)</f>
        <v>-0.221620505669131</v>
      </c>
    </row>
    <row r="1749" customFormat="false" ht="15" hidden="false" customHeight="false" outlineLevel="0" collapsed="false">
      <c r="A1749" s="16" t="n">
        <v>43755</v>
      </c>
      <c r="B1749" s="23" t="n">
        <f aca="false">YEAR(A1749)</f>
        <v>2019</v>
      </c>
      <c r="C1749" s="17" t="n">
        <v>8077</v>
      </c>
      <c r="D1749" s="23" t="n">
        <f aca="false">A1749-A1748</f>
        <v>1</v>
      </c>
      <c r="E1749" s="24" t="n">
        <f aca="false">LN(C1749)</f>
        <v>8.9967757954423</v>
      </c>
      <c r="F1749" s="25" t="n">
        <f aca="false">LN(C1749/C1748)</f>
        <v>0.0104543578162772</v>
      </c>
      <c r="G1749" s="25" t="n">
        <f aca="false">IF(AND(D1749=1,A1749&gt;=$R$2),F1749,"")</f>
        <v>0.0104543578162772</v>
      </c>
      <c r="H1749" s="27" t="n">
        <f aca="false">IF(G1749="","",G1749^2)</f>
        <v>0.000109293597350756</v>
      </c>
      <c r="I1749" s="25" t="n">
        <f aca="false">IF(G1749="","",C1749/C1748-1)</f>
        <v>0.0105091955461027</v>
      </c>
      <c r="J1749" s="17" t="n">
        <f aca="false">AVERAGE(C1550:C1749)</f>
        <v>8781.8545</v>
      </c>
      <c r="K1749" s="17" t="n">
        <f aca="false">MAX(K1748,C1749)</f>
        <v>19650.01</v>
      </c>
      <c r="L1749" s="25" t="n">
        <f aca="false">C1749/K1749-1</f>
        <v>-0.588956952184757</v>
      </c>
      <c r="M1749" s="25" t="n">
        <f aca="false">IF(COUNT(G1720:G1749)&lt;20,"",_xlfn.STDEV.S(G1720:G1749)*SQRT($R$3))</f>
        <v>0.599351468873766</v>
      </c>
      <c r="N1749" s="25" t="n">
        <f aca="false">IF(A1749-7&lt;$R$2,"",C1749/INDEX(Clean_Data!$C$2:$C$4314,MATCH(A1749-7,Clean_Data!$A$2:$A$4314,1))-1)</f>
        <v>-0.0596122253903535</v>
      </c>
      <c r="O1749" s="25" t="n">
        <f aca="false">IF(A1749-30&lt;$R$2,"",C1749/INDEX(Clean_Data!$C$2:$C$4314,MATCH(A1749-30,Clean_Data!$A$2:$A$4314,1))-1)</f>
        <v>-0.206981936428954</v>
      </c>
    </row>
    <row r="1750" customFormat="false" ht="15" hidden="false" customHeight="false" outlineLevel="0" collapsed="false">
      <c r="A1750" s="16" t="n">
        <v>43756</v>
      </c>
      <c r="B1750" s="23" t="n">
        <f aca="false">YEAR(A1750)</f>
        <v>2019</v>
      </c>
      <c r="C1750" s="17" t="n">
        <v>7954.16</v>
      </c>
      <c r="D1750" s="23" t="n">
        <f aca="false">A1750-A1749</f>
        <v>1</v>
      </c>
      <c r="E1750" s="24" t="n">
        <f aca="false">LN(C1750)</f>
        <v>8.98145034123039</v>
      </c>
      <c r="F1750" s="25" t="n">
        <f aca="false">LN(C1750/C1749)</f>
        <v>-0.0153254542119035</v>
      </c>
      <c r="G1750" s="25" t="n">
        <f aca="false">IF(AND(D1750=1,A1750&gt;=$R$2),F1750,"")</f>
        <v>-0.0153254542119035</v>
      </c>
      <c r="H1750" s="27" t="n">
        <f aca="false">IF(G1750="","",G1750^2)</f>
        <v>0.00023486954680115</v>
      </c>
      <c r="I1750" s="25" t="n">
        <f aca="false">IF(G1750="","",C1750/C1749-1)</f>
        <v>-0.0152086170607899</v>
      </c>
      <c r="J1750" s="17" t="n">
        <f aca="false">AVERAGE(C1551:C1750)</f>
        <v>8800.9403</v>
      </c>
      <c r="K1750" s="17" t="n">
        <f aca="false">MAX(K1749,C1750)</f>
        <v>19650.01</v>
      </c>
      <c r="L1750" s="25" t="n">
        <f aca="false">C1750/K1750-1</f>
        <v>-0.595208348494479</v>
      </c>
      <c r="M1750" s="25" t="n">
        <f aca="false">IF(COUNT(G1721:G1750)&lt;20,"",_xlfn.STDEV.S(G1721:G1750)*SQRT($R$3))</f>
        <v>0.599662236550298</v>
      </c>
      <c r="N1750" s="25" t="n">
        <f aca="false">IF(A1750-7&lt;$R$2,"",C1750/INDEX(Clean_Data!$C$2:$C$4314,MATCH(A1750-7,Clean_Data!$A$2:$A$4314,1))-1)</f>
        <v>-0.0374508086025044</v>
      </c>
      <c r="O1750" s="25" t="n">
        <f aca="false">IF(A1750-30&lt;$R$2,"",C1750/INDEX(Clean_Data!$C$2:$C$4314,MATCH(A1750-30,Clean_Data!$A$2:$A$4314,1))-1)</f>
        <v>-0.216744819925832</v>
      </c>
    </row>
    <row r="1751" customFormat="false" ht="15" hidden="false" customHeight="false" outlineLevel="0" collapsed="false">
      <c r="A1751" s="16" t="n">
        <v>43757</v>
      </c>
      <c r="B1751" s="23" t="n">
        <f aca="false">YEAR(A1751)</f>
        <v>2019</v>
      </c>
      <c r="C1751" s="17" t="n">
        <v>7965.27</v>
      </c>
      <c r="D1751" s="23" t="n">
        <f aca="false">A1751-A1750</f>
        <v>1</v>
      </c>
      <c r="E1751" s="24" t="n">
        <f aca="false">LN(C1751)</f>
        <v>8.9828461200747</v>
      </c>
      <c r="F1751" s="25" t="n">
        <f aca="false">LN(C1751/C1750)</f>
        <v>0.00139577884430641</v>
      </c>
      <c r="G1751" s="25" t="n">
        <f aca="false">IF(AND(D1751=1,A1751&gt;=$R$2),F1751,"")</f>
        <v>0.00139577884430641</v>
      </c>
      <c r="H1751" s="27" t="n">
        <f aca="false">IF(G1751="","",G1751^2)</f>
        <v>1.94819858221334E-006</v>
      </c>
      <c r="I1751" s="25" t="n">
        <f aca="false">IF(G1751="","",C1751/C1750-1)</f>
        <v>0.00139675339696477</v>
      </c>
      <c r="J1751" s="17" t="n">
        <f aca="false">AVERAGE(C1552:C1751)</f>
        <v>8816.257</v>
      </c>
      <c r="K1751" s="17" t="n">
        <f aca="false">MAX(K1750,C1751)</f>
        <v>19650.01</v>
      </c>
      <c r="L1751" s="25" t="n">
        <f aca="false">C1751/K1751-1</f>
        <v>-0.594642954380176</v>
      </c>
      <c r="M1751" s="25" t="n">
        <f aca="false">IF(COUNT(G1722:G1751)&lt;20,"",_xlfn.STDEV.S(G1722:G1751)*SQRT($R$3))</f>
        <v>0.595095103461298</v>
      </c>
      <c r="N1751" s="25" t="n">
        <f aca="false">IF(A1751-7&lt;$R$2,"",C1751/INDEX(Clean_Data!$C$2:$C$4314,MATCH(A1751-7,Clean_Data!$A$2:$A$4314,1))-1)</f>
        <v>-0.0408027359978805</v>
      </c>
      <c r="O1751" s="25" t="n">
        <f aca="false">IF(A1751-30&lt;$R$2,"",C1751/INDEX(Clean_Data!$C$2:$C$4314,MATCH(A1751-30,Clean_Data!$A$2:$A$4314,1))-1)</f>
        <v>-0.227043534460172</v>
      </c>
    </row>
    <row r="1752" customFormat="false" ht="15" hidden="false" customHeight="false" outlineLevel="0" collapsed="false">
      <c r="A1752" s="16" t="n">
        <v>43758</v>
      </c>
      <c r="B1752" s="23" t="n">
        <f aca="false">YEAR(A1752)</f>
        <v>2019</v>
      </c>
      <c r="C1752" s="17" t="n">
        <v>8235.44</v>
      </c>
      <c r="D1752" s="23" t="n">
        <f aca="false">A1752-A1751</f>
        <v>1</v>
      </c>
      <c r="E1752" s="24" t="n">
        <f aca="false">LN(C1752)</f>
        <v>9.01620207166404</v>
      </c>
      <c r="F1752" s="25" t="n">
        <f aca="false">LN(C1752/C1751)</f>
        <v>0.0333559515893444</v>
      </c>
      <c r="G1752" s="25" t="n">
        <f aca="false">IF(AND(D1752=1,A1752&gt;=$R$2),F1752,"")</f>
        <v>0.0333559515893444</v>
      </c>
      <c r="H1752" s="27" t="n">
        <f aca="false">IF(G1752="","",G1752^2)</f>
        <v>0.00111261950643069</v>
      </c>
      <c r="I1752" s="25" t="n">
        <f aca="false">IF(G1752="","",C1752/C1751-1)</f>
        <v>0.033918498682405</v>
      </c>
      <c r="J1752" s="17" t="n">
        <f aca="false">AVERAGE(C1553:C1752)</f>
        <v>8832.55435</v>
      </c>
      <c r="K1752" s="17" t="n">
        <f aca="false">MAX(K1751,C1752)</f>
        <v>19650.01</v>
      </c>
      <c r="L1752" s="25" t="n">
        <f aca="false">C1752/K1752-1</f>
        <v>-0.580893851962416</v>
      </c>
      <c r="M1752" s="25" t="n">
        <f aca="false">IF(COUNT(G1723:G1752)&lt;20,"",_xlfn.STDEV.S(G1723:G1752)*SQRT($R$3))</f>
        <v>0.61243665456309</v>
      </c>
      <c r="N1752" s="25" t="n">
        <f aca="false">IF(A1752-7&lt;$R$2,"",C1752/INDEX(Clean_Data!$C$2:$C$4314,MATCH(A1752-7,Clean_Data!$A$2:$A$4314,1))-1)</f>
        <v>-0.00538284374052689</v>
      </c>
      <c r="O1752" s="25" t="n">
        <f aca="false">IF(A1752-30&lt;$R$2,"",C1752/INDEX(Clean_Data!$C$2:$C$4314,MATCH(A1752-30,Clean_Data!$A$2:$A$4314,1))-1)</f>
        <v>-0.190097989465444</v>
      </c>
    </row>
    <row r="1753" customFormat="false" ht="15" hidden="false" customHeight="false" outlineLevel="0" collapsed="false">
      <c r="A1753" s="16" t="n">
        <v>43759</v>
      </c>
      <c r="B1753" s="23" t="n">
        <f aca="false">YEAR(A1753)</f>
        <v>2019</v>
      </c>
      <c r="C1753" s="17" t="n">
        <v>8214.58</v>
      </c>
      <c r="D1753" s="23" t="n">
        <f aca="false">A1753-A1752</f>
        <v>1</v>
      </c>
      <c r="E1753" s="24" t="n">
        <f aca="false">LN(C1753)</f>
        <v>9.01366590317535</v>
      </c>
      <c r="F1753" s="25" t="n">
        <f aca="false">LN(C1753/C1752)</f>
        <v>-0.00253616848869745</v>
      </c>
      <c r="G1753" s="25" t="n">
        <f aca="false">IF(AND(D1753=1,A1753&gt;=$R$2),F1753,"")</f>
        <v>-0.00253616848869745</v>
      </c>
      <c r="H1753" s="27" t="n">
        <f aca="false">IF(G1753="","",G1753^2)</f>
        <v>6.43215060306192E-006</v>
      </c>
      <c r="I1753" s="25" t="n">
        <f aca="false">IF(G1753="","",C1753/C1752-1)</f>
        <v>-0.00253295513050922</v>
      </c>
      <c r="J1753" s="17" t="n">
        <f aca="false">AVERAGE(C1554:C1753)</f>
        <v>8849.0948</v>
      </c>
      <c r="K1753" s="17" t="n">
        <f aca="false">MAX(K1752,C1753)</f>
        <v>19650.01</v>
      </c>
      <c r="L1753" s="25" t="n">
        <f aca="false">C1753/K1753-1</f>
        <v>-0.581955429030316</v>
      </c>
      <c r="M1753" s="25" t="n">
        <f aca="false">IF(COUNT(G1724:G1753)&lt;20,"",_xlfn.STDEV.S(G1724:G1753)*SQRT($R$3))</f>
        <v>0.611211469465711</v>
      </c>
      <c r="N1753" s="25" t="n">
        <f aca="false">IF(A1753-7&lt;$R$2,"",C1753/INDEX(Clean_Data!$C$2:$C$4314,MATCH(A1753-7,Clean_Data!$A$2:$A$4314,1))-1)</f>
        <v>-0.0177472198971661</v>
      </c>
      <c r="O1753" s="25" t="n">
        <f aca="false">IF(A1753-30&lt;$R$2,"",C1753/INDEX(Clean_Data!$C$2:$C$4314,MATCH(A1753-30,Clean_Data!$A$2:$A$4314,1))-1)</f>
        <v>-0.177092860527389</v>
      </c>
    </row>
    <row r="1754" customFormat="false" ht="15" hidden="false" customHeight="false" outlineLevel="0" collapsed="false">
      <c r="A1754" s="16" t="n">
        <v>43760</v>
      </c>
      <c r="B1754" s="23" t="n">
        <f aca="false">YEAR(A1754)</f>
        <v>2019</v>
      </c>
      <c r="C1754" s="17" t="n">
        <v>8008.04</v>
      </c>
      <c r="D1754" s="23" t="n">
        <f aca="false">A1754-A1753</f>
        <v>1</v>
      </c>
      <c r="E1754" s="24" t="n">
        <f aca="false">LN(C1754)</f>
        <v>8.98820131598758</v>
      </c>
      <c r="F1754" s="25" t="n">
        <f aca="false">LN(C1754/C1753)</f>
        <v>-0.0254645871877696</v>
      </c>
      <c r="G1754" s="25" t="n">
        <f aca="false">IF(AND(D1754=1,A1754&gt;=$R$2),F1754,"")</f>
        <v>-0.0254645871877696</v>
      </c>
      <c r="H1754" s="27" t="n">
        <f aca="false">IF(G1754="","",G1754^2)</f>
        <v>0.000648445200643521</v>
      </c>
      <c r="I1754" s="25" t="n">
        <f aca="false">IF(G1754="","",C1754/C1753-1)</f>
        <v>-0.025143099221141</v>
      </c>
      <c r="J1754" s="17" t="n">
        <f aca="false">AVERAGE(C1555:C1754)</f>
        <v>8863.9317</v>
      </c>
      <c r="K1754" s="17" t="n">
        <f aca="false">MAX(K1753,C1754)</f>
        <v>19650.01</v>
      </c>
      <c r="L1754" s="25" t="n">
        <f aca="false">C1754/K1754-1</f>
        <v>-0.592466365157066</v>
      </c>
      <c r="M1754" s="25" t="n">
        <f aca="false">IF(COUNT(G1725:G1754)&lt;20,"",_xlfn.STDEV.S(G1725:G1754)*SQRT($R$3))</f>
        <v>0.613166280063163</v>
      </c>
      <c r="N1754" s="25" t="n">
        <f aca="false">IF(A1754-7&lt;$R$2,"",C1754/INDEX(Clean_Data!$C$2:$C$4314,MATCH(A1754-7,Clean_Data!$A$2:$A$4314,1))-1)</f>
        <v>-0.018203841834508</v>
      </c>
      <c r="O1754" s="25" t="n">
        <f aca="false">IF(A1754-30&lt;$R$2,"",C1754/INDEX(Clean_Data!$C$2:$C$4314,MATCH(A1754-30,Clean_Data!$A$2:$A$4314,1))-1)</f>
        <v>-0.20198903836572</v>
      </c>
    </row>
    <row r="1755" customFormat="false" ht="15" hidden="false" customHeight="false" outlineLevel="0" collapsed="false">
      <c r="A1755" s="16" t="n">
        <v>43761</v>
      </c>
      <c r="B1755" s="23" t="n">
        <f aca="false">YEAR(A1755)</f>
        <v>2019</v>
      </c>
      <c r="C1755" s="17" t="n">
        <v>7473.42</v>
      </c>
      <c r="D1755" s="23" t="n">
        <f aca="false">A1755-A1754</f>
        <v>1</v>
      </c>
      <c r="E1755" s="24" t="n">
        <f aca="false">LN(C1755)</f>
        <v>8.91910800467938</v>
      </c>
      <c r="F1755" s="25" t="n">
        <f aca="false">LN(C1755/C1754)</f>
        <v>-0.069093311308196</v>
      </c>
      <c r="G1755" s="25" t="n">
        <f aca="false">IF(AND(D1755=1,A1755&gt;=$R$2),F1755,"")</f>
        <v>-0.069093311308196</v>
      </c>
      <c r="H1755" s="27" t="n">
        <f aca="false">IF(G1755="","",G1755^2)</f>
        <v>0.00477388566753128</v>
      </c>
      <c r="I1755" s="25" t="n">
        <f aca="false">IF(G1755="","",C1755/C1754-1)</f>
        <v>-0.0667604057921789</v>
      </c>
      <c r="J1755" s="17" t="n">
        <f aca="false">AVERAGE(C1556:C1755)</f>
        <v>8876.0527</v>
      </c>
      <c r="K1755" s="17" t="n">
        <f aca="false">MAX(K1754,C1755)</f>
        <v>19650.01</v>
      </c>
      <c r="L1755" s="25" t="n">
        <f aca="false">C1755/K1755-1</f>
        <v>-0.619673475993142</v>
      </c>
      <c r="M1755" s="25" t="n">
        <f aca="false">IF(COUNT(G1726:G1755)&lt;20,"",_xlfn.STDEV.S(G1726:G1755)*SQRT($R$3))</f>
        <v>0.642872164984799</v>
      </c>
      <c r="N1755" s="25" t="n">
        <f aca="false">IF(A1755-7&lt;$R$2,"",C1755/INDEX(Clean_Data!$C$2:$C$4314,MATCH(A1755-7,Clean_Data!$A$2:$A$4314,1))-1)</f>
        <v>-0.0650043788314776</v>
      </c>
      <c r="O1755" s="25" t="n">
        <f aca="false">IF(A1755-30&lt;$R$2,"",C1755/INDEX(Clean_Data!$C$2:$C$4314,MATCH(A1755-30,Clean_Data!$A$2:$A$4314,1))-1)</f>
        <v>-0.228262609343972</v>
      </c>
    </row>
    <row r="1756" customFormat="false" ht="15" hidden="false" customHeight="false" outlineLevel="0" collapsed="false">
      <c r="A1756" s="16" t="n">
        <v>43762</v>
      </c>
      <c r="B1756" s="23" t="n">
        <f aca="false">YEAR(A1756)</f>
        <v>2019</v>
      </c>
      <c r="C1756" s="17" t="n">
        <v>7439.29</v>
      </c>
      <c r="D1756" s="23" t="n">
        <f aca="false">A1756-A1755</f>
        <v>1</v>
      </c>
      <c r="E1756" s="24" t="n">
        <f aca="false">LN(C1756)</f>
        <v>8.91453069316587</v>
      </c>
      <c r="F1756" s="25" t="n">
        <f aca="false">LN(C1756/C1755)</f>
        <v>-0.00457731151351242</v>
      </c>
      <c r="G1756" s="25" t="n">
        <f aca="false">IF(AND(D1756=1,A1756&gt;=$R$2),F1756,"")</f>
        <v>-0.00457731151351242</v>
      </c>
      <c r="H1756" s="27" t="n">
        <f aca="false">IF(G1756="","",G1756^2)</f>
        <v>2.09517806917334E-005</v>
      </c>
      <c r="I1756" s="25" t="n">
        <f aca="false">IF(G1756="","",C1756/C1755-1)</f>
        <v>-0.00456685158869707</v>
      </c>
      <c r="J1756" s="17" t="n">
        <f aca="false">AVERAGE(C1557:C1756)</f>
        <v>8887.2752</v>
      </c>
      <c r="K1756" s="17" t="n">
        <f aca="false">MAX(K1755,C1756)</f>
        <v>19650.01</v>
      </c>
      <c r="L1756" s="25" t="n">
        <f aca="false">C1756/K1756-1</f>
        <v>-0.621410370783526</v>
      </c>
      <c r="M1756" s="25" t="n">
        <f aca="false">IF(COUNT(G1727:G1756)&lt;20,"",_xlfn.STDEV.S(G1727:G1756)*SQRT($R$3))</f>
        <v>0.490573219046391</v>
      </c>
      <c r="N1756" s="25" t="n">
        <f aca="false">IF(A1756-7&lt;$R$2,"",C1756/INDEX(Clean_Data!$C$2:$C$4314,MATCH(A1756-7,Clean_Data!$A$2:$A$4314,1))-1)</f>
        <v>-0.0789538194874334</v>
      </c>
      <c r="O1756" s="25" t="n">
        <f aca="false">IF(A1756-30&lt;$R$2,"",C1756/INDEX(Clean_Data!$C$2:$C$4314,MATCH(A1756-30,Clean_Data!$A$2:$A$4314,1))-1)</f>
        <v>-0.13056146079615</v>
      </c>
    </row>
    <row r="1757" customFormat="false" ht="15" hidden="false" customHeight="false" outlineLevel="0" collapsed="false">
      <c r="A1757" s="16" t="n">
        <v>43763</v>
      </c>
      <c r="B1757" s="23" t="n">
        <f aca="false">YEAR(A1757)</f>
        <v>2019</v>
      </c>
      <c r="C1757" s="17" t="n">
        <v>8704.85</v>
      </c>
      <c r="D1757" s="23" t="n">
        <f aca="false">A1757-A1756</f>
        <v>1</v>
      </c>
      <c r="E1757" s="24" t="n">
        <f aca="false">LN(C1757)</f>
        <v>9.07163562057766</v>
      </c>
      <c r="F1757" s="25" t="n">
        <f aca="false">LN(C1757/C1756)</f>
        <v>0.157104927411795</v>
      </c>
      <c r="G1757" s="25" t="n">
        <f aca="false">IF(AND(D1757=1,A1757&gt;=$R$2),F1757,"")</f>
        <v>0.157104927411795</v>
      </c>
      <c r="H1757" s="27" t="n">
        <f aca="false">IF(G1757="","",G1757^2)</f>
        <v>0.0246819582170652</v>
      </c>
      <c r="I1757" s="25" t="n">
        <f aca="false">IF(G1757="","",C1757/C1756-1)</f>
        <v>0.170118384953403</v>
      </c>
      <c r="J1757" s="17" t="n">
        <f aca="false">AVERAGE(C1558:C1757)</f>
        <v>8904.37175</v>
      </c>
      <c r="K1757" s="17" t="n">
        <f aca="false">MAX(K1756,C1757)</f>
        <v>19650.01</v>
      </c>
      <c r="L1757" s="25" t="n">
        <f aca="false">C1757/K1757-1</f>
        <v>-0.557005314501112</v>
      </c>
      <c r="M1757" s="25" t="n">
        <f aca="false">IF(COUNT(G1728:G1757)&lt;20,"",_xlfn.STDEV.S(G1728:G1757)*SQRT($R$3))</f>
        <v>0.746353823313742</v>
      </c>
      <c r="N1757" s="25" t="n">
        <f aca="false">IF(A1757-7&lt;$R$2,"",C1757/INDEX(Clean_Data!$C$2:$C$4314,MATCH(A1757-7,Clean_Data!$A$2:$A$4314,1))-1)</f>
        <v>0.094377030384101</v>
      </c>
      <c r="O1757" s="25" t="n">
        <f aca="false">IF(A1757-30&lt;$R$2,"",C1757/INDEX(Clean_Data!$C$2:$C$4314,MATCH(A1757-30,Clean_Data!$A$2:$A$4314,1))-1)</f>
        <v>0.0305780926458907</v>
      </c>
    </row>
    <row r="1758" customFormat="false" ht="15" hidden="false" customHeight="false" outlineLevel="0" collapsed="false">
      <c r="A1758" s="16" t="n">
        <v>43764</v>
      </c>
      <c r="B1758" s="23" t="n">
        <f aca="false">YEAR(A1758)</f>
        <v>2019</v>
      </c>
      <c r="C1758" s="17" t="n">
        <v>9281.27</v>
      </c>
      <c r="D1758" s="23" t="n">
        <f aca="false">A1758-A1757</f>
        <v>1</v>
      </c>
      <c r="E1758" s="24" t="n">
        <f aca="false">LN(C1758)</f>
        <v>9.13575366986494</v>
      </c>
      <c r="F1758" s="25" t="n">
        <f aca="false">LN(C1758/C1757)</f>
        <v>0.0641180492872806</v>
      </c>
      <c r="G1758" s="25" t="n">
        <f aca="false">IF(AND(D1758=1,A1758&gt;=$R$2),F1758,"")</f>
        <v>0.0641180492872806</v>
      </c>
      <c r="H1758" s="27" t="n">
        <f aca="false">IF(G1758="","",G1758^2)</f>
        <v>0.00411112424440615</v>
      </c>
      <c r="I1758" s="25" t="n">
        <f aca="false">IF(G1758="","",C1758/C1757-1)</f>
        <v>0.0662182576379835</v>
      </c>
      <c r="J1758" s="17" t="n">
        <f aca="false">AVERAGE(C1559:C1758)</f>
        <v>8924.84205</v>
      </c>
      <c r="K1758" s="17" t="n">
        <f aca="false">MAX(K1757,C1758)</f>
        <v>19650.01</v>
      </c>
      <c r="L1758" s="25" t="n">
        <f aca="false">C1758/K1758-1</f>
        <v>-0.527670978284489</v>
      </c>
      <c r="M1758" s="25" t="n">
        <f aca="false">IF(COUNT(G1729:G1758)&lt;20,"",_xlfn.STDEV.S(G1729:G1758)*SQRT($R$3))</f>
        <v>0.757414156011088</v>
      </c>
      <c r="N1758" s="25" t="n">
        <f aca="false">IF(A1758-7&lt;$R$2,"",C1758/INDEX(Clean_Data!$C$2:$C$4314,MATCH(A1758-7,Clean_Data!$A$2:$A$4314,1))-1)</f>
        <v>0.165217249383888</v>
      </c>
      <c r="O1758" s="25" t="n">
        <f aca="false">IF(A1758-30&lt;$R$2,"",C1758/INDEX(Clean_Data!$C$2:$C$4314,MATCH(A1758-30,Clean_Data!$A$2:$A$4314,1))-1)</f>
        <v>0.151093885650502</v>
      </c>
    </row>
    <row r="1759" customFormat="false" ht="15" hidden="false" customHeight="false" outlineLevel="0" collapsed="false">
      <c r="A1759" s="16" t="n">
        <v>43765</v>
      </c>
      <c r="B1759" s="23" t="n">
        <f aca="false">YEAR(A1759)</f>
        <v>2019</v>
      </c>
      <c r="C1759" s="17" t="n">
        <v>9570.58</v>
      </c>
      <c r="D1759" s="23" t="n">
        <f aca="false">A1759-A1758</f>
        <v>1</v>
      </c>
      <c r="E1759" s="24" t="n">
        <f aca="false">LN(C1759)</f>
        <v>9.16644908867113</v>
      </c>
      <c r="F1759" s="25" t="n">
        <f aca="false">LN(C1759/C1758)</f>
        <v>0.0306954188061896</v>
      </c>
      <c r="G1759" s="25" t="n">
        <f aca="false">IF(AND(D1759=1,A1759&gt;=$R$2),F1759,"")</f>
        <v>0.0306954188061896</v>
      </c>
      <c r="H1759" s="27" t="n">
        <f aca="false">IF(G1759="","",G1759^2)</f>
        <v>0.000942208735687377</v>
      </c>
      <c r="I1759" s="25" t="n">
        <f aca="false">IF(G1759="","",C1759/C1758-1)</f>
        <v>0.0311713806407958</v>
      </c>
      <c r="J1759" s="17" t="n">
        <f aca="false">AVERAGE(C1560:C1759)</f>
        <v>8946.10205</v>
      </c>
      <c r="K1759" s="17" t="n">
        <f aca="false">MAX(K1758,C1759)</f>
        <v>19650.01</v>
      </c>
      <c r="L1759" s="25" t="n">
        <f aca="false">C1759/K1759-1</f>
        <v>-0.5129478305609</v>
      </c>
      <c r="M1759" s="25" t="n">
        <f aca="false">IF(COUNT(G1730:G1759)&lt;20,"",_xlfn.STDEV.S(G1730:G1759)*SQRT($R$3))</f>
        <v>0.761876669701918</v>
      </c>
      <c r="N1759" s="25" t="n">
        <f aca="false">IF(A1759-7&lt;$R$2,"",C1759/INDEX(Clean_Data!$C$2:$C$4314,MATCH(A1759-7,Clean_Data!$A$2:$A$4314,1))-1)</f>
        <v>0.162121270994628</v>
      </c>
      <c r="O1759" s="25" t="n">
        <f aca="false">IF(A1759-30&lt;$R$2,"",C1759/INDEX(Clean_Data!$C$2:$C$4314,MATCH(A1759-30,Clean_Data!$A$2:$A$4314,1))-1)</f>
        <v>0.168001386383662</v>
      </c>
    </row>
    <row r="1760" customFormat="false" ht="15" hidden="false" customHeight="false" outlineLevel="0" collapsed="false">
      <c r="A1760" s="16" t="n">
        <v>43766</v>
      </c>
      <c r="B1760" s="23" t="n">
        <f aca="false">YEAR(A1760)</f>
        <v>2019</v>
      </c>
      <c r="C1760" s="17" t="n">
        <v>9221.96</v>
      </c>
      <c r="D1760" s="23" t="n">
        <f aca="false">A1760-A1759</f>
        <v>1</v>
      </c>
      <c r="E1760" s="24" t="n">
        <f aca="false">LN(C1760)</f>
        <v>9.12934287530333</v>
      </c>
      <c r="F1760" s="25" t="n">
        <f aca="false">LN(C1760/C1759)</f>
        <v>-0.0371062133678035</v>
      </c>
      <c r="G1760" s="25" t="n">
        <f aca="false">IF(AND(D1760=1,A1760&gt;=$R$2),F1760,"")</f>
        <v>-0.0371062133678035</v>
      </c>
      <c r="H1760" s="27" t="n">
        <f aca="false">IF(G1760="","",G1760^2)</f>
        <v>0.00137687107049696</v>
      </c>
      <c r="I1760" s="25" t="n">
        <f aca="false">IF(G1760="","",C1760/C1759-1)</f>
        <v>-0.0364262145031964</v>
      </c>
      <c r="J1760" s="17" t="n">
        <f aca="false">AVERAGE(C1561:C1760)</f>
        <v>8967.00535</v>
      </c>
      <c r="K1760" s="17" t="n">
        <f aca="false">MAX(K1759,C1760)</f>
        <v>19650.01</v>
      </c>
      <c r="L1760" s="25" t="n">
        <f aca="false">C1760/K1760-1</f>
        <v>-0.530689297359136</v>
      </c>
      <c r="M1760" s="25" t="n">
        <f aca="false">IF(COUNT(G1731:G1760)&lt;20,"",_xlfn.STDEV.S(G1731:G1760)*SQRT($R$3))</f>
        <v>0.776035094107404</v>
      </c>
      <c r="N1760" s="25" t="n">
        <f aca="false">IF(A1760-7&lt;$R$2,"",C1760/INDEX(Clean_Data!$C$2:$C$4314,MATCH(A1760-7,Clean_Data!$A$2:$A$4314,1))-1)</f>
        <v>0.122633171750716</v>
      </c>
      <c r="O1760" s="25" t="n">
        <f aca="false">IF(A1760-30&lt;$R$2,"",C1760/INDEX(Clean_Data!$C$2:$C$4314,MATCH(A1760-30,Clean_Data!$A$2:$A$4314,1))-1)</f>
        <v>0.120772171867062</v>
      </c>
    </row>
    <row r="1761" customFormat="false" ht="15" hidden="false" customHeight="false" outlineLevel="0" collapsed="false">
      <c r="A1761" s="16" t="n">
        <v>43767</v>
      </c>
      <c r="B1761" s="23" t="n">
        <f aca="false">YEAR(A1761)</f>
        <v>2019</v>
      </c>
      <c r="C1761" s="17" t="n">
        <v>9431.27</v>
      </c>
      <c r="D1761" s="23" t="n">
        <f aca="false">A1761-A1760</f>
        <v>1</v>
      </c>
      <c r="E1761" s="24" t="n">
        <f aca="false">LN(C1761)</f>
        <v>9.15178604312359</v>
      </c>
      <c r="F1761" s="25" t="n">
        <f aca="false">LN(C1761/C1760)</f>
        <v>0.0224431678202563</v>
      </c>
      <c r="G1761" s="25" t="n">
        <f aca="false">IF(AND(D1761=1,A1761&gt;=$R$2),F1761,"")</f>
        <v>0.0224431678202563</v>
      </c>
      <c r="H1761" s="27" t="n">
        <f aca="false">IF(G1761="","",G1761^2)</f>
        <v>0.000503695781808189</v>
      </c>
      <c r="I1761" s="25" t="n">
        <f aca="false">IF(G1761="","",C1761/C1760-1)</f>
        <v>0.0226969104181758</v>
      </c>
      <c r="J1761" s="17" t="n">
        <f aca="false">AVERAGE(C1562:C1761)</f>
        <v>8988.77075</v>
      </c>
      <c r="K1761" s="17" t="n">
        <f aca="false">MAX(K1760,C1761)</f>
        <v>19650.01</v>
      </c>
      <c r="L1761" s="25" t="n">
        <f aca="false">C1761/K1761-1</f>
        <v>-0.520037394383005</v>
      </c>
      <c r="M1761" s="25" t="n">
        <f aca="false">IF(COUNT(G1732:G1761)&lt;20,"",_xlfn.STDEV.S(G1732:G1761)*SQRT($R$3))</f>
        <v>0.773655443357658</v>
      </c>
      <c r="N1761" s="25" t="n">
        <f aca="false">IF(A1761-7&lt;$R$2,"",C1761/INDEX(Clean_Data!$C$2:$C$4314,MATCH(A1761-7,Clean_Data!$A$2:$A$4314,1))-1)</f>
        <v>0.177725136238081</v>
      </c>
      <c r="O1761" s="25" t="n">
        <f aca="false">IF(A1761-30&lt;$R$2,"",C1761/INDEX(Clean_Data!$C$2:$C$4314,MATCH(A1761-30,Clean_Data!$A$2:$A$4314,1))-1)</f>
        <v>0.169688678987878</v>
      </c>
    </row>
    <row r="1762" customFormat="false" ht="15" hidden="false" customHeight="false" outlineLevel="0" collapsed="false">
      <c r="A1762" s="16" t="n">
        <v>43768</v>
      </c>
      <c r="B1762" s="23" t="n">
        <f aca="false">YEAR(A1762)</f>
        <v>2019</v>
      </c>
      <c r="C1762" s="17" t="n">
        <v>9175.77</v>
      </c>
      <c r="D1762" s="23" t="n">
        <f aca="false">A1762-A1761</f>
        <v>1</v>
      </c>
      <c r="E1762" s="24" t="n">
        <f aca="false">LN(C1762)</f>
        <v>9.1243215931071</v>
      </c>
      <c r="F1762" s="25" t="n">
        <f aca="false">LN(C1762/C1761)</f>
        <v>-0.0274644500164899</v>
      </c>
      <c r="G1762" s="25" t="n">
        <f aca="false">IF(AND(D1762=1,A1762&gt;=$R$2),F1762,"")</f>
        <v>-0.0274644500164899</v>
      </c>
      <c r="H1762" s="27" t="n">
        <f aca="false">IF(G1762="","",G1762^2)</f>
        <v>0.000754296014708274</v>
      </c>
      <c r="I1762" s="25" t="n">
        <f aca="false">IF(G1762="","",C1762/C1761-1)</f>
        <v>-0.0270907311528564</v>
      </c>
      <c r="J1762" s="17" t="n">
        <f aca="false">AVERAGE(C1563:C1762)</f>
        <v>9009.3185</v>
      </c>
      <c r="K1762" s="17" t="n">
        <f aca="false">MAX(K1761,C1762)</f>
        <v>19650.01</v>
      </c>
      <c r="L1762" s="25" t="n">
        <f aca="false">C1762/K1762-1</f>
        <v>-0.5330399322952</v>
      </c>
      <c r="M1762" s="25" t="n">
        <f aca="false">IF(COUNT(G1733:G1762)&lt;20,"",_xlfn.STDEV.S(G1733:G1762)*SQRT($R$3))</f>
        <v>0.776633687717083</v>
      </c>
      <c r="N1762" s="25" t="n">
        <f aca="false">IF(A1762-7&lt;$R$2,"",C1762/INDEX(Clean_Data!$C$2:$C$4314,MATCH(A1762-7,Clean_Data!$A$2:$A$4314,1))-1)</f>
        <v>0.227787278113635</v>
      </c>
      <c r="O1762" s="25" t="n">
        <f aca="false">IF(A1762-30&lt;$R$2,"",C1762/INDEX(Clean_Data!$C$2:$C$4314,MATCH(A1762-30,Clean_Data!$A$2:$A$4314,1))-1)</f>
        <v>0.104830261741524</v>
      </c>
    </row>
    <row r="1763" customFormat="false" ht="15" hidden="false" customHeight="false" outlineLevel="0" collapsed="false">
      <c r="A1763" s="16" t="n">
        <v>43769</v>
      </c>
      <c r="B1763" s="23" t="n">
        <f aca="false">YEAR(A1763)</f>
        <v>2019</v>
      </c>
      <c r="C1763" s="17" t="n">
        <v>9146.75</v>
      </c>
      <c r="D1763" s="23" t="n">
        <f aca="false">A1763-A1762</f>
        <v>1</v>
      </c>
      <c r="E1763" s="24" t="n">
        <f aca="false">LN(C1763)</f>
        <v>9.12115390391738</v>
      </c>
      <c r="F1763" s="25" t="n">
        <f aca="false">LN(C1763/C1762)</f>
        <v>-0.00316768918971505</v>
      </c>
      <c r="G1763" s="25" t="n">
        <f aca="false">IF(AND(D1763=1,A1763&gt;=$R$2),F1763,"")</f>
        <v>-0.00316768918971505</v>
      </c>
      <c r="H1763" s="27" t="n">
        <f aca="false">IF(G1763="","",G1763^2)</f>
        <v>1.00342548026376E-005</v>
      </c>
      <c r="I1763" s="25" t="n">
        <f aca="false">IF(G1763="","",C1763/C1762-1)</f>
        <v>-0.00316267735568787</v>
      </c>
      <c r="J1763" s="17" t="n">
        <f aca="false">AVERAGE(C1564:C1763)</f>
        <v>9029.2309</v>
      </c>
      <c r="K1763" s="17" t="n">
        <f aca="false">MAX(K1762,C1763)</f>
        <v>19650.01</v>
      </c>
      <c r="L1763" s="25" t="n">
        <f aca="false">C1763/K1763-1</f>
        <v>-0.53451677632734</v>
      </c>
      <c r="M1763" s="25" t="n">
        <f aca="false">IF(COUNT(G1734:G1763)&lt;20,"",_xlfn.STDEV.S(G1734:G1763)*SQRT($R$3))</f>
        <v>0.776956995456628</v>
      </c>
      <c r="N1763" s="25" t="n">
        <f aca="false">IF(A1763-7&lt;$R$2,"",C1763/INDEX(Clean_Data!$C$2:$C$4314,MATCH(A1763-7,Clean_Data!$A$2:$A$4314,1))-1)</f>
        <v>0.229519214871312</v>
      </c>
      <c r="O1763" s="25" t="n">
        <f aca="false">IF(A1763-30&lt;$R$2,"",C1763/INDEX(Clean_Data!$C$2:$C$4314,MATCH(A1763-30,Clean_Data!$A$2:$A$4314,1))-1)</f>
        <v>0.0989159517170204</v>
      </c>
    </row>
    <row r="1764" customFormat="false" ht="15" hidden="false" customHeight="false" outlineLevel="0" collapsed="false">
      <c r="A1764" s="16" t="n">
        <v>43770</v>
      </c>
      <c r="B1764" s="23" t="n">
        <f aca="false">YEAR(A1764)</f>
        <v>2019</v>
      </c>
      <c r="C1764" s="17" t="n">
        <v>9268</v>
      </c>
      <c r="D1764" s="23" t="n">
        <f aca="false">A1764-A1763</f>
        <v>1</v>
      </c>
      <c r="E1764" s="24" t="n">
        <f aca="false">LN(C1764)</f>
        <v>9.13432288555227</v>
      </c>
      <c r="F1764" s="25" t="n">
        <f aca="false">LN(C1764/C1763)</f>
        <v>0.013168981634886</v>
      </c>
      <c r="G1764" s="25" t="n">
        <f aca="false">IF(AND(D1764=1,A1764&gt;=$R$2),F1764,"")</f>
        <v>0.013168981634886</v>
      </c>
      <c r="H1764" s="27" t="n">
        <f aca="false">IF(G1764="","",G1764^2)</f>
        <v>0.000173422077299965</v>
      </c>
      <c r="I1764" s="25" t="n">
        <f aca="false">IF(G1764="","",C1764/C1763-1)</f>
        <v>0.013256074562003</v>
      </c>
      <c r="J1764" s="17" t="n">
        <f aca="false">AVERAGE(C1565:C1764)</f>
        <v>9050.42095</v>
      </c>
      <c r="K1764" s="17" t="n">
        <f aca="false">MAX(K1763,C1764)</f>
        <v>19650.01</v>
      </c>
      <c r="L1764" s="25" t="n">
        <f aca="false">C1764/K1764-1</f>
        <v>-0.528346296006974</v>
      </c>
      <c r="M1764" s="25" t="n">
        <f aca="false">IF(COUNT(G1735:G1764)&lt;20,"",_xlfn.STDEV.S(G1735:G1764)*SQRT($R$3))</f>
        <v>0.777517044702503</v>
      </c>
      <c r="N1764" s="25" t="n">
        <f aca="false">IF(A1764-7&lt;$R$2,"",C1764/INDEX(Clean_Data!$C$2:$C$4314,MATCH(A1764-7,Clean_Data!$A$2:$A$4314,1))-1)</f>
        <v>0.0646938201117768</v>
      </c>
      <c r="O1764" s="25" t="n">
        <f aca="false">IF(A1764-30&lt;$R$2,"",C1764/INDEX(Clean_Data!$C$2:$C$4314,MATCH(A1764-30,Clean_Data!$A$2:$A$4314,1))-1)</f>
        <v>0.103858980466889</v>
      </c>
    </row>
    <row r="1765" customFormat="false" ht="15" hidden="false" customHeight="false" outlineLevel="0" collapsed="false">
      <c r="A1765" s="16" t="n">
        <v>43771</v>
      </c>
      <c r="B1765" s="23" t="n">
        <f aca="false">YEAR(A1765)</f>
        <v>2019</v>
      </c>
      <c r="C1765" s="17" t="n">
        <v>9320</v>
      </c>
      <c r="D1765" s="23" t="n">
        <f aca="false">A1765-A1764</f>
        <v>1</v>
      </c>
      <c r="E1765" s="24" t="n">
        <f aca="false">LN(C1765)</f>
        <v>9.13991790767964</v>
      </c>
      <c r="F1765" s="25" t="n">
        <f aca="false">LN(C1765/C1764)</f>
        <v>0.00559502212737004</v>
      </c>
      <c r="G1765" s="25" t="n">
        <f aca="false">IF(AND(D1765=1,A1765&gt;=$R$2),F1765,"")</f>
        <v>0.00559502212737004</v>
      </c>
      <c r="H1765" s="27" t="n">
        <f aca="false">IF(G1765="","",G1765^2)</f>
        <v>3.13042726057604E-005</v>
      </c>
      <c r="I1765" s="25" t="n">
        <f aca="false">IF(G1765="","",C1765/C1764-1)</f>
        <v>0.00561070349589987</v>
      </c>
      <c r="J1765" s="17" t="n">
        <f aca="false">AVERAGE(C1566:C1765)</f>
        <v>9071.00645</v>
      </c>
      <c r="K1765" s="17" t="n">
        <f aca="false">MAX(K1764,C1765)</f>
        <v>19650.01</v>
      </c>
      <c r="L1765" s="25" t="n">
        <f aca="false">C1765/K1765-1</f>
        <v>-0.525699986921126</v>
      </c>
      <c r="M1765" s="25" t="n">
        <f aca="false">IF(COUNT(G1736:G1765)&lt;20,"",_xlfn.STDEV.S(G1736:G1765)*SQRT($R$3))</f>
        <v>0.77351074019836</v>
      </c>
      <c r="N1765" s="25" t="n">
        <f aca="false">IF(A1765-7&lt;$R$2,"",C1765/INDEX(Clean_Data!$C$2:$C$4314,MATCH(A1765-7,Clean_Data!$A$2:$A$4314,1))-1)</f>
        <v>0.00417292030077765</v>
      </c>
      <c r="O1765" s="25" t="n">
        <f aca="false">IF(A1765-30&lt;$R$2,"",C1765/INDEX(Clean_Data!$C$2:$C$4314,MATCH(A1765-30,Clean_Data!$A$2:$A$4314,1))-1)</f>
        <v>0.130896405278325</v>
      </c>
    </row>
    <row r="1766" customFormat="false" ht="15" hidden="false" customHeight="false" outlineLevel="0" collapsed="false">
      <c r="A1766" s="16" t="n">
        <v>43772</v>
      </c>
      <c r="B1766" s="23" t="n">
        <f aca="false">YEAR(A1766)</f>
        <v>2019</v>
      </c>
      <c r="C1766" s="17" t="n">
        <v>9215.01</v>
      </c>
      <c r="D1766" s="23" t="n">
        <f aca="false">A1766-A1765</f>
        <v>1</v>
      </c>
      <c r="E1766" s="24" t="n">
        <f aca="false">LN(C1766)</f>
        <v>9.12858895529053</v>
      </c>
      <c r="F1766" s="25" t="n">
        <f aca="false">LN(C1766/C1765)</f>
        <v>-0.0113289523891072</v>
      </c>
      <c r="G1766" s="25" t="n">
        <f aca="false">IF(AND(D1766=1,A1766&gt;=$R$2),F1766,"")</f>
        <v>-0.0113289523891072</v>
      </c>
      <c r="H1766" s="27" t="n">
        <f aca="false">IF(G1766="","",G1766^2)</f>
        <v>0.000128345162234659</v>
      </c>
      <c r="I1766" s="25" t="n">
        <f aca="false">IF(G1766="","",C1766/C1765-1)</f>
        <v>-0.0112650214592275</v>
      </c>
      <c r="J1766" s="17" t="n">
        <f aca="false">AVERAGE(C1567:C1766)</f>
        <v>9090.9465</v>
      </c>
      <c r="K1766" s="17" t="n">
        <f aca="false">MAX(K1765,C1766)</f>
        <v>19650.01</v>
      </c>
      <c r="L1766" s="25" t="n">
        <f aca="false">C1766/K1766-1</f>
        <v>-0.531042986746572</v>
      </c>
      <c r="M1766" s="25" t="n">
        <f aca="false">IF(COUNT(G1737:G1766)&lt;20,"",_xlfn.STDEV.S(G1737:G1766)*SQRT($R$3))</f>
        <v>0.773842383948837</v>
      </c>
      <c r="N1766" s="25" t="n">
        <f aca="false">IF(A1766-7&lt;$R$2,"",C1766/INDEX(Clean_Data!$C$2:$C$4314,MATCH(A1766-7,Clean_Data!$A$2:$A$4314,1))-1)</f>
        <v>-0.0371523982872511</v>
      </c>
      <c r="O1766" s="25" t="n">
        <f aca="false">IF(A1766-30&lt;$R$2,"",C1766/INDEX(Clean_Data!$C$2:$C$4314,MATCH(A1766-30,Clean_Data!$A$2:$A$4314,1))-1)</f>
        <v>0.129330576699417</v>
      </c>
    </row>
    <row r="1767" customFormat="false" ht="15" hidden="false" customHeight="false" outlineLevel="0" collapsed="false">
      <c r="A1767" s="16" t="n">
        <v>43773</v>
      </c>
      <c r="B1767" s="23" t="n">
        <f aca="false">YEAR(A1767)</f>
        <v>2019</v>
      </c>
      <c r="C1767" s="17" t="n">
        <v>9414</v>
      </c>
      <c r="D1767" s="23" t="n">
        <f aca="false">A1767-A1766</f>
        <v>1</v>
      </c>
      <c r="E1767" s="24" t="n">
        <f aca="false">LN(C1767)</f>
        <v>9.14995322196109</v>
      </c>
      <c r="F1767" s="25" t="n">
        <f aca="false">LN(C1767/C1766)</f>
        <v>0.021364266670558</v>
      </c>
      <c r="G1767" s="25" t="n">
        <f aca="false">IF(AND(D1767=1,A1767&gt;=$R$2),F1767,"")</f>
        <v>0.021364266670558</v>
      </c>
      <c r="H1767" s="27" t="n">
        <f aca="false">IF(G1767="","",G1767^2)</f>
        <v>0.000456431890370714</v>
      </c>
      <c r="I1767" s="25" t="n">
        <f aca="false">IF(G1767="","",C1767/C1766-1)</f>
        <v>0.0215941165554894</v>
      </c>
      <c r="J1767" s="17" t="n">
        <f aca="false">AVERAGE(C1568:C1767)</f>
        <v>9111.61405</v>
      </c>
      <c r="K1767" s="17" t="n">
        <f aca="false">MAX(K1766,C1767)</f>
        <v>19650.01</v>
      </c>
      <c r="L1767" s="25" t="n">
        <f aca="false">C1767/K1767-1</f>
        <v>-0.520916274342863</v>
      </c>
      <c r="M1767" s="25" t="n">
        <f aca="false">IF(COUNT(G1738:G1767)&lt;20,"",_xlfn.STDEV.S(G1738:G1767)*SQRT($R$3))</f>
        <v>0.775949301672704</v>
      </c>
      <c r="N1767" s="25" t="n">
        <f aca="false">IF(A1767-7&lt;$R$2,"",C1767/INDEX(Clean_Data!$C$2:$C$4314,MATCH(A1767-7,Clean_Data!$A$2:$A$4314,1))-1)</f>
        <v>0.0208242065678013</v>
      </c>
      <c r="O1767" s="25" t="n">
        <f aca="false">IF(A1767-30&lt;$R$2,"",C1767/INDEX(Clean_Data!$C$2:$C$4314,MATCH(A1767-30,Clean_Data!$A$2:$A$4314,1))-1)</f>
        <v>0.15466840999437</v>
      </c>
    </row>
    <row r="1768" customFormat="false" ht="15" hidden="false" customHeight="false" outlineLevel="0" collapsed="false">
      <c r="A1768" s="16" t="n">
        <v>43774</v>
      </c>
      <c r="B1768" s="23" t="n">
        <f aca="false">YEAR(A1768)</f>
        <v>2019</v>
      </c>
      <c r="C1768" s="17" t="n">
        <v>9314.99</v>
      </c>
      <c r="D1768" s="23" t="n">
        <f aca="false">A1768-A1767</f>
        <v>1</v>
      </c>
      <c r="E1768" s="24" t="n">
        <f aca="false">LN(C1768)</f>
        <v>9.13938020949781</v>
      </c>
      <c r="F1768" s="25" t="n">
        <f aca="false">LN(C1768/C1767)</f>
        <v>-0.0105730124632804</v>
      </c>
      <c r="G1768" s="25" t="n">
        <f aca="false">IF(AND(D1768=1,A1768&gt;=$R$2),F1768,"")</f>
        <v>-0.0105730124632804</v>
      </c>
      <c r="H1768" s="27" t="n">
        <f aca="false">IF(G1768="","",G1768^2)</f>
        <v>0.000111788592548683</v>
      </c>
      <c r="I1768" s="25" t="n">
        <f aca="false">IF(G1768="","",C1768/C1767-1)</f>
        <v>-0.0105173146377735</v>
      </c>
      <c r="J1768" s="17" t="n">
        <f aca="false">AVERAGE(C1569:C1768)</f>
        <v>9131.7372</v>
      </c>
      <c r="K1768" s="17" t="n">
        <f aca="false">MAX(K1767,C1768)</f>
        <v>19650.01</v>
      </c>
      <c r="L1768" s="25" t="n">
        <f aca="false">C1768/K1768-1</f>
        <v>-0.525954948623436</v>
      </c>
      <c r="M1768" s="25" t="n">
        <f aca="false">IF(COUNT(G1739:G1768)&lt;20,"",_xlfn.STDEV.S(G1739:G1768)*SQRT($R$3))</f>
        <v>0.763924883338958</v>
      </c>
      <c r="N1768" s="25" t="n">
        <f aca="false">IF(A1768-7&lt;$R$2,"",C1768/INDEX(Clean_Data!$C$2:$C$4314,MATCH(A1768-7,Clean_Data!$A$2:$A$4314,1))-1)</f>
        <v>-0.0123291985066699</v>
      </c>
      <c r="O1768" s="25" t="n">
        <f aca="false">IF(A1768-30&lt;$R$2,"",C1768/INDEX(Clean_Data!$C$2:$C$4314,MATCH(A1768-30,Clean_Data!$A$2:$A$4314,1))-1)</f>
        <v>0.184710791626763</v>
      </c>
    </row>
    <row r="1769" customFormat="false" ht="15" hidden="false" customHeight="false" outlineLevel="0" collapsed="false">
      <c r="A1769" s="16" t="n">
        <v>43775</v>
      </c>
      <c r="B1769" s="23" t="n">
        <f aca="false">YEAR(A1769)</f>
        <v>2019</v>
      </c>
      <c r="C1769" s="17" t="n">
        <v>9343.11</v>
      </c>
      <c r="D1769" s="23" t="n">
        <f aca="false">A1769-A1768</f>
        <v>1</v>
      </c>
      <c r="E1769" s="24" t="n">
        <f aca="false">LN(C1769)</f>
        <v>9.14239445224393</v>
      </c>
      <c r="F1769" s="25" t="n">
        <f aca="false">LN(C1769/C1768)</f>
        <v>0.00301424274612369</v>
      </c>
      <c r="G1769" s="25" t="n">
        <f aca="false">IF(AND(D1769=1,A1769&gt;=$R$2),F1769,"")</f>
        <v>0.00301424274612369</v>
      </c>
      <c r="H1769" s="27" t="n">
        <f aca="false">IF(G1769="","",G1769^2)</f>
        <v>9.08565933255926E-006</v>
      </c>
      <c r="I1769" s="25" t="n">
        <f aca="false">IF(G1769="","",C1769/C1768-1)</f>
        <v>0.00301879014362871</v>
      </c>
      <c r="J1769" s="17" t="n">
        <f aca="false">AVERAGE(C1570:C1769)</f>
        <v>9151.8533</v>
      </c>
      <c r="K1769" s="17" t="n">
        <f aca="false">MAX(K1768,C1769)</f>
        <v>19650.01</v>
      </c>
      <c r="L1769" s="25" t="n">
        <f aca="false">C1769/K1769-1</f>
        <v>-0.524523906094704</v>
      </c>
      <c r="M1769" s="25" t="n">
        <f aca="false">IF(COUNT(G1740:G1769)&lt;20,"",_xlfn.STDEV.S(G1740:G1769)*SQRT($R$3))</f>
        <v>0.750605974890132</v>
      </c>
      <c r="N1769" s="25" t="n">
        <f aca="false">IF(A1769-7&lt;$R$2,"",C1769/INDEX(Clean_Data!$C$2:$C$4314,MATCH(A1769-7,Clean_Data!$A$2:$A$4314,1))-1)</f>
        <v>0.018237161567912</v>
      </c>
      <c r="O1769" s="25" t="n">
        <f aca="false">IF(A1769-30&lt;$R$2,"",C1769/INDEX(Clean_Data!$C$2:$C$4314,MATCH(A1769-30,Clean_Data!$A$2:$A$4314,1))-1)</f>
        <v>0.13596528556248</v>
      </c>
    </row>
    <row r="1770" customFormat="false" ht="15" hidden="false" customHeight="false" outlineLevel="0" collapsed="false">
      <c r="A1770" s="16" t="n">
        <v>43776</v>
      </c>
      <c r="B1770" s="23" t="n">
        <f aca="false">YEAR(A1770)</f>
        <v>2019</v>
      </c>
      <c r="C1770" s="17" t="n">
        <v>9196.71</v>
      </c>
      <c r="D1770" s="23" t="n">
        <f aca="false">A1770-A1769</f>
        <v>1</v>
      </c>
      <c r="E1770" s="24" t="n">
        <f aca="false">LN(C1770)</f>
        <v>9.12660109038424</v>
      </c>
      <c r="F1770" s="25" t="n">
        <f aca="false">LN(C1770/C1769)</f>
        <v>-0.0157933618596893</v>
      </c>
      <c r="G1770" s="25" t="n">
        <f aca="false">IF(AND(D1770=1,A1770&gt;=$R$2),F1770,"")</f>
        <v>-0.0157933618596893</v>
      </c>
      <c r="H1770" s="27" t="n">
        <f aca="false">IF(G1770="","",G1770^2)</f>
        <v>0.000249430278831089</v>
      </c>
      <c r="I1770" s="25" t="n">
        <f aca="false">IF(G1770="","",C1770/C1769-1)</f>
        <v>-0.0156693006932382</v>
      </c>
      <c r="J1770" s="17" t="n">
        <f aca="false">AVERAGE(C1571:C1770)</f>
        <v>9171.34865</v>
      </c>
      <c r="K1770" s="17" t="n">
        <f aca="false">MAX(K1769,C1770)</f>
        <v>19650.01</v>
      </c>
      <c r="L1770" s="25" t="n">
        <f aca="false">C1770/K1770-1</f>
        <v>-0.531974283982553</v>
      </c>
      <c r="M1770" s="25" t="n">
        <f aca="false">IF(COUNT(G1741:G1770)&lt;20,"",_xlfn.STDEV.S(G1741:G1770)*SQRT($R$3))</f>
        <v>0.753271665390337</v>
      </c>
      <c r="N1770" s="25" t="n">
        <f aca="false">IF(A1770-7&lt;$R$2,"",C1770/INDEX(Clean_Data!$C$2:$C$4314,MATCH(A1770-7,Clean_Data!$A$2:$A$4314,1))-1)</f>
        <v>0.00546204936179517</v>
      </c>
      <c r="O1770" s="25" t="n">
        <f aca="false">IF(A1770-30&lt;$R$2,"",C1770/INDEX(Clean_Data!$C$2:$C$4314,MATCH(A1770-30,Clean_Data!$A$2:$A$4314,1))-1)</f>
        <v>0.123367938114485</v>
      </c>
    </row>
    <row r="1771" customFormat="false" ht="15" hidden="false" customHeight="false" outlineLevel="0" collapsed="false">
      <c r="A1771" s="16" t="n">
        <v>43777</v>
      </c>
      <c r="B1771" s="23" t="n">
        <f aca="false">YEAR(A1771)</f>
        <v>2019</v>
      </c>
      <c r="C1771" s="17" t="n">
        <v>8758.69</v>
      </c>
      <c r="D1771" s="23" t="n">
        <f aca="false">A1771-A1770</f>
        <v>1</v>
      </c>
      <c r="E1771" s="24" t="n">
        <f aca="false">LN(C1771)</f>
        <v>9.07780162936872</v>
      </c>
      <c r="F1771" s="25" t="n">
        <f aca="false">LN(C1771/C1770)</f>
        <v>-0.0487994610155258</v>
      </c>
      <c r="G1771" s="25" t="n">
        <f aca="false">IF(AND(D1771=1,A1771&gt;=$R$2),F1771,"")</f>
        <v>-0.0487994610155258</v>
      </c>
      <c r="H1771" s="27" t="n">
        <f aca="false">IF(G1771="","",G1771^2)</f>
        <v>0.00238138739540582</v>
      </c>
      <c r="I1771" s="25" t="n">
        <f aca="false">IF(G1771="","",C1771/C1770-1)</f>
        <v>-0.0476279017170269</v>
      </c>
      <c r="J1771" s="17" t="n">
        <f aca="false">AVERAGE(C1572:C1771)</f>
        <v>9188.2041</v>
      </c>
      <c r="K1771" s="17" t="n">
        <f aca="false">MAX(K1770,C1771)</f>
        <v>19650.01</v>
      </c>
      <c r="L1771" s="25" t="n">
        <f aca="false">C1771/K1771-1</f>
        <v>-0.554265366786073</v>
      </c>
      <c r="M1771" s="25" t="n">
        <f aca="false">IF(COUNT(G1742:G1771)&lt;20,"",_xlfn.STDEV.S(G1742:G1771)*SQRT($R$3))</f>
        <v>0.756572852167012</v>
      </c>
      <c r="N1771" s="25" t="n">
        <f aca="false">IF(A1771-7&lt;$R$2,"",C1771/INDEX(Clean_Data!$C$2:$C$4314,MATCH(A1771-7,Clean_Data!$A$2:$A$4314,1))-1)</f>
        <v>-0.0549536037980146</v>
      </c>
      <c r="O1771" s="25" t="n">
        <f aca="false">IF(A1771-30&lt;$R$2,"",C1771/INDEX(Clean_Data!$C$2:$C$4314,MATCH(A1771-30,Clean_Data!$A$2:$A$4314,1))-1)</f>
        <v>0.0184523255813953</v>
      </c>
    </row>
    <row r="1772" customFormat="false" ht="15" hidden="false" customHeight="false" outlineLevel="0" collapsed="false">
      <c r="A1772" s="16" t="n">
        <v>43778</v>
      </c>
      <c r="B1772" s="23" t="n">
        <f aca="false">YEAR(A1772)</f>
        <v>2019</v>
      </c>
      <c r="C1772" s="17" t="n">
        <v>8798.38</v>
      </c>
      <c r="D1772" s="23" t="n">
        <f aca="false">A1772-A1771</f>
        <v>1</v>
      </c>
      <c r="E1772" s="24" t="n">
        <f aca="false">LN(C1772)</f>
        <v>9.0823228926104</v>
      </c>
      <c r="F1772" s="25" t="n">
        <f aca="false">LN(C1772/C1771)</f>
        <v>0.00452126324167972</v>
      </c>
      <c r="G1772" s="25" t="n">
        <f aca="false">IF(AND(D1772=1,A1772&gt;=$R$2),F1772,"")</f>
        <v>0.00452126324167972</v>
      </c>
      <c r="H1772" s="27" t="n">
        <f aca="false">IF(G1772="","",G1772^2)</f>
        <v>2.04418213005642E-005</v>
      </c>
      <c r="I1772" s="25" t="n">
        <f aca="false">IF(G1772="","",C1772/C1771-1)</f>
        <v>0.00453149957356613</v>
      </c>
      <c r="J1772" s="17" t="n">
        <f aca="false">AVERAGE(C1573:C1772)</f>
        <v>9204.53225</v>
      </c>
      <c r="K1772" s="17" t="n">
        <f aca="false">MAX(K1771,C1772)</f>
        <v>19650.01</v>
      </c>
      <c r="L1772" s="25" t="n">
        <f aca="false">C1772/K1772-1</f>
        <v>-0.55224552048574</v>
      </c>
      <c r="M1772" s="25" t="n">
        <f aca="false">IF(COUNT(G1743:G1772)&lt;20,"",_xlfn.STDEV.S(G1743:G1772)*SQRT($R$3))</f>
        <v>0.756661145787829</v>
      </c>
      <c r="N1772" s="25" t="n">
        <f aca="false">IF(A1772-7&lt;$R$2,"",C1772/INDEX(Clean_Data!$C$2:$C$4314,MATCH(A1772-7,Clean_Data!$A$2:$A$4314,1))-1)</f>
        <v>-0.0559678111587983</v>
      </c>
      <c r="O1772" s="25" t="n">
        <f aca="false">IF(A1772-30&lt;$R$2,"",C1772/INDEX(Clean_Data!$C$2:$C$4314,MATCH(A1772-30,Clean_Data!$A$2:$A$4314,1))-1)</f>
        <v>0.0243764997362907</v>
      </c>
    </row>
    <row r="1773" customFormat="false" ht="15" hidden="false" customHeight="false" outlineLevel="0" collapsed="false">
      <c r="A1773" s="16" t="n">
        <v>43779</v>
      </c>
      <c r="B1773" s="23" t="n">
        <f aca="false">YEAR(A1773)</f>
        <v>2019</v>
      </c>
      <c r="C1773" s="17" t="n">
        <v>9036.82</v>
      </c>
      <c r="D1773" s="23" t="n">
        <f aca="false">A1773-A1772</f>
        <v>1</v>
      </c>
      <c r="E1773" s="24" t="n">
        <f aca="false">LN(C1773)</f>
        <v>9.10906262158917</v>
      </c>
      <c r="F1773" s="25" t="n">
        <f aca="false">LN(C1773/C1772)</f>
        <v>0.0267397289787734</v>
      </c>
      <c r="G1773" s="25" t="n">
        <f aca="false">IF(AND(D1773=1,A1773&gt;=$R$2),F1773,"")</f>
        <v>0.0267397289787734</v>
      </c>
      <c r="H1773" s="27" t="n">
        <f aca="false">IF(G1773="","",G1773^2)</f>
        <v>0.000715013105858256</v>
      </c>
      <c r="I1773" s="25" t="n">
        <f aca="false">IF(G1773="","",C1773/C1772-1)</f>
        <v>0.0271004434907336</v>
      </c>
      <c r="J1773" s="17" t="n">
        <f aca="false">AVERAGE(C1574:C1773)</f>
        <v>9222.50685</v>
      </c>
      <c r="K1773" s="17" t="n">
        <f aca="false">MAX(K1772,C1773)</f>
        <v>19650.01</v>
      </c>
      <c r="L1773" s="25" t="n">
        <f aca="false">C1773/K1773-1</f>
        <v>-0.540111175515941</v>
      </c>
      <c r="M1773" s="25" t="n">
        <f aca="false">IF(COUNT(G1744:G1773)&lt;20,"",_xlfn.STDEV.S(G1744:G1773)*SQRT($R$3))</f>
        <v>0.748098738973823</v>
      </c>
      <c r="N1773" s="25" t="n">
        <f aca="false">IF(A1773-7&lt;$R$2,"",C1773/INDEX(Clean_Data!$C$2:$C$4314,MATCH(A1773-7,Clean_Data!$A$2:$A$4314,1))-1)</f>
        <v>-0.0193369296397943</v>
      </c>
      <c r="O1773" s="25" t="n">
        <f aca="false">IF(A1773-30&lt;$R$2,"",C1773/INDEX(Clean_Data!$C$2:$C$4314,MATCH(A1773-30,Clean_Data!$A$2:$A$4314,1))-1)</f>
        <v>0.0935640952413224</v>
      </c>
    </row>
    <row r="1774" customFormat="false" ht="15" hidden="false" customHeight="false" outlineLevel="0" collapsed="false">
      <c r="A1774" s="16" t="n">
        <v>43780</v>
      </c>
      <c r="B1774" s="23" t="n">
        <f aca="false">YEAR(A1774)</f>
        <v>2019</v>
      </c>
      <c r="C1774" s="17" t="n">
        <v>8720.61</v>
      </c>
      <c r="D1774" s="23" t="n">
        <f aca="false">A1774-A1773</f>
        <v>1</v>
      </c>
      <c r="E1774" s="24" t="n">
        <f aca="false">LN(C1774)</f>
        <v>9.07344446858479</v>
      </c>
      <c r="F1774" s="25" t="n">
        <f aca="false">LN(C1774/C1773)</f>
        <v>-0.0356181530043792</v>
      </c>
      <c r="G1774" s="25" t="n">
        <f aca="false">IF(AND(D1774=1,A1774&gt;=$R$2),F1774,"")</f>
        <v>-0.0356181530043792</v>
      </c>
      <c r="H1774" s="27" t="n">
        <f aca="false">IF(G1774="","",G1774^2)</f>
        <v>0.00126865282344337</v>
      </c>
      <c r="I1774" s="25" t="n">
        <f aca="false">IF(G1774="","",C1774/C1773-1)</f>
        <v>-0.0349912911842882</v>
      </c>
      <c r="J1774" s="17" t="n">
        <f aca="false">AVERAGE(C1575:C1774)</f>
        <v>9240.43585</v>
      </c>
      <c r="K1774" s="17" t="n">
        <f aca="false">MAX(K1773,C1774)</f>
        <v>19650.01</v>
      </c>
      <c r="L1774" s="25" t="n">
        <f aca="false">C1774/K1774-1</f>
        <v>-0.556203279285863</v>
      </c>
      <c r="M1774" s="25" t="n">
        <f aca="false">IF(COUNT(G1745:G1774)&lt;20,"",_xlfn.STDEV.S(G1745:G1774)*SQRT($R$3))</f>
        <v>0.760046339773991</v>
      </c>
      <c r="N1774" s="25" t="n">
        <f aca="false">IF(A1774-7&lt;$R$2,"",C1774/INDEX(Clean_Data!$C$2:$C$4314,MATCH(A1774-7,Clean_Data!$A$2:$A$4314,1))-1)</f>
        <v>-0.073655194391332</v>
      </c>
      <c r="O1774" s="25" t="n">
        <f aca="false">IF(A1774-30&lt;$R$2,"",C1774/INDEX(Clean_Data!$C$2:$C$4314,MATCH(A1774-30,Clean_Data!$A$2:$A$4314,1))-1)</f>
        <v>0.0501571512867138</v>
      </c>
    </row>
    <row r="1775" customFormat="false" ht="15" hidden="false" customHeight="false" outlineLevel="0" collapsed="false">
      <c r="A1775" s="16" t="n">
        <v>43781</v>
      </c>
      <c r="B1775" s="23" t="n">
        <f aca="false">YEAR(A1775)</f>
        <v>2019</v>
      </c>
      <c r="C1775" s="17" t="n">
        <v>8823.65</v>
      </c>
      <c r="D1775" s="23" t="n">
        <f aca="false">A1775-A1774</f>
        <v>1</v>
      </c>
      <c r="E1775" s="24" t="n">
        <f aca="false">LN(C1775)</f>
        <v>9.08519089559546</v>
      </c>
      <c r="F1775" s="25" t="n">
        <f aca="false">LN(C1775/C1774)</f>
        <v>0.0117464270106655</v>
      </c>
      <c r="G1775" s="25" t="n">
        <f aca="false">IF(AND(D1775=1,A1775&gt;=$R$2),F1775,"")</f>
        <v>0.0117464270106655</v>
      </c>
      <c r="H1775" s="27" t="n">
        <f aca="false">IF(G1775="","",G1775^2)</f>
        <v>0.000137978547516892</v>
      </c>
      <c r="I1775" s="25" t="n">
        <f aca="false">IF(G1775="","",C1775/C1774-1)</f>
        <v>0.0118156872053674</v>
      </c>
      <c r="J1775" s="17" t="n">
        <f aca="false">AVERAGE(C1576:C1775)</f>
        <v>9258.75655</v>
      </c>
      <c r="K1775" s="17" t="n">
        <f aca="false">MAX(K1774,C1775)</f>
        <v>19650.01</v>
      </c>
      <c r="L1775" s="25" t="n">
        <f aca="false">C1775/K1775-1</f>
        <v>-0.550959516051137</v>
      </c>
      <c r="M1775" s="25" t="n">
        <f aca="false">IF(COUNT(G1746:G1775)&lt;20,"",_xlfn.STDEV.S(G1746:G1775)*SQRT($R$3))</f>
        <v>0.760663600025211</v>
      </c>
      <c r="N1775" s="25" t="n">
        <f aca="false">IF(A1775-7&lt;$R$2,"",C1775/INDEX(Clean_Data!$C$2:$C$4314,MATCH(A1775-7,Clean_Data!$A$2:$A$4314,1))-1)</f>
        <v>-0.0527472385907016</v>
      </c>
      <c r="O1775" s="25" t="n">
        <f aca="false">IF(A1775-30&lt;$R$2,"",C1775/INDEX(Clean_Data!$C$2:$C$4314,MATCH(A1775-30,Clean_Data!$A$2:$A$4314,1))-1)</f>
        <v>0.065656925535114</v>
      </c>
    </row>
    <row r="1776" customFormat="false" ht="15" hidden="false" customHeight="false" outlineLevel="0" collapsed="false">
      <c r="A1776" s="16" t="n">
        <v>43782</v>
      </c>
      <c r="B1776" s="23" t="n">
        <f aca="false">YEAR(A1776)</f>
        <v>2019</v>
      </c>
      <c r="C1776" s="17" t="n">
        <v>8765.61</v>
      </c>
      <c r="D1776" s="23" t="n">
        <f aca="false">A1776-A1775</f>
        <v>1</v>
      </c>
      <c r="E1776" s="24" t="n">
        <f aca="false">LN(C1776)</f>
        <v>9.07859138991375</v>
      </c>
      <c r="F1776" s="25" t="n">
        <f aca="false">LN(C1776/C1775)</f>
        <v>-0.00659950568170445</v>
      </c>
      <c r="G1776" s="25" t="n">
        <f aca="false">IF(AND(D1776=1,A1776&gt;=$R$2),F1776,"")</f>
        <v>-0.00659950568170445</v>
      </c>
      <c r="H1776" s="27" t="n">
        <f aca="false">IF(G1776="","",G1776^2)</f>
        <v>4.35534752428493E-005</v>
      </c>
      <c r="I1776" s="25" t="n">
        <f aca="false">IF(G1776="","",C1776/C1775-1)</f>
        <v>-0.00657777677038407</v>
      </c>
      <c r="J1776" s="17" t="n">
        <f aca="false">AVERAGE(C1577:C1776)</f>
        <v>9276.7316</v>
      </c>
      <c r="K1776" s="17" t="n">
        <f aca="false">MAX(K1775,C1776)</f>
        <v>19650.01</v>
      </c>
      <c r="L1776" s="25" t="n">
        <f aca="false">C1776/K1776-1</f>
        <v>-0.553913204115418</v>
      </c>
      <c r="M1776" s="25" t="n">
        <f aca="false">IF(COUNT(G1747:G1776)&lt;20,"",_xlfn.STDEV.S(G1747:G1776)*SQRT($R$3))</f>
        <v>0.760706579104126</v>
      </c>
      <c r="N1776" s="25" t="n">
        <f aca="false">IF(A1776-7&lt;$R$2,"",C1776/INDEX(Clean_Data!$C$2:$C$4314,MATCH(A1776-7,Clean_Data!$A$2:$A$4314,1))-1)</f>
        <v>-0.0618102537591873</v>
      </c>
      <c r="O1776" s="25" t="n">
        <f aca="false">IF(A1776-30&lt;$R$2,"",C1776/INDEX(Clean_Data!$C$2:$C$4314,MATCH(A1776-30,Clean_Data!$A$2:$A$4314,1))-1)</f>
        <v>0.0481418151381083</v>
      </c>
    </row>
    <row r="1777" customFormat="false" ht="15" hidden="false" customHeight="false" outlineLevel="0" collapsed="false">
      <c r="A1777" s="16" t="n">
        <v>43783</v>
      </c>
      <c r="B1777" s="23" t="n">
        <f aca="false">YEAR(A1777)</f>
        <v>2019</v>
      </c>
      <c r="C1777" s="17" t="n">
        <v>8630.01</v>
      </c>
      <c r="D1777" s="23" t="n">
        <f aca="false">A1777-A1776</f>
        <v>1</v>
      </c>
      <c r="E1777" s="24" t="n">
        <f aca="false">LN(C1777)</f>
        <v>9.06300094282535</v>
      </c>
      <c r="F1777" s="25" t="n">
        <f aca="false">LN(C1777/C1776)</f>
        <v>-0.0155904470883971</v>
      </c>
      <c r="G1777" s="25" t="n">
        <f aca="false">IF(AND(D1777=1,A1777&gt;=$R$2),F1777,"")</f>
        <v>-0.0155904470883971</v>
      </c>
      <c r="H1777" s="27" t="n">
        <f aca="false">IF(G1777="","",G1777^2)</f>
        <v>0.000243062040416109</v>
      </c>
      <c r="I1777" s="25" t="n">
        <f aca="false">IF(G1777="","",C1777/C1776-1)</f>
        <v>-0.0154695451885266</v>
      </c>
      <c r="J1777" s="17" t="n">
        <f aca="false">AVERAGE(C1578:C1777)</f>
        <v>9294.10665</v>
      </c>
      <c r="K1777" s="17" t="n">
        <f aca="false">MAX(K1776,C1777)</f>
        <v>19650.01</v>
      </c>
      <c r="L1777" s="25" t="n">
        <f aca="false">C1777/K1777-1</f>
        <v>-0.560813963962359</v>
      </c>
      <c r="M1777" s="25" t="n">
        <f aca="false">IF(COUNT(G1748:G1777)&lt;20,"",_xlfn.STDEV.S(G1748:G1777)*SQRT($R$3))</f>
        <v>0.757270914279478</v>
      </c>
      <c r="N1777" s="25" t="n">
        <f aca="false">IF(A1777-7&lt;$R$2,"",C1777/INDEX(Clean_Data!$C$2:$C$4314,MATCH(A1777-7,Clean_Data!$A$2:$A$4314,1))-1)</f>
        <v>-0.0616198618853915</v>
      </c>
      <c r="O1777" s="25" t="n">
        <f aca="false">IF(A1777-30&lt;$R$2,"",C1777/INDEX(Clean_Data!$C$2:$C$4314,MATCH(A1777-30,Clean_Data!$A$2:$A$4314,1))-1)</f>
        <v>0.05805049212164</v>
      </c>
    </row>
    <row r="1778" customFormat="false" ht="15" hidden="false" customHeight="false" outlineLevel="0" collapsed="false">
      <c r="A1778" s="16" t="n">
        <v>43784</v>
      </c>
      <c r="B1778" s="23" t="n">
        <f aca="false">YEAR(A1778)</f>
        <v>2019</v>
      </c>
      <c r="C1778" s="17" t="n">
        <v>8460</v>
      </c>
      <c r="D1778" s="23" t="n">
        <f aca="false">A1778-A1777</f>
        <v>1</v>
      </c>
      <c r="E1778" s="24" t="n">
        <f aca="false">LN(C1778)</f>
        <v>9.04310445260027</v>
      </c>
      <c r="F1778" s="25" t="n">
        <f aca="false">LN(C1778/C1777)</f>
        <v>-0.0198964902250849</v>
      </c>
      <c r="G1778" s="25" t="n">
        <f aca="false">IF(AND(D1778=1,A1778&gt;=$R$2),F1778,"")</f>
        <v>-0.0198964902250849</v>
      </c>
      <c r="H1778" s="27" t="n">
        <f aca="false">IF(G1778="","",G1778^2)</f>
        <v>0.000395870323276898</v>
      </c>
      <c r="I1778" s="25" t="n">
        <f aca="false">IF(G1778="","",C1778/C1777-1)</f>
        <v>-0.0196998612979591</v>
      </c>
      <c r="J1778" s="17" t="n">
        <f aca="false">AVERAGE(C1579:C1778)</f>
        <v>9310.6654</v>
      </c>
      <c r="K1778" s="17" t="n">
        <f aca="false">MAX(K1777,C1778)</f>
        <v>19650.01</v>
      </c>
      <c r="L1778" s="25" t="n">
        <f aca="false">C1778/K1778-1</f>
        <v>-0.569465867956301</v>
      </c>
      <c r="M1778" s="25" t="n">
        <f aca="false">IF(COUNT(G1749:G1778)&lt;20,"",_xlfn.STDEV.S(G1749:G1778)*SQRT($R$3))</f>
        <v>0.757141343533546</v>
      </c>
      <c r="N1778" s="25" t="n">
        <f aca="false">IF(A1778-7&lt;$R$2,"",C1778/INDEX(Clean_Data!$C$2:$C$4314,MATCH(A1778-7,Clean_Data!$A$2:$A$4314,1))-1)</f>
        <v>-0.0341021317114775</v>
      </c>
      <c r="O1778" s="25" t="n">
        <f aca="false">IF(A1778-30&lt;$R$2,"",C1778/INDEX(Clean_Data!$C$2:$C$4314,MATCH(A1778-30,Clean_Data!$A$2:$A$4314,1))-1)</f>
        <v>0.0584261228575003</v>
      </c>
    </row>
    <row r="1779" customFormat="false" ht="15" hidden="false" customHeight="false" outlineLevel="0" collapsed="false">
      <c r="A1779" s="16" t="n">
        <v>43785</v>
      </c>
      <c r="B1779" s="23" t="n">
        <f aca="false">YEAR(A1779)</f>
        <v>2019</v>
      </c>
      <c r="C1779" s="17" t="n">
        <v>8488</v>
      </c>
      <c r="D1779" s="23" t="n">
        <f aca="false">A1779-A1778</f>
        <v>1</v>
      </c>
      <c r="E1779" s="24" t="n">
        <f aca="false">LN(C1779)</f>
        <v>9.04640868029382</v>
      </c>
      <c r="F1779" s="25" t="n">
        <f aca="false">LN(C1779/C1778)</f>
        <v>0.00330422769354999</v>
      </c>
      <c r="G1779" s="25" t="n">
        <f aca="false">IF(AND(D1779=1,A1779&gt;=$R$2),F1779,"")</f>
        <v>0.00330422769354999</v>
      </c>
      <c r="H1779" s="27" t="n">
        <f aca="false">IF(G1779="","",G1779^2)</f>
        <v>1.09179206508227E-005</v>
      </c>
      <c r="I1779" s="25" t="n">
        <f aca="false">IF(G1779="","",C1779/C1778-1)</f>
        <v>0.00330969267139469</v>
      </c>
      <c r="J1779" s="17" t="n">
        <f aca="false">AVERAGE(C1580:C1779)</f>
        <v>9326.75195</v>
      </c>
      <c r="K1779" s="17" t="n">
        <f aca="false">MAX(K1778,C1779)</f>
        <v>19650.01</v>
      </c>
      <c r="L1779" s="25" t="n">
        <f aca="false">C1779/K1779-1</f>
        <v>-0.568040932294691</v>
      </c>
      <c r="M1779" s="25" t="n">
        <f aca="false">IF(COUNT(G1750:G1779)&lt;20,"",_xlfn.STDEV.S(G1750:G1779)*SQRT($R$3))</f>
        <v>0.756534242712696</v>
      </c>
      <c r="N1779" s="25" t="n">
        <f aca="false">IF(A1779-7&lt;$R$2,"",C1779/INDEX(Clean_Data!$C$2:$C$4314,MATCH(A1779-7,Clean_Data!$A$2:$A$4314,1))-1)</f>
        <v>-0.0352769487110126</v>
      </c>
      <c r="O1779" s="25" t="n">
        <f aca="false">IF(A1779-30&lt;$R$2,"",C1779/INDEX(Clean_Data!$C$2:$C$4314,MATCH(A1779-30,Clean_Data!$A$2:$A$4314,1))-1)</f>
        <v>0.0508852296644793</v>
      </c>
    </row>
    <row r="1780" customFormat="false" ht="15" hidden="false" customHeight="false" outlineLevel="0" collapsed="false">
      <c r="A1780" s="16" t="n">
        <v>43786</v>
      </c>
      <c r="B1780" s="23" t="n">
        <f aca="false">YEAR(A1780)</f>
        <v>2019</v>
      </c>
      <c r="C1780" s="17" t="n">
        <v>8500.01</v>
      </c>
      <c r="D1780" s="23" t="n">
        <f aca="false">A1780-A1779</f>
        <v>1</v>
      </c>
      <c r="E1780" s="24" t="n">
        <f aca="false">LN(C1780)</f>
        <v>9.0478226189483</v>
      </c>
      <c r="F1780" s="25" t="n">
        <f aca="false">LN(C1780/C1779)</f>
        <v>0.001413938654485</v>
      </c>
      <c r="G1780" s="25" t="n">
        <f aca="false">IF(AND(D1780=1,A1780&gt;=$R$2),F1780,"")</f>
        <v>0.001413938654485</v>
      </c>
      <c r="H1780" s="27" t="n">
        <f aca="false">IF(G1780="","",G1780^2)</f>
        <v>1.99922251864685E-006</v>
      </c>
      <c r="I1780" s="25" t="n">
        <f aca="false">IF(G1780="","",C1780/C1779-1)</f>
        <v>0.00141493873704057</v>
      </c>
      <c r="J1780" s="17" t="n">
        <f aca="false">AVERAGE(C1581:C1780)</f>
        <v>9342.64625</v>
      </c>
      <c r="K1780" s="17" t="n">
        <f aca="false">MAX(K1779,C1780)</f>
        <v>19650.01</v>
      </c>
      <c r="L1780" s="25" t="n">
        <f aca="false">C1780/K1780-1</f>
        <v>-0.567429736676979</v>
      </c>
      <c r="M1780" s="25" t="n">
        <f aca="false">IF(COUNT(G1751:G1780)&lt;20,"",_xlfn.STDEV.S(G1751:G1780)*SQRT($R$3))</f>
        <v>0.754054652930814</v>
      </c>
      <c r="N1780" s="25" t="n">
        <f aca="false">IF(A1780-7&lt;$R$2,"",C1780/INDEX(Clean_Data!$C$2:$C$4314,MATCH(A1780-7,Clean_Data!$A$2:$A$4314,1))-1)</f>
        <v>-0.0594025331919856</v>
      </c>
      <c r="O1780" s="25" t="n">
        <f aca="false">IF(A1780-30&lt;$R$2,"",C1780/INDEX(Clean_Data!$C$2:$C$4314,MATCH(A1780-30,Clean_Data!$A$2:$A$4314,1))-1)</f>
        <v>0.0686244682028021</v>
      </c>
    </row>
    <row r="1781" customFormat="false" ht="15" hidden="false" customHeight="false" outlineLevel="0" collapsed="false">
      <c r="A1781" s="16" t="n">
        <v>43787</v>
      </c>
      <c r="B1781" s="23" t="n">
        <f aca="false">YEAR(A1781)</f>
        <v>2019</v>
      </c>
      <c r="C1781" s="17" t="n">
        <v>8160.73</v>
      </c>
      <c r="D1781" s="23" t="n">
        <f aca="false">A1781-A1780</f>
        <v>1</v>
      </c>
      <c r="E1781" s="24" t="n">
        <f aca="false">LN(C1781)</f>
        <v>9.00708890474109</v>
      </c>
      <c r="F1781" s="25" t="n">
        <f aca="false">LN(C1781/C1780)</f>
        <v>-0.040733714207215</v>
      </c>
      <c r="G1781" s="25" t="n">
        <f aca="false">IF(AND(D1781=1,A1781&gt;=$R$2),F1781,"")</f>
        <v>-0.040733714207215</v>
      </c>
      <c r="H1781" s="27" t="n">
        <f aca="false">IF(G1781="","",G1781^2)</f>
        <v>0.00165923547311507</v>
      </c>
      <c r="I1781" s="25" t="n">
        <f aca="false">IF(G1781="","",C1781/C1780-1)</f>
        <v>-0.0399152471585328</v>
      </c>
      <c r="J1781" s="17" t="n">
        <f aca="false">AVERAGE(C1582:C1781)</f>
        <v>9356.49985</v>
      </c>
      <c r="K1781" s="17" t="n">
        <f aca="false">MAX(K1780,C1781)</f>
        <v>19650.01</v>
      </c>
      <c r="L1781" s="25" t="n">
        <f aca="false">C1781/K1781-1</f>
        <v>-0.584695885650949</v>
      </c>
      <c r="M1781" s="25" t="n">
        <f aca="false">IF(COUNT(G1752:G1781)&lt;20,"",_xlfn.STDEV.S(G1752:G1781)*SQRT($R$3))</f>
        <v>0.768803617913642</v>
      </c>
      <c r="N1781" s="25" t="n">
        <f aca="false">IF(A1781-7&lt;$R$2,"",C1781/INDEX(Clean_Data!$C$2:$C$4314,MATCH(A1781-7,Clean_Data!$A$2:$A$4314,1))-1)</f>
        <v>-0.0642019308282334</v>
      </c>
      <c r="O1781" s="25" t="n">
        <f aca="false">IF(A1781-30&lt;$R$2,"",C1781/INDEX(Clean_Data!$C$2:$C$4314,MATCH(A1781-30,Clean_Data!$A$2:$A$4314,1))-1)</f>
        <v>0.0245390300642663</v>
      </c>
    </row>
    <row r="1782" customFormat="false" ht="15" hidden="false" customHeight="false" outlineLevel="0" collapsed="false">
      <c r="A1782" s="16" t="n">
        <v>43788</v>
      </c>
      <c r="B1782" s="23" t="n">
        <f aca="false">YEAR(A1782)</f>
        <v>2019</v>
      </c>
      <c r="C1782" s="17" t="n">
        <v>8123.36</v>
      </c>
      <c r="D1782" s="23" t="n">
        <f aca="false">A1782-A1781</f>
        <v>1</v>
      </c>
      <c r="E1782" s="24" t="n">
        <f aca="false">LN(C1782)</f>
        <v>9.00249914067042</v>
      </c>
      <c r="F1782" s="25" t="n">
        <f aca="false">LN(C1782/C1781)</f>
        <v>-0.00458976407067354</v>
      </c>
      <c r="G1782" s="25" t="n">
        <f aca="false">IF(AND(D1782=1,A1782&gt;=$R$2),F1782,"")</f>
        <v>-0.00458976407067354</v>
      </c>
      <c r="H1782" s="27" t="n">
        <f aca="false">IF(G1782="","",G1782^2)</f>
        <v>2.10659342244457E-005</v>
      </c>
      <c r="I1782" s="25" t="n">
        <f aca="false">IF(G1782="","",C1782/C1781-1)</f>
        <v>-0.00457924719969904</v>
      </c>
      <c r="J1782" s="17" t="n">
        <f aca="false">AVERAGE(C1583:C1782)</f>
        <v>9368.82965</v>
      </c>
      <c r="K1782" s="17" t="n">
        <f aca="false">MAX(K1781,C1782)</f>
        <v>19650.01</v>
      </c>
      <c r="L1782" s="25" t="n">
        <f aca="false">C1782/K1782-1</f>
        <v>-0.586597665853605</v>
      </c>
      <c r="M1782" s="25" t="n">
        <f aca="false">IF(COUNT(G1753:G1782)&lt;20,"",_xlfn.STDEV.S(G1753:G1782)*SQRT($R$3))</f>
        <v>0.759926493615778</v>
      </c>
      <c r="N1782" s="25" t="n">
        <f aca="false">IF(A1782-7&lt;$R$2,"",C1782/INDEX(Clean_Data!$C$2:$C$4314,MATCH(A1782-7,Clean_Data!$A$2:$A$4314,1))-1)</f>
        <v>-0.0793651153434236</v>
      </c>
      <c r="O1782" s="25" t="n">
        <f aca="false">IF(A1782-30&lt;$R$2,"",C1782/INDEX(Clean_Data!$C$2:$C$4314,MATCH(A1782-30,Clean_Data!$A$2:$A$4314,1))-1)</f>
        <v>-0.0136094732036176</v>
      </c>
    </row>
    <row r="1783" customFormat="false" ht="15" hidden="false" customHeight="false" outlineLevel="0" collapsed="false">
      <c r="A1783" s="16" t="n">
        <v>43789</v>
      </c>
      <c r="B1783" s="23" t="n">
        <f aca="false">YEAR(A1783)</f>
        <v>2019</v>
      </c>
      <c r="C1783" s="17" t="n">
        <v>8082.96</v>
      </c>
      <c r="D1783" s="23" t="n">
        <f aca="false">A1783-A1782</f>
        <v>1</v>
      </c>
      <c r="E1783" s="24" t="n">
        <f aca="false">LN(C1783)</f>
        <v>8.99751342106392</v>
      </c>
      <c r="F1783" s="25" t="n">
        <f aca="false">LN(C1783/C1782)</f>
        <v>-0.00498571960649244</v>
      </c>
      <c r="G1783" s="25" t="n">
        <f aca="false">IF(AND(D1783=1,A1783&gt;=$R$2),F1783,"")</f>
        <v>-0.00498571960649244</v>
      </c>
      <c r="H1783" s="27" t="n">
        <f aca="false">IF(G1783="","",G1783^2)</f>
        <v>2.48573999945632E-005</v>
      </c>
      <c r="I1783" s="25" t="n">
        <f aca="false">IF(G1783="","",C1783/C1782-1)</f>
        <v>-0.00497331153611313</v>
      </c>
      <c r="J1783" s="17" t="n">
        <f aca="false">AVERAGE(C1584:C1783)</f>
        <v>9380.3944</v>
      </c>
      <c r="K1783" s="17" t="n">
        <f aca="false">MAX(K1782,C1783)</f>
        <v>19650.01</v>
      </c>
      <c r="L1783" s="25" t="n">
        <f aca="false">C1783/K1783-1</f>
        <v>-0.588653644451072</v>
      </c>
      <c r="M1783" s="25" t="n">
        <f aca="false">IF(COUNT(G1754:G1783)&lt;20,"",_xlfn.STDEV.S(G1754:G1783)*SQRT($R$3))</f>
        <v>0.760058877806699</v>
      </c>
      <c r="N1783" s="25" t="n">
        <f aca="false">IF(A1783-7&lt;$R$2,"",C1783/INDEX(Clean_Data!$C$2:$C$4314,MATCH(A1783-7,Clean_Data!$A$2:$A$4314,1))-1)</f>
        <v>-0.0778782081338322</v>
      </c>
      <c r="O1783" s="25" t="n">
        <f aca="false">IF(A1783-30&lt;$R$2,"",C1783/INDEX(Clean_Data!$C$2:$C$4314,MATCH(A1783-30,Clean_Data!$A$2:$A$4314,1))-1)</f>
        <v>-0.0160227303160965</v>
      </c>
    </row>
    <row r="1784" customFormat="false" ht="15" hidden="false" customHeight="false" outlineLevel="0" collapsed="false">
      <c r="A1784" s="16" t="n">
        <v>43790</v>
      </c>
      <c r="B1784" s="23" t="n">
        <f aca="false">YEAR(A1784)</f>
        <v>2019</v>
      </c>
      <c r="C1784" s="17" t="n">
        <v>7618.76</v>
      </c>
      <c r="D1784" s="23" t="n">
        <f aca="false">A1784-A1783</f>
        <v>1</v>
      </c>
      <c r="E1784" s="24" t="n">
        <f aca="false">LN(C1784)</f>
        <v>8.93836890577999</v>
      </c>
      <c r="F1784" s="25" t="n">
        <f aca="false">LN(C1784/C1783)</f>
        <v>-0.0591445152839313</v>
      </c>
      <c r="G1784" s="25" t="n">
        <f aca="false">IF(AND(D1784=1,A1784&gt;=$R$2),F1784,"")</f>
        <v>-0.0591445152839313</v>
      </c>
      <c r="H1784" s="27" t="n">
        <f aca="false">IF(G1784="","",G1784^2)</f>
        <v>0.00349807368817118</v>
      </c>
      <c r="I1784" s="25" t="n">
        <f aca="false">IF(G1784="","",C1784/C1783-1)</f>
        <v>-0.0574294565357245</v>
      </c>
      <c r="J1784" s="17" t="n">
        <f aca="false">AVERAGE(C1585:C1784)</f>
        <v>9389.9089</v>
      </c>
      <c r="K1784" s="17" t="n">
        <f aca="false">MAX(K1783,C1784)</f>
        <v>19650.01</v>
      </c>
      <c r="L1784" s="25" t="n">
        <f aca="false">C1784/K1784-1</f>
        <v>-0.612277042098197</v>
      </c>
      <c r="M1784" s="25" t="n">
        <f aca="false">IF(COUNT(G1755:G1784)&lt;20,"",_xlfn.STDEV.S(G1755:G1784)*SQRT($R$3))</f>
        <v>0.78270245900515</v>
      </c>
      <c r="N1784" s="25" t="n">
        <f aca="false">IF(A1784-7&lt;$R$2,"",C1784/INDEX(Clean_Data!$C$2:$C$4314,MATCH(A1784-7,Clean_Data!$A$2:$A$4314,1))-1)</f>
        <v>-0.117178311496742</v>
      </c>
      <c r="O1784" s="25" t="n">
        <f aca="false">IF(A1784-30&lt;$R$2,"",C1784/INDEX(Clean_Data!$C$2:$C$4314,MATCH(A1784-30,Clean_Data!$A$2:$A$4314,1))-1)</f>
        <v>-0.0486111457984725</v>
      </c>
    </row>
    <row r="1785" customFormat="false" ht="15" hidden="false" customHeight="false" outlineLevel="0" collapsed="false">
      <c r="A1785" s="16" t="n">
        <v>43791</v>
      </c>
      <c r="B1785" s="23" t="n">
        <f aca="false">YEAR(A1785)</f>
        <v>2019</v>
      </c>
      <c r="C1785" s="17" t="n">
        <v>7296.45</v>
      </c>
      <c r="D1785" s="23" t="n">
        <f aca="false">A1785-A1784</f>
        <v>1</v>
      </c>
      <c r="E1785" s="24" t="n">
        <f aca="false">LN(C1785)</f>
        <v>8.89514320748376</v>
      </c>
      <c r="F1785" s="25" t="n">
        <f aca="false">LN(C1785/C1784)</f>
        <v>-0.0432256982962325</v>
      </c>
      <c r="G1785" s="25" t="n">
        <f aca="false">IF(AND(D1785=1,A1785&gt;=$R$2),F1785,"")</f>
        <v>-0.0432256982962325</v>
      </c>
      <c r="H1785" s="27" t="n">
        <f aca="false">IF(G1785="","",G1785^2)</f>
        <v>0.00186846099319692</v>
      </c>
      <c r="I1785" s="25" t="n">
        <f aca="false">IF(G1785="","",C1785/C1784-1)</f>
        <v>-0.0423047845056151</v>
      </c>
      <c r="J1785" s="17" t="n">
        <f aca="false">AVERAGE(C1586:C1785)</f>
        <v>9397.95165</v>
      </c>
      <c r="K1785" s="17" t="n">
        <f aca="false">MAX(K1784,C1785)</f>
        <v>19650.01</v>
      </c>
      <c r="L1785" s="25" t="n">
        <f aca="false">C1785/K1785-1</f>
        <v>-0.628679578280113</v>
      </c>
      <c r="M1785" s="25" t="n">
        <f aca="false">IF(COUNT(G1756:G1785)&lt;20,"",_xlfn.STDEV.S(G1756:G1785)*SQRT($R$3))</f>
        <v>0.759510202545411</v>
      </c>
      <c r="N1785" s="25" t="n">
        <f aca="false">IF(A1785-7&lt;$R$2,"",C1785/INDEX(Clean_Data!$C$2:$C$4314,MATCH(A1785-7,Clean_Data!$A$2:$A$4314,1))-1)</f>
        <v>-0.137535460992908</v>
      </c>
      <c r="O1785" s="25" t="n">
        <f aca="false">IF(A1785-30&lt;$R$2,"",C1785/INDEX(Clean_Data!$C$2:$C$4314,MATCH(A1785-30,Clean_Data!$A$2:$A$4314,1))-1)</f>
        <v>-0.0236799216423004</v>
      </c>
    </row>
    <row r="1786" customFormat="false" ht="15" hidden="false" customHeight="false" outlineLevel="0" collapsed="false">
      <c r="A1786" s="16" t="n">
        <v>43792</v>
      </c>
      <c r="B1786" s="23" t="n">
        <f aca="false">YEAR(A1786)</f>
        <v>2019</v>
      </c>
      <c r="C1786" s="17" t="n">
        <v>7338.92</v>
      </c>
      <c r="D1786" s="23" t="n">
        <f aca="false">A1786-A1785</f>
        <v>1</v>
      </c>
      <c r="E1786" s="24" t="n">
        <f aca="false">LN(C1786)</f>
        <v>8.90094697181798</v>
      </c>
      <c r="F1786" s="25" t="n">
        <f aca="false">LN(C1786/C1785)</f>
        <v>0.00580376433422479</v>
      </c>
      <c r="G1786" s="25" t="n">
        <f aca="false">IF(AND(D1786=1,A1786&gt;=$R$2),F1786,"")</f>
        <v>0.00580376433422479</v>
      </c>
      <c r="H1786" s="27" t="n">
        <f aca="false">IF(G1786="","",G1786^2)</f>
        <v>3.36836804472197E-005</v>
      </c>
      <c r="I1786" s="25" t="n">
        <f aca="false">IF(G1786="","",C1786/C1785-1)</f>
        <v>0.00582063880380179</v>
      </c>
      <c r="J1786" s="17" t="n">
        <f aca="false">AVERAGE(C1587:C1786)</f>
        <v>9405.904</v>
      </c>
      <c r="K1786" s="17" t="n">
        <f aca="false">MAX(K1785,C1786)</f>
        <v>19650.01</v>
      </c>
      <c r="L1786" s="25" t="n">
        <f aca="false">C1786/K1786-1</f>
        <v>-0.626518256224806</v>
      </c>
      <c r="M1786" s="25" t="n">
        <f aca="false">IF(COUNT(G1757:G1786)&lt;20,"",_xlfn.STDEV.S(G1757:G1786)*SQRT($R$3))</f>
        <v>0.759723323564181</v>
      </c>
      <c r="N1786" s="25" t="n">
        <f aca="false">IF(A1786-7&lt;$R$2,"",C1786/INDEX(Clean_Data!$C$2:$C$4314,MATCH(A1786-7,Clean_Data!$A$2:$A$4314,1))-1)</f>
        <v>-0.135377002827521</v>
      </c>
      <c r="O1786" s="25" t="n">
        <f aca="false">IF(A1786-30&lt;$R$2,"",C1786/INDEX(Clean_Data!$C$2:$C$4314,MATCH(A1786-30,Clean_Data!$A$2:$A$4314,1))-1)</f>
        <v>-0.0134918789293064</v>
      </c>
    </row>
    <row r="1787" customFormat="false" ht="15" hidden="false" customHeight="false" outlineLevel="0" collapsed="false">
      <c r="A1787" s="16" t="n">
        <v>43793</v>
      </c>
      <c r="B1787" s="23" t="n">
        <f aca="false">YEAR(A1787)</f>
        <v>2019</v>
      </c>
      <c r="C1787" s="17" t="n">
        <v>6906.25</v>
      </c>
      <c r="D1787" s="23" t="n">
        <f aca="false">A1787-A1786</f>
        <v>1</v>
      </c>
      <c r="E1787" s="24" t="n">
        <f aca="false">LN(C1787)</f>
        <v>8.84018207770016</v>
      </c>
      <c r="F1787" s="25" t="n">
        <f aca="false">LN(C1787/C1786)</f>
        <v>-0.0607648941178209</v>
      </c>
      <c r="G1787" s="25" t="n">
        <f aca="false">IF(AND(D1787=1,A1787&gt;=$R$2),F1787,"")</f>
        <v>-0.0607648941178209</v>
      </c>
      <c r="H1787" s="27" t="n">
        <f aca="false">IF(G1787="","",G1787^2)</f>
        <v>0.00369237235714998</v>
      </c>
      <c r="I1787" s="25" t="n">
        <f aca="false">IF(G1787="","",C1787/C1786-1)</f>
        <v>-0.0589555411422934</v>
      </c>
      <c r="J1787" s="17" t="n">
        <f aca="false">AVERAGE(C1588:C1787)</f>
        <v>9410.6932</v>
      </c>
      <c r="K1787" s="17" t="n">
        <f aca="false">MAX(K1786,C1787)</f>
        <v>19650.01</v>
      </c>
      <c r="L1787" s="25" t="n">
        <f aca="false">C1787/K1787-1</f>
        <v>-0.64853707453584</v>
      </c>
      <c r="M1787" s="25" t="n">
        <f aca="false">IF(COUNT(G1758:G1787)&lt;20,"",_xlfn.STDEV.S(G1758:G1787)*SQRT($R$3))</f>
        <v>0.539075680161829</v>
      </c>
      <c r="N1787" s="25" t="n">
        <f aca="false">IF(A1787-7&lt;$R$2,"",C1787/INDEX(Clean_Data!$C$2:$C$4314,MATCH(A1787-7,Clean_Data!$A$2:$A$4314,1))-1)</f>
        <v>-0.187500955881228</v>
      </c>
      <c r="O1787" s="25" t="n">
        <f aca="false">IF(A1787-30&lt;$R$2,"",C1787/INDEX(Clean_Data!$C$2:$C$4314,MATCH(A1787-30,Clean_Data!$A$2:$A$4314,1))-1)</f>
        <v>-0.206620447221951</v>
      </c>
    </row>
    <row r="1788" customFormat="false" ht="15" hidden="false" customHeight="false" outlineLevel="0" collapsed="false">
      <c r="A1788" s="16" t="n">
        <v>43794</v>
      </c>
      <c r="B1788" s="23" t="n">
        <f aca="false">YEAR(A1788)</f>
        <v>2019</v>
      </c>
      <c r="C1788" s="17" t="n">
        <v>7125</v>
      </c>
      <c r="D1788" s="23" t="n">
        <f aca="false">A1788-A1787</f>
        <v>1</v>
      </c>
      <c r="E1788" s="24" t="n">
        <f aca="false">LN(C1788)</f>
        <v>8.87136500513685</v>
      </c>
      <c r="F1788" s="25" t="n">
        <f aca="false">LN(C1788/C1787)</f>
        <v>0.0311829274366881</v>
      </c>
      <c r="G1788" s="25" t="n">
        <f aca="false">IF(AND(D1788=1,A1788&gt;=$R$2),F1788,"")</f>
        <v>0.0311829274366881</v>
      </c>
      <c r="H1788" s="27" t="n">
        <f aca="false">IF(G1788="","",G1788^2)</f>
        <v>0.000972374963521753</v>
      </c>
      <c r="I1788" s="25" t="n">
        <f aca="false">IF(G1788="","",C1788/C1787-1)</f>
        <v>0.0316742081447965</v>
      </c>
      <c r="J1788" s="17" t="n">
        <f aca="false">AVERAGE(C1589:C1788)</f>
        <v>9415.55275</v>
      </c>
      <c r="K1788" s="17" t="n">
        <f aca="false">MAX(K1787,C1788)</f>
        <v>19650.01</v>
      </c>
      <c r="L1788" s="25" t="n">
        <f aca="false">C1788/K1788-1</f>
        <v>-0.637404764679509</v>
      </c>
      <c r="M1788" s="25" t="n">
        <f aca="false">IF(COUNT(G1759:G1788)&lt;20,"",_xlfn.STDEV.S(G1759:G1788)*SQRT($R$3))</f>
        <v>0.494212795815723</v>
      </c>
      <c r="N1788" s="25" t="n">
        <f aca="false">IF(A1788-7&lt;$R$2,"",C1788/INDEX(Clean_Data!$C$2:$C$4314,MATCH(A1788-7,Clean_Data!$A$2:$A$4314,1))-1)</f>
        <v>-0.12691634204293</v>
      </c>
      <c r="O1788" s="25" t="n">
        <f aca="false">IF(A1788-30&lt;$R$2,"",C1788/INDEX(Clean_Data!$C$2:$C$4314,MATCH(A1788-30,Clean_Data!$A$2:$A$4314,1))-1)</f>
        <v>-0.232324886572635</v>
      </c>
    </row>
    <row r="1789" customFormat="false" ht="15" hidden="false" customHeight="false" outlineLevel="0" collapsed="false">
      <c r="A1789" s="16" t="n">
        <v>43795</v>
      </c>
      <c r="B1789" s="23" t="n">
        <f aca="false">YEAR(A1789)</f>
        <v>2019</v>
      </c>
      <c r="C1789" s="17" t="n">
        <v>7155</v>
      </c>
      <c r="D1789" s="23" t="n">
        <f aca="false">A1789-A1788</f>
        <v>1</v>
      </c>
      <c r="E1789" s="24" t="n">
        <f aca="false">LN(C1789)</f>
        <v>8.87556669199055</v>
      </c>
      <c r="F1789" s="25" t="n">
        <f aca="false">LN(C1789/C1788)</f>
        <v>0.00420168685369998</v>
      </c>
      <c r="G1789" s="25" t="n">
        <f aca="false">IF(AND(D1789=1,A1789&gt;=$R$2),F1789,"")</f>
        <v>0.00420168685369998</v>
      </c>
      <c r="H1789" s="27" t="n">
        <f aca="false">IF(G1789="","",G1789^2)</f>
        <v>1.76541724165552E-005</v>
      </c>
      <c r="I1789" s="25" t="n">
        <f aca="false">IF(G1789="","",C1789/C1788-1)</f>
        <v>0.00421052631578944</v>
      </c>
      <c r="J1789" s="17" t="n">
        <f aca="false">AVERAGE(C1590:C1789)</f>
        <v>9419.61205</v>
      </c>
      <c r="K1789" s="17" t="n">
        <f aca="false">MAX(K1788,C1789)</f>
        <v>19650.01</v>
      </c>
      <c r="L1789" s="25" t="n">
        <f aca="false">C1789/K1789-1</f>
        <v>-0.635878047899212</v>
      </c>
      <c r="M1789" s="25" t="n">
        <f aca="false">IF(COUNT(G1760:G1789)&lt;20,"",_xlfn.STDEV.S(G1760:G1789)*SQRT($R$3))</f>
        <v>0.475854716463799</v>
      </c>
      <c r="N1789" s="25" t="n">
        <f aca="false">IF(A1789-7&lt;$R$2,"",C1789/INDEX(Clean_Data!$C$2:$C$4314,MATCH(A1789-7,Clean_Data!$A$2:$A$4314,1))-1)</f>
        <v>-0.119206830671052</v>
      </c>
      <c r="O1789" s="25" t="n">
        <f aca="false">IF(A1789-30&lt;$R$2,"",C1789/INDEX(Clean_Data!$C$2:$C$4314,MATCH(A1789-30,Clean_Data!$A$2:$A$4314,1))-1)</f>
        <v>-0.252396406487381</v>
      </c>
    </row>
    <row r="1790" customFormat="false" ht="15" hidden="false" customHeight="false" outlineLevel="0" collapsed="false">
      <c r="A1790" s="16" t="n">
        <v>43796</v>
      </c>
      <c r="B1790" s="23" t="n">
        <f aca="false">YEAR(A1790)</f>
        <v>2019</v>
      </c>
      <c r="C1790" s="17" t="n">
        <v>7539.4</v>
      </c>
      <c r="D1790" s="23" t="n">
        <f aca="false">A1790-A1789</f>
        <v>1</v>
      </c>
      <c r="E1790" s="24" t="n">
        <f aca="false">LN(C1790)</f>
        <v>8.92789788223888</v>
      </c>
      <c r="F1790" s="25" t="n">
        <f aca="false">LN(C1790/C1789)</f>
        <v>0.0523311902483277</v>
      </c>
      <c r="G1790" s="25" t="n">
        <f aca="false">IF(AND(D1790=1,A1790&gt;=$R$2),F1790,"")</f>
        <v>0.0523311902483277</v>
      </c>
      <c r="H1790" s="27" t="n">
        <f aca="false">IF(G1790="","",G1790^2)</f>
        <v>0.00273855347280667</v>
      </c>
      <c r="I1790" s="25" t="n">
        <f aca="false">IF(G1790="","",C1790/C1789-1)</f>
        <v>0.0537246680642907</v>
      </c>
      <c r="J1790" s="17" t="n">
        <f aca="false">AVERAGE(C1591:C1790)</f>
        <v>9421.2093</v>
      </c>
      <c r="K1790" s="17" t="n">
        <f aca="false">MAX(K1789,C1790)</f>
        <v>19650.01</v>
      </c>
      <c r="L1790" s="25" t="n">
        <f aca="false">C1790/K1790-1</f>
        <v>-0.616315716887676</v>
      </c>
      <c r="M1790" s="25" t="n">
        <f aca="false">IF(COUNT(G1761:G1790)&lt;20,"",_xlfn.STDEV.S(G1761:G1790)*SQRT($R$3))</f>
        <v>0.511907731784</v>
      </c>
      <c r="N1790" s="25" t="n">
        <f aca="false">IF(A1790-7&lt;$R$2,"",C1790/INDEX(Clean_Data!$C$2:$C$4314,MATCH(A1790-7,Clean_Data!$A$2:$A$4314,1))-1)</f>
        <v>-0.067247641952948</v>
      </c>
      <c r="O1790" s="25" t="n">
        <f aca="false">IF(A1790-30&lt;$R$2,"",C1790/INDEX(Clean_Data!$C$2:$C$4314,MATCH(A1790-30,Clean_Data!$A$2:$A$4314,1))-1)</f>
        <v>-0.18245145283649</v>
      </c>
    </row>
    <row r="1791" customFormat="false" ht="15" hidden="false" customHeight="false" outlineLevel="0" collapsed="false">
      <c r="A1791" s="16" t="n">
        <v>43797</v>
      </c>
      <c r="B1791" s="23" t="n">
        <f aca="false">YEAR(A1791)</f>
        <v>2019</v>
      </c>
      <c r="C1791" s="17" t="n">
        <v>7413.05</v>
      </c>
      <c r="D1791" s="23" t="n">
        <f aca="false">A1791-A1790</f>
        <v>1</v>
      </c>
      <c r="E1791" s="24" t="n">
        <f aca="false">LN(C1791)</f>
        <v>8.91099723954157</v>
      </c>
      <c r="F1791" s="25" t="n">
        <f aca="false">LN(C1791/C1790)</f>
        <v>-0.0169006426973112</v>
      </c>
      <c r="G1791" s="25" t="n">
        <f aca="false">IF(AND(D1791=1,A1791&gt;=$R$2),F1791,"")</f>
        <v>-0.0169006426973112</v>
      </c>
      <c r="H1791" s="27" t="n">
        <f aca="false">IF(G1791="","",G1791^2)</f>
        <v>0.000285631723582178</v>
      </c>
      <c r="I1791" s="25" t="n">
        <f aca="false">IF(G1791="","",C1791/C1790-1)</f>
        <v>-0.0167586280075337</v>
      </c>
      <c r="J1791" s="17" t="n">
        <f aca="false">AVERAGE(C1592:C1791)</f>
        <v>9423.37575</v>
      </c>
      <c r="K1791" s="17" t="n">
        <f aca="false">MAX(K1790,C1791)</f>
        <v>19650.01</v>
      </c>
      <c r="L1791" s="25" t="n">
        <f aca="false">C1791/K1791-1</f>
        <v>-0.622745739060693</v>
      </c>
      <c r="M1791" s="25" t="n">
        <f aca="false">IF(COUNT(G1762:G1791)&lt;20,"",_xlfn.STDEV.S(G1762:G1791)*SQRT($R$3))</f>
        <v>0.502001272695454</v>
      </c>
      <c r="N1791" s="25" t="n">
        <f aca="false">IF(A1791-7&lt;$R$2,"",C1791/INDEX(Clean_Data!$C$2:$C$4314,MATCH(A1791-7,Clean_Data!$A$2:$A$4314,1))-1)</f>
        <v>-0.0270004567672429</v>
      </c>
      <c r="O1791" s="25" t="n">
        <f aca="false">IF(A1791-30&lt;$R$2,"",C1791/INDEX(Clean_Data!$C$2:$C$4314,MATCH(A1791-30,Clean_Data!$A$2:$A$4314,1))-1)</f>
        <v>-0.213992389148015</v>
      </c>
    </row>
    <row r="1792" customFormat="false" ht="15" hidden="false" customHeight="false" outlineLevel="0" collapsed="false">
      <c r="A1792" s="16" t="n">
        <v>43798</v>
      </c>
      <c r="B1792" s="23" t="n">
        <f aca="false">YEAR(A1792)</f>
        <v>2019</v>
      </c>
      <c r="C1792" s="17" t="n">
        <v>7751.29</v>
      </c>
      <c r="D1792" s="23" t="n">
        <f aca="false">A1792-A1791</f>
        <v>1</v>
      </c>
      <c r="E1792" s="24" t="n">
        <f aca="false">LN(C1792)</f>
        <v>8.95561456010876</v>
      </c>
      <c r="F1792" s="25" t="n">
        <f aca="false">LN(C1792/C1791)</f>
        <v>0.0446173205671955</v>
      </c>
      <c r="G1792" s="25" t="n">
        <f aca="false">IF(AND(D1792=1,A1792&gt;=$R$2),F1792,"")</f>
        <v>0.0446173205671955</v>
      </c>
      <c r="H1792" s="27" t="n">
        <f aca="false">IF(G1792="","",G1792^2)</f>
        <v>0.00199070529459589</v>
      </c>
      <c r="I1792" s="25" t="n">
        <f aca="false">IF(G1792="","",C1792/C1791-1)</f>
        <v>0.045627643142836</v>
      </c>
      <c r="J1792" s="17" t="n">
        <f aca="false">AVERAGE(C1593:C1792)</f>
        <v>9423.00755</v>
      </c>
      <c r="K1792" s="17" t="n">
        <f aca="false">MAX(K1791,C1792)</f>
        <v>19650.01</v>
      </c>
      <c r="L1792" s="25" t="n">
        <f aca="false">C1792/K1792-1</f>
        <v>-0.60553251626844</v>
      </c>
      <c r="M1792" s="25" t="n">
        <f aca="false">IF(COUNT(G1763:G1792)&lt;20,"",_xlfn.STDEV.S(G1763:G1792)*SQRT($R$3))</f>
        <v>0.529103607388678</v>
      </c>
      <c r="N1792" s="25" t="n">
        <f aca="false">IF(A1792-7&lt;$R$2,"",C1792/INDEX(Clean_Data!$C$2:$C$4314,MATCH(A1792-7,Clean_Data!$A$2:$A$4314,1))-1)</f>
        <v>0.0623371639632973</v>
      </c>
      <c r="O1792" s="25" t="n">
        <f aca="false">IF(A1792-30&lt;$R$2,"",C1792/INDEX(Clean_Data!$C$2:$C$4314,MATCH(A1792-30,Clean_Data!$A$2:$A$4314,1))-1)</f>
        <v>-0.155243647127162</v>
      </c>
    </row>
    <row r="1793" customFormat="false" ht="15" hidden="false" customHeight="false" outlineLevel="0" collapsed="false">
      <c r="A1793" s="16" t="n">
        <v>43799</v>
      </c>
      <c r="B1793" s="23" t="n">
        <f aca="false">YEAR(A1793)</f>
        <v>2019</v>
      </c>
      <c r="C1793" s="17" t="n">
        <v>7551.7</v>
      </c>
      <c r="D1793" s="23" t="n">
        <f aca="false">A1793-A1792</f>
        <v>1</v>
      </c>
      <c r="E1793" s="24" t="n">
        <f aca="false">LN(C1793)</f>
        <v>8.92952798246002</v>
      </c>
      <c r="F1793" s="25" t="n">
        <f aca="false">LN(C1793/C1792)</f>
        <v>-0.0260865776487397</v>
      </c>
      <c r="G1793" s="25" t="n">
        <f aca="false">IF(AND(D1793=1,A1793&gt;=$R$2),F1793,"")</f>
        <v>-0.0260865776487397</v>
      </c>
      <c r="H1793" s="27" t="n">
        <f aca="false">IF(G1793="","",G1793^2)</f>
        <v>0.000680509533423725</v>
      </c>
      <c r="I1793" s="25" t="n">
        <f aca="false">IF(G1793="","",C1793/C1792-1)</f>
        <v>-0.0257492623808424</v>
      </c>
      <c r="J1793" s="17" t="n">
        <f aca="false">AVERAGE(C1594:C1793)</f>
        <v>9420.81145</v>
      </c>
      <c r="K1793" s="17" t="n">
        <f aca="false">MAX(K1792,C1793)</f>
        <v>19650.01</v>
      </c>
      <c r="L1793" s="25" t="n">
        <f aca="false">C1793/K1793-1</f>
        <v>-0.615689763007754</v>
      </c>
      <c r="M1793" s="25" t="n">
        <f aca="false">IF(COUNT(G1764:G1793)&lt;20,"",_xlfn.STDEV.S(G1764:G1793)*SQRT($R$3))</f>
        <v>0.533783311817443</v>
      </c>
      <c r="N1793" s="25" t="n">
        <f aca="false">IF(A1793-7&lt;$R$2,"",C1793/INDEX(Clean_Data!$C$2:$C$4314,MATCH(A1793-7,Clean_Data!$A$2:$A$4314,1))-1)</f>
        <v>0.0289933668714197</v>
      </c>
      <c r="O1793" s="25" t="n">
        <f aca="false">IF(A1793-30&lt;$R$2,"",C1793/INDEX(Clean_Data!$C$2:$C$4314,MATCH(A1793-30,Clean_Data!$A$2:$A$4314,1))-1)</f>
        <v>-0.174384344165961</v>
      </c>
    </row>
    <row r="1794" customFormat="false" ht="15" hidden="false" customHeight="false" outlineLevel="0" collapsed="false">
      <c r="A1794" s="16" t="n">
        <v>43800</v>
      </c>
      <c r="B1794" s="23" t="n">
        <f aca="false">YEAR(A1794)</f>
        <v>2019</v>
      </c>
      <c r="C1794" s="17" t="n">
        <v>7413.84</v>
      </c>
      <c r="D1794" s="23" t="n">
        <f aca="false">A1794-A1793</f>
        <v>1</v>
      </c>
      <c r="E1794" s="24" t="n">
        <f aca="false">LN(C1794)</f>
        <v>8.91110380268471</v>
      </c>
      <c r="F1794" s="25" t="n">
        <f aca="false">LN(C1794/C1793)</f>
        <v>-0.0184241797753088</v>
      </c>
      <c r="G1794" s="25" t="n">
        <f aca="false">IF(AND(D1794=1,A1794&gt;=$R$2),F1794,"")</f>
        <v>-0.0184241797753088</v>
      </c>
      <c r="H1794" s="27" t="n">
        <f aca="false">IF(G1794="","",G1794^2)</f>
        <v>0.000339450400392896</v>
      </c>
      <c r="I1794" s="25" t="n">
        <f aca="false">IF(G1794="","",C1794/C1793-1)</f>
        <v>-0.0182554921408424</v>
      </c>
      <c r="J1794" s="17" t="n">
        <f aca="false">AVERAGE(C1595:C1794)</f>
        <v>9416.86405</v>
      </c>
      <c r="K1794" s="17" t="n">
        <f aca="false">MAX(K1793,C1794)</f>
        <v>19650.01</v>
      </c>
      <c r="L1794" s="25" t="n">
        <f aca="false">C1794/K1794-1</f>
        <v>-0.622705535518811</v>
      </c>
      <c r="M1794" s="25" t="n">
        <f aca="false">IF(COUNT(G1765:G1794)&lt;20,"",_xlfn.STDEV.S(G1765:G1794)*SQRT($R$3))</f>
        <v>0.530580517256905</v>
      </c>
      <c r="N1794" s="25" t="n">
        <f aca="false">IF(A1794-7&lt;$R$2,"",C1794/INDEX(Clean_Data!$C$2:$C$4314,MATCH(A1794-7,Clean_Data!$A$2:$A$4314,1))-1)</f>
        <v>0.0734971945701357</v>
      </c>
      <c r="O1794" s="25" t="n">
        <f aca="false">IF(A1794-30&lt;$R$2,"",C1794/INDEX(Clean_Data!$C$2:$C$4314,MATCH(A1794-30,Clean_Data!$A$2:$A$4314,1))-1)</f>
        <v>-0.200060422960725</v>
      </c>
    </row>
    <row r="1795" customFormat="false" ht="15" hidden="false" customHeight="false" outlineLevel="0" collapsed="false">
      <c r="A1795" s="16" t="n">
        <v>43801</v>
      </c>
      <c r="B1795" s="23" t="n">
        <f aca="false">YEAR(A1795)</f>
        <v>2019</v>
      </c>
      <c r="C1795" s="17" t="n">
        <v>7315.09</v>
      </c>
      <c r="D1795" s="23" t="n">
        <f aca="false">A1795-A1794</f>
        <v>1</v>
      </c>
      <c r="E1795" s="24" t="n">
        <f aca="false">LN(C1795)</f>
        <v>8.89769461686453</v>
      </c>
      <c r="F1795" s="25" t="n">
        <f aca="false">LN(C1795/C1794)</f>
        <v>-0.0134091858201896</v>
      </c>
      <c r="G1795" s="25" t="n">
        <f aca="false">IF(AND(D1795=1,A1795&gt;=$R$2),F1795,"")</f>
        <v>-0.0134091858201896</v>
      </c>
      <c r="H1795" s="27" t="n">
        <f aca="false">IF(G1795="","",G1795^2)</f>
        <v>0.000179806264360375</v>
      </c>
      <c r="I1795" s="25" t="n">
        <f aca="false">IF(G1795="","",C1795/C1794-1)</f>
        <v>-0.0133196831871203</v>
      </c>
      <c r="J1795" s="17" t="n">
        <f aca="false">AVERAGE(C1596:C1795)</f>
        <v>9414.0447</v>
      </c>
      <c r="K1795" s="17" t="n">
        <f aca="false">MAX(K1794,C1795)</f>
        <v>19650.01</v>
      </c>
      <c r="L1795" s="25" t="n">
        <f aca="false">C1795/K1795-1</f>
        <v>-0.627730978253955</v>
      </c>
      <c r="M1795" s="25" t="n">
        <f aca="false">IF(COUNT(G1766:G1795)&lt;20,"",_xlfn.STDEV.S(G1766:G1795)*SQRT($R$3))</f>
        <v>0.528841919843041</v>
      </c>
      <c r="N1795" s="25" t="n">
        <f aca="false">IF(A1795-7&lt;$R$2,"",C1795/INDEX(Clean_Data!$C$2:$C$4314,MATCH(A1795-7,Clean_Data!$A$2:$A$4314,1))-1)</f>
        <v>0.0266792982456141</v>
      </c>
      <c r="O1795" s="25" t="n">
        <f aca="false">IF(A1795-30&lt;$R$2,"",C1795/INDEX(Clean_Data!$C$2:$C$4314,MATCH(A1795-30,Clean_Data!$A$2:$A$4314,1))-1)</f>
        <v>-0.215119098712446</v>
      </c>
    </row>
    <row r="1796" customFormat="false" ht="15" hidden="false" customHeight="false" outlineLevel="0" collapsed="false">
      <c r="A1796" s="16" t="n">
        <v>43802</v>
      </c>
      <c r="B1796" s="23" t="n">
        <f aca="false">YEAR(A1796)</f>
        <v>2019</v>
      </c>
      <c r="C1796" s="17" t="n">
        <v>7296</v>
      </c>
      <c r="D1796" s="23" t="n">
        <f aca="false">A1796-A1795</f>
        <v>1</v>
      </c>
      <c r="E1796" s="24" t="n">
        <f aca="false">LN(C1796)</f>
        <v>8.89508153175417</v>
      </c>
      <c r="F1796" s="25" t="n">
        <f aca="false">LN(C1796/C1795)</f>
        <v>-0.00261308511035779</v>
      </c>
      <c r="G1796" s="25" t="n">
        <f aca="false">IF(AND(D1796=1,A1796&gt;=$R$2),F1796,"")</f>
        <v>-0.00261308511035779</v>
      </c>
      <c r="H1796" s="27" t="n">
        <f aca="false">IF(G1796="","",G1796^2)</f>
        <v>6.82821379397358E-006</v>
      </c>
      <c r="I1796" s="25" t="n">
        <f aca="false">IF(G1796="","",C1796/C1795-1)</f>
        <v>-0.0026096739753031</v>
      </c>
      <c r="J1796" s="17" t="n">
        <f aca="false">AVERAGE(C1597:C1796)</f>
        <v>9413.70625</v>
      </c>
      <c r="K1796" s="17" t="n">
        <f aca="false">MAX(K1795,C1796)</f>
        <v>19650.01</v>
      </c>
      <c r="L1796" s="25" t="n">
        <f aca="false">C1796/K1796-1</f>
        <v>-0.628702479031817</v>
      </c>
      <c r="M1796" s="25" t="n">
        <f aca="false">IF(COUNT(G1767:G1796)&lt;20,"",_xlfn.STDEV.S(G1767:G1796)*SQRT($R$3))</f>
        <v>0.529040568158364</v>
      </c>
      <c r="N1796" s="25" t="n">
        <f aca="false">IF(A1796-7&lt;$R$2,"",C1796/INDEX(Clean_Data!$C$2:$C$4314,MATCH(A1796-7,Clean_Data!$A$2:$A$4314,1))-1)</f>
        <v>0.0197064989517819</v>
      </c>
      <c r="O1796" s="25" t="n">
        <f aca="false">IF(A1796-30&lt;$R$2,"",C1796/INDEX(Clean_Data!$C$2:$C$4314,MATCH(A1796-30,Clean_Data!$A$2:$A$4314,1))-1)</f>
        <v>-0.208248281879238</v>
      </c>
    </row>
    <row r="1797" customFormat="false" ht="15" hidden="false" customHeight="false" outlineLevel="0" collapsed="false">
      <c r="A1797" s="16" t="n">
        <v>43803</v>
      </c>
      <c r="B1797" s="23" t="n">
        <f aca="false">YEAR(A1797)</f>
        <v>2019</v>
      </c>
      <c r="C1797" s="17" t="n">
        <v>7185.57</v>
      </c>
      <c r="D1797" s="23" t="n">
        <f aca="false">A1797-A1796</f>
        <v>1</v>
      </c>
      <c r="E1797" s="24" t="n">
        <f aca="false">LN(C1797)</f>
        <v>8.87983012730806</v>
      </c>
      <c r="F1797" s="25" t="n">
        <f aca="false">LN(C1797/C1796)</f>
        <v>-0.0152514044461093</v>
      </c>
      <c r="G1797" s="25" t="n">
        <f aca="false">IF(AND(D1797=1,A1797&gt;=$R$2),F1797,"")</f>
        <v>-0.0152514044461093</v>
      </c>
      <c r="H1797" s="27" t="n">
        <f aca="false">IF(G1797="","",G1797^2)</f>
        <v>0.000232605337578801</v>
      </c>
      <c r="I1797" s="25" t="n">
        <f aca="false">IF(G1797="","",C1797/C1796-1)</f>
        <v>-0.0151356907894737</v>
      </c>
      <c r="J1797" s="17" t="n">
        <f aca="false">AVERAGE(C1598:C1797)</f>
        <v>9413.3221</v>
      </c>
      <c r="K1797" s="17" t="n">
        <f aca="false">MAX(K1796,C1797)</f>
        <v>19650.01</v>
      </c>
      <c r="L1797" s="25" t="n">
        <f aca="false">C1797/K1797-1</f>
        <v>-0.63432232350009</v>
      </c>
      <c r="M1797" s="25" t="n">
        <f aca="false">IF(COUNT(G1768:G1797)&lt;20,"",_xlfn.STDEV.S(G1768:G1797)*SQRT($R$3))</f>
        <v>0.518970279316568</v>
      </c>
      <c r="N1797" s="25" t="n">
        <f aca="false">IF(A1797-7&lt;$R$2,"",C1797/INDEX(Clean_Data!$C$2:$C$4314,MATCH(A1797-7,Clean_Data!$A$2:$A$4314,1))-1)</f>
        <v>-0.0469307902485608</v>
      </c>
      <c r="O1797" s="25" t="n">
        <f aca="false">IF(A1797-30&lt;$R$2,"",C1797/INDEX(Clean_Data!$C$2:$C$4314,MATCH(A1797-30,Clean_Data!$A$2:$A$4314,1))-1)</f>
        <v>-0.236714467813894</v>
      </c>
    </row>
    <row r="1798" customFormat="false" ht="15" hidden="false" customHeight="false" outlineLevel="0" collapsed="false">
      <c r="A1798" s="16" t="n">
        <v>43804</v>
      </c>
      <c r="B1798" s="23" t="n">
        <f aca="false">YEAR(A1798)</f>
        <v>2019</v>
      </c>
      <c r="C1798" s="17" t="n">
        <v>7388.75</v>
      </c>
      <c r="D1798" s="23" t="n">
        <f aca="false">A1798-A1797</f>
        <v>1</v>
      </c>
      <c r="E1798" s="24" t="n">
        <f aca="false">LN(C1798)</f>
        <v>8.90771385213858</v>
      </c>
      <c r="F1798" s="25" t="n">
        <f aca="false">LN(C1798/C1797)</f>
        <v>0.0278837248305213</v>
      </c>
      <c r="G1798" s="25" t="n">
        <f aca="false">IF(AND(D1798=1,A1798&gt;=$R$2),F1798,"")</f>
        <v>0.0278837248305213</v>
      </c>
      <c r="H1798" s="27" t="n">
        <f aca="false">IF(G1798="","",G1798^2)</f>
        <v>0.000777502110424228</v>
      </c>
      <c r="I1798" s="25" t="n">
        <f aca="false">IF(G1798="","",C1798/C1797-1)</f>
        <v>0.0282761144905694</v>
      </c>
      <c r="J1798" s="17" t="n">
        <f aca="false">AVERAGE(C1599:C1798)</f>
        <v>9409.26585</v>
      </c>
      <c r="K1798" s="17" t="n">
        <f aca="false">MAX(K1797,C1798)</f>
        <v>19650.01</v>
      </c>
      <c r="L1798" s="25" t="n">
        <f aca="false">C1798/K1798-1</f>
        <v>-0.623982379652733</v>
      </c>
      <c r="M1798" s="25" t="n">
        <f aca="false">IF(COUNT(G1769:G1798)&lt;20,"",_xlfn.STDEV.S(G1769:G1798)*SQRT($R$3))</f>
        <v>0.534607243095802</v>
      </c>
      <c r="N1798" s="25" t="n">
        <f aca="false">IF(A1798-7&lt;$R$2,"",C1798/INDEX(Clean_Data!$C$2:$C$4314,MATCH(A1798-7,Clean_Data!$A$2:$A$4314,1))-1)</f>
        <v>-0.00327800298122904</v>
      </c>
      <c r="O1798" s="25" t="n">
        <f aca="false">IF(A1798-30&lt;$R$2,"",C1798/INDEX(Clean_Data!$C$2:$C$4314,MATCH(A1798-30,Clean_Data!$A$2:$A$4314,1))-1)</f>
        <v>-0.206789271915482</v>
      </c>
    </row>
    <row r="1799" customFormat="false" ht="15" hidden="false" customHeight="false" outlineLevel="0" collapsed="false">
      <c r="A1799" s="16" t="n">
        <v>43805</v>
      </c>
      <c r="B1799" s="23" t="n">
        <f aca="false">YEAR(A1799)</f>
        <v>2019</v>
      </c>
      <c r="C1799" s="17" t="n">
        <v>7560.76</v>
      </c>
      <c r="D1799" s="23" t="n">
        <f aca="false">A1799-A1798</f>
        <v>1</v>
      </c>
      <c r="E1799" s="24" t="n">
        <f aca="false">LN(C1799)</f>
        <v>8.9307269932214</v>
      </c>
      <c r="F1799" s="25" t="n">
        <f aca="false">LN(C1799/C1798)</f>
        <v>0.0230131410828171</v>
      </c>
      <c r="G1799" s="25" t="n">
        <f aca="false">IF(AND(D1799=1,A1799&gt;=$R$2),F1799,"")</f>
        <v>0.0230131410828171</v>
      </c>
      <c r="H1799" s="27" t="n">
        <f aca="false">IF(G1799="","",G1799^2)</f>
        <v>0.000529604662497646</v>
      </c>
      <c r="I1799" s="25" t="n">
        <f aca="false">IF(G1799="","",C1799/C1798-1)</f>
        <v>0.023279986465911</v>
      </c>
      <c r="J1799" s="17" t="n">
        <f aca="false">AVERAGE(C1600:C1799)</f>
        <v>9407.07195</v>
      </c>
      <c r="K1799" s="17" t="n">
        <f aca="false">MAX(K1798,C1799)</f>
        <v>19650.01</v>
      </c>
      <c r="L1799" s="25" t="n">
        <f aca="false">C1799/K1799-1</f>
        <v>-0.615228694540105</v>
      </c>
      <c r="M1799" s="25" t="n">
        <f aca="false">IF(COUNT(G1770:G1799)&lt;20,"",_xlfn.STDEV.S(G1770:G1799)*SQRT($R$3))</f>
        <v>0.544128649087099</v>
      </c>
      <c r="N1799" s="25" t="n">
        <f aca="false">IF(A1799-7&lt;$R$2,"",C1799/INDEX(Clean_Data!$C$2:$C$4314,MATCH(A1799-7,Clean_Data!$A$2:$A$4314,1))-1)</f>
        <v>-0.0245804246776988</v>
      </c>
      <c r="O1799" s="25" t="n">
        <f aca="false">IF(A1799-30&lt;$R$2,"",C1799/INDEX(Clean_Data!$C$2:$C$4314,MATCH(A1799-30,Clean_Data!$A$2:$A$4314,1))-1)</f>
        <v>-0.190766243788203</v>
      </c>
    </row>
    <row r="1800" customFormat="false" ht="15" hidden="false" customHeight="false" outlineLevel="0" collapsed="false">
      <c r="A1800" s="16" t="n">
        <v>43806</v>
      </c>
      <c r="B1800" s="23" t="n">
        <f aca="false">YEAR(A1800)</f>
        <v>2019</v>
      </c>
      <c r="C1800" s="17" t="n">
        <v>7502.2</v>
      </c>
      <c r="D1800" s="23" t="n">
        <f aca="false">A1800-A1799</f>
        <v>1</v>
      </c>
      <c r="E1800" s="24" t="n">
        <f aca="false">LN(C1800)</f>
        <v>8.92295158984392</v>
      </c>
      <c r="F1800" s="25" t="n">
        <f aca="false">LN(C1800/C1799)</f>
        <v>-0.00777540337747215</v>
      </c>
      <c r="G1800" s="25" t="n">
        <f aca="false">IF(AND(D1800=1,A1800&gt;=$R$2),F1800,"")</f>
        <v>-0.00777540337747215</v>
      </c>
      <c r="H1800" s="27" t="n">
        <f aca="false">IF(G1800="","",G1800^2)</f>
        <v>6.04568976824053E-005</v>
      </c>
      <c r="I1800" s="25" t="n">
        <f aca="false">IF(G1800="","",C1800/C1799-1)</f>
        <v>-0.00774525312270202</v>
      </c>
      <c r="J1800" s="17" t="n">
        <f aca="false">AVERAGE(C1601:C1800)</f>
        <v>9404.82445</v>
      </c>
      <c r="K1800" s="17" t="n">
        <f aca="false">MAX(K1799,C1800)</f>
        <v>19650.01</v>
      </c>
      <c r="L1800" s="25" t="n">
        <f aca="false">C1800/K1800-1</f>
        <v>-0.618208845695244</v>
      </c>
      <c r="M1800" s="25" t="n">
        <f aca="false">IF(COUNT(G1771:G1800)&lt;20,"",_xlfn.STDEV.S(G1771:G1800)*SQRT($R$3))</f>
        <v>0.543226099511754</v>
      </c>
      <c r="N1800" s="25" t="n">
        <f aca="false">IF(A1800-7&lt;$R$2,"",C1800/INDEX(Clean_Data!$C$2:$C$4314,MATCH(A1800-7,Clean_Data!$A$2:$A$4314,1))-1)</f>
        <v>-0.00655481547201298</v>
      </c>
      <c r="O1800" s="25" t="n">
        <f aca="false">IF(A1800-30&lt;$R$2,"",C1800/INDEX(Clean_Data!$C$2:$C$4314,MATCH(A1800-30,Clean_Data!$A$2:$A$4314,1))-1)</f>
        <v>-0.184251759596638</v>
      </c>
    </row>
    <row r="1801" customFormat="false" ht="15" hidden="false" customHeight="false" outlineLevel="0" collapsed="false">
      <c r="A1801" s="16" t="n">
        <v>43807</v>
      </c>
      <c r="B1801" s="23" t="n">
        <f aca="false">YEAR(A1801)</f>
        <v>2019</v>
      </c>
      <c r="C1801" s="17" t="n">
        <v>7520</v>
      </c>
      <c r="D1801" s="23" t="n">
        <f aca="false">A1801-A1800</f>
        <v>1</v>
      </c>
      <c r="E1801" s="24" t="n">
        <f aca="false">LN(C1801)</f>
        <v>8.92532141694389</v>
      </c>
      <c r="F1801" s="25" t="n">
        <f aca="false">LN(C1801/C1800)</f>
        <v>0.00236982709996133</v>
      </c>
      <c r="G1801" s="25" t="n">
        <f aca="false">IF(AND(D1801=1,A1801&gt;=$R$2),F1801,"")</f>
        <v>0.00236982709996133</v>
      </c>
      <c r="H1801" s="27" t="n">
        <f aca="false">IF(G1801="","",G1801^2)</f>
        <v>5.61608048371111E-006</v>
      </c>
      <c r="I1801" s="25" t="n">
        <f aca="false">IF(G1801="","",C1801/C1800-1)</f>
        <v>0.00237263735970794</v>
      </c>
      <c r="J1801" s="17" t="n">
        <f aca="false">AVERAGE(C1602:C1801)</f>
        <v>9404.29205</v>
      </c>
      <c r="K1801" s="17" t="n">
        <f aca="false">MAX(K1800,C1801)</f>
        <v>19650.01</v>
      </c>
      <c r="L1801" s="25" t="n">
        <f aca="false">C1801/K1801-1</f>
        <v>-0.617302993738935</v>
      </c>
      <c r="M1801" s="25" t="n">
        <f aca="false">IF(COUNT(G1772:G1801)&lt;20,"",_xlfn.STDEV.S(G1772:G1801)*SQRT($R$3))</f>
        <v>0.522338862395954</v>
      </c>
      <c r="N1801" s="25" t="n">
        <f aca="false">IF(A1801-7&lt;$R$2,"",C1801/INDEX(Clean_Data!$C$2:$C$4314,MATCH(A1801-7,Clean_Data!$A$2:$A$4314,1))-1)</f>
        <v>0.0143191652369083</v>
      </c>
      <c r="O1801" s="25" t="n">
        <f aca="false">IF(A1801-30&lt;$R$2,"",C1801/INDEX(Clean_Data!$C$2:$C$4314,MATCH(A1801-30,Clean_Data!$A$2:$A$4314,1))-1)</f>
        <v>-0.141424117076869</v>
      </c>
    </row>
    <row r="1802" customFormat="false" ht="15" hidden="false" customHeight="false" outlineLevel="0" collapsed="false">
      <c r="A1802" s="16" t="n">
        <v>43808</v>
      </c>
      <c r="B1802" s="23" t="n">
        <f aca="false">YEAR(A1802)</f>
        <v>2019</v>
      </c>
      <c r="C1802" s="17" t="n">
        <v>7332.69</v>
      </c>
      <c r="D1802" s="23" t="n">
        <f aca="false">A1802-A1801</f>
        <v>1</v>
      </c>
      <c r="E1802" s="24" t="n">
        <f aca="false">LN(C1802)</f>
        <v>8.90009771255135</v>
      </c>
      <c r="F1802" s="25" t="n">
        <f aca="false">LN(C1802/C1801)</f>
        <v>-0.0252237043925318</v>
      </c>
      <c r="G1802" s="25" t="n">
        <f aca="false">IF(AND(D1802=1,A1802&gt;=$R$2),F1802,"")</f>
        <v>-0.0252237043925318</v>
      </c>
      <c r="H1802" s="27" t="n">
        <f aca="false">IF(G1802="","",G1802^2)</f>
        <v>0.000636235263281829</v>
      </c>
      <c r="I1802" s="25" t="n">
        <f aca="false">IF(G1802="","",C1802/C1801-1)</f>
        <v>-0.0249082446808511</v>
      </c>
      <c r="J1802" s="17" t="n">
        <f aca="false">AVERAGE(C1603:C1802)</f>
        <v>9401.5456</v>
      </c>
      <c r="K1802" s="17" t="n">
        <f aca="false">MAX(K1801,C1802)</f>
        <v>19650.01</v>
      </c>
      <c r="L1802" s="25" t="n">
        <f aca="false">C1802/K1802-1</f>
        <v>-0.626835304409514</v>
      </c>
      <c r="M1802" s="25" t="n">
        <f aca="false">IF(COUNT(G1773:G1802)&lt;20,"",_xlfn.STDEV.S(G1773:G1802)*SQRT($R$3))</f>
        <v>0.525748544236992</v>
      </c>
      <c r="N1802" s="25" t="n">
        <f aca="false">IF(A1802-7&lt;$R$2,"",C1802/INDEX(Clean_Data!$C$2:$C$4314,MATCH(A1802-7,Clean_Data!$A$2:$A$4314,1))-1)</f>
        <v>0.00240598543558579</v>
      </c>
      <c r="O1802" s="25" t="n">
        <f aca="false">IF(A1802-30&lt;$R$2,"",C1802/INDEX(Clean_Data!$C$2:$C$4314,MATCH(A1802-30,Clean_Data!$A$2:$A$4314,1))-1)</f>
        <v>-0.166586348850584</v>
      </c>
    </row>
    <row r="1803" customFormat="false" ht="15" hidden="false" customHeight="false" outlineLevel="0" collapsed="false">
      <c r="A1803" s="16" t="n">
        <v>43809</v>
      </c>
      <c r="B1803" s="23" t="n">
        <f aca="false">YEAR(A1803)</f>
        <v>2019</v>
      </c>
      <c r="C1803" s="17" t="n">
        <v>7215.69</v>
      </c>
      <c r="D1803" s="23" t="n">
        <f aca="false">A1803-A1802</f>
        <v>1</v>
      </c>
      <c r="E1803" s="24" t="n">
        <f aca="false">LN(C1803)</f>
        <v>8.88401310073096</v>
      </c>
      <c r="F1803" s="25" t="n">
        <f aca="false">LN(C1803/C1802)</f>
        <v>-0.0160846118203969</v>
      </c>
      <c r="G1803" s="25" t="n">
        <f aca="false">IF(AND(D1803=1,A1803&gt;=$R$2),F1803,"")</f>
        <v>-0.0160846118203969</v>
      </c>
      <c r="H1803" s="27" t="n">
        <f aca="false">IF(G1803="","",G1803^2)</f>
        <v>0.000258714737412851</v>
      </c>
      <c r="I1803" s="25" t="n">
        <f aca="false">IF(G1803="","",C1803/C1802-1)</f>
        <v>-0.0159559452261039</v>
      </c>
      <c r="J1803" s="17" t="n">
        <f aca="false">AVERAGE(C1604:C1803)</f>
        <v>9397.64965</v>
      </c>
      <c r="K1803" s="17" t="n">
        <f aca="false">MAX(K1802,C1803)</f>
        <v>19650.01</v>
      </c>
      <c r="L1803" s="25" t="n">
        <f aca="false">C1803/K1803-1</f>
        <v>-0.632789499852672</v>
      </c>
      <c r="M1803" s="25" t="n">
        <f aca="false">IF(COUNT(G1774:G1803)&lt;20,"",_xlfn.STDEV.S(G1774:G1803)*SQRT($R$3))</f>
        <v>0.513177504789799</v>
      </c>
      <c r="N1803" s="25" t="n">
        <f aca="false">IF(A1803-7&lt;$R$2,"",C1803/INDEX(Clean_Data!$C$2:$C$4314,MATCH(A1803-7,Clean_Data!$A$2:$A$4314,1))-1)</f>
        <v>-0.0110074013157895</v>
      </c>
      <c r="O1803" s="25" t="n">
        <f aca="false">IF(A1803-30&lt;$R$2,"",C1803/INDEX(Clean_Data!$C$2:$C$4314,MATCH(A1803-30,Clean_Data!$A$2:$A$4314,1))-1)</f>
        <v>-0.201523323469982</v>
      </c>
    </row>
    <row r="1804" customFormat="false" ht="15" hidden="false" customHeight="false" outlineLevel="0" collapsed="false">
      <c r="A1804" s="16" t="n">
        <v>43810</v>
      </c>
      <c r="B1804" s="23" t="n">
        <f aca="false">YEAR(A1804)</f>
        <v>2019</v>
      </c>
      <c r="C1804" s="17" t="n">
        <v>7275.17</v>
      </c>
      <c r="D1804" s="23" t="n">
        <f aca="false">A1804-A1803</f>
        <v>1</v>
      </c>
      <c r="E1804" s="24" t="n">
        <f aca="false">LN(C1804)</f>
        <v>8.89222245946427</v>
      </c>
      <c r="F1804" s="25" t="n">
        <f aca="false">LN(C1804/C1803)</f>
        <v>0.00820935873331059</v>
      </c>
      <c r="G1804" s="25" t="n">
        <f aca="false">IF(AND(D1804=1,A1804&gt;=$R$2),F1804,"")</f>
        <v>0.00820935873331059</v>
      </c>
      <c r="H1804" s="27" t="n">
        <f aca="false">IF(G1804="","",G1804^2)</f>
        <v>6.73935708121828E-005</v>
      </c>
      <c r="I1804" s="25" t="n">
        <f aca="false">IF(G1804="","",C1804/C1803-1)</f>
        <v>0.0082431479179399</v>
      </c>
      <c r="J1804" s="17" t="n">
        <f aca="false">AVERAGE(C1605:C1804)</f>
        <v>9393.68845</v>
      </c>
      <c r="K1804" s="17" t="n">
        <f aca="false">MAX(K1803,C1804)</f>
        <v>19650.01</v>
      </c>
      <c r="L1804" s="25" t="n">
        <f aca="false">C1804/K1804-1</f>
        <v>-0.629762529382937</v>
      </c>
      <c r="M1804" s="25" t="n">
        <f aca="false">IF(COUNT(G1775:G1804)&lt;20,"",_xlfn.STDEV.S(G1775:G1804)*SQRT($R$3))</f>
        <v>0.505669984109962</v>
      </c>
      <c r="N1804" s="25" t="n">
        <f aca="false">IF(A1804-7&lt;$R$2,"",C1804/INDEX(Clean_Data!$C$2:$C$4314,MATCH(A1804-7,Clean_Data!$A$2:$A$4314,1))-1)</f>
        <v>0.0124694352709667</v>
      </c>
      <c r="O1804" s="25" t="n">
        <f aca="false">IF(A1804-30&lt;$R$2,"",C1804/INDEX(Clean_Data!$C$2:$C$4314,MATCH(A1804-30,Clean_Data!$A$2:$A$4314,1))-1)</f>
        <v>-0.165749873002003</v>
      </c>
    </row>
    <row r="1805" customFormat="false" ht="15" hidden="false" customHeight="false" outlineLevel="0" collapsed="false">
      <c r="A1805" s="16" t="n">
        <v>43811</v>
      </c>
      <c r="B1805" s="23" t="n">
        <f aca="false">YEAR(A1805)</f>
        <v>2019</v>
      </c>
      <c r="C1805" s="17" t="n">
        <v>7194.19</v>
      </c>
      <c r="D1805" s="23" t="n">
        <f aca="false">A1805-A1804</f>
        <v>1</v>
      </c>
      <c r="E1805" s="24" t="n">
        <f aca="false">LN(C1805)</f>
        <v>8.88102903480478</v>
      </c>
      <c r="F1805" s="25" t="n">
        <f aca="false">LN(C1805/C1804)</f>
        <v>-0.0111934246594893</v>
      </c>
      <c r="G1805" s="25" t="n">
        <f aca="false">IF(AND(D1805=1,A1805&gt;=$R$2),F1805,"")</f>
        <v>-0.0111934246594893</v>
      </c>
      <c r="H1805" s="27" t="n">
        <f aca="false">IF(G1805="","",G1805^2)</f>
        <v>0.000125292755607664</v>
      </c>
      <c r="I1805" s="25" t="n">
        <f aca="false">IF(G1805="","",C1805/C1804-1)</f>
        <v>-0.0111310113715557</v>
      </c>
      <c r="J1805" s="17" t="n">
        <f aca="false">AVERAGE(C1606:C1805)</f>
        <v>9385.85925</v>
      </c>
      <c r="K1805" s="17" t="n">
        <f aca="false">MAX(K1804,C1805)</f>
        <v>19650.01</v>
      </c>
      <c r="L1805" s="25" t="n">
        <f aca="false">C1805/K1805-1</f>
        <v>-0.633883646878551</v>
      </c>
      <c r="M1805" s="25" t="n">
        <f aca="false">IF(COUNT(G1776:G1805)&lt;20,"",_xlfn.STDEV.S(G1776:G1805)*SQRT($R$3))</f>
        <v>0.50183010969182</v>
      </c>
      <c r="N1805" s="25" t="n">
        <f aca="false">IF(A1805-7&lt;$R$2,"",C1805/INDEX(Clean_Data!$C$2:$C$4314,MATCH(A1805-7,Clean_Data!$A$2:$A$4314,1))-1)</f>
        <v>-0.0263319235323973</v>
      </c>
      <c r="O1805" s="25" t="n">
        <f aca="false">IF(A1805-30&lt;$R$2,"",C1805/INDEX(Clean_Data!$C$2:$C$4314,MATCH(A1805-30,Clean_Data!$A$2:$A$4314,1))-1)</f>
        <v>-0.184669609515337</v>
      </c>
    </row>
    <row r="1806" customFormat="false" ht="15" hidden="false" customHeight="false" outlineLevel="0" collapsed="false">
      <c r="A1806" s="16" t="n">
        <v>43812</v>
      </c>
      <c r="B1806" s="23" t="n">
        <f aca="false">YEAR(A1806)</f>
        <v>2019</v>
      </c>
      <c r="C1806" s="17" t="n">
        <v>7249.25</v>
      </c>
      <c r="D1806" s="23" t="n">
        <f aca="false">A1806-A1805</f>
        <v>1</v>
      </c>
      <c r="E1806" s="24" t="n">
        <f aca="false">LN(C1806)</f>
        <v>8.88865329422172</v>
      </c>
      <c r="F1806" s="25" t="n">
        <f aca="false">LN(C1806/C1805)</f>
        <v>0.00762425941693847</v>
      </c>
      <c r="G1806" s="25" t="n">
        <f aca="false">IF(AND(D1806=1,A1806&gt;=$R$2),F1806,"")</f>
        <v>0.00762425941693847</v>
      </c>
      <c r="H1806" s="27" t="n">
        <f aca="false">IF(G1806="","",G1806^2)</f>
        <v>5.81293316567749E-005</v>
      </c>
      <c r="I1806" s="25" t="n">
        <f aca="false">IF(G1806="","",C1806/C1805-1)</f>
        <v>0.00765339808929166</v>
      </c>
      <c r="J1806" s="17" t="n">
        <f aca="false">AVERAGE(C1607:C1806)</f>
        <v>9378.18925</v>
      </c>
      <c r="K1806" s="17" t="n">
        <f aca="false">MAX(K1805,C1806)</f>
        <v>19650.01</v>
      </c>
      <c r="L1806" s="25" t="n">
        <f aca="false">C1806/K1806-1</f>
        <v>-0.631081612681113</v>
      </c>
      <c r="M1806" s="25" t="n">
        <f aca="false">IF(COUNT(G1777:G1806)&lt;20,"",_xlfn.STDEV.S(G1777:G1806)*SQRT($R$3))</f>
        <v>0.504349761816099</v>
      </c>
      <c r="N1806" s="25" t="n">
        <f aca="false">IF(A1806-7&lt;$R$2,"",C1806/INDEX(Clean_Data!$C$2:$C$4314,MATCH(A1806-7,Clean_Data!$A$2:$A$4314,1))-1)</f>
        <v>-0.04120088456716</v>
      </c>
      <c r="O1806" s="25" t="n">
        <f aca="false">IF(A1806-30&lt;$R$2,"",C1806/INDEX(Clean_Data!$C$2:$C$4314,MATCH(A1806-30,Clean_Data!$A$2:$A$4314,1))-1)</f>
        <v>-0.172989672139189</v>
      </c>
    </row>
    <row r="1807" customFormat="false" ht="15" hidden="false" customHeight="false" outlineLevel="0" collapsed="false">
      <c r="A1807" s="16" t="n">
        <v>43813</v>
      </c>
      <c r="B1807" s="23" t="n">
        <f aca="false">YEAR(A1807)</f>
        <v>2019</v>
      </c>
      <c r="C1807" s="17" t="n">
        <v>7059.55</v>
      </c>
      <c r="D1807" s="23" t="n">
        <f aca="false">A1807-A1806</f>
        <v>1</v>
      </c>
      <c r="E1807" s="24" t="n">
        <f aca="false">LN(C1807)</f>
        <v>8.86213658907908</v>
      </c>
      <c r="F1807" s="25" t="n">
        <f aca="false">LN(C1807/C1806)</f>
        <v>-0.0265167051426396</v>
      </c>
      <c r="G1807" s="25" t="n">
        <f aca="false">IF(AND(D1807=1,A1807&gt;=$R$2),F1807,"")</f>
        <v>-0.0265167051426396</v>
      </c>
      <c r="H1807" s="27" t="n">
        <f aca="false">IF(G1807="","",G1807^2)</f>
        <v>0.00070313565162169</v>
      </c>
      <c r="I1807" s="25" t="n">
        <f aca="false">IF(G1807="","",C1807/C1806-1)</f>
        <v>-0.0261682242990654</v>
      </c>
      <c r="J1807" s="17" t="n">
        <f aca="false">AVERAGE(C1608:C1807)</f>
        <v>9370.0545</v>
      </c>
      <c r="K1807" s="17" t="n">
        <f aca="false">MAX(K1806,C1807)</f>
        <v>19650.01</v>
      </c>
      <c r="L1807" s="25" t="n">
        <f aca="false">C1807/K1807-1</f>
        <v>-0.640735551788523</v>
      </c>
      <c r="M1807" s="25" t="n">
        <f aca="false">IF(COUNT(G1778:G1807)&lt;20,"",_xlfn.STDEV.S(G1778:G1807)*SQRT($R$3))</f>
        <v>0.508298951004187</v>
      </c>
      <c r="N1807" s="25" t="n">
        <f aca="false">IF(A1807-7&lt;$R$2,"",C1807/INDEX(Clean_Data!$C$2:$C$4314,MATCH(A1807-7,Clean_Data!$A$2:$A$4314,1))-1)</f>
        <v>-0.0590026925435205</v>
      </c>
      <c r="O1807" s="25" t="n">
        <f aca="false">IF(A1807-30&lt;$R$2,"",C1807/INDEX(Clean_Data!$C$2:$C$4314,MATCH(A1807-30,Clean_Data!$A$2:$A$4314,1))-1)</f>
        <v>-0.181976614163831</v>
      </c>
    </row>
    <row r="1808" customFormat="false" ht="15" hidden="false" customHeight="false" outlineLevel="0" collapsed="false">
      <c r="A1808" s="16" t="n">
        <v>43814</v>
      </c>
      <c r="B1808" s="23" t="n">
        <f aca="false">YEAR(A1808)</f>
        <v>2019</v>
      </c>
      <c r="C1808" s="17" t="n">
        <v>7111</v>
      </c>
      <c r="D1808" s="23" t="n">
        <f aca="false">A1808-A1807</f>
        <v>1</v>
      </c>
      <c r="E1808" s="24" t="n">
        <f aca="false">LN(C1808)</f>
        <v>8.86939815988352</v>
      </c>
      <c r="F1808" s="25" t="n">
        <f aca="false">LN(C1808/C1807)</f>
        <v>0.00726157080444102</v>
      </c>
      <c r="G1808" s="25" t="n">
        <f aca="false">IF(AND(D1808=1,A1808&gt;=$R$2),F1808,"")</f>
        <v>0.00726157080444102</v>
      </c>
      <c r="H1808" s="27" t="n">
        <f aca="false">IF(G1808="","",G1808^2)</f>
        <v>5.27304105479101E-005</v>
      </c>
      <c r="I1808" s="25" t="n">
        <f aca="false">IF(G1808="","",C1808/C1807-1)</f>
        <v>0.00728799994333906</v>
      </c>
      <c r="J1808" s="17" t="n">
        <f aca="false">AVERAGE(C1609:C1808)</f>
        <v>9362.307</v>
      </c>
      <c r="K1808" s="17" t="n">
        <f aca="false">MAX(K1807,C1808)</f>
        <v>19650.01</v>
      </c>
      <c r="L1808" s="25" t="n">
        <f aca="false">C1808/K1808-1</f>
        <v>-0.638117232510314</v>
      </c>
      <c r="M1808" s="25" t="n">
        <f aca="false">IF(COUNT(G1779:G1808)&lt;20,"",_xlfn.STDEV.S(G1779:G1808)*SQRT($R$3))</f>
        <v>0.508248771599906</v>
      </c>
      <c r="N1808" s="25" t="n">
        <f aca="false">IF(A1808-7&lt;$R$2,"",C1808/INDEX(Clean_Data!$C$2:$C$4314,MATCH(A1808-7,Clean_Data!$A$2:$A$4314,1))-1)</f>
        <v>-0.0543882978723405</v>
      </c>
      <c r="O1808" s="25" t="n">
        <f aca="false">IF(A1808-30&lt;$R$2,"",C1808/INDEX(Clean_Data!$C$2:$C$4314,MATCH(A1808-30,Clean_Data!$A$2:$A$4314,1))-1)</f>
        <v>-0.159456264775414</v>
      </c>
    </row>
    <row r="1809" customFormat="false" ht="15" hidden="false" customHeight="false" outlineLevel="0" collapsed="false">
      <c r="A1809" s="16" t="n">
        <v>43815</v>
      </c>
      <c r="B1809" s="23" t="n">
        <f aca="false">YEAR(A1809)</f>
        <v>2019</v>
      </c>
      <c r="C1809" s="17" t="n">
        <v>6877.04</v>
      </c>
      <c r="D1809" s="23" t="n">
        <f aca="false">A1809-A1808</f>
        <v>1</v>
      </c>
      <c r="E1809" s="24" t="n">
        <f aca="false">LN(C1809)</f>
        <v>8.83594360579267</v>
      </c>
      <c r="F1809" s="25" t="n">
        <f aca="false">LN(C1809/C1808)</f>
        <v>-0.0334545540908491</v>
      </c>
      <c r="G1809" s="25" t="n">
        <f aca="false">IF(AND(D1809=1,A1809&gt;=$R$2),F1809,"")</f>
        <v>-0.0334545540908491</v>
      </c>
      <c r="H1809" s="27" t="n">
        <f aca="false">IF(G1809="","",G1809^2)</f>
        <v>0.00111920718941755</v>
      </c>
      <c r="I1809" s="25" t="n">
        <f aca="false">IF(G1809="","",C1809/C1808-1)</f>
        <v>-0.0329011390802981</v>
      </c>
      <c r="J1809" s="17" t="n">
        <f aca="false">AVERAGE(C1610:C1809)</f>
        <v>9355.32435</v>
      </c>
      <c r="K1809" s="17" t="n">
        <f aca="false">MAX(K1808,C1809)</f>
        <v>19650.01</v>
      </c>
      <c r="L1809" s="25" t="n">
        <f aca="false">C1809/K1809-1</f>
        <v>-0.650023587774256</v>
      </c>
      <c r="M1809" s="25" t="n">
        <f aca="false">IF(COUNT(G1780:G1809)&lt;20,"",_xlfn.STDEV.S(G1780:G1809)*SQRT($R$3))</f>
        <v>0.516082709051552</v>
      </c>
      <c r="N1809" s="25" t="n">
        <f aca="false">IF(A1809-7&lt;$R$2,"",C1809/INDEX(Clean_Data!$C$2:$C$4314,MATCH(A1809-7,Clean_Data!$A$2:$A$4314,1))-1)</f>
        <v>-0.0621395422416603</v>
      </c>
      <c r="O1809" s="25" t="n">
        <f aca="false">IF(A1809-30&lt;$R$2,"",C1809/INDEX(Clean_Data!$C$2:$C$4314,MATCH(A1809-30,Clean_Data!$A$2:$A$4314,1))-1)</f>
        <v>-0.189792648444863</v>
      </c>
    </row>
    <row r="1810" customFormat="false" ht="15" hidden="false" customHeight="false" outlineLevel="0" collapsed="false">
      <c r="A1810" s="16" t="n">
        <v>43816</v>
      </c>
      <c r="B1810" s="23" t="n">
        <f aca="false">YEAR(A1810)</f>
        <v>2019</v>
      </c>
      <c r="C1810" s="17" t="n">
        <v>6618.62</v>
      </c>
      <c r="D1810" s="23" t="n">
        <f aca="false">A1810-A1809</f>
        <v>1</v>
      </c>
      <c r="E1810" s="24" t="n">
        <f aca="false">LN(C1810)</f>
        <v>8.79764216798591</v>
      </c>
      <c r="F1810" s="25" t="n">
        <f aca="false">LN(C1810/C1809)</f>
        <v>-0.0383014378067585</v>
      </c>
      <c r="G1810" s="25" t="n">
        <f aca="false">IF(AND(D1810=1,A1810&gt;=$R$2),F1810,"")</f>
        <v>-0.0383014378067585</v>
      </c>
      <c r="H1810" s="27" t="n">
        <f aca="false">IF(G1810="","",G1810^2)</f>
        <v>0.00146700013806499</v>
      </c>
      <c r="I1810" s="25" t="n">
        <f aca="false">IF(G1810="","",C1810/C1809-1)</f>
        <v>-0.0375772134522993</v>
      </c>
      <c r="J1810" s="17" t="n">
        <f aca="false">AVERAGE(C1611:C1810)</f>
        <v>9345.66655</v>
      </c>
      <c r="K1810" s="17" t="n">
        <f aca="false">MAX(K1809,C1810)</f>
        <v>19650.01</v>
      </c>
      <c r="L1810" s="25" t="n">
        <f aca="false">C1810/K1810-1</f>
        <v>-0.663174726119732</v>
      </c>
      <c r="M1810" s="25" t="n">
        <f aca="false">IF(COUNT(G1781:G1810)&lt;20,"",_xlfn.STDEV.S(G1781:G1810)*SQRT($R$3))</f>
        <v>0.526407446924011</v>
      </c>
      <c r="N1810" s="25" t="n">
        <f aca="false">IF(A1810-7&lt;$R$2,"",C1810/INDEX(Clean_Data!$C$2:$C$4314,MATCH(A1810-7,Clean_Data!$A$2:$A$4314,1))-1)</f>
        <v>-0.0827460714082783</v>
      </c>
      <c r="O1810" s="25" t="n">
        <f aca="false">IF(A1810-30&lt;$R$2,"",C1810/INDEX(Clean_Data!$C$2:$C$4314,MATCH(A1810-30,Clean_Data!$A$2:$A$4314,1))-1)</f>
        <v>-0.221339739600306</v>
      </c>
    </row>
    <row r="1811" customFormat="false" ht="15" hidden="false" customHeight="false" outlineLevel="0" collapsed="false">
      <c r="A1811" s="16" t="n">
        <v>43817</v>
      </c>
      <c r="B1811" s="23" t="n">
        <f aca="false">YEAR(A1811)</f>
        <v>2019</v>
      </c>
      <c r="C1811" s="17" t="n">
        <v>7309.12</v>
      </c>
      <c r="D1811" s="23" t="n">
        <f aca="false">A1811-A1810</f>
        <v>1</v>
      </c>
      <c r="E1811" s="24" t="n">
        <f aca="false">LN(C1811)</f>
        <v>8.89687816246027</v>
      </c>
      <c r="F1811" s="25" t="n">
        <f aca="false">LN(C1811/C1810)</f>
        <v>0.0992359944743589</v>
      </c>
      <c r="G1811" s="25" t="n">
        <f aca="false">IF(AND(D1811=1,A1811&gt;=$R$2),F1811,"")</f>
        <v>0.0992359944743589</v>
      </c>
      <c r="H1811" s="27" t="n">
        <f aca="false">IF(G1811="","",G1811^2)</f>
        <v>0.00984778259931499</v>
      </c>
      <c r="I1811" s="25" t="n">
        <f aca="false">IF(G1811="","",C1811/C1810-1)</f>
        <v>0.104326883851921</v>
      </c>
      <c r="J1811" s="17" t="n">
        <f aca="false">AVERAGE(C1612:C1811)</f>
        <v>9339.4221</v>
      </c>
      <c r="K1811" s="17" t="n">
        <f aca="false">MAX(K1810,C1811)</f>
        <v>19650.01</v>
      </c>
      <c r="L1811" s="25" t="n">
        <f aca="false">C1811/K1811-1</f>
        <v>-0.628034794893234</v>
      </c>
      <c r="M1811" s="25" t="n">
        <f aca="false">IF(COUNT(G1782:G1811)&lt;20,"",_xlfn.STDEV.S(G1782:G1811)*SQRT($R$3))</f>
        <v>0.633506726920215</v>
      </c>
      <c r="N1811" s="25" t="n">
        <f aca="false">IF(A1811-7&lt;$R$2,"",C1811/INDEX(Clean_Data!$C$2:$C$4314,MATCH(A1811-7,Clean_Data!$A$2:$A$4314,1))-1)</f>
        <v>0.00466655761995938</v>
      </c>
      <c r="O1811" s="25" t="n">
        <f aca="false">IF(A1811-30&lt;$R$2,"",C1811/INDEX(Clean_Data!$C$2:$C$4314,MATCH(A1811-30,Clean_Data!$A$2:$A$4314,1))-1)</f>
        <v>-0.104354634940747</v>
      </c>
    </row>
    <row r="1812" customFormat="false" ht="15" hidden="false" customHeight="false" outlineLevel="0" collapsed="false">
      <c r="A1812" s="16" t="n">
        <v>43818</v>
      </c>
      <c r="B1812" s="23" t="n">
        <f aca="false">YEAR(A1812)</f>
        <v>2019</v>
      </c>
      <c r="C1812" s="17" t="n">
        <v>7153.99</v>
      </c>
      <c r="D1812" s="23" t="n">
        <f aca="false">A1812-A1811</f>
        <v>1</v>
      </c>
      <c r="E1812" s="24" t="n">
        <f aca="false">LN(C1812)</f>
        <v>8.87542552199859</v>
      </c>
      <c r="F1812" s="25" t="n">
        <f aca="false">LN(C1812/C1811)</f>
        <v>-0.0214526404616848</v>
      </c>
      <c r="G1812" s="25" t="n">
        <f aca="false">IF(AND(D1812=1,A1812&gt;=$R$2),F1812,"")</f>
        <v>-0.0214526404616848</v>
      </c>
      <c r="H1812" s="27" t="n">
        <f aca="false">IF(G1812="","",G1812^2)</f>
        <v>0.000460215782778316</v>
      </c>
      <c r="I1812" s="25" t="n">
        <f aca="false">IF(G1812="","",C1812/C1811-1)</f>
        <v>-0.0212241692570379</v>
      </c>
      <c r="J1812" s="17" t="n">
        <f aca="false">AVERAGE(C1613:C1812)</f>
        <v>9331.4862</v>
      </c>
      <c r="K1812" s="17" t="n">
        <f aca="false">MAX(K1811,C1812)</f>
        <v>19650.01</v>
      </c>
      <c r="L1812" s="25" t="n">
        <f aca="false">C1812/K1812-1</f>
        <v>-0.635929447364149</v>
      </c>
      <c r="M1812" s="25" t="n">
        <f aca="false">IF(COUNT(G1783:G1812)&lt;20,"",_xlfn.STDEV.S(G1783:G1812)*SQRT($R$3))</f>
        <v>0.636536958004869</v>
      </c>
      <c r="N1812" s="25" t="n">
        <f aca="false">IF(A1812-7&lt;$R$2,"",C1812/INDEX(Clean_Data!$C$2:$C$4314,MATCH(A1812-7,Clean_Data!$A$2:$A$4314,1))-1)</f>
        <v>-0.00558784241172383</v>
      </c>
      <c r="O1812" s="25" t="n">
        <f aca="false">IF(A1812-30&lt;$R$2,"",C1812/INDEX(Clean_Data!$C$2:$C$4314,MATCH(A1812-30,Clean_Data!$A$2:$A$4314,1))-1)</f>
        <v>-0.119331163459455</v>
      </c>
    </row>
    <row r="1813" customFormat="false" ht="15" hidden="false" customHeight="false" outlineLevel="0" collapsed="false">
      <c r="A1813" s="16" t="n">
        <v>43819</v>
      </c>
      <c r="B1813" s="23" t="n">
        <f aca="false">YEAR(A1813)</f>
        <v>2019</v>
      </c>
      <c r="C1813" s="17" t="n">
        <v>7189.87</v>
      </c>
      <c r="D1813" s="23" t="n">
        <f aca="false">A1813-A1812</f>
        <v>1</v>
      </c>
      <c r="E1813" s="24" t="n">
        <f aca="false">LN(C1813)</f>
        <v>8.88042836988404</v>
      </c>
      <c r="F1813" s="25" t="n">
        <f aca="false">LN(C1813/C1812)</f>
        <v>0.00500284788545684</v>
      </c>
      <c r="G1813" s="25" t="n">
        <f aca="false">IF(AND(D1813=1,A1813&gt;=$R$2),F1813,"")</f>
        <v>0.00500284788545684</v>
      </c>
      <c r="H1813" s="27" t="n">
        <f aca="false">IF(G1813="","",G1813^2)</f>
        <v>2.502848696502E-005</v>
      </c>
      <c r="I1813" s="25" t="n">
        <f aca="false">IF(G1813="","",C1813/C1812-1)</f>
        <v>0.00501538302401872</v>
      </c>
      <c r="J1813" s="17" t="n">
        <f aca="false">AVERAGE(C1614:C1813)</f>
        <v>9327.3605</v>
      </c>
      <c r="K1813" s="17" t="n">
        <f aca="false">MAX(K1812,C1813)</f>
        <v>19650.01</v>
      </c>
      <c r="L1813" s="25" t="n">
        <f aca="false">C1813/K1813-1</f>
        <v>-0.634103494094914</v>
      </c>
      <c r="M1813" s="25" t="n">
        <f aca="false">IF(COUNT(G1784:G1813)&lt;20,"",_xlfn.STDEV.S(G1784:G1813)*SQRT($R$3))</f>
        <v>0.637341843130478</v>
      </c>
      <c r="N1813" s="25" t="n">
        <f aca="false">IF(A1813-7&lt;$R$2,"",C1813/INDEX(Clean_Data!$C$2:$C$4314,MATCH(A1813-7,Clean_Data!$A$2:$A$4314,1))-1)</f>
        <v>-0.0081911921922958</v>
      </c>
      <c r="O1813" s="25" t="n">
        <f aca="false">IF(A1813-30&lt;$R$2,"",C1813/INDEX(Clean_Data!$C$2:$C$4314,MATCH(A1813-30,Clean_Data!$A$2:$A$4314,1))-1)</f>
        <v>-0.110490463889466</v>
      </c>
    </row>
    <row r="1814" customFormat="false" ht="15" hidden="false" customHeight="false" outlineLevel="0" collapsed="false">
      <c r="A1814" s="16" t="n">
        <v>43820</v>
      </c>
      <c r="B1814" s="23" t="n">
        <f aca="false">YEAR(A1814)</f>
        <v>2019</v>
      </c>
      <c r="C1814" s="17" t="n">
        <v>7143.01</v>
      </c>
      <c r="D1814" s="23" t="n">
        <f aca="false">A1814-A1813</f>
        <v>1</v>
      </c>
      <c r="E1814" s="24" t="n">
        <f aca="false">LN(C1814)</f>
        <v>8.87388953512599</v>
      </c>
      <c r="F1814" s="25" t="n">
        <f aca="false">LN(C1814/C1813)</f>
        <v>-0.00653883475804815</v>
      </c>
      <c r="G1814" s="25" t="n">
        <f aca="false">IF(AND(D1814=1,A1814&gt;=$R$2),F1814,"")</f>
        <v>-0.00653883475804815</v>
      </c>
      <c r="H1814" s="27" t="n">
        <f aca="false">IF(G1814="","",G1814^2)</f>
        <v>4.27563599930586E-005</v>
      </c>
      <c r="I1814" s="25" t="n">
        <f aca="false">IF(G1814="","",C1814/C1813-1)</f>
        <v>-0.00651750309810883</v>
      </c>
      <c r="J1814" s="17" t="n">
        <f aca="false">AVERAGE(C1615:C1814)</f>
        <v>9324.63425</v>
      </c>
      <c r="K1814" s="17" t="n">
        <f aca="false">MAX(K1813,C1814)</f>
        <v>19650.01</v>
      </c>
      <c r="L1814" s="25" t="n">
        <f aca="false">C1814/K1814-1</f>
        <v>-0.636488225705738</v>
      </c>
      <c r="M1814" s="25" t="n">
        <f aca="false">IF(COUNT(G1785:G1814)&lt;20,"",_xlfn.STDEV.S(G1785:G1814)*SQRT($R$3))</f>
        <v>0.605576129974692</v>
      </c>
      <c r="N1814" s="25" t="n">
        <f aca="false">IF(A1814-7&lt;$R$2,"",C1814/INDEX(Clean_Data!$C$2:$C$4314,MATCH(A1814-7,Clean_Data!$A$2:$A$4314,1))-1)</f>
        <v>0.0118222832900114</v>
      </c>
      <c r="O1814" s="25" t="n">
        <f aca="false">IF(A1814-30&lt;$R$2,"",C1814/INDEX(Clean_Data!$C$2:$C$4314,MATCH(A1814-30,Clean_Data!$A$2:$A$4314,1))-1)</f>
        <v>-0.0624445447815655</v>
      </c>
    </row>
    <row r="1815" customFormat="false" ht="15" hidden="false" customHeight="false" outlineLevel="0" collapsed="false">
      <c r="A1815" s="16" t="n">
        <v>43821</v>
      </c>
      <c r="B1815" s="23" t="n">
        <f aca="false">YEAR(A1815)</f>
        <v>2019</v>
      </c>
      <c r="C1815" s="17" t="n">
        <v>7550</v>
      </c>
      <c r="D1815" s="23" t="n">
        <f aca="false">A1815-A1814</f>
        <v>1</v>
      </c>
      <c r="E1815" s="24" t="n">
        <f aca="false">LN(C1815)</f>
        <v>8.92930284224307</v>
      </c>
      <c r="F1815" s="25" t="n">
        <f aca="false">LN(C1815/C1814)</f>
        <v>0.0554133071170772</v>
      </c>
      <c r="G1815" s="25" t="n">
        <f aca="false">IF(AND(D1815=1,A1815&gt;=$R$2),F1815,"")</f>
        <v>0.0554133071170772</v>
      </c>
      <c r="H1815" s="27" t="n">
        <f aca="false">IF(G1815="","",G1815^2)</f>
        <v>0.00307063460565152</v>
      </c>
      <c r="I1815" s="25" t="n">
        <f aca="false">IF(G1815="","",C1815/C1814-1)</f>
        <v>0.0569773806840532</v>
      </c>
      <c r="J1815" s="17" t="n">
        <f aca="false">AVERAGE(C1616:C1815)</f>
        <v>9323.5497</v>
      </c>
      <c r="K1815" s="17" t="n">
        <f aca="false">MAX(K1814,C1815)</f>
        <v>19650.01</v>
      </c>
      <c r="L1815" s="25" t="n">
        <f aca="false">C1815/K1815-1</f>
        <v>-0.615776276958638</v>
      </c>
      <c r="M1815" s="25" t="n">
        <f aca="false">IF(COUNT(G1786:G1815)&lt;20,"",_xlfn.STDEV.S(G1786:G1815)*SQRT($R$3))</f>
        <v>0.618957169421035</v>
      </c>
      <c r="N1815" s="25" t="n">
        <f aca="false">IF(A1815-7&lt;$R$2,"",C1815/INDEX(Clean_Data!$C$2:$C$4314,MATCH(A1815-7,Clean_Data!$A$2:$A$4314,1))-1)</f>
        <v>0.0617353396146816</v>
      </c>
      <c r="O1815" s="25" t="n">
        <f aca="false">IF(A1815-30&lt;$R$2,"",C1815/INDEX(Clean_Data!$C$2:$C$4314,MATCH(A1815-30,Clean_Data!$A$2:$A$4314,1))-1)</f>
        <v>0.0347497755757937</v>
      </c>
    </row>
    <row r="1816" customFormat="false" ht="15" hidden="false" customHeight="false" outlineLevel="0" collapsed="false">
      <c r="A1816" s="16" t="n">
        <v>43822</v>
      </c>
      <c r="B1816" s="23" t="n">
        <f aca="false">YEAR(A1816)</f>
        <v>2019</v>
      </c>
      <c r="C1816" s="17" t="n">
        <v>7318.18</v>
      </c>
      <c r="D1816" s="23" t="n">
        <f aca="false">A1816-A1815</f>
        <v>1</v>
      </c>
      <c r="E1816" s="24" t="n">
        <f aca="false">LN(C1816)</f>
        <v>8.89811694216105</v>
      </c>
      <c r="F1816" s="25" t="n">
        <f aca="false">LN(C1816/C1815)</f>
        <v>-0.0311859000820219</v>
      </c>
      <c r="G1816" s="25" t="n">
        <f aca="false">IF(AND(D1816=1,A1816&gt;=$R$2),F1816,"")</f>
        <v>-0.0311859000820219</v>
      </c>
      <c r="H1816" s="27" t="n">
        <f aca="false">IF(G1816="","",G1816^2)</f>
        <v>0.000972560363925857</v>
      </c>
      <c r="I1816" s="25" t="n">
        <f aca="false">IF(G1816="","",C1816/C1815-1)</f>
        <v>-0.0307046357615893</v>
      </c>
      <c r="J1816" s="17" t="n">
        <f aca="false">AVERAGE(C1617:C1816)</f>
        <v>9321.07985</v>
      </c>
      <c r="K1816" s="17" t="n">
        <f aca="false">MAX(K1815,C1816)</f>
        <v>19650.01</v>
      </c>
      <c r="L1816" s="25" t="n">
        <f aca="false">C1816/K1816-1</f>
        <v>-0.627573726425585</v>
      </c>
      <c r="M1816" s="25" t="n">
        <f aca="false">IF(COUNT(G1787:G1816)&lt;20,"",_xlfn.STDEV.S(G1787:G1816)*SQRT($R$3))</f>
        <v>0.628817196818745</v>
      </c>
      <c r="N1816" s="25" t="n">
        <f aca="false">IF(A1816-7&lt;$R$2,"",C1816/INDEX(Clean_Data!$C$2:$C$4314,MATCH(A1816-7,Clean_Data!$A$2:$A$4314,1))-1)</f>
        <v>0.0641467840815235</v>
      </c>
      <c r="O1816" s="25" t="n">
        <f aca="false">IF(A1816-30&lt;$R$2,"",C1816/INDEX(Clean_Data!$C$2:$C$4314,MATCH(A1816-30,Clean_Data!$A$2:$A$4314,1))-1)</f>
        <v>-0.002826028897985</v>
      </c>
    </row>
    <row r="1817" customFormat="false" ht="15" hidden="false" customHeight="false" outlineLevel="0" collapsed="false">
      <c r="A1817" s="16" t="n">
        <v>43823</v>
      </c>
      <c r="B1817" s="23" t="n">
        <f aca="false">YEAR(A1817)</f>
        <v>2019</v>
      </c>
      <c r="C1817" s="17" t="n">
        <v>7259.87</v>
      </c>
      <c r="D1817" s="23" t="n">
        <f aca="false">A1817-A1816</f>
        <v>1</v>
      </c>
      <c r="E1817" s="24" t="n">
        <f aca="false">LN(C1817)</f>
        <v>8.89011720132243</v>
      </c>
      <c r="F1817" s="25" t="n">
        <f aca="false">LN(C1817/C1816)</f>
        <v>-0.00799974083861513</v>
      </c>
      <c r="G1817" s="25" t="n">
        <f aca="false">IF(AND(D1817=1,A1817&gt;=$R$2),F1817,"")</f>
        <v>-0.00799974083861513</v>
      </c>
      <c r="H1817" s="27" t="n">
        <f aca="false">IF(G1817="","",G1817^2)</f>
        <v>6.39958534850067E-005</v>
      </c>
      <c r="I1817" s="25" t="n">
        <f aca="false">IF(G1817="","",C1817/C1816-1)</f>
        <v>-0.00796782806654117</v>
      </c>
      <c r="J1817" s="17" t="n">
        <f aca="false">AVERAGE(C1618:C1817)</f>
        <v>9317.41835</v>
      </c>
      <c r="K1817" s="17" t="n">
        <f aca="false">MAX(K1816,C1817)</f>
        <v>19650.01</v>
      </c>
      <c r="L1817" s="25" t="n">
        <f aca="false">C1817/K1817-1</f>
        <v>-0.630541154940888</v>
      </c>
      <c r="M1817" s="25" t="n">
        <f aca="false">IF(COUNT(G1788:G1817)&lt;20,"",_xlfn.STDEV.S(G1788:G1817)*SQRT($R$3))</f>
        <v>0.590508932406572</v>
      </c>
      <c r="N1817" s="25" t="n">
        <f aca="false">IF(A1817-7&lt;$R$2,"",C1817/INDEX(Clean_Data!$C$2:$C$4314,MATCH(A1817-7,Clean_Data!$A$2:$A$4314,1))-1)</f>
        <v>0.096885755640904</v>
      </c>
      <c r="O1817" s="25" t="n">
        <f aca="false">IF(A1817-30&lt;$R$2,"",C1817/INDEX(Clean_Data!$C$2:$C$4314,MATCH(A1817-30,Clean_Data!$A$2:$A$4314,1))-1)</f>
        <v>0.0512028959276019</v>
      </c>
    </row>
    <row r="1818" customFormat="false" ht="15" hidden="false" customHeight="false" outlineLevel="0" collapsed="false">
      <c r="A1818" s="16" t="n">
        <v>43824</v>
      </c>
      <c r="B1818" s="23" t="n">
        <f aca="false">YEAR(A1818)</f>
        <v>2019</v>
      </c>
      <c r="C1818" s="17" t="n">
        <v>7194.76</v>
      </c>
      <c r="D1818" s="23" t="n">
        <f aca="false">A1818-A1817</f>
        <v>1</v>
      </c>
      <c r="E1818" s="24" t="n">
        <f aca="false">LN(C1818)</f>
        <v>8.88110826226756</v>
      </c>
      <c r="F1818" s="25" t="n">
        <f aca="false">LN(C1818/C1817)</f>
        <v>-0.00900893905487309</v>
      </c>
      <c r="G1818" s="25" t="n">
        <f aca="false">IF(AND(D1818=1,A1818&gt;=$R$2),F1818,"")</f>
        <v>-0.00900893905487309</v>
      </c>
      <c r="H1818" s="27" t="n">
        <f aca="false">IF(G1818="","",G1818^2)</f>
        <v>8.11609828944176E-005</v>
      </c>
      <c r="I1818" s="25" t="n">
        <f aca="false">IF(G1818="","",C1818/C1817-1)</f>
        <v>-0.00896848015184837</v>
      </c>
      <c r="J1818" s="17" t="n">
        <f aca="false">AVERAGE(C1619:C1818)</f>
        <v>9313.69895</v>
      </c>
      <c r="K1818" s="17" t="n">
        <f aca="false">MAX(K1817,C1818)</f>
        <v>19650.01</v>
      </c>
      <c r="L1818" s="25" t="n">
        <f aca="false">C1818/K1818-1</f>
        <v>-0.633854639259726</v>
      </c>
      <c r="M1818" s="25" t="n">
        <f aca="false">IF(COUNT(G1789:G1818)&lt;20,"",_xlfn.STDEV.S(G1789:G1818)*SQRT($R$3))</f>
        <v>0.581799019266648</v>
      </c>
      <c r="N1818" s="25" t="n">
        <f aca="false">IF(A1818-7&lt;$R$2,"",C1818/INDEX(Clean_Data!$C$2:$C$4314,MATCH(A1818-7,Clean_Data!$A$2:$A$4314,1))-1)</f>
        <v>-0.0156462063832581</v>
      </c>
      <c r="O1818" s="25" t="n">
        <f aca="false">IF(A1818-30&lt;$R$2,"",C1818/INDEX(Clean_Data!$C$2:$C$4314,MATCH(A1818-30,Clean_Data!$A$2:$A$4314,1))-1)</f>
        <v>0.00979087719298244</v>
      </c>
    </row>
    <row r="1819" customFormat="false" ht="15" hidden="false" customHeight="false" outlineLevel="0" collapsed="false">
      <c r="A1819" s="16" t="n">
        <v>43825</v>
      </c>
      <c r="B1819" s="23" t="n">
        <f aca="false">YEAR(A1819)</f>
        <v>2019</v>
      </c>
      <c r="C1819" s="17" t="n">
        <v>7195</v>
      </c>
      <c r="D1819" s="23" t="n">
        <f aca="false">A1819-A1818</f>
        <v>1</v>
      </c>
      <c r="E1819" s="24" t="n">
        <f aca="false">LN(C1819)</f>
        <v>8.88114161932147</v>
      </c>
      <c r="F1819" s="25" t="n">
        <f aca="false">LN(C1819/C1818)</f>
        <v>3.33570539079782E-005</v>
      </c>
      <c r="G1819" s="25" t="n">
        <f aca="false">IF(AND(D1819=1,A1819&gt;=$R$2),F1819,"")</f>
        <v>3.33570539079782E-005</v>
      </c>
      <c r="H1819" s="27" t="n">
        <f aca="false">IF(G1819="","",G1819^2)</f>
        <v>1.11269304541976E-009</v>
      </c>
      <c r="I1819" s="25" t="n">
        <f aca="false">IF(G1819="","",C1819/C1818-1)</f>
        <v>3.3357610260687E-005</v>
      </c>
      <c r="J1819" s="17" t="n">
        <f aca="false">AVERAGE(C1620:C1819)</f>
        <v>9311.55475</v>
      </c>
      <c r="K1819" s="17" t="n">
        <f aca="false">MAX(K1818,C1819)</f>
        <v>19650.01</v>
      </c>
      <c r="L1819" s="25" t="n">
        <f aca="false">C1819/K1819-1</f>
        <v>-0.633842425525483</v>
      </c>
      <c r="M1819" s="25" t="n">
        <f aca="false">IF(COUNT(G1790:G1819)&lt;20,"",_xlfn.STDEV.S(G1790:G1819)*SQRT($R$3))</f>
        <v>0.581631070287261</v>
      </c>
      <c r="N1819" s="25" t="n">
        <f aca="false">IF(A1819-7&lt;$R$2,"",C1819/INDEX(Clean_Data!$C$2:$C$4314,MATCH(A1819-7,Clean_Data!$A$2:$A$4314,1))-1)</f>
        <v>0.00573246537945971</v>
      </c>
      <c r="O1819" s="25" t="n">
        <f aca="false">IF(A1819-30&lt;$R$2,"",C1819/INDEX(Clean_Data!$C$2:$C$4314,MATCH(A1819-30,Clean_Data!$A$2:$A$4314,1))-1)</f>
        <v>0.00559049615653384</v>
      </c>
    </row>
    <row r="1820" customFormat="false" ht="15" hidden="false" customHeight="false" outlineLevel="0" collapsed="false">
      <c r="A1820" s="16" t="n">
        <v>43826</v>
      </c>
      <c r="B1820" s="23" t="n">
        <f aca="false">YEAR(A1820)</f>
        <v>2019</v>
      </c>
      <c r="C1820" s="17" t="n">
        <v>7247.35</v>
      </c>
      <c r="D1820" s="23" t="n">
        <f aca="false">A1820-A1819</f>
        <v>1</v>
      </c>
      <c r="E1820" s="24" t="n">
        <f aca="false">LN(C1820)</f>
        <v>8.88839116378963</v>
      </c>
      <c r="F1820" s="25" t="n">
        <f aca="false">LN(C1820/C1819)</f>
        <v>0.00724954446816354</v>
      </c>
      <c r="G1820" s="25" t="n">
        <f aca="false">IF(AND(D1820=1,A1820&gt;=$R$2),F1820,"")</f>
        <v>0.00724954446816354</v>
      </c>
      <c r="H1820" s="27" t="n">
        <f aca="false">IF(G1820="","",G1820^2)</f>
        <v>5.25558949958805E-005</v>
      </c>
      <c r="I1820" s="25" t="n">
        <f aca="false">IF(G1820="","",C1820/C1819-1)</f>
        <v>0.00727588603196661</v>
      </c>
      <c r="J1820" s="17" t="n">
        <f aca="false">AVERAGE(C1621:C1820)</f>
        <v>9307.56085</v>
      </c>
      <c r="K1820" s="17" t="n">
        <f aca="false">MAX(K1819,C1820)</f>
        <v>19650.01</v>
      </c>
      <c r="L1820" s="25" t="n">
        <f aca="false">C1820/K1820-1</f>
        <v>-0.631178304743865</v>
      </c>
      <c r="M1820" s="25" t="n">
        <f aca="false">IF(COUNT(G1791:G1820)&lt;20,"",_xlfn.STDEV.S(G1791:G1820)*SQRT($R$3))</f>
        <v>0.551222649735504</v>
      </c>
      <c r="N1820" s="25" t="n">
        <f aca="false">IF(A1820-7&lt;$R$2,"",C1820/INDEX(Clean_Data!$C$2:$C$4314,MATCH(A1820-7,Clean_Data!$A$2:$A$4314,1))-1)</f>
        <v>0.00799458126502994</v>
      </c>
      <c r="O1820" s="25" t="n">
        <f aca="false">IF(A1820-30&lt;$R$2,"",C1820/INDEX(Clean_Data!$C$2:$C$4314,MATCH(A1820-30,Clean_Data!$A$2:$A$4314,1))-1)</f>
        <v>-0.0387365042311059</v>
      </c>
    </row>
    <row r="1821" customFormat="false" ht="15" hidden="false" customHeight="false" outlineLevel="0" collapsed="false">
      <c r="A1821" s="16" t="n">
        <v>43827</v>
      </c>
      <c r="B1821" s="23" t="n">
        <f aca="false">YEAR(A1821)</f>
        <v>2019</v>
      </c>
      <c r="C1821" s="17" t="n">
        <v>7303.7</v>
      </c>
      <c r="D1821" s="23" t="n">
        <f aca="false">A1821-A1820</f>
        <v>1</v>
      </c>
      <c r="E1821" s="24" t="n">
        <f aca="false">LN(C1821)</f>
        <v>8.89613634804682</v>
      </c>
      <c r="F1821" s="25" t="n">
        <f aca="false">LN(C1821/C1820)</f>
        <v>0.00774518425719118</v>
      </c>
      <c r="G1821" s="25" t="n">
        <f aca="false">IF(AND(D1821=1,A1821&gt;=$R$2),F1821,"")</f>
        <v>0.00774518425719118</v>
      </c>
      <c r="H1821" s="27" t="n">
        <f aca="false">IF(G1821="","",G1821^2)</f>
        <v>5.99878791778421E-005</v>
      </c>
      <c r="I1821" s="25" t="n">
        <f aca="false">IF(G1821="","",C1821/C1820-1)</f>
        <v>0.00777525578314831</v>
      </c>
      <c r="J1821" s="17" t="n">
        <f aca="false">AVERAGE(C1622:C1821)</f>
        <v>9304.48835</v>
      </c>
      <c r="K1821" s="17" t="n">
        <f aca="false">MAX(K1820,C1821)</f>
        <v>19650.01</v>
      </c>
      <c r="L1821" s="25" t="n">
        <f aca="false">C1821/K1821-1</f>
        <v>-0.628310621724874</v>
      </c>
      <c r="M1821" s="25" t="n">
        <f aca="false">IF(COUNT(G1792:G1821)&lt;20,"",_xlfn.STDEV.S(G1792:G1821)*SQRT($R$3))</f>
        <v>0.549152588982029</v>
      </c>
      <c r="N1821" s="25" t="n">
        <f aca="false">IF(A1821-7&lt;$R$2,"",C1821/INDEX(Clean_Data!$C$2:$C$4314,MATCH(A1821-7,Clean_Data!$A$2:$A$4314,1))-1)</f>
        <v>0.0224961185830623</v>
      </c>
      <c r="O1821" s="25" t="n">
        <f aca="false">IF(A1821-30&lt;$R$2,"",C1821/INDEX(Clean_Data!$C$2:$C$4314,MATCH(A1821-30,Clean_Data!$A$2:$A$4314,1))-1)</f>
        <v>-0.0147510134155308</v>
      </c>
    </row>
    <row r="1822" customFormat="false" ht="15" hidden="false" customHeight="false" outlineLevel="0" collapsed="false">
      <c r="A1822" s="16" t="n">
        <v>43828</v>
      </c>
      <c r="B1822" s="23" t="n">
        <f aca="false">YEAR(A1822)</f>
        <v>2019</v>
      </c>
      <c r="C1822" s="17" t="n">
        <v>7378.53</v>
      </c>
      <c r="D1822" s="23" t="n">
        <f aca="false">A1822-A1821</f>
        <v>1</v>
      </c>
      <c r="E1822" s="24" t="n">
        <f aca="false">LN(C1822)</f>
        <v>8.90632971076228</v>
      </c>
      <c r="F1822" s="25" t="n">
        <f aca="false">LN(C1822/C1821)</f>
        <v>0.0101933627154617</v>
      </c>
      <c r="G1822" s="25" t="n">
        <f aca="false">IF(AND(D1822=1,A1822&gt;=$R$2),F1822,"")</f>
        <v>0.0101933627154617</v>
      </c>
      <c r="H1822" s="27" t="n">
        <f aca="false">IF(G1822="","",G1822^2)</f>
        <v>0.000103904643448965</v>
      </c>
      <c r="I1822" s="25" t="n">
        <f aca="false">IF(G1822="","",C1822/C1821-1)</f>
        <v>0.0102454920108985</v>
      </c>
      <c r="J1822" s="17" t="n">
        <f aca="false">AVERAGE(C1623:C1822)</f>
        <v>9300.53595</v>
      </c>
      <c r="K1822" s="17" t="n">
        <f aca="false">MAX(K1821,C1822)</f>
        <v>19650.01</v>
      </c>
      <c r="L1822" s="25" t="n">
        <f aca="false">C1822/K1822-1</f>
        <v>-0.624502481169221</v>
      </c>
      <c r="M1822" s="25" t="n">
        <f aca="false">IF(COUNT(G1793:G1822)&lt;20,"",_xlfn.STDEV.S(G1793:G1822)*SQRT($R$3))</f>
        <v>0.52620765363312</v>
      </c>
      <c r="N1822" s="25" t="n">
        <f aca="false">IF(A1822-7&lt;$R$2,"",C1822/INDEX(Clean_Data!$C$2:$C$4314,MATCH(A1822-7,Clean_Data!$A$2:$A$4314,1))-1)</f>
        <v>-0.0227112582781457</v>
      </c>
      <c r="O1822" s="25" t="n">
        <f aca="false">IF(A1822-30&lt;$R$2,"",C1822/INDEX(Clean_Data!$C$2:$C$4314,MATCH(A1822-30,Clean_Data!$A$2:$A$4314,1))-1)</f>
        <v>-0.0480900598481028</v>
      </c>
    </row>
    <row r="1823" customFormat="false" ht="15" hidden="false" customHeight="false" outlineLevel="0" collapsed="false">
      <c r="A1823" s="16" t="n">
        <v>43829</v>
      </c>
      <c r="B1823" s="23" t="n">
        <f aca="false">YEAR(A1823)</f>
        <v>2019</v>
      </c>
      <c r="C1823" s="17" t="n">
        <v>7191</v>
      </c>
      <c r="D1823" s="23" t="n">
        <f aca="false">A1823-A1822</f>
        <v>1</v>
      </c>
      <c r="E1823" s="24" t="n">
        <f aca="false">LN(C1823)</f>
        <v>8.8805855231025</v>
      </c>
      <c r="F1823" s="25" t="n">
        <f aca="false">LN(C1823/C1822)</f>
        <v>-0.0257441876597906</v>
      </c>
      <c r="G1823" s="25" t="n">
        <f aca="false">IF(AND(D1823=1,A1823&gt;=$R$2),F1823,"")</f>
        <v>-0.0257441876597906</v>
      </c>
      <c r="H1823" s="27" t="n">
        <f aca="false">IF(G1823="","",G1823^2)</f>
        <v>0.000662763198262517</v>
      </c>
      <c r="I1823" s="25" t="n">
        <f aca="false">IF(G1823="","",C1823/C1822-1)</f>
        <v>-0.0254156315688897</v>
      </c>
      <c r="J1823" s="17" t="n">
        <f aca="false">AVERAGE(C1624:C1823)</f>
        <v>9295.21095</v>
      </c>
      <c r="K1823" s="17" t="n">
        <f aca="false">MAX(K1822,C1823)</f>
        <v>19650.01</v>
      </c>
      <c r="L1823" s="25" t="n">
        <f aca="false">C1823/K1823-1</f>
        <v>-0.634045987762856</v>
      </c>
      <c r="M1823" s="25" t="n">
        <f aca="false">IF(COUNT(G1794:G1823)&lt;20,"",_xlfn.STDEV.S(G1794:G1823)*SQRT($R$3))</f>
        <v>0.526008788608012</v>
      </c>
      <c r="N1823" s="25" t="n">
        <f aca="false">IF(A1823-7&lt;$R$2,"",C1823/INDEX(Clean_Data!$C$2:$C$4314,MATCH(A1823-7,Clean_Data!$A$2:$A$4314,1))-1)</f>
        <v>-0.0173786378580467</v>
      </c>
      <c r="O1823" s="25" t="n">
        <f aca="false">IF(A1823-30&lt;$R$2,"",C1823/INDEX(Clean_Data!$C$2:$C$4314,MATCH(A1823-30,Clean_Data!$A$2:$A$4314,1))-1)</f>
        <v>-0.0477640796112133</v>
      </c>
    </row>
    <row r="1824" customFormat="false" ht="15" hidden="false" customHeight="false" outlineLevel="0" collapsed="false">
      <c r="A1824" s="16" t="n">
        <v>43830</v>
      </c>
      <c r="B1824" s="23" t="n">
        <f aca="false">YEAR(A1824)</f>
        <v>2019</v>
      </c>
      <c r="C1824" s="17" t="n">
        <v>7158.01</v>
      </c>
      <c r="D1824" s="23" t="n">
        <f aca="false">A1824-A1823</f>
        <v>1</v>
      </c>
      <c r="E1824" s="24" t="n">
        <f aca="false">LN(C1824)</f>
        <v>8.87598728836328</v>
      </c>
      <c r="F1824" s="25" t="n">
        <f aca="false">LN(C1824/C1823)</f>
        <v>-0.00459823473921997</v>
      </c>
      <c r="G1824" s="25" t="n">
        <f aca="false">IF(AND(D1824=1,A1824&gt;=$R$2),F1824,"")</f>
        <v>-0.00459823473921997</v>
      </c>
      <c r="H1824" s="27" t="n">
        <f aca="false">IF(G1824="","",G1824^2)</f>
        <v>2.11437627169693E-005</v>
      </c>
      <c r="I1824" s="25" t="n">
        <f aca="false">IF(G1824="","",C1824/C1823-1)</f>
        <v>-0.00458767904324853</v>
      </c>
      <c r="J1824" s="17" t="n">
        <f aca="false">AVERAGE(C1625:C1824)</f>
        <v>9287.5311</v>
      </c>
      <c r="K1824" s="17" t="n">
        <f aca="false">MAX(K1823,C1824)</f>
        <v>19650.01</v>
      </c>
      <c r="L1824" s="25" t="n">
        <f aca="false">C1824/K1824-1</f>
        <v>-0.635724867315589</v>
      </c>
      <c r="M1824" s="25" t="n">
        <f aca="false">IF(COUNT(G1795:G1824)&lt;20,"",_xlfn.STDEV.S(G1795:G1824)*SQRT($R$3))</f>
        <v>0.52265338413433</v>
      </c>
      <c r="N1824" s="25" t="n">
        <f aca="false">IF(A1824-7&lt;$R$2,"",C1824/INDEX(Clean_Data!$C$2:$C$4314,MATCH(A1824-7,Clean_Data!$A$2:$A$4314,1))-1)</f>
        <v>-0.0140305542661232</v>
      </c>
      <c r="O1824" s="25" t="n">
        <f aca="false">IF(A1824-30&lt;$R$2,"",C1824/INDEX(Clean_Data!$C$2:$C$4314,MATCH(A1824-30,Clean_Data!$A$2:$A$4314,1))-1)</f>
        <v>-0.0345070840482126</v>
      </c>
    </row>
    <row r="1825" customFormat="false" ht="15" hidden="false" customHeight="false" outlineLevel="0" collapsed="false">
      <c r="A1825" s="16" t="n">
        <v>43831</v>
      </c>
      <c r="B1825" s="23" t="n">
        <f aca="false">YEAR(A1825)</f>
        <v>2020</v>
      </c>
      <c r="C1825" s="17" t="n">
        <v>7174.32</v>
      </c>
      <c r="D1825" s="23" t="n">
        <f aca="false">A1825-A1824</f>
        <v>1</v>
      </c>
      <c r="E1825" s="24" t="n">
        <f aca="false">LN(C1825)</f>
        <v>8.87826326261737</v>
      </c>
      <c r="F1825" s="25" t="n">
        <f aca="false">LN(C1825/C1824)</f>
        <v>0.0022759742540902</v>
      </c>
      <c r="G1825" s="25" t="n">
        <f aca="false">IF(AND(D1825=1,A1825&gt;=$R$2),F1825,"")</f>
        <v>0.0022759742540902</v>
      </c>
      <c r="H1825" s="27" t="n">
        <f aca="false">IF(G1825="","",G1825^2)</f>
        <v>5.18005880528142E-006</v>
      </c>
      <c r="I1825" s="25" t="n">
        <f aca="false">IF(G1825="","",C1825/C1824-1)</f>
        <v>0.00227856624955813</v>
      </c>
      <c r="J1825" s="17" t="n">
        <f aca="false">AVERAGE(C1626:C1825)</f>
        <v>9279.09605</v>
      </c>
      <c r="K1825" s="17" t="n">
        <f aca="false">MAX(K1824,C1825)</f>
        <v>19650.01</v>
      </c>
      <c r="L1825" s="25" t="n">
        <f aca="false">C1825/K1825-1</f>
        <v>-0.634894842292701</v>
      </c>
      <c r="M1825" s="25" t="n">
        <f aca="false">IF(COUNT(G1796:G1825)&lt;20,"",_xlfn.STDEV.S(G1796:G1825)*SQRT($R$3))</f>
        <v>0.520891191785601</v>
      </c>
      <c r="N1825" s="25" t="n">
        <f aca="false">IF(A1825-7&lt;$R$2,"",C1825/INDEX(Clean_Data!$C$2:$C$4314,MATCH(A1825-7,Clean_Data!$A$2:$A$4314,1))-1)</f>
        <v>-0.00284095647387828</v>
      </c>
      <c r="O1825" s="25" t="n">
        <f aca="false">IF(A1825-30&lt;$R$2,"",C1825/INDEX(Clean_Data!$C$2:$C$4314,MATCH(A1825-30,Clean_Data!$A$2:$A$4314,1))-1)</f>
        <v>-0.0192437823731493</v>
      </c>
    </row>
    <row r="1826" customFormat="false" ht="15" hidden="false" customHeight="false" outlineLevel="0" collapsed="false">
      <c r="A1826" s="16" t="n">
        <v>43832</v>
      </c>
      <c r="B1826" s="23" t="n">
        <f aca="false">YEAR(A1826)</f>
        <v>2020</v>
      </c>
      <c r="C1826" s="17" t="n">
        <v>6945.01</v>
      </c>
      <c r="D1826" s="23" t="n">
        <f aca="false">A1826-A1825</f>
        <v>1</v>
      </c>
      <c r="E1826" s="24" t="n">
        <f aca="false">LN(C1826)</f>
        <v>8.84577869507222</v>
      </c>
      <c r="F1826" s="25" t="n">
        <f aca="false">LN(C1826/C1825)</f>
        <v>-0.0324845675451476</v>
      </c>
      <c r="G1826" s="25" t="n">
        <f aca="false">IF(AND(D1826=1,A1826&gt;=$R$2),F1826,"")</f>
        <v>-0.0324845675451476</v>
      </c>
      <c r="H1826" s="27" t="n">
        <f aca="false">IF(G1826="","",G1826^2)</f>
        <v>0.00105524712859526</v>
      </c>
      <c r="I1826" s="25" t="n">
        <f aca="false">IF(G1826="","",C1826/C1825-1)</f>
        <v>-0.0319626110906678</v>
      </c>
      <c r="J1826" s="17" t="n">
        <f aca="false">AVERAGE(C1627:C1826)</f>
        <v>9268.83635</v>
      </c>
      <c r="K1826" s="17" t="n">
        <f aca="false">MAX(K1825,C1826)</f>
        <v>19650.01</v>
      </c>
      <c r="L1826" s="25" t="n">
        <f aca="false">C1826/K1826-1</f>
        <v>-0.646564556455696</v>
      </c>
      <c r="M1826" s="25" t="n">
        <f aca="false">IF(COUNT(G1797:G1826)&lt;20,"",_xlfn.STDEV.S(G1797:G1826)*SQRT($R$3))</f>
        <v>0.532599149771975</v>
      </c>
      <c r="N1826" s="25" t="n">
        <f aca="false">IF(A1826-7&lt;$R$2,"",C1826/INDEX(Clean_Data!$C$2:$C$4314,MATCH(A1826-7,Clean_Data!$A$2:$A$4314,1))-1)</f>
        <v>-0.0347449617790132</v>
      </c>
      <c r="O1826" s="25" t="n">
        <f aca="false">IF(A1826-30&lt;$R$2,"",C1826/INDEX(Clean_Data!$C$2:$C$4314,MATCH(A1826-30,Clean_Data!$A$2:$A$4314,1))-1)</f>
        <v>-0.0481071820175438</v>
      </c>
    </row>
    <row r="1827" customFormat="false" ht="15" hidden="false" customHeight="false" outlineLevel="0" collapsed="false">
      <c r="A1827" s="16" t="n">
        <v>43833</v>
      </c>
      <c r="B1827" s="23" t="n">
        <f aca="false">YEAR(A1827)</f>
        <v>2020</v>
      </c>
      <c r="C1827" s="17" t="n">
        <v>7335.54</v>
      </c>
      <c r="D1827" s="23" t="n">
        <f aca="false">A1827-A1826</f>
        <v>1</v>
      </c>
      <c r="E1827" s="24" t="n">
        <f aca="false">LN(C1827)</f>
        <v>8.90048630749919</v>
      </c>
      <c r="F1827" s="25" t="n">
        <f aca="false">LN(C1827/C1826)</f>
        <v>0.0547076124269751</v>
      </c>
      <c r="G1827" s="25" t="n">
        <f aca="false">IF(AND(D1827=1,A1827&gt;=$R$2),F1827,"")</f>
        <v>0.0547076124269751</v>
      </c>
      <c r="H1827" s="27" t="n">
        <f aca="false">IF(G1827="","",G1827^2)</f>
        <v>0.00299292285746012</v>
      </c>
      <c r="I1827" s="25" t="n">
        <f aca="false">IF(G1827="","",C1827/C1826-1)</f>
        <v>0.0562317404870547</v>
      </c>
      <c r="J1827" s="17" t="n">
        <f aca="false">AVERAGE(C1628:C1827)</f>
        <v>9258.7817</v>
      </c>
      <c r="K1827" s="17" t="n">
        <f aca="false">MAX(K1826,C1827)</f>
        <v>19650.01</v>
      </c>
      <c r="L1827" s="25" t="n">
        <f aca="false">C1827/K1827-1</f>
        <v>-0.626690266315386</v>
      </c>
      <c r="M1827" s="25" t="n">
        <f aca="false">IF(COUNT(G1798:G1827)&lt;20,"",_xlfn.STDEV.S(G1798:G1827)*SQRT($R$3))</f>
        <v>0.565017326221129</v>
      </c>
      <c r="N1827" s="25" t="n">
        <f aca="false">IF(A1827-7&lt;$R$2,"",C1827/INDEX(Clean_Data!$C$2:$C$4314,MATCH(A1827-7,Clean_Data!$A$2:$A$4314,1))-1)</f>
        <v>0.0121685857589324</v>
      </c>
      <c r="O1827" s="25" t="n">
        <f aca="false">IF(A1827-30&lt;$R$2,"",C1827/INDEX(Clean_Data!$C$2:$C$4314,MATCH(A1827-30,Clean_Data!$A$2:$A$4314,1))-1)</f>
        <v>0.0208709956203892</v>
      </c>
    </row>
    <row r="1828" customFormat="false" ht="15" hidden="false" customHeight="false" outlineLevel="0" collapsed="false">
      <c r="A1828" s="16" t="n">
        <v>43834</v>
      </c>
      <c r="B1828" s="23" t="n">
        <f aca="false">YEAR(A1828)</f>
        <v>2020</v>
      </c>
      <c r="C1828" s="17" t="n">
        <v>7353.5</v>
      </c>
      <c r="D1828" s="23" t="n">
        <f aca="false">A1828-A1827</f>
        <v>1</v>
      </c>
      <c r="E1828" s="24" t="n">
        <f aca="false">LN(C1828)</f>
        <v>8.90293166934037</v>
      </c>
      <c r="F1828" s="25" t="n">
        <f aca="false">LN(C1828/C1827)</f>
        <v>0.00244536184117656</v>
      </c>
      <c r="G1828" s="25" t="n">
        <f aca="false">IF(AND(D1828=1,A1828&gt;=$R$2),F1828,"")</f>
        <v>0.00244536184117656</v>
      </c>
      <c r="H1828" s="27" t="n">
        <f aca="false">IF(G1828="","",G1828^2)</f>
        <v>5.97979453428242E-006</v>
      </c>
      <c r="I1828" s="25" t="n">
        <f aca="false">IF(G1828="","",C1828/C1827-1)</f>
        <v>0.00244835417706124</v>
      </c>
      <c r="J1828" s="17" t="n">
        <f aca="false">AVERAGE(C1629:C1828)</f>
        <v>9250.09925</v>
      </c>
      <c r="K1828" s="17" t="n">
        <f aca="false">MAX(K1827,C1828)</f>
        <v>19650.01</v>
      </c>
      <c r="L1828" s="25" t="n">
        <f aca="false">C1828/K1828-1</f>
        <v>-0.625776271869582</v>
      </c>
      <c r="M1828" s="25" t="n">
        <f aca="false">IF(COUNT(G1799:G1828)&lt;20,"",_xlfn.STDEV.S(G1799:G1828)*SQRT($R$3))</f>
        <v>0.556510065812971</v>
      </c>
      <c r="N1828" s="25" t="n">
        <f aca="false">IF(A1828-7&lt;$R$2,"",C1828/INDEX(Clean_Data!$C$2:$C$4314,MATCH(A1828-7,Clean_Data!$A$2:$A$4314,1))-1)</f>
        <v>0.00681846187548785</v>
      </c>
      <c r="O1828" s="25" t="n">
        <f aca="false">IF(A1828-30&lt;$R$2,"",C1828/INDEX(Clean_Data!$C$2:$C$4314,MATCH(A1828-30,Clean_Data!$A$2:$A$4314,1))-1)</f>
        <v>-0.00477076636778884</v>
      </c>
    </row>
    <row r="1829" customFormat="false" ht="15" hidden="false" customHeight="false" outlineLevel="0" collapsed="false">
      <c r="A1829" s="16" t="n">
        <v>43835</v>
      </c>
      <c r="B1829" s="23" t="n">
        <f aca="false">YEAR(A1829)</f>
        <v>2020</v>
      </c>
      <c r="C1829" s="17" t="n">
        <v>7348.69</v>
      </c>
      <c r="D1829" s="23" t="n">
        <f aca="false">A1829-A1828</f>
        <v>1</v>
      </c>
      <c r="E1829" s="24" t="n">
        <f aca="false">LN(C1829)</f>
        <v>8.90227734502928</v>
      </c>
      <c r="F1829" s="25" t="n">
        <f aca="false">LN(C1829/C1828)</f>
        <v>-0.000654324311087434</v>
      </c>
      <c r="G1829" s="25" t="n">
        <f aca="false">IF(AND(D1829=1,A1829&gt;=$R$2),F1829,"")</f>
        <v>-0.000654324311087434</v>
      </c>
      <c r="H1829" s="27" t="n">
        <f aca="false">IF(G1829="","",G1829^2)</f>
        <v>4.28140304080046E-007</v>
      </c>
      <c r="I1829" s="25" t="n">
        <f aca="false">IF(G1829="","",C1829/C1828-1)</f>
        <v>-0.000654110287618193</v>
      </c>
      <c r="J1829" s="17" t="n">
        <f aca="false">AVERAGE(C1630:C1829)</f>
        <v>9240.42275</v>
      </c>
      <c r="K1829" s="17" t="n">
        <f aca="false">MAX(K1828,C1829)</f>
        <v>19650.01</v>
      </c>
      <c r="L1829" s="25" t="n">
        <f aca="false">C1829/K1829-1</f>
        <v>-0.626021055460023</v>
      </c>
      <c r="M1829" s="25" t="n">
        <f aca="false">IF(COUNT(G1800:G1829)&lt;20,"",_xlfn.STDEV.S(G1800:G1829)*SQRT($R$3))</f>
        <v>0.550193742444537</v>
      </c>
      <c r="N1829" s="25" t="n">
        <f aca="false">IF(A1829-7&lt;$R$2,"",C1829/INDEX(Clean_Data!$C$2:$C$4314,MATCH(A1829-7,Clean_Data!$A$2:$A$4314,1))-1)</f>
        <v>-0.00404416597886026</v>
      </c>
      <c r="O1829" s="25" t="n">
        <f aca="false">IF(A1829-30&lt;$R$2,"",C1829/INDEX(Clean_Data!$C$2:$C$4314,MATCH(A1829-30,Clean_Data!$A$2:$A$4314,1))-1)</f>
        <v>-0.0280487675842112</v>
      </c>
    </row>
    <row r="1830" customFormat="false" ht="15" hidden="false" customHeight="false" outlineLevel="0" collapsed="false">
      <c r="A1830" s="16" t="n">
        <v>43836</v>
      </c>
      <c r="B1830" s="23" t="n">
        <f aca="false">YEAR(A1830)</f>
        <v>2020</v>
      </c>
      <c r="C1830" s="17" t="n">
        <v>7773.48</v>
      </c>
      <c r="D1830" s="23" t="n">
        <f aca="false">A1830-A1829</f>
        <v>1</v>
      </c>
      <c r="E1830" s="24" t="n">
        <f aca="false">LN(C1830)</f>
        <v>8.95847321954285</v>
      </c>
      <c r="F1830" s="25" t="n">
        <f aca="false">LN(C1830/C1829)</f>
        <v>0.0561958745135692</v>
      </c>
      <c r="G1830" s="25" t="n">
        <f aca="false">IF(AND(D1830=1,A1830&gt;=$R$2),F1830,"")</f>
        <v>0.0561958745135692</v>
      </c>
      <c r="H1830" s="27" t="n">
        <f aca="false">IF(G1830="","",G1830^2)</f>
        <v>0.00315797631234482</v>
      </c>
      <c r="I1830" s="25" t="n">
        <f aca="false">IF(G1830="","",C1830/C1829-1)</f>
        <v>0.0578048604581225</v>
      </c>
      <c r="J1830" s="17" t="n">
        <f aca="false">AVERAGE(C1631:C1830)</f>
        <v>9231.57715</v>
      </c>
      <c r="K1830" s="17" t="n">
        <f aca="false">MAX(K1829,C1830)</f>
        <v>19650.01</v>
      </c>
      <c r="L1830" s="25" t="n">
        <f aca="false">C1830/K1830-1</f>
        <v>-0.604403254756613</v>
      </c>
      <c r="M1830" s="25" t="n">
        <f aca="false">IF(COUNT(G1801:G1830)&lt;20,"",_xlfn.STDEV.S(G1801:G1830)*SQRT($R$3))</f>
        <v>0.584388032812344</v>
      </c>
      <c r="N1830" s="25" t="n">
        <f aca="false">IF(A1830-7&lt;$R$2,"",C1830/INDEX(Clean_Data!$C$2:$C$4314,MATCH(A1830-7,Clean_Data!$A$2:$A$4314,1))-1)</f>
        <v>0.0810012515644556</v>
      </c>
      <c r="O1830" s="25" t="n">
        <f aca="false">IF(A1830-30&lt;$R$2,"",C1830/INDEX(Clean_Data!$C$2:$C$4314,MATCH(A1830-30,Clean_Data!$A$2:$A$4314,1))-1)</f>
        <v>0.0361600597158167</v>
      </c>
    </row>
    <row r="1831" customFormat="false" ht="15" hidden="false" customHeight="false" outlineLevel="0" collapsed="false">
      <c r="A1831" s="16" t="n">
        <v>43837</v>
      </c>
      <c r="B1831" s="23" t="n">
        <f aca="false">YEAR(A1831)</f>
        <v>2020</v>
      </c>
      <c r="C1831" s="17" t="n">
        <v>8169.95</v>
      </c>
      <c r="D1831" s="23" t="n">
        <f aca="false">A1831-A1830</f>
        <v>1</v>
      </c>
      <c r="E1831" s="24" t="n">
        <f aca="false">LN(C1831)</f>
        <v>9.00821806788428</v>
      </c>
      <c r="F1831" s="25" t="n">
        <f aca="false">LN(C1831/C1830)</f>
        <v>0.0497448483414311</v>
      </c>
      <c r="G1831" s="25" t="n">
        <f aca="false">IF(AND(D1831=1,A1831&gt;=$R$2),F1831,"")</f>
        <v>0.0497448483414311</v>
      </c>
      <c r="H1831" s="27" t="n">
        <f aca="false">IF(G1831="","",G1831^2)</f>
        <v>0.00247454993651198</v>
      </c>
      <c r="I1831" s="25" t="n">
        <f aca="false">IF(G1831="","",C1831/C1830-1)</f>
        <v>0.0510028970293872</v>
      </c>
      <c r="J1831" s="17" t="n">
        <f aca="false">AVERAGE(C1632:C1831)</f>
        <v>9221.5475</v>
      </c>
      <c r="K1831" s="17" t="n">
        <f aca="false">MAX(K1830,C1831)</f>
        <v>19650.01</v>
      </c>
      <c r="L1831" s="25" t="n">
        <f aca="false">C1831/K1831-1</f>
        <v>-0.584226674693804</v>
      </c>
      <c r="M1831" s="25" t="n">
        <f aca="false">IF(COUNT(G1802:G1831)&lt;20,"",_xlfn.STDEV.S(G1802:G1831)*SQRT($R$3))</f>
        <v>0.608465476232252</v>
      </c>
      <c r="N1831" s="25" t="n">
        <f aca="false">IF(A1831-7&lt;$R$2,"",C1831/INDEX(Clean_Data!$C$2:$C$4314,MATCH(A1831-7,Clean_Data!$A$2:$A$4314,1))-1)</f>
        <v>0.141371694088161</v>
      </c>
      <c r="O1831" s="25" t="n">
        <f aca="false">IF(A1831-30&lt;$R$2,"",C1831/INDEX(Clean_Data!$C$2:$C$4314,MATCH(A1831-30,Clean_Data!$A$2:$A$4314,1))-1)</f>
        <v>0.0864295212765958</v>
      </c>
    </row>
    <row r="1832" customFormat="false" ht="15" hidden="false" customHeight="false" outlineLevel="0" collapsed="false">
      <c r="A1832" s="16" t="n">
        <v>43838</v>
      </c>
      <c r="B1832" s="23" t="n">
        <f aca="false">YEAR(A1832)</f>
        <v>2020</v>
      </c>
      <c r="C1832" s="17" t="n">
        <v>8035.08</v>
      </c>
      <c r="D1832" s="23" t="n">
        <f aca="false">A1832-A1831</f>
        <v>1</v>
      </c>
      <c r="E1832" s="24" t="n">
        <f aca="false">LN(C1832)</f>
        <v>8.99157223456262</v>
      </c>
      <c r="F1832" s="25" t="n">
        <f aca="false">LN(C1832/C1831)</f>
        <v>-0.0166458333216608</v>
      </c>
      <c r="G1832" s="25" t="n">
        <f aca="false">IF(AND(D1832=1,A1832&gt;=$R$2),F1832,"")</f>
        <v>-0.0166458333216608</v>
      </c>
      <c r="H1832" s="27" t="n">
        <f aca="false">IF(G1832="","",G1832^2)</f>
        <v>0.000277083766972512</v>
      </c>
      <c r="I1832" s="25" t="n">
        <f aca="false">IF(G1832="","",C1832/C1831-1)</f>
        <v>-0.0165080569648529</v>
      </c>
      <c r="J1832" s="17" t="n">
        <f aca="false">AVERAGE(C1633:C1832)</f>
        <v>9208.4314</v>
      </c>
      <c r="K1832" s="17" t="n">
        <f aca="false">MAX(K1831,C1832)</f>
        <v>19650.01</v>
      </c>
      <c r="L1832" s="25" t="n">
        <f aca="false">C1832/K1832-1</f>
        <v>-0.591090284432425</v>
      </c>
      <c r="M1832" s="25" t="n">
        <f aca="false">IF(COUNT(G1803:G1832)&lt;20,"",_xlfn.STDEV.S(G1803:G1832)*SQRT($R$3))</f>
        <v>0.604220456766815</v>
      </c>
      <c r="N1832" s="25" t="n">
        <f aca="false">IF(A1832-7&lt;$R$2,"",C1832/INDEX(Clean_Data!$C$2:$C$4314,MATCH(A1832-7,Clean_Data!$A$2:$A$4314,1))-1)</f>
        <v>0.119977921252467</v>
      </c>
      <c r="O1832" s="25" t="n">
        <f aca="false">IF(A1832-30&lt;$R$2,"",C1832/INDEX(Clean_Data!$C$2:$C$4314,MATCH(A1832-30,Clean_Data!$A$2:$A$4314,1))-1)</f>
        <v>0.0957888578407107</v>
      </c>
    </row>
    <row r="1833" customFormat="false" ht="15" hidden="false" customHeight="false" outlineLevel="0" collapsed="false">
      <c r="A1833" s="16" t="n">
        <v>43839</v>
      </c>
      <c r="B1833" s="23" t="n">
        <f aca="false">YEAR(A1833)</f>
        <v>2020</v>
      </c>
      <c r="C1833" s="17" t="n">
        <v>7813.78</v>
      </c>
      <c r="D1833" s="23" t="n">
        <f aca="false">A1833-A1832</f>
        <v>1</v>
      </c>
      <c r="E1833" s="24" t="n">
        <f aca="false">LN(C1833)</f>
        <v>8.96364412062435</v>
      </c>
      <c r="F1833" s="25" t="n">
        <f aca="false">LN(C1833/C1832)</f>
        <v>-0.0279281139382705</v>
      </c>
      <c r="G1833" s="25" t="n">
        <f aca="false">IF(AND(D1833=1,A1833&gt;=$R$2),F1833,"")</f>
        <v>-0.0279281139382705</v>
      </c>
      <c r="H1833" s="27" t="n">
        <f aca="false">IF(G1833="","",G1833^2)</f>
        <v>0.000779979548149017</v>
      </c>
      <c r="I1833" s="25" t="n">
        <f aca="false">IF(G1833="","",C1833/C1832-1)</f>
        <v>-0.027541729516072</v>
      </c>
      <c r="J1833" s="17" t="n">
        <f aca="false">AVERAGE(C1634:C1833)</f>
        <v>9193.45765</v>
      </c>
      <c r="K1833" s="17" t="n">
        <f aca="false">MAX(K1832,C1833)</f>
        <v>19650.01</v>
      </c>
      <c r="L1833" s="25" t="n">
        <f aca="false">C1833/K1833-1</f>
        <v>-0.602352365215081</v>
      </c>
      <c r="M1833" s="25" t="n">
        <f aca="false">IF(COUNT(G1804:G1833)&lt;20,"",_xlfn.STDEV.S(G1804:G1833)*SQRT($R$3))</f>
        <v>0.610322292504899</v>
      </c>
      <c r="N1833" s="25" t="n">
        <f aca="false">IF(A1833-7&lt;$R$2,"",C1833/INDEX(Clean_Data!$C$2:$C$4314,MATCH(A1833-7,Clean_Data!$A$2:$A$4314,1))-1)</f>
        <v>0.125092692451127</v>
      </c>
      <c r="O1833" s="25" t="n">
        <f aca="false">IF(A1833-30&lt;$R$2,"",C1833/INDEX(Clean_Data!$C$2:$C$4314,MATCH(A1833-30,Clean_Data!$A$2:$A$4314,1))-1)</f>
        <v>0.0828874300309466</v>
      </c>
    </row>
    <row r="1834" customFormat="false" ht="15" hidden="false" customHeight="false" outlineLevel="0" collapsed="false">
      <c r="A1834" s="16" t="n">
        <v>43840</v>
      </c>
      <c r="B1834" s="23" t="n">
        <f aca="false">YEAR(A1834)</f>
        <v>2020</v>
      </c>
      <c r="C1834" s="17" t="n">
        <v>8183.89</v>
      </c>
      <c r="D1834" s="23" t="n">
        <f aca="false">A1834-A1833</f>
        <v>1</v>
      </c>
      <c r="E1834" s="24" t="n">
        <f aca="false">LN(C1834)</f>
        <v>9.00992286668092</v>
      </c>
      <c r="F1834" s="25" t="n">
        <f aca="false">LN(C1834/C1833)</f>
        <v>0.0462787460565684</v>
      </c>
      <c r="G1834" s="25" t="n">
        <f aca="false">IF(AND(D1834=1,A1834&gt;=$R$2),F1834,"")</f>
        <v>0.0462787460565684</v>
      </c>
      <c r="H1834" s="27" t="n">
        <f aca="false">IF(G1834="","",G1834^2)</f>
        <v>0.00214172233656834</v>
      </c>
      <c r="I1834" s="25" t="n">
        <f aca="false">IF(G1834="","",C1834/C1833-1)</f>
        <v>0.0473663195022129</v>
      </c>
      <c r="J1834" s="17" t="n">
        <f aca="false">AVERAGE(C1635:C1834)</f>
        <v>9179.17695</v>
      </c>
      <c r="K1834" s="17" t="n">
        <f aca="false">MAX(K1833,C1834)</f>
        <v>19650.01</v>
      </c>
      <c r="L1834" s="25" t="n">
        <f aca="false">C1834/K1834-1</f>
        <v>-0.58351726029656</v>
      </c>
      <c r="M1834" s="25" t="n">
        <f aca="false">IF(COUNT(G1805:G1834)&lt;20,"",_xlfn.STDEV.S(G1805:G1834)*SQRT($R$3))</f>
        <v>0.628847775958599</v>
      </c>
      <c r="N1834" s="25" t="n">
        <f aca="false">IF(A1834-7&lt;$R$2,"",C1834/INDEX(Clean_Data!$C$2:$C$4314,MATCH(A1834-7,Clean_Data!$A$2:$A$4314,1))-1)</f>
        <v>0.115649290986076</v>
      </c>
      <c r="O1834" s="25" t="n">
        <f aca="false">IF(A1834-30&lt;$R$2,"",C1834/INDEX(Clean_Data!$C$2:$C$4314,MATCH(A1834-30,Clean_Data!$A$2:$A$4314,1))-1)</f>
        <v>0.124907046845641</v>
      </c>
    </row>
    <row r="1835" customFormat="false" ht="15" hidden="false" customHeight="false" outlineLevel="0" collapsed="false">
      <c r="A1835" s="16" t="n">
        <v>43841</v>
      </c>
      <c r="B1835" s="23" t="n">
        <f aca="false">YEAR(A1835)</f>
        <v>2020</v>
      </c>
      <c r="C1835" s="17" t="n">
        <v>8002.89</v>
      </c>
      <c r="D1835" s="23" t="n">
        <f aca="false">A1835-A1834</f>
        <v>1</v>
      </c>
      <c r="E1835" s="24" t="n">
        <f aca="false">LN(C1835)</f>
        <v>8.9875580054269</v>
      </c>
      <c r="F1835" s="25" t="n">
        <f aca="false">LN(C1835/C1834)</f>
        <v>-0.0223648612540162</v>
      </c>
      <c r="G1835" s="25" t="n">
        <f aca="false">IF(AND(D1835=1,A1835&gt;=$R$2),F1835,"")</f>
        <v>-0.0223648612540162</v>
      </c>
      <c r="H1835" s="27" t="n">
        <f aca="false">IF(G1835="","",G1835^2)</f>
        <v>0.000500187018911395</v>
      </c>
      <c r="I1835" s="25" t="n">
        <f aca="false">IF(G1835="","",C1835/C1834-1)</f>
        <v>-0.0221166218021015</v>
      </c>
      <c r="J1835" s="17" t="n">
        <f aca="false">AVERAGE(C1636:C1835)</f>
        <v>9160.50645</v>
      </c>
      <c r="K1835" s="17" t="n">
        <f aca="false">MAX(K1834,C1835)</f>
        <v>19650.01</v>
      </c>
      <c r="L1835" s="25" t="n">
        <f aca="false">C1835/K1835-1</f>
        <v>-0.592728451537684</v>
      </c>
      <c r="M1835" s="25" t="n">
        <f aca="false">IF(COUNT(G1806:G1835)&lt;20,"",_xlfn.STDEV.S(G1806:G1835)*SQRT($R$3))</f>
        <v>0.633418467822844</v>
      </c>
      <c r="N1835" s="25" t="n">
        <f aca="false">IF(A1835-7&lt;$R$2,"",C1835/INDEX(Clean_Data!$C$2:$C$4314,MATCH(A1835-7,Clean_Data!$A$2:$A$4314,1))-1)</f>
        <v>0.0883103284150406</v>
      </c>
      <c r="O1835" s="25" t="n">
        <f aca="false">IF(A1835-30&lt;$R$2,"",C1835/INDEX(Clean_Data!$C$2:$C$4314,MATCH(A1835-30,Clean_Data!$A$2:$A$4314,1))-1)</f>
        <v>0.112410153193063</v>
      </c>
    </row>
    <row r="1836" customFormat="false" ht="15" hidden="false" customHeight="false" outlineLevel="0" collapsed="false">
      <c r="A1836" s="16" t="n">
        <v>43842</v>
      </c>
      <c r="B1836" s="23" t="n">
        <f aca="false">YEAR(A1836)</f>
        <v>2020</v>
      </c>
      <c r="C1836" s="17" t="n">
        <v>8192.66</v>
      </c>
      <c r="D1836" s="23" t="n">
        <f aca="false">A1836-A1835</f>
        <v>1</v>
      </c>
      <c r="E1836" s="24" t="n">
        <f aca="false">LN(C1836)</f>
        <v>9.01099391044024</v>
      </c>
      <c r="F1836" s="25" t="n">
        <f aca="false">LN(C1836/C1835)</f>
        <v>0.0234359050133383</v>
      </c>
      <c r="G1836" s="25" t="n">
        <f aca="false">IF(AND(D1836=1,A1836&gt;=$R$2),F1836,"")</f>
        <v>0.0234359050133383</v>
      </c>
      <c r="H1836" s="27" t="n">
        <f aca="false">IF(G1836="","",G1836^2)</f>
        <v>0.000549241643794218</v>
      </c>
      <c r="I1836" s="25" t="n">
        <f aca="false">IF(G1836="","",C1836/C1835-1)</f>
        <v>0.0237126837929798</v>
      </c>
      <c r="J1836" s="17" t="n">
        <f aca="false">AVERAGE(C1637:C1836)</f>
        <v>9136.95715</v>
      </c>
      <c r="K1836" s="17" t="n">
        <f aca="false">MAX(K1835,C1836)</f>
        <v>19650.01</v>
      </c>
      <c r="L1836" s="25" t="n">
        <f aca="false">C1836/K1836-1</f>
        <v>-0.58307095009112</v>
      </c>
      <c r="M1836" s="25" t="n">
        <f aca="false">IF(COUNT(G1807:G1836)&lt;20,"",_xlfn.STDEV.S(G1807:G1836)*SQRT($R$3))</f>
        <v>0.637088661297214</v>
      </c>
      <c r="N1836" s="25" t="n">
        <f aca="false">IF(A1836-7&lt;$R$2,"",C1836/INDEX(Clean_Data!$C$2:$C$4314,MATCH(A1836-7,Clean_Data!$A$2:$A$4314,1))-1)</f>
        <v>0.11484631954811</v>
      </c>
      <c r="O1836" s="25" t="n">
        <f aca="false">IF(A1836-30&lt;$R$2,"",C1836/INDEX(Clean_Data!$C$2:$C$4314,MATCH(A1836-30,Clean_Data!$A$2:$A$4314,1))-1)</f>
        <v>0.130138979894472</v>
      </c>
    </row>
    <row r="1837" customFormat="false" ht="15" hidden="false" customHeight="false" outlineLevel="0" collapsed="false">
      <c r="A1837" s="16" t="n">
        <v>43843</v>
      </c>
      <c r="B1837" s="23" t="n">
        <f aca="false">YEAR(A1837)</f>
        <v>2020</v>
      </c>
      <c r="C1837" s="17" t="n">
        <v>8109.62</v>
      </c>
      <c r="D1837" s="23" t="n">
        <f aca="false">A1837-A1836</f>
        <v>1</v>
      </c>
      <c r="E1837" s="24" t="n">
        <f aca="false">LN(C1837)</f>
        <v>9.00080629027803</v>
      </c>
      <c r="F1837" s="25" t="n">
        <f aca="false">LN(C1837/C1836)</f>
        <v>-0.0101876201622081</v>
      </c>
      <c r="G1837" s="25" t="n">
        <f aca="false">IF(AND(D1837=1,A1837&gt;=$R$2),F1837,"")</f>
        <v>-0.0101876201622081</v>
      </c>
      <c r="H1837" s="27" t="n">
        <f aca="false">IF(G1837="","",G1837^2)</f>
        <v>0.000103787604569429</v>
      </c>
      <c r="I1837" s="25" t="n">
        <f aca="false">IF(G1837="","",C1837/C1836-1)</f>
        <v>-0.0101359021367907</v>
      </c>
      <c r="J1837" s="17" t="n">
        <f aca="false">AVERAGE(C1638:C1837)</f>
        <v>9121.86825</v>
      </c>
      <c r="K1837" s="17" t="n">
        <f aca="false">MAX(K1836,C1837)</f>
        <v>19650.01</v>
      </c>
      <c r="L1837" s="25" t="n">
        <f aca="false">C1837/K1837-1</f>
        <v>-0.587296902138981</v>
      </c>
      <c r="M1837" s="25" t="n">
        <f aca="false">IF(COUNT(G1808:G1837)&lt;20,"",_xlfn.STDEV.S(G1808:G1837)*SQRT($R$3))</f>
        <v>0.629722429601535</v>
      </c>
      <c r="N1837" s="25" t="n">
        <f aca="false">IF(A1837-7&lt;$R$2,"",C1837/INDEX(Clean_Data!$C$2:$C$4314,MATCH(A1837-7,Clean_Data!$A$2:$A$4314,1))-1)</f>
        <v>0.0432418942352717</v>
      </c>
      <c r="O1837" s="25" t="n">
        <f aca="false">IF(A1837-30&lt;$R$2,"",C1837/INDEX(Clean_Data!$C$2:$C$4314,MATCH(A1837-30,Clean_Data!$A$2:$A$4314,1))-1)</f>
        <v>0.148744608367389</v>
      </c>
    </row>
    <row r="1838" customFormat="false" ht="15" hidden="false" customHeight="false" outlineLevel="0" collapsed="false">
      <c r="A1838" s="16" t="n">
        <v>43844</v>
      </c>
      <c r="B1838" s="23" t="n">
        <f aca="false">YEAR(A1838)</f>
        <v>2020</v>
      </c>
      <c r="C1838" s="17" t="n">
        <v>8757.18</v>
      </c>
      <c r="D1838" s="23" t="n">
        <f aca="false">A1838-A1837</f>
        <v>1</v>
      </c>
      <c r="E1838" s="24" t="n">
        <f aca="false">LN(C1838)</f>
        <v>9.07762921429556</v>
      </c>
      <c r="F1838" s="25" t="n">
        <f aca="false">LN(C1838/C1837)</f>
        <v>0.0768229240175251</v>
      </c>
      <c r="G1838" s="25" t="n">
        <f aca="false">IF(AND(D1838=1,A1838&gt;=$R$2),F1838,"")</f>
        <v>0.0768229240175251</v>
      </c>
      <c r="H1838" s="27" t="n">
        <f aca="false">IF(G1838="","",G1838^2)</f>
        <v>0.00590176165460244</v>
      </c>
      <c r="I1838" s="25" t="n">
        <f aca="false">IF(G1838="","",C1838/C1837-1)</f>
        <v>0.0798508438126571</v>
      </c>
      <c r="J1838" s="17" t="n">
        <f aca="false">AVERAGE(C1639:C1838)</f>
        <v>9104.0655</v>
      </c>
      <c r="K1838" s="17" t="n">
        <f aca="false">MAX(K1837,C1838)</f>
        <v>19650.01</v>
      </c>
      <c r="L1838" s="25" t="n">
        <f aca="false">C1838/K1838-1</f>
        <v>-0.554342211530681</v>
      </c>
      <c r="M1838" s="25" t="n">
        <f aca="false">IF(COUNT(G1809:G1838)&lt;20,"",_xlfn.STDEV.S(G1809:G1838)*SQRT($R$3))</f>
        <v>0.678265123878086</v>
      </c>
      <c r="N1838" s="25" t="n">
        <f aca="false">IF(A1838-7&lt;$R$2,"",C1838/INDEX(Clean_Data!$C$2:$C$4314,MATCH(A1838-7,Clean_Data!$A$2:$A$4314,1))-1)</f>
        <v>0.0718768168715844</v>
      </c>
      <c r="O1838" s="25" t="n">
        <f aca="false">IF(A1838-30&lt;$R$2,"",C1838/INDEX(Clean_Data!$C$2:$C$4314,MATCH(A1838-30,Clean_Data!$A$2:$A$4314,1))-1)</f>
        <v>0.231497679651245</v>
      </c>
    </row>
    <row r="1839" customFormat="false" ht="15" hidden="false" customHeight="false" outlineLevel="0" collapsed="false">
      <c r="A1839" s="16" t="n">
        <v>43845</v>
      </c>
      <c r="B1839" s="23" t="n">
        <f aca="false">YEAR(A1839)</f>
        <v>2020</v>
      </c>
      <c r="C1839" s="17" t="n">
        <v>8831.86</v>
      </c>
      <c r="D1839" s="23" t="n">
        <f aca="false">A1839-A1838</f>
        <v>1</v>
      </c>
      <c r="E1839" s="24" t="n">
        <f aca="false">LN(C1839)</f>
        <v>9.08612091694197</v>
      </c>
      <c r="F1839" s="25" t="n">
        <f aca="false">LN(C1839/C1838)</f>
        <v>0.00849170264640834</v>
      </c>
      <c r="G1839" s="25" t="n">
        <f aca="false">IF(AND(D1839=1,A1839&gt;=$R$2),F1839,"")</f>
        <v>0.00849170264640834</v>
      </c>
      <c r="H1839" s="27" t="n">
        <f aca="false">IF(G1839="","",G1839^2)</f>
        <v>7.21090138350185E-005</v>
      </c>
      <c r="I1839" s="25" t="n">
        <f aca="false">IF(G1839="","",C1839/C1838-1)</f>
        <v>0.00852785942506618</v>
      </c>
      <c r="J1839" s="17" t="n">
        <f aca="false">AVERAGE(C1640:C1839)</f>
        <v>9088.65615</v>
      </c>
      <c r="K1839" s="17" t="n">
        <f aca="false">MAX(K1838,C1839)</f>
        <v>19650.01</v>
      </c>
      <c r="L1839" s="25" t="n">
        <f aca="false">C1839/K1839-1</f>
        <v>-0.550541704558929</v>
      </c>
      <c r="M1839" s="25" t="n">
        <f aca="false">IF(COUNT(G1810:G1839)&lt;20,"",_xlfn.STDEV.S(G1810:G1839)*SQRT($R$3))</f>
        <v>0.662417880488017</v>
      </c>
      <c r="N1839" s="25" t="n">
        <f aca="false">IF(A1839-7&lt;$R$2,"",C1839/INDEX(Clean_Data!$C$2:$C$4314,MATCH(A1839-7,Clean_Data!$A$2:$A$4314,1))-1)</f>
        <v>0.0991626716846628</v>
      </c>
      <c r="O1839" s="25" t="n">
        <f aca="false">IF(A1839-30&lt;$R$2,"",C1839/INDEX(Clean_Data!$C$2:$C$4314,MATCH(A1839-30,Clean_Data!$A$2:$A$4314,1))-1)</f>
        <v>0.284253108895688</v>
      </c>
    </row>
    <row r="1840" customFormat="false" ht="15" hidden="false" customHeight="false" outlineLevel="0" collapsed="false">
      <c r="A1840" s="16" t="n">
        <v>43846</v>
      </c>
      <c r="B1840" s="23" t="n">
        <f aca="false">YEAR(A1840)</f>
        <v>2020</v>
      </c>
      <c r="C1840" s="17" t="n">
        <v>8727.22</v>
      </c>
      <c r="D1840" s="23" t="n">
        <f aca="false">A1840-A1839</f>
        <v>1</v>
      </c>
      <c r="E1840" s="24" t="n">
        <f aca="false">LN(C1840)</f>
        <v>9.07420215596669</v>
      </c>
      <c r="F1840" s="25" t="n">
        <f aca="false">LN(C1840/C1839)</f>
        <v>-0.0119187609752806</v>
      </c>
      <c r="G1840" s="25" t="n">
        <f aca="false">IF(AND(D1840=1,A1840&gt;=$R$2),F1840,"")</f>
        <v>-0.0119187609752806</v>
      </c>
      <c r="H1840" s="27" t="n">
        <f aca="false">IF(G1840="","",G1840^2)</f>
        <v>0.000142056863185872</v>
      </c>
      <c r="I1840" s="25" t="n">
        <f aca="false">IF(G1840="","",C1840/C1839-1)</f>
        <v>-0.0118480138951479</v>
      </c>
      <c r="J1840" s="17" t="n">
        <f aca="false">AVERAGE(C1641:C1840)</f>
        <v>9078.39855</v>
      </c>
      <c r="K1840" s="17" t="n">
        <f aca="false">MAX(K1839,C1840)</f>
        <v>19650.01</v>
      </c>
      <c r="L1840" s="25" t="n">
        <f aca="false">C1840/K1840-1</f>
        <v>-0.555866892688604</v>
      </c>
      <c r="M1840" s="25" t="n">
        <f aca="false">IF(COUNT(G1811:G1840)&lt;20,"",_xlfn.STDEV.S(G1811:G1840)*SQRT($R$3))</f>
        <v>0.645206321061842</v>
      </c>
      <c r="N1840" s="25" t="n">
        <f aca="false">IF(A1840-7&lt;$R$2,"",C1840/INDEX(Clean_Data!$C$2:$C$4314,MATCH(A1840-7,Clean_Data!$A$2:$A$4314,1))-1)</f>
        <v>0.116901166912813</v>
      </c>
      <c r="O1840" s="25" t="n">
        <f aca="false">IF(A1840-30&lt;$R$2,"",C1840/INDEX(Clean_Data!$C$2:$C$4314,MATCH(A1840-30,Clean_Data!$A$2:$A$4314,1))-1)</f>
        <v>0.318586049659899</v>
      </c>
    </row>
    <row r="1841" customFormat="false" ht="15" hidden="false" customHeight="false" outlineLevel="0" collapsed="false">
      <c r="A1841" s="16" t="n">
        <v>43847</v>
      </c>
      <c r="B1841" s="23" t="n">
        <f aca="false">YEAR(A1841)</f>
        <v>2020</v>
      </c>
      <c r="C1841" s="17" t="n">
        <v>8875.81</v>
      </c>
      <c r="D1841" s="23" t="n">
        <f aca="false">A1841-A1840</f>
        <v>1</v>
      </c>
      <c r="E1841" s="24" t="n">
        <f aca="false">LN(C1841)</f>
        <v>9.09108487778462</v>
      </c>
      <c r="F1841" s="25" t="n">
        <f aca="false">LN(C1841/C1840)</f>
        <v>0.0168827218179307</v>
      </c>
      <c r="G1841" s="25" t="n">
        <f aca="false">IF(AND(D1841=1,A1841&gt;=$R$2),F1841,"")</f>
        <v>0.0168827218179307</v>
      </c>
      <c r="H1841" s="27" t="n">
        <f aca="false">IF(G1841="","",G1841^2)</f>
        <v>0.000285026295981634</v>
      </c>
      <c r="I1841" s="25" t="n">
        <f aca="false">IF(G1841="","",C1841/C1840-1)</f>
        <v>0.0170260403656606</v>
      </c>
      <c r="J1841" s="17" t="n">
        <f aca="false">AVERAGE(C1642:C1841)</f>
        <v>9069.9245</v>
      </c>
      <c r="K1841" s="17" t="n">
        <f aca="false">MAX(K1840,C1841)</f>
        <v>19650.01</v>
      </c>
      <c r="L1841" s="25" t="n">
        <f aca="false">C1841/K1841-1</f>
        <v>-0.548305064475794</v>
      </c>
      <c r="M1841" s="25" t="n">
        <f aca="false">IF(COUNT(G1812:G1841)&lt;20,"",_xlfn.STDEV.S(G1812:G1841)*SQRT($R$3))</f>
        <v>0.558746451923234</v>
      </c>
      <c r="N1841" s="25" t="n">
        <f aca="false">IF(A1841-7&lt;$R$2,"",C1841/INDEX(Clean_Data!$C$2:$C$4314,MATCH(A1841-7,Clean_Data!$A$2:$A$4314,1))-1)</f>
        <v>0.0845465909243648</v>
      </c>
      <c r="O1841" s="25" t="n">
        <f aca="false">IF(A1841-30&lt;$R$2,"",C1841/INDEX(Clean_Data!$C$2:$C$4314,MATCH(A1841-30,Clean_Data!$A$2:$A$4314,1))-1)</f>
        <v>0.214347281204851</v>
      </c>
    </row>
    <row r="1842" customFormat="false" ht="15" hidden="false" customHeight="false" outlineLevel="0" collapsed="false">
      <c r="A1842" s="16" t="n">
        <v>43848</v>
      </c>
      <c r="B1842" s="23" t="n">
        <f aca="false">YEAR(A1842)</f>
        <v>2020</v>
      </c>
      <c r="C1842" s="17" t="n">
        <v>8901</v>
      </c>
      <c r="D1842" s="23" t="n">
        <f aca="false">A1842-A1841</f>
        <v>1</v>
      </c>
      <c r="E1842" s="24" t="n">
        <f aca="false">LN(C1842)</f>
        <v>9.09391890895893</v>
      </c>
      <c r="F1842" s="25" t="n">
        <f aca="false">LN(C1842/C1841)</f>
        <v>0.00283403117431577</v>
      </c>
      <c r="G1842" s="25" t="n">
        <f aca="false">IF(AND(D1842=1,A1842&gt;=$R$2),F1842,"")</f>
        <v>0.00283403117431577</v>
      </c>
      <c r="H1842" s="27" t="n">
        <f aca="false">IF(G1842="","",G1842^2)</f>
        <v>8.03173269699364E-006</v>
      </c>
      <c r="I1842" s="25" t="n">
        <f aca="false">IF(G1842="","",C1842/C1841-1)</f>
        <v>0.00283805083705047</v>
      </c>
      <c r="J1842" s="17" t="n">
        <f aca="false">AVERAGE(C1643:C1842)</f>
        <v>9060.00445</v>
      </c>
      <c r="K1842" s="17" t="n">
        <f aca="false">MAX(K1841,C1842)</f>
        <v>19650.01</v>
      </c>
      <c r="L1842" s="25" t="n">
        <f aca="false">C1842/K1842-1</f>
        <v>-0.547023131285938</v>
      </c>
      <c r="M1842" s="25" t="n">
        <f aca="false">IF(COUNT(G1813:G1842)&lt;20,"",_xlfn.STDEV.S(G1813:G1842)*SQRT($R$3))</f>
        <v>0.549819258365651</v>
      </c>
      <c r="N1842" s="25" t="n">
        <f aca="false">IF(A1842-7&lt;$R$2,"",C1842/INDEX(Clean_Data!$C$2:$C$4314,MATCH(A1842-7,Clean_Data!$A$2:$A$4314,1))-1)</f>
        <v>0.112223209365617</v>
      </c>
      <c r="O1842" s="25" t="n">
        <f aca="false">IF(A1842-30&lt;$R$2,"",C1842/INDEX(Clean_Data!$C$2:$C$4314,MATCH(A1842-30,Clean_Data!$A$2:$A$4314,1))-1)</f>
        <v>0.244200788650809</v>
      </c>
    </row>
    <row r="1843" customFormat="false" ht="15" hidden="false" customHeight="false" outlineLevel="0" collapsed="false">
      <c r="A1843" s="16" t="n">
        <v>43849</v>
      </c>
      <c r="B1843" s="23" t="n">
        <f aca="false">YEAR(A1843)</f>
        <v>2020</v>
      </c>
      <c r="C1843" s="17" t="n">
        <v>8710.41</v>
      </c>
      <c r="D1843" s="23" t="n">
        <f aca="false">A1843-A1842</f>
        <v>1</v>
      </c>
      <c r="E1843" s="24" t="n">
        <f aca="false">LN(C1843)</f>
        <v>9.07227414106934</v>
      </c>
      <c r="F1843" s="25" t="n">
        <f aca="false">LN(C1843/C1842)</f>
        <v>-0.021644767889596</v>
      </c>
      <c r="G1843" s="25" t="n">
        <f aca="false">IF(AND(D1843=1,A1843&gt;=$R$2),F1843,"")</f>
        <v>-0.021644767889596</v>
      </c>
      <c r="H1843" s="27" t="n">
        <f aca="false">IF(G1843="","",G1843^2)</f>
        <v>0.000468495976994485</v>
      </c>
      <c r="I1843" s="25" t="n">
        <f aca="false">IF(G1843="","",C1843/C1842-1)</f>
        <v>-0.021412200876306</v>
      </c>
      <c r="J1843" s="17" t="n">
        <f aca="false">AVERAGE(C1644:C1843)</f>
        <v>9043.44345</v>
      </c>
      <c r="K1843" s="17" t="n">
        <f aca="false">MAX(K1842,C1843)</f>
        <v>19650.01</v>
      </c>
      <c r="L1843" s="25" t="n">
        <f aca="false">C1843/K1843-1</f>
        <v>-0.556722362991164</v>
      </c>
      <c r="M1843" s="25" t="n">
        <f aca="false">IF(COUNT(G1814:G1843)&lt;20,"",_xlfn.STDEV.S(G1814:G1843)*SQRT($R$3))</f>
        <v>0.558990409900843</v>
      </c>
      <c r="N1843" s="25" t="n">
        <f aca="false">IF(A1843-7&lt;$R$2,"",C1843/INDEX(Clean_Data!$C$2:$C$4314,MATCH(A1843-7,Clean_Data!$A$2:$A$4314,1))-1)</f>
        <v>0.0631968127567848</v>
      </c>
      <c r="O1843" s="25" t="n">
        <f aca="false">IF(A1843-30&lt;$R$2,"",C1843/INDEX(Clean_Data!$C$2:$C$4314,MATCH(A1843-30,Clean_Data!$A$2:$A$4314,1))-1)</f>
        <v>0.211483656867231</v>
      </c>
    </row>
    <row r="1844" customFormat="false" ht="15" hidden="false" customHeight="false" outlineLevel="0" collapsed="false">
      <c r="A1844" s="16" t="n">
        <v>43850</v>
      </c>
      <c r="B1844" s="23" t="n">
        <f aca="false">YEAR(A1844)</f>
        <v>2020</v>
      </c>
      <c r="C1844" s="17" t="n">
        <v>8633.67</v>
      </c>
      <c r="D1844" s="23" t="n">
        <f aca="false">A1844-A1843</f>
        <v>1</v>
      </c>
      <c r="E1844" s="24" t="n">
        <f aca="false">LN(C1844)</f>
        <v>9.06342495439819</v>
      </c>
      <c r="F1844" s="25" t="n">
        <f aca="false">LN(C1844/C1843)</f>
        <v>-0.00884918667114958</v>
      </c>
      <c r="G1844" s="25" t="n">
        <f aca="false">IF(AND(D1844=1,A1844&gt;=$R$2),F1844,"")</f>
        <v>-0.00884918667114958</v>
      </c>
      <c r="H1844" s="27" t="n">
        <f aca="false">IF(G1844="","",G1844^2)</f>
        <v>7.83081047408514E-005</v>
      </c>
      <c r="I1844" s="25" t="n">
        <f aca="false">IF(G1844="","",C1844/C1843-1)</f>
        <v>-0.00881014785756351</v>
      </c>
      <c r="J1844" s="17" t="n">
        <f aca="false">AVERAGE(C1645:C1844)</f>
        <v>9030.95705</v>
      </c>
      <c r="K1844" s="17" t="n">
        <f aca="false">MAX(K1843,C1844)</f>
        <v>19650.01</v>
      </c>
      <c r="L1844" s="25" t="n">
        <f aca="false">C1844/K1844-1</f>
        <v>-0.560627704515163</v>
      </c>
      <c r="M1844" s="25" t="n">
        <f aca="false">IF(COUNT(G1815:G1844)&lt;20,"",_xlfn.STDEV.S(G1815:G1844)*SQRT($R$3))</f>
        <v>0.559720829755036</v>
      </c>
      <c r="N1844" s="25" t="n">
        <f aca="false">IF(A1844-7&lt;$R$2,"",C1844/INDEX(Clean_Data!$C$2:$C$4314,MATCH(A1844-7,Clean_Data!$A$2:$A$4314,1))-1)</f>
        <v>0.0646207837111974</v>
      </c>
      <c r="O1844" s="25" t="n">
        <f aca="false">IF(A1844-30&lt;$R$2,"",C1844/INDEX(Clean_Data!$C$2:$C$4314,MATCH(A1844-30,Clean_Data!$A$2:$A$4314,1))-1)</f>
        <v>0.208687934078211</v>
      </c>
    </row>
    <row r="1845" customFormat="false" ht="15" hidden="false" customHeight="false" outlineLevel="0" collapsed="false">
      <c r="A1845" s="16" t="n">
        <v>43851</v>
      </c>
      <c r="B1845" s="23" t="n">
        <f aca="false">YEAR(A1845)</f>
        <v>2020</v>
      </c>
      <c r="C1845" s="17" t="n">
        <v>8730</v>
      </c>
      <c r="D1845" s="23" t="n">
        <f aca="false">A1845-A1844</f>
        <v>1</v>
      </c>
      <c r="E1845" s="24" t="n">
        <f aca="false">LN(C1845)</f>
        <v>9.07452064883365</v>
      </c>
      <c r="F1845" s="25" t="n">
        <f aca="false">LN(C1845/C1844)</f>
        <v>0.011095694435462</v>
      </c>
      <c r="G1845" s="25" t="n">
        <f aca="false">IF(AND(D1845=1,A1845&gt;=$R$2),F1845,"")</f>
        <v>0.011095694435462</v>
      </c>
      <c r="H1845" s="27" t="n">
        <f aca="false">IF(G1845="","",G1845^2)</f>
        <v>0.000123114435005143</v>
      </c>
      <c r="I1845" s="25" t="n">
        <f aca="false">IF(G1845="","",C1845/C1844-1)</f>
        <v>0.0111574799592757</v>
      </c>
      <c r="J1845" s="17" t="n">
        <f aca="false">AVERAGE(C1646:C1845)</f>
        <v>9019.414</v>
      </c>
      <c r="K1845" s="17" t="n">
        <f aca="false">MAX(K1844,C1845)</f>
        <v>19650.01</v>
      </c>
      <c r="L1845" s="25" t="n">
        <f aca="false">C1845/K1845-1</f>
        <v>-0.55572541693363</v>
      </c>
      <c r="M1845" s="25" t="n">
        <f aca="false">IF(COUNT(G1816:G1845)&lt;20,"",_xlfn.STDEV.S(G1816:G1845)*SQRT($R$3))</f>
        <v>0.531425801461021</v>
      </c>
      <c r="N1845" s="25" t="n">
        <f aca="false">IF(A1845-7&lt;$R$2,"",C1845/INDEX(Clean_Data!$C$2:$C$4314,MATCH(A1845-7,Clean_Data!$A$2:$A$4314,1))-1)</f>
        <v>-0.00310373887484328</v>
      </c>
      <c r="O1845" s="25" t="n">
        <f aca="false">IF(A1845-30&lt;$R$2,"",C1845/INDEX(Clean_Data!$C$2:$C$4314,MATCH(A1845-30,Clean_Data!$A$2:$A$4314,1))-1)</f>
        <v>0.156291390728477</v>
      </c>
    </row>
    <row r="1846" customFormat="false" ht="15" hidden="false" customHeight="false" outlineLevel="0" collapsed="false">
      <c r="A1846" s="16" t="n">
        <v>43852</v>
      </c>
      <c r="B1846" s="23" t="n">
        <f aca="false">YEAR(A1846)</f>
        <v>2020</v>
      </c>
      <c r="C1846" s="17" t="n">
        <v>8665</v>
      </c>
      <c r="D1846" s="23" t="n">
        <f aca="false">A1846-A1845</f>
        <v>1</v>
      </c>
      <c r="E1846" s="24" t="n">
        <f aca="false">LN(C1846)</f>
        <v>9.06704720214971</v>
      </c>
      <c r="F1846" s="25" t="n">
        <f aca="false">LN(C1846/C1845)</f>
        <v>-0.00747344668394141</v>
      </c>
      <c r="G1846" s="25" t="n">
        <f aca="false">IF(AND(D1846=1,A1846&gt;=$R$2),F1846,"")</f>
        <v>-0.00747344668394141</v>
      </c>
      <c r="H1846" s="27" t="n">
        <f aca="false">IF(G1846="","",G1846^2)</f>
        <v>5.58524053377148E-005</v>
      </c>
      <c r="I1846" s="25" t="n">
        <f aca="false">IF(G1846="","",C1846/C1845-1)</f>
        <v>-0.0074455899198167</v>
      </c>
      <c r="J1846" s="17" t="n">
        <f aca="false">AVERAGE(C1647:C1846)</f>
        <v>9006.8</v>
      </c>
      <c r="K1846" s="17" t="n">
        <f aca="false">MAX(K1845,C1846)</f>
        <v>19650.01</v>
      </c>
      <c r="L1846" s="25" t="n">
        <f aca="false">C1846/K1846-1</f>
        <v>-0.55903330329094</v>
      </c>
      <c r="M1846" s="25" t="n">
        <f aca="false">IF(COUNT(G1817:G1846)&lt;20,"",_xlfn.STDEV.S(G1817:G1846)*SQRT($R$3))</f>
        <v>0.517445898982721</v>
      </c>
      <c r="N1846" s="25" t="n">
        <f aca="false">IF(A1846-7&lt;$R$2,"",C1846/INDEX(Clean_Data!$C$2:$C$4314,MATCH(A1846-7,Clean_Data!$A$2:$A$4314,1))-1)</f>
        <v>-0.0188929625243155</v>
      </c>
      <c r="O1846" s="25" t="n">
        <f aca="false">IF(A1846-30&lt;$R$2,"",C1846/INDEX(Clean_Data!$C$2:$C$4314,MATCH(A1846-30,Clean_Data!$A$2:$A$4314,1))-1)</f>
        <v>0.184037561251568</v>
      </c>
    </row>
    <row r="1847" customFormat="false" ht="15" hidden="false" customHeight="false" outlineLevel="0" collapsed="false">
      <c r="A1847" s="16" t="n">
        <v>43853</v>
      </c>
      <c r="B1847" s="23" t="n">
        <f aca="false">YEAR(A1847)</f>
        <v>2020</v>
      </c>
      <c r="C1847" s="17" t="n">
        <v>8386.63</v>
      </c>
      <c r="D1847" s="23" t="n">
        <f aca="false">A1847-A1846</f>
        <v>1</v>
      </c>
      <c r="E1847" s="24" t="n">
        <f aca="false">LN(C1847)</f>
        <v>9.03439405011763</v>
      </c>
      <c r="F1847" s="25" t="n">
        <f aca="false">LN(C1847/C1846)</f>
        <v>-0.0326531520320746</v>
      </c>
      <c r="G1847" s="25" t="n">
        <f aca="false">IF(AND(D1847=1,A1847&gt;=$R$2),F1847,"")</f>
        <v>-0.0326531520320746</v>
      </c>
      <c r="H1847" s="27" t="n">
        <f aca="false">IF(G1847="","",G1847^2)</f>
        <v>0.00106622833762978</v>
      </c>
      <c r="I1847" s="25" t="n">
        <f aca="false">IF(G1847="","",C1847/C1846-1)</f>
        <v>-0.032125793421812</v>
      </c>
      <c r="J1847" s="17" t="n">
        <f aca="false">AVERAGE(C1648:C1847)</f>
        <v>8991.33865</v>
      </c>
      <c r="K1847" s="17" t="n">
        <f aca="false">MAX(K1846,C1847)</f>
        <v>19650.01</v>
      </c>
      <c r="L1847" s="25" t="n">
        <f aca="false">C1847/K1847-1</f>
        <v>-0.573199708295314</v>
      </c>
      <c r="M1847" s="25" t="n">
        <f aca="false">IF(COUNT(G1818:G1847)&lt;20,"",_xlfn.STDEV.S(G1818:G1847)*SQRT($R$3))</f>
        <v>0.532544923490587</v>
      </c>
      <c r="N1847" s="25" t="n">
        <f aca="false">IF(A1847-7&lt;$R$2,"",C1847/INDEX(Clean_Data!$C$2:$C$4314,MATCH(A1847-7,Clean_Data!$A$2:$A$4314,1))-1)</f>
        <v>-0.0390261732831303</v>
      </c>
      <c r="O1847" s="25" t="n">
        <f aca="false">IF(A1847-30&lt;$R$2,"",C1847/INDEX(Clean_Data!$C$2:$C$4314,MATCH(A1847-30,Clean_Data!$A$2:$A$4314,1))-1)</f>
        <v>0.155203881061231</v>
      </c>
    </row>
    <row r="1848" customFormat="false" ht="15" hidden="false" customHeight="false" outlineLevel="0" collapsed="false">
      <c r="A1848" s="16" t="n">
        <v>43854</v>
      </c>
      <c r="B1848" s="23" t="n">
        <f aca="false">YEAR(A1848)</f>
        <v>2020</v>
      </c>
      <c r="C1848" s="17" t="n">
        <v>8424.96</v>
      </c>
      <c r="D1848" s="23" t="n">
        <f aca="false">A1848-A1847</f>
        <v>1</v>
      </c>
      <c r="E1848" s="24" t="n">
        <f aca="false">LN(C1848)</f>
        <v>9.03895400743481</v>
      </c>
      <c r="F1848" s="25" t="n">
        <f aca="false">LN(C1848/C1847)</f>
        <v>0.00455995731717913</v>
      </c>
      <c r="G1848" s="25" t="n">
        <f aca="false">IF(AND(D1848=1,A1848&gt;=$R$2),F1848,"")</f>
        <v>0.00455995731717913</v>
      </c>
      <c r="H1848" s="27" t="n">
        <f aca="false">IF(G1848="","",G1848^2)</f>
        <v>2.07932107344955E-005</v>
      </c>
      <c r="I1848" s="25" t="n">
        <f aca="false">IF(G1848="","",C1848/C1847-1)</f>
        <v>0.00457036974326996</v>
      </c>
      <c r="J1848" s="17" t="n">
        <f aca="false">AVERAGE(C1649:C1848)</f>
        <v>8971.9719</v>
      </c>
      <c r="K1848" s="17" t="n">
        <f aca="false">MAX(K1847,C1848)</f>
        <v>19650.01</v>
      </c>
      <c r="L1848" s="25" t="n">
        <f aca="false">C1848/K1848-1</f>
        <v>-0.571249073155688</v>
      </c>
      <c r="M1848" s="25" t="n">
        <f aca="false">IF(COUNT(G1819:G1848)&lt;20,"",_xlfn.STDEV.S(G1819:G1848)*SQRT($R$3))</f>
        <v>0.530211657367265</v>
      </c>
      <c r="N1848" s="25" t="n">
        <f aca="false">IF(A1848-7&lt;$R$2,"",C1848/INDEX(Clean_Data!$C$2:$C$4314,MATCH(A1848-7,Clean_Data!$A$2:$A$4314,1))-1)</f>
        <v>-0.0507953640287479</v>
      </c>
      <c r="O1848" s="25" t="n">
        <f aca="false">IF(A1848-30&lt;$R$2,"",C1848/INDEX(Clean_Data!$C$2:$C$4314,MATCH(A1848-30,Clean_Data!$A$2:$A$4314,1))-1)</f>
        <v>0.170985550595155</v>
      </c>
    </row>
    <row r="1849" customFormat="false" ht="15" hidden="false" customHeight="false" outlineLevel="0" collapsed="false">
      <c r="A1849" s="16" t="n">
        <v>43855</v>
      </c>
      <c r="B1849" s="23" t="n">
        <f aca="false">YEAR(A1849)</f>
        <v>2020</v>
      </c>
      <c r="C1849" s="17" t="n">
        <v>8304.04</v>
      </c>
      <c r="D1849" s="23" t="n">
        <f aca="false">A1849-A1848</f>
        <v>1</v>
      </c>
      <c r="E1849" s="24" t="n">
        <f aca="false">LN(C1849)</f>
        <v>9.02449742234975</v>
      </c>
      <c r="F1849" s="25" t="n">
        <f aca="false">LN(C1849/C1848)</f>
        <v>-0.0144565850850585</v>
      </c>
      <c r="G1849" s="25" t="n">
        <f aca="false">IF(AND(D1849=1,A1849&gt;=$R$2),F1849,"")</f>
        <v>-0.0144565850850585</v>
      </c>
      <c r="H1849" s="27" t="n">
        <f aca="false">IF(G1849="","",G1849^2)</f>
        <v>0.000208992852321536</v>
      </c>
      <c r="I1849" s="25" t="n">
        <f aca="false">IF(G1849="","",C1849/C1848-1)</f>
        <v>-0.0143525903980551</v>
      </c>
      <c r="J1849" s="17" t="n">
        <f aca="false">AVERAGE(C1650:C1849)</f>
        <v>8950.6948</v>
      </c>
      <c r="K1849" s="17" t="n">
        <f aca="false">MAX(K1848,C1849)</f>
        <v>19650.01</v>
      </c>
      <c r="L1849" s="25" t="n">
        <f aca="false">C1849/K1849-1</f>
        <v>-0.577402759591471</v>
      </c>
      <c r="M1849" s="25" t="n">
        <f aca="false">IF(COUNT(G1820:G1849)&lt;20,"",_xlfn.STDEV.S(G1820:G1849)*SQRT($R$3))</f>
        <v>0.534402332823895</v>
      </c>
      <c r="N1849" s="25" t="n">
        <f aca="false">IF(A1849-7&lt;$R$2,"",C1849/INDEX(Clean_Data!$C$2:$C$4314,MATCH(A1849-7,Clean_Data!$A$2:$A$4314,1))-1)</f>
        <v>-0.0670666217278957</v>
      </c>
      <c r="O1849" s="25" t="n">
        <f aca="false">IF(A1849-30&lt;$R$2,"",C1849/INDEX(Clean_Data!$C$2:$C$4314,MATCH(A1849-30,Clean_Data!$A$2:$A$4314,1))-1)</f>
        <v>0.154140375260598</v>
      </c>
    </row>
    <row r="1850" customFormat="false" ht="15" hidden="false" customHeight="false" outlineLevel="0" collapsed="false">
      <c r="A1850" s="16" t="n">
        <v>43856</v>
      </c>
      <c r="B1850" s="23" t="n">
        <f aca="false">YEAR(A1850)</f>
        <v>2020</v>
      </c>
      <c r="C1850" s="17" t="n">
        <v>8632.92</v>
      </c>
      <c r="D1850" s="23" t="n">
        <f aca="false">A1850-A1849</f>
        <v>1</v>
      </c>
      <c r="E1850" s="24" t="n">
        <f aca="false">LN(C1850)</f>
        <v>9.06333808142553</v>
      </c>
      <c r="F1850" s="25" t="n">
        <f aca="false">LN(C1850/C1849)</f>
        <v>0.0388406590757768</v>
      </c>
      <c r="G1850" s="25" t="n">
        <f aca="false">IF(AND(D1850=1,A1850&gt;=$R$2),F1850,"")</f>
        <v>0.0388406590757768</v>
      </c>
      <c r="H1850" s="27" t="n">
        <f aca="false">IF(G1850="","",G1850^2)</f>
        <v>0.00150859679744072</v>
      </c>
      <c r="I1850" s="25" t="n">
        <f aca="false">IF(G1850="","",C1850/C1849-1)</f>
        <v>0.0396048188592539</v>
      </c>
      <c r="J1850" s="17" t="n">
        <f aca="false">AVERAGE(C1651:C1850)</f>
        <v>8933.44375</v>
      </c>
      <c r="K1850" s="17" t="n">
        <f aca="false">MAX(K1849,C1850)</f>
        <v>19650.01</v>
      </c>
      <c r="L1850" s="25" t="n">
        <f aca="false">C1850/K1850-1</f>
        <v>-0.560665872434671</v>
      </c>
      <c r="M1850" s="25" t="n">
        <f aca="false">IF(COUNT(G1821:G1850)&lt;20,"",_xlfn.STDEV.S(G1821:G1850)*SQRT($R$3))</f>
        <v>0.547442401322217</v>
      </c>
      <c r="N1850" s="25" t="n">
        <f aca="false">IF(A1850-7&lt;$R$2,"",C1850/INDEX(Clean_Data!$C$2:$C$4314,MATCH(A1850-7,Clean_Data!$A$2:$A$4314,1))-1)</f>
        <v>-0.00889625172638253</v>
      </c>
      <c r="O1850" s="25" t="n">
        <f aca="false">IF(A1850-30&lt;$R$2,"",C1850/INDEX(Clean_Data!$C$2:$C$4314,MATCH(A1850-30,Clean_Data!$A$2:$A$4314,1))-1)</f>
        <v>0.191182984125232</v>
      </c>
    </row>
    <row r="1851" customFormat="false" ht="15" hidden="false" customHeight="false" outlineLevel="0" collapsed="false">
      <c r="A1851" s="16" t="n">
        <v>43857</v>
      </c>
      <c r="B1851" s="23" t="n">
        <f aca="false">YEAR(A1851)</f>
        <v>2020</v>
      </c>
      <c r="C1851" s="17" t="n">
        <v>8903.24</v>
      </c>
      <c r="D1851" s="23" t="n">
        <f aca="false">A1851-A1850</f>
        <v>1</v>
      </c>
      <c r="E1851" s="24" t="n">
        <f aca="false">LN(C1851)</f>
        <v>9.09417053441577</v>
      </c>
      <c r="F1851" s="25" t="n">
        <f aca="false">LN(C1851/C1850)</f>
        <v>0.0308324529902393</v>
      </c>
      <c r="G1851" s="25" t="n">
        <f aca="false">IF(AND(D1851=1,A1851&gt;=$R$2),F1851,"")</f>
        <v>0.0308324529902393</v>
      </c>
      <c r="H1851" s="27" t="n">
        <f aca="false">IF(G1851="","",G1851^2)</f>
        <v>0.000950640157395317</v>
      </c>
      <c r="I1851" s="25" t="n">
        <f aca="false">IF(G1851="","",C1851/C1850-1)</f>
        <v>0.0313126960518573</v>
      </c>
      <c r="J1851" s="17" t="n">
        <f aca="false">AVERAGE(C1652:C1851)</f>
        <v>8921.3402</v>
      </c>
      <c r="K1851" s="17" t="n">
        <f aca="false">MAX(K1850,C1851)</f>
        <v>19650.01</v>
      </c>
      <c r="L1851" s="25" t="n">
        <f aca="false">C1851/K1851-1</f>
        <v>-0.546909136433009</v>
      </c>
      <c r="M1851" s="25" t="n">
        <f aca="false">IF(COUNT(G1822:G1851)&lt;20,"",_xlfn.STDEV.S(G1822:G1851)*SQRT($R$3))</f>
        <v>0.554337809871811</v>
      </c>
      <c r="N1851" s="25" t="n">
        <f aca="false">IF(A1851-7&lt;$R$2,"",C1851/INDEX(Clean_Data!$C$2:$C$4314,MATCH(A1851-7,Clean_Data!$A$2:$A$4314,1))-1)</f>
        <v>0.0312231067437139</v>
      </c>
      <c r="O1851" s="25" t="n">
        <f aca="false">IF(A1851-30&lt;$R$2,"",C1851/INDEX(Clean_Data!$C$2:$C$4314,MATCH(A1851-30,Clean_Data!$A$2:$A$4314,1))-1)</f>
        <v>0.219004066432082</v>
      </c>
    </row>
    <row r="1852" customFormat="false" ht="15" hidden="false" customHeight="false" outlineLevel="0" collapsed="false">
      <c r="A1852" s="16" t="n">
        <v>43858</v>
      </c>
      <c r="B1852" s="23" t="n">
        <f aca="false">YEAR(A1852)</f>
        <v>2020</v>
      </c>
      <c r="C1852" s="17" t="n">
        <v>9417.64</v>
      </c>
      <c r="D1852" s="23" t="n">
        <f aca="false">A1852-A1851</f>
        <v>1</v>
      </c>
      <c r="E1852" s="24" t="n">
        <f aca="false">LN(C1852)</f>
        <v>9.15033980539677</v>
      </c>
      <c r="F1852" s="25" t="n">
        <f aca="false">LN(C1852/C1851)</f>
        <v>0.0561692709809976</v>
      </c>
      <c r="G1852" s="25" t="n">
        <f aca="false">IF(AND(D1852=1,A1852&gt;=$R$2),F1852,"")</f>
        <v>0.0561692709809976</v>
      </c>
      <c r="H1852" s="27" t="n">
        <f aca="false">IF(G1852="","",G1852^2)</f>
        <v>0.00315498700253674</v>
      </c>
      <c r="I1852" s="25" t="n">
        <f aca="false">IF(G1852="","",C1852/C1851-1)</f>
        <v>0.0577767194863892</v>
      </c>
      <c r="J1852" s="17" t="n">
        <f aca="false">AVERAGE(C1653:C1852)</f>
        <v>8909.36845</v>
      </c>
      <c r="K1852" s="17" t="n">
        <f aca="false">MAX(K1851,C1852)</f>
        <v>19650.01</v>
      </c>
      <c r="L1852" s="25" t="n">
        <f aca="false">C1852/K1852-1</f>
        <v>-0.520731032706854</v>
      </c>
      <c r="M1852" s="25" t="n">
        <f aca="false">IF(COUNT(G1823:G1852)&lt;20,"",_xlfn.STDEV.S(G1823:G1852)*SQRT($R$3))</f>
        <v>0.580659523902048</v>
      </c>
      <c r="N1852" s="25" t="n">
        <f aca="false">IF(A1852-7&lt;$R$2,"",C1852/INDEX(Clean_Data!$C$2:$C$4314,MATCH(A1852-7,Clean_Data!$A$2:$A$4314,1))-1)</f>
        <v>0.0787674684994273</v>
      </c>
      <c r="O1852" s="25" t="n">
        <f aca="false">IF(A1852-30&lt;$R$2,"",C1852/INDEX(Clean_Data!$C$2:$C$4314,MATCH(A1852-30,Clean_Data!$A$2:$A$4314,1))-1)</f>
        <v>0.276357214783975</v>
      </c>
    </row>
    <row r="1853" customFormat="false" ht="15" hidden="false" customHeight="false" outlineLevel="0" collapsed="false">
      <c r="A1853" s="16" t="n">
        <v>43859</v>
      </c>
      <c r="B1853" s="23" t="n">
        <f aca="false">YEAR(A1853)</f>
        <v>2020</v>
      </c>
      <c r="C1853" s="17" t="n">
        <v>9270</v>
      </c>
      <c r="D1853" s="23" t="n">
        <f aca="false">A1853-A1852</f>
        <v>1</v>
      </c>
      <c r="E1853" s="24" t="n">
        <f aca="false">LN(C1853)</f>
        <v>9.1345386585599</v>
      </c>
      <c r="F1853" s="25" t="n">
        <f aca="false">LN(C1853/C1852)</f>
        <v>-0.0158011468368654</v>
      </c>
      <c r="G1853" s="25" t="n">
        <f aca="false">IF(AND(D1853=1,A1853&gt;=$R$2),F1853,"")</f>
        <v>-0.0158011468368654</v>
      </c>
      <c r="H1853" s="27" t="n">
        <f aca="false">IF(G1853="","",G1853^2)</f>
        <v>0.000249676241360181</v>
      </c>
      <c r="I1853" s="25" t="n">
        <f aca="false">IF(G1853="","",C1853/C1852-1)</f>
        <v>-0.015676963655438</v>
      </c>
      <c r="J1853" s="17" t="n">
        <f aca="false">AVERAGE(C1654:C1853)</f>
        <v>8898.67795</v>
      </c>
      <c r="K1853" s="17" t="n">
        <f aca="false">MAX(K1852,C1853)</f>
        <v>19650.01</v>
      </c>
      <c r="L1853" s="25" t="n">
        <f aca="false">C1853/K1853-1</f>
        <v>-0.528244514888288</v>
      </c>
      <c r="M1853" s="25" t="n">
        <f aca="false">IF(COUNT(G1824:G1853)&lt;20,"",_xlfn.STDEV.S(G1824:G1853)*SQRT($R$3))</f>
        <v>0.574359668128913</v>
      </c>
      <c r="N1853" s="25" t="n">
        <f aca="false">IF(A1853-7&lt;$R$2,"",C1853/INDEX(Clean_Data!$C$2:$C$4314,MATCH(A1853-7,Clean_Data!$A$2:$A$4314,1))-1)</f>
        <v>0.0698211194460474</v>
      </c>
      <c r="O1853" s="25" t="n">
        <f aca="false">IF(A1853-30&lt;$R$2,"",C1853/INDEX(Clean_Data!$C$2:$C$4314,MATCH(A1853-30,Clean_Data!$A$2:$A$4314,1))-1)</f>
        <v>0.289111389236546</v>
      </c>
    </row>
    <row r="1854" customFormat="false" ht="15" hidden="false" customHeight="false" outlineLevel="0" collapsed="false">
      <c r="A1854" s="16" t="n">
        <v>43860</v>
      </c>
      <c r="B1854" s="23" t="n">
        <f aca="false">YEAR(A1854)</f>
        <v>2020</v>
      </c>
      <c r="C1854" s="17" t="n">
        <v>9493.61</v>
      </c>
      <c r="D1854" s="23" t="n">
        <f aca="false">A1854-A1853</f>
        <v>1</v>
      </c>
      <c r="E1854" s="24" t="n">
        <f aca="false">LN(C1854)</f>
        <v>9.15837421969157</v>
      </c>
      <c r="F1854" s="25" t="n">
        <f aca="false">LN(C1854/C1853)</f>
        <v>0.0238355611316721</v>
      </c>
      <c r="G1854" s="25" t="n">
        <f aca="false">IF(AND(D1854=1,A1854&gt;=$R$2),F1854,"")</f>
        <v>0.0238355611316721</v>
      </c>
      <c r="H1854" s="27" t="n">
        <f aca="false">IF(G1854="","",G1854^2)</f>
        <v>0.000568133974461676</v>
      </c>
      <c r="I1854" s="25" t="n">
        <f aca="false">IF(G1854="","",C1854/C1853-1)</f>
        <v>0.0241218985976268</v>
      </c>
      <c r="J1854" s="17" t="n">
        <f aca="false">AVERAGE(C1655:C1854)</f>
        <v>8895.1942</v>
      </c>
      <c r="K1854" s="17" t="n">
        <f aca="false">MAX(K1853,C1854)</f>
        <v>19650.01</v>
      </c>
      <c r="L1854" s="25" t="n">
        <f aca="false">C1854/K1854-1</f>
        <v>-0.516864876913549</v>
      </c>
      <c r="M1854" s="25" t="n">
        <f aca="false">IF(COUNT(G1825:G1854)&lt;20,"",_xlfn.STDEV.S(G1825:G1854)*SQRT($R$3))</f>
        <v>0.574782997884704</v>
      </c>
      <c r="N1854" s="25" t="n">
        <f aca="false">IF(A1854-7&lt;$R$2,"",C1854/INDEX(Clean_Data!$C$2:$C$4314,MATCH(A1854-7,Clean_Data!$A$2:$A$4314,1))-1)</f>
        <v>0.131993422864727</v>
      </c>
      <c r="O1854" s="25" t="n">
        <f aca="false">IF(A1854-30&lt;$R$2,"",C1854/INDEX(Clean_Data!$C$2:$C$4314,MATCH(A1854-30,Clean_Data!$A$2:$A$4314,1))-1)</f>
        <v>0.326291804565794</v>
      </c>
    </row>
    <row r="1855" customFormat="false" ht="15" hidden="false" customHeight="false" outlineLevel="0" collapsed="false">
      <c r="A1855" s="16" t="n">
        <v>43861</v>
      </c>
      <c r="B1855" s="23" t="n">
        <f aca="false">YEAR(A1855)</f>
        <v>2020</v>
      </c>
      <c r="C1855" s="17" t="n">
        <v>9343.28</v>
      </c>
      <c r="D1855" s="23" t="n">
        <f aca="false">A1855-A1854</f>
        <v>1</v>
      </c>
      <c r="E1855" s="24" t="n">
        <f aca="false">LN(C1855)</f>
        <v>9.14241264730462</v>
      </c>
      <c r="F1855" s="25" t="n">
        <f aca="false">LN(C1855/C1854)</f>
        <v>-0.0159615723869583</v>
      </c>
      <c r="G1855" s="25" t="n">
        <f aca="false">IF(AND(D1855=1,A1855&gt;=$R$2),F1855,"")</f>
        <v>-0.0159615723869583</v>
      </c>
      <c r="H1855" s="27" t="n">
        <f aca="false">IF(G1855="","",G1855^2)</f>
        <v>0.000254771793064108</v>
      </c>
      <c r="I1855" s="25" t="n">
        <f aca="false">IF(G1855="","",C1855/C1854-1)</f>
        <v>-0.0158348615542454</v>
      </c>
      <c r="J1855" s="17" t="n">
        <f aca="false">AVERAGE(C1656:C1855)</f>
        <v>8887.6328</v>
      </c>
      <c r="K1855" s="17" t="n">
        <f aca="false">MAX(K1854,C1855)</f>
        <v>19650.01</v>
      </c>
      <c r="L1855" s="25" t="n">
        <f aca="false">C1855/K1855-1</f>
        <v>-0.524515254699616</v>
      </c>
      <c r="M1855" s="25" t="n">
        <f aca="false">IF(COUNT(G1826:G1855)&lt;20,"",_xlfn.STDEV.S(G1826:G1855)*SQRT($R$3))</f>
        <v>0.58111846242145</v>
      </c>
      <c r="N1855" s="25" t="n">
        <f aca="false">IF(A1855-7&lt;$R$2,"",C1855/INDEX(Clean_Data!$C$2:$C$4314,MATCH(A1855-7,Clean_Data!$A$2:$A$4314,1))-1)</f>
        <v>0.108999924035248</v>
      </c>
      <c r="O1855" s="25" t="n">
        <f aca="false">IF(A1855-30&lt;$R$2,"",C1855/INDEX(Clean_Data!$C$2:$C$4314,MATCH(A1855-30,Clean_Data!$A$2:$A$4314,1))-1)</f>
        <v>0.302322728843988</v>
      </c>
    </row>
    <row r="1856" customFormat="false" ht="15" hidden="false" customHeight="false" outlineLevel="0" collapsed="false">
      <c r="A1856" s="16" t="n">
        <v>43862</v>
      </c>
      <c r="B1856" s="23" t="n">
        <f aca="false">YEAR(A1856)</f>
        <v>2020</v>
      </c>
      <c r="C1856" s="17" t="n">
        <v>9375.06</v>
      </c>
      <c r="D1856" s="23" t="n">
        <f aca="false">A1856-A1855</f>
        <v>1</v>
      </c>
      <c r="E1856" s="24" t="n">
        <f aca="false">LN(C1856)</f>
        <v>9.14580825081813</v>
      </c>
      <c r="F1856" s="25" t="n">
        <f aca="false">LN(C1856/C1855)</f>
        <v>0.00339560351351687</v>
      </c>
      <c r="G1856" s="25" t="n">
        <f aca="false">IF(AND(D1856=1,A1856&gt;=$R$2),F1856,"")</f>
        <v>0.00339560351351687</v>
      </c>
      <c r="H1856" s="27" t="n">
        <f aca="false">IF(G1856="","",G1856^2)</f>
        <v>1.15301232210081E-005</v>
      </c>
      <c r="I1856" s="25" t="n">
        <f aca="false">IF(G1856="","",C1856/C1855-1)</f>
        <v>0.00340137510595828</v>
      </c>
      <c r="J1856" s="17" t="n">
        <f aca="false">AVERAGE(C1657:C1856)</f>
        <v>8887.3281</v>
      </c>
      <c r="K1856" s="17" t="n">
        <f aca="false">MAX(K1855,C1856)</f>
        <v>19650.01</v>
      </c>
      <c r="L1856" s="25" t="n">
        <f aca="false">C1856/K1856-1</f>
        <v>-0.522897952723688</v>
      </c>
      <c r="M1856" s="25" t="n">
        <f aca="false">IF(COUNT(G1827:G1856)&lt;20,"",_xlfn.STDEV.S(G1827:G1856)*SQRT($R$3))</f>
        <v>0.562200626781437</v>
      </c>
      <c r="N1856" s="25" t="n">
        <f aca="false">IF(A1856-7&lt;$R$2,"",C1856/INDEX(Clean_Data!$C$2:$C$4314,MATCH(A1856-7,Clean_Data!$A$2:$A$4314,1))-1)</f>
        <v>0.128975775646553</v>
      </c>
      <c r="O1856" s="25" t="n">
        <f aca="false">IF(A1856-30&lt;$R$2,"",C1856/INDEX(Clean_Data!$C$2:$C$4314,MATCH(A1856-30,Clean_Data!$A$2:$A$4314,1))-1)</f>
        <v>0.349898704249526</v>
      </c>
    </row>
    <row r="1857" customFormat="false" ht="15" hidden="false" customHeight="false" outlineLevel="0" collapsed="false">
      <c r="A1857" s="16" t="n">
        <v>43863</v>
      </c>
      <c r="B1857" s="23" t="n">
        <f aca="false">YEAR(A1857)</f>
        <v>2020</v>
      </c>
      <c r="C1857" s="17" t="n">
        <v>9314.06</v>
      </c>
      <c r="D1857" s="23" t="n">
        <f aca="false">A1857-A1856</f>
        <v>1</v>
      </c>
      <c r="E1857" s="24" t="n">
        <f aca="false">LN(C1857)</f>
        <v>9.13928036543697</v>
      </c>
      <c r="F1857" s="25" t="n">
        <f aca="false">LN(C1857/C1856)</f>
        <v>-0.00652788538116196</v>
      </c>
      <c r="G1857" s="25" t="n">
        <f aca="false">IF(AND(D1857=1,A1857&gt;=$R$2),F1857,"")</f>
        <v>-0.00652788538116196</v>
      </c>
      <c r="H1857" s="27" t="n">
        <f aca="false">IF(G1857="","",G1857^2)</f>
        <v>4.2613287549588E-005</v>
      </c>
      <c r="I1857" s="25" t="n">
        <f aca="false">IF(G1857="","",C1857/C1856-1)</f>
        <v>-0.00650662502426647</v>
      </c>
      <c r="J1857" s="17" t="n">
        <f aca="false">AVERAGE(C1658:C1857)</f>
        <v>8885.35565</v>
      </c>
      <c r="K1857" s="17" t="n">
        <f aca="false">MAX(K1856,C1857)</f>
        <v>19650.01</v>
      </c>
      <c r="L1857" s="25" t="n">
        <f aca="false">C1857/K1857-1</f>
        <v>-0.526002276843625</v>
      </c>
      <c r="M1857" s="25" t="n">
        <f aca="false">IF(COUNT(G1828:G1857)&lt;20,"",_xlfn.STDEV.S(G1828:G1857)*SQRT($R$3))</f>
        <v>0.541090679509556</v>
      </c>
      <c r="N1857" s="25" t="n">
        <f aca="false">IF(A1857-7&lt;$R$2,"",C1857/INDEX(Clean_Data!$C$2:$C$4314,MATCH(A1857-7,Clean_Data!$A$2:$A$4314,1))-1)</f>
        <v>0.0789003025627482</v>
      </c>
      <c r="O1857" s="25" t="n">
        <f aca="false">IF(A1857-30&lt;$R$2,"",C1857/INDEX(Clean_Data!$C$2:$C$4314,MATCH(A1857-30,Clean_Data!$A$2:$A$4314,1))-1)</f>
        <v>0.269717021514435</v>
      </c>
    </row>
    <row r="1858" customFormat="false" ht="15" hidden="false" customHeight="false" outlineLevel="0" collapsed="false">
      <c r="A1858" s="16" t="n">
        <v>43864</v>
      </c>
      <c r="B1858" s="23" t="n">
        <f aca="false">YEAR(A1858)</f>
        <v>2020</v>
      </c>
      <c r="C1858" s="17" t="n">
        <v>9282.29</v>
      </c>
      <c r="D1858" s="23" t="n">
        <f aca="false">A1858-A1857</f>
        <v>1</v>
      </c>
      <c r="E1858" s="24" t="n">
        <f aca="false">LN(C1858)</f>
        <v>9.1358635625796</v>
      </c>
      <c r="F1858" s="25" t="n">
        <f aca="false">LN(C1858/C1857)</f>
        <v>-0.00341680285737169</v>
      </c>
      <c r="G1858" s="25" t="n">
        <f aca="false">IF(AND(D1858=1,A1858&gt;=$R$2),F1858,"")</f>
        <v>-0.00341680285737169</v>
      </c>
      <c r="H1858" s="27" t="n">
        <f aca="false">IF(G1858="","",G1858^2)</f>
        <v>1.16745417661434E-005</v>
      </c>
      <c r="I1858" s="25" t="n">
        <f aca="false">IF(G1858="","",C1858/C1857-1)</f>
        <v>-0.00341097222908149</v>
      </c>
      <c r="J1858" s="17" t="n">
        <f aca="false">AVERAGE(C1659:C1858)</f>
        <v>8878.49585</v>
      </c>
      <c r="K1858" s="17" t="n">
        <f aca="false">MAX(K1857,C1858)</f>
        <v>19650.01</v>
      </c>
      <c r="L1858" s="25" t="n">
        <f aca="false">C1858/K1858-1</f>
        <v>-0.527619069913959</v>
      </c>
      <c r="M1858" s="25" t="n">
        <f aca="false">IF(COUNT(G1829:G1858)&lt;20,"",_xlfn.STDEV.S(G1829:G1858)*SQRT($R$3))</f>
        <v>0.542227782479121</v>
      </c>
      <c r="N1858" s="25" t="n">
        <f aca="false">IF(A1858-7&lt;$R$2,"",C1858/INDEX(Clean_Data!$C$2:$C$4314,MATCH(A1858-7,Clean_Data!$A$2:$A$4314,1))-1)</f>
        <v>0.0425743886495256</v>
      </c>
      <c r="O1858" s="25" t="n">
        <f aca="false">IF(A1858-30&lt;$R$2,"",C1858/INDEX(Clean_Data!$C$2:$C$4314,MATCH(A1858-30,Clean_Data!$A$2:$A$4314,1))-1)</f>
        <v>0.262295505541579</v>
      </c>
    </row>
    <row r="1859" customFormat="false" ht="15" hidden="false" customHeight="false" outlineLevel="0" collapsed="false">
      <c r="A1859" s="16" t="n">
        <v>43865</v>
      </c>
      <c r="B1859" s="23" t="n">
        <f aca="false">YEAR(A1859)</f>
        <v>2020</v>
      </c>
      <c r="C1859" s="17" t="n">
        <v>9158.57</v>
      </c>
      <c r="D1859" s="23" t="n">
        <f aca="false">A1859-A1858</f>
        <v>1</v>
      </c>
      <c r="E1859" s="24" t="n">
        <f aca="false">LN(C1859)</f>
        <v>9.12244533194407</v>
      </c>
      <c r="F1859" s="25" t="n">
        <f aca="false">LN(C1859/C1858)</f>
        <v>-0.0134182306355265</v>
      </c>
      <c r="G1859" s="25" t="n">
        <f aca="false">IF(AND(D1859=1,A1859&gt;=$R$2),F1859,"")</f>
        <v>-0.0134182306355265</v>
      </c>
      <c r="H1859" s="27" t="n">
        <f aca="false">IF(G1859="","",G1859^2)</f>
        <v>0.000180048913388182</v>
      </c>
      <c r="I1859" s="25" t="n">
        <f aca="false">IF(G1859="","",C1859/C1858-1)</f>
        <v>-0.013328607488023</v>
      </c>
      <c r="J1859" s="17" t="n">
        <f aca="false">AVERAGE(C1660:C1859)</f>
        <v>8871.5485</v>
      </c>
      <c r="K1859" s="17" t="n">
        <f aca="false">MAX(K1858,C1859)</f>
        <v>19650.01</v>
      </c>
      <c r="L1859" s="25" t="n">
        <f aca="false">C1859/K1859-1</f>
        <v>-0.533915249915903</v>
      </c>
      <c r="M1859" s="25" t="n">
        <f aca="false">IF(COUNT(G1830:G1859)&lt;20,"",_xlfn.STDEV.S(G1830:G1859)*SQRT($R$3))</f>
        <v>0.546532752508322</v>
      </c>
      <c r="N1859" s="25" t="n">
        <f aca="false">IF(A1859-7&lt;$R$2,"",C1859/INDEX(Clean_Data!$C$2:$C$4314,MATCH(A1859-7,Clean_Data!$A$2:$A$4314,1))-1)</f>
        <v>-0.0275090149973879</v>
      </c>
      <c r="O1859" s="25" t="n">
        <f aca="false">IF(A1859-30&lt;$R$2,"",C1859/INDEX(Clean_Data!$C$2:$C$4314,MATCH(A1859-30,Clean_Data!$A$2:$A$4314,1))-1)</f>
        <v>0.246286072755824</v>
      </c>
    </row>
    <row r="1860" customFormat="false" ht="15" hidden="false" customHeight="false" outlineLevel="0" collapsed="false">
      <c r="A1860" s="16" t="n">
        <v>43866</v>
      </c>
      <c r="B1860" s="23" t="n">
        <f aca="false">YEAR(A1860)</f>
        <v>2020</v>
      </c>
      <c r="C1860" s="17" t="n">
        <v>9623.44</v>
      </c>
      <c r="D1860" s="23" t="n">
        <f aca="false">A1860-A1859</f>
        <v>1</v>
      </c>
      <c r="E1860" s="24" t="n">
        <f aca="false">LN(C1860)</f>
        <v>9.17195706809786</v>
      </c>
      <c r="F1860" s="25" t="n">
        <f aca="false">LN(C1860/C1859)</f>
        <v>0.0495117361537899</v>
      </c>
      <c r="G1860" s="25" t="n">
        <f aca="false">IF(AND(D1860=1,A1860&gt;=$R$2),F1860,"")</f>
        <v>0.0495117361537899</v>
      </c>
      <c r="H1860" s="27" t="n">
        <f aca="false">IF(G1860="","",G1860^2)</f>
        <v>0.0024514120169625</v>
      </c>
      <c r="I1860" s="25" t="n">
        <f aca="false">IF(G1860="","",C1860/C1859-1)</f>
        <v>0.0507579239990523</v>
      </c>
      <c r="J1860" s="17" t="n">
        <f aca="false">AVERAGE(C1661:C1860)</f>
        <v>8865.8911</v>
      </c>
      <c r="K1860" s="17" t="n">
        <f aca="false">MAX(K1859,C1860)</f>
        <v>19650.01</v>
      </c>
      <c r="L1860" s="25" t="n">
        <f aca="false">C1860/K1860-1</f>
        <v>-0.510257755594017</v>
      </c>
      <c r="M1860" s="25" t="n">
        <f aca="false">IF(COUNT(G1831:G1860)&lt;20,"",_xlfn.STDEV.S(G1831:G1860)*SQRT($R$3))</f>
        <v>0.539463770606566</v>
      </c>
      <c r="N1860" s="25" t="n">
        <f aca="false">IF(A1860-7&lt;$R$2,"",C1860/INDEX(Clean_Data!$C$2:$C$4314,MATCH(A1860-7,Clean_Data!$A$2:$A$4314,1))-1)</f>
        <v>0.0381272923408846</v>
      </c>
      <c r="O1860" s="25" t="n">
        <f aca="false">IF(A1860-30&lt;$R$2,"",C1860/INDEX(Clean_Data!$C$2:$C$4314,MATCH(A1860-30,Clean_Data!$A$2:$A$4314,1))-1)</f>
        <v>0.237983502884165</v>
      </c>
    </row>
    <row r="1861" customFormat="false" ht="15" hidden="false" customHeight="false" outlineLevel="0" collapsed="false">
      <c r="A1861" s="16" t="n">
        <v>43867</v>
      </c>
      <c r="B1861" s="23" t="n">
        <f aca="false">YEAR(A1861)</f>
        <v>2020</v>
      </c>
      <c r="C1861" s="17" t="n">
        <v>9765.96</v>
      </c>
      <c r="D1861" s="23" t="n">
        <f aca="false">A1861-A1860</f>
        <v>1</v>
      </c>
      <c r="E1861" s="24" t="n">
        <f aca="false">LN(C1861)</f>
        <v>9.1866581487705</v>
      </c>
      <c r="F1861" s="25" t="n">
        <f aca="false">LN(C1861/C1860)</f>
        <v>0.0147010806726366</v>
      </c>
      <c r="G1861" s="25" t="n">
        <f aca="false">IF(AND(D1861=1,A1861&gt;=$R$2),F1861,"")</f>
        <v>0.0147010806726366</v>
      </c>
      <c r="H1861" s="27" t="n">
        <f aca="false">IF(G1861="","",G1861^2)</f>
        <v>0.000216121772943369</v>
      </c>
      <c r="I1861" s="25" t="n">
        <f aca="false">IF(G1861="","",C1861/C1860-1)</f>
        <v>0.0148096730483069</v>
      </c>
      <c r="J1861" s="17" t="n">
        <f aca="false">AVERAGE(C1662:C1861)</f>
        <v>8861.5532</v>
      </c>
      <c r="K1861" s="17" t="n">
        <f aca="false">MAX(K1860,C1861)</f>
        <v>19650.01</v>
      </c>
      <c r="L1861" s="25" t="n">
        <f aca="false">C1861/K1861-1</f>
        <v>-0.503004833076421</v>
      </c>
      <c r="M1861" s="25" t="n">
        <f aca="false">IF(COUNT(G1832:G1861)&lt;20,"",_xlfn.STDEV.S(G1832:G1861)*SQRT($R$3))</f>
        <v>0.518033094728735</v>
      </c>
      <c r="N1861" s="25" t="n">
        <f aca="false">IF(A1861-7&lt;$R$2,"",C1861/INDEX(Clean_Data!$C$2:$C$4314,MATCH(A1861-7,Clean_Data!$A$2:$A$4314,1))-1)</f>
        <v>0.0286877173172269</v>
      </c>
      <c r="O1861" s="25" t="n">
        <f aca="false">IF(A1861-30&lt;$R$2,"",C1861/INDEX(Clean_Data!$C$2:$C$4314,MATCH(A1861-30,Clean_Data!$A$2:$A$4314,1))-1)</f>
        <v>0.195351256739637</v>
      </c>
    </row>
    <row r="1862" customFormat="false" ht="15" hidden="false" customHeight="false" outlineLevel="0" collapsed="false">
      <c r="A1862" s="16" t="n">
        <v>43868</v>
      </c>
      <c r="B1862" s="23" t="n">
        <f aca="false">YEAR(A1862)</f>
        <v>2020</v>
      </c>
      <c r="C1862" s="17" t="n">
        <v>9804.98</v>
      </c>
      <c r="D1862" s="23" t="n">
        <f aca="false">A1862-A1861</f>
        <v>1</v>
      </c>
      <c r="E1862" s="24" t="n">
        <f aca="false">LN(C1862)</f>
        <v>9.19064569885274</v>
      </c>
      <c r="F1862" s="25" t="n">
        <f aca="false">LN(C1862/C1861)</f>
        <v>0.00398755008224368</v>
      </c>
      <c r="G1862" s="25" t="n">
        <f aca="false">IF(AND(D1862=1,A1862&gt;=$R$2),F1862,"")</f>
        <v>0.00398755008224368</v>
      </c>
      <c r="H1862" s="27" t="n">
        <f aca="false">IF(G1862="","",G1862^2)</f>
        <v>1.59005556584016E-005</v>
      </c>
      <c r="I1862" s="25" t="n">
        <f aca="false">IF(G1862="","",C1862/C1861-1)</f>
        <v>0.00399551093799277</v>
      </c>
      <c r="J1862" s="17" t="n">
        <f aca="false">AVERAGE(C1663:C1862)</f>
        <v>8859.0549</v>
      </c>
      <c r="K1862" s="17" t="n">
        <f aca="false">MAX(K1861,C1862)</f>
        <v>19650.01</v>
      </c>
      <c r="L1862" s="25" t="n">
        <f aca="false">C1862/K1862-1</f>
        <v>-0.501019083450848</v>
      </c>
      <c r="M1862" s="25" t="n">
        <f aca="false">IF(COUNT(G1833:G1862)&lt;20,"",_xlfn.STDEV.S(G1833:G1862)*SQRT($R$3))</f>
        <v>0.511666905615539</v>
      </c>
      <c r="N1862" s="25" t="n">
        <f aca="false">IF(A1862-7&lt;$R$2,"",C1862/INDEX(Clean_Data!$C$2:$C$4314,MATCH(A1862-7,Clean_Data!$A$2:$A$4314,1))-1)</f>
        <v>0.0494151946639723</v>
      </c>
      <c r="O1862" s="25" t="n">
        <f aca="false">IF(A1862-30&lt;$R$2,"",C1862/INDEX(Clean_Data!$C$2:$C$4314,MATCH(A1862-30,Clean_Data!$A$2:$A$4314,1))-1)</f>
        <v>0.220271608994559</v>
      </c>
    </row>
    <row r="1863" customFormat="false" ht="15" hidden="false" customHeight="false" outlineLevel="0" collapsed="false">
      <c r="A1863" s="16" t="n">
        <v>43869</v>
      </c>
      <c r="B1863" s="23" t="n">
        <f aca="false">YEAR(A1863)</f>
        <v>2020</v>
      </c>
      <c r="C1863" s="17" t="n">
        <v>9911.13</v>
      </c>
      <c r="D1863" s="23" t="n">
        <f aca="false">A1863-A1862</f>
        <v>1</v>
      </c>
      <c r="E1863" s="24" t="n">
        <f aca="false">LN(C1863)</f>
        <v>9.20141364705966</v>
      </c>
      <c r="F1863" s="25" t="n">
        <f aca="false">LN(C1863/C1862)</f>
        <v>0.01076794820692</v>
      </c>
      <c r="G1863" s="25" t="n">
        <f aca="false">IF(AND(D1863=1,A1863&gt;=$R$2),F1863,"")</f>
        <v>0.01076794820692</v>
      </c>
      <c r="H1863" s="27" t="n">
        <f aca="false">IF(G1863="","",G1863^2)</f>
        <v>0.000115948708586911</v>
      </c>
      <c r="I1863" s="25" t="n">
        <f aca="false">IF(G1863="","",C1863/C1862-1)</f>
        <v>0.0108261312108744</v>
      </c>
      <c r="J1863" s="17" t="n">
        <f aca="false">AVERAGE(C1664:C1863)</f>
        <v>8859.4446</v>
      </c>
      <c r="K1863" s="17" t="n">
        <f aca="false">MAX(K1862,C1863)</f>
        <v>19650.01</v>
      </c>
      <c r="L1863" s="25" t="n">
        <f aca="false">C1863/K1863-1</f>
        <v>-0.495617050576565</v>
      </c>
      <c r="M1863" s="25" t="n">
        <f aca="false">IF(COUNT(G1834:G1863)&lt;20,"",_xlfn.STDEV.S(G1834:G1863)*SQRT($R$3))</f>
        <v>0.496340046031268</v>
      </c>
      <c r="N1863" s="25" t="n">
        <f aca="false">IF(A1863-7&lt;$R$2,"",C1863/INDEX(Clean_Data!$C$2:$C$4314,MATCH(A1863-7,Clean_Data!$A$2:$A$4314,1))-1)</f>
        <v>0.057180434045222</v>
      </c>
      <c r="O1863" s="25" t="n">
        <f aca="false">IF(A1863-30&lt;$R$2,"",C1863/INDEX(Clean_Data!$C$2:$C$4314,MATCH(A1863-30,Clean_Data!$A$2:$A$4314,1))-1)</f>
        <v>0.268416822587787</v>
      </c>
    </row>
    <row r="1864" customFormat="false" ht="15" hidden="false" customHeight="false" outlineLevel="0" collapsed="false">
      <c r="A1864" s="16" t="n">
        <v>43870</v>
      </c>
      <c r="B1864" s="23" t="n">
        <f aca="false">YEAR(A1864)</f>
        <v>2020</v>
      </c>
      <c r="C1864" s="17" t="n">
        <v>10174.81</v>
      </c>
      <c r="D1864" s="23" t="n">
        <f aca="false">A1864-A1863</f>
        <v>1</v>
      </c>
      <c r="E1864" s="24" t="n">
        <f aca="false">LN(C1864)</f>
        <v>9.22767033691778</v>
      </c>
      <c r="F1864" s="25" t="n">
        <f aca="false">LN(C1864/C1863)</f>
        <v>0.0262566898581141</v>
      </c>
      <c r="G1864" s="25" t="n">
        <f aca="false">IF(AND(D1864=1,A1864&gt;=$R$2),F1864,"")</f>
        <v>0.0262566898581141</v>
      </c>
      <c r="H1864" s="27" t="n">
        <f aca="false">IF(G1864="","",G1864^2)</f>
        <v>0.00068941376230519</v>
      </c>
      <c r="I1864" s="25" t="n">
        <f aca="false">IF(G1864="","",C1864/C1863-1)</f>
        <v>0.0266044336014157</v>
      </c>
      <c r="J1864" s="17" t="n">
        <f aca="false">AVERAGE(C1665:C1864)</f>
        <v>8861.56245</v>
      </c>
      <c r="K1864" s="17" t="n">
        <f aca="false">MAX(K1863,C1864)</f>
        <v>19650.01</v>
      </c>
      <c r="L1864" s="25" t="n">
        <f aca="false">C1864/K1864-1</f>
        <v>-0.482198227888943</v>
      </c>
      <c r="M1864" s="25" t="n">
        <f aca="false">IF(COUNT(G1835:G1864)&lt;20,"",_xlfn.STDEV.S(G1835:G1864)*SQRT($R$3))</f>
        <v>0.4815607483179</v>
      </c>
      <c r="N1864" s="25" t="n">
        <f aca="false">IF(A1864-7&lt;$R$2,"",C1864/INDEX(Clean_Data!$C$2:$C$4314,MATCH(A1864-7,Clean_Data!$A$2:$A$4314,1))-1)</f>
        <v>0.0924140492975136</v>
      </c>
      <c r="O1864" s="25" t="n">
        <f aca="false">IF(A1864-30&lt;$R$2,"",C1864/INDEX(Clean_Data!$C$2:$C$4314,MATCH(A1864-30,Clean_Data!$A$2:$A$4314,1))-1)</f>
        <v>0.243273064520662</v>
      </c>
    </row>
    <row r="1865" customFormat="false" ht="15" hidden="false" customHeight="false" outlineLevel="0" collapsed="false">
      <c r="A1865" s="16" t="n">
        <v>43871</v>
      </c>
      <c r="B1865" s="23" t="n">
        <f aca="false">YEAR(A1865)</f>
        <v>2020</v>
      </c>
      <c r="C1865" s="17" t="n">
        <v>9854.5</v>
      </c>
      <c r="D1865" s="23" t="n">
        <f aca="false">A1865-A1864</f>
        <v>1</v>
      </c>
      <c r="E1865" s="24" t="n">
        <f aca="false">LN(C1865)</f>
        <v>9.19568348263255</v>
      </c>
      <c r="F1865" s="25" t="n">
        <f aca="false">LN(C1865/C1864)</f>
        <v>-0.0319868542852267</v>
      </c>
      <c r="G1865" s="25" t="n">
        <f aca="false">IF(AND(D1865=1,A1865&gt;=$R$2),F1865,"")</f>
        <v>-0.0319868542852267</v>
      </c>
      <c r="H1865" s="27" t="n">
        <f aca="false">IF(G1865="","",G1865^2)</f>
        <v>0.00102315884706432</v>
      </c>
      <c r="I1865" s="25" t="n">
        <f aca="false">IF(G1865="","",C1865/C1864-1)</f>
        <v>-0.0314806861258342</v>
      </c>
      <c r="J1865" s="17" t="n">
        <f aca="false">AVERAGE(C1666:C1865)</f>
        <v>8861.4316</v>
      </c>
      <c r="K1865" s="17" t="n">
        <f aca="false">MAX(K1864,C1865)</f>
        <v>19650.01</v>
      </c>
      <c r="L1865" s="25" t="n">
        <f aca="false">C1865/K1865-1</f>
        <v>-0.498498982952171</v>
      </c>
      <c r="M1865" s="25" t="n">
        <f aca="false">IF(COUNT(G1836:G1865)&lt;20,"",_xlfn.STDEV.S(G1836:G1865)*SQRT($R$3))</f>
        <v>0.490104229193078</v>
      </c>
      <c r="N1865" s="25" t="n">
        <f aca="false">IF(A1865-7&lt;$R$2,"",C1865/INDEX(Clean_Data!$C$2:$C$4314,MATCH(A1865-7,Clean_Data!$A$2:$A$4314,1))-1)</f>
        <v>0.0616453482922856</v>
      </c>
      <c r="O1865" s="25" t="n">
        <f aca="false">IF(A1865-30&lt;$R$2,"",C1865/INDEX(Clean_Data!$C$2:$C$4314,MATCH(A1865-30,Clean_Data!$A$2:$A$4314,1))-1)</f>
        <v>0.23136766842978</v>
      </c>
    </row>
    <row r="1866" customFormat="false" ht="15" hidden="false" customHeight="false" outlineLevel="0" collapsed="false">
      <c r="A1866" s="16" t="n">
        <v>43872</v>
      </c>
      <c r="B1866" s="23" t="n">
        <f aca="false">YEAR(A1866)</f>
        <v>2020</v>
      </c>
      <c r="C1866" s="17" t="n">
        <v>10279.99</v>
      </c>
      <c r="D1866" s="23" t="n">
        <f aca="false">A1866-A1865</f>
        <v>1</v>
      </c>
      <c r="E1866" s="24" t="n">
        <f aca="false">LN(C1866)</f>
        <v>9.23795456624604</v>
      </c>
      <c r="F1866" s="25" t="n">
        <f aca="false">LN(C1866/C1865)</f>
        <v>0.042271083613488</v>
      </c>
      <c r="G1866" s="25" t="n">
        <f aca="false">IF(AND(D1866=1,A1866&gt;=$R$2),F1866,"")</f>
        <v>0.042271083613488</v>
      </c>
      <c r="H1866" s="27" t="n">
        <f aca="false">IF(G1866="","",G1866^2)</f>
        <v>0.00178684450985849</v>
      </c>
      <c r="I1866" s="25" t="n">
        <f aca="false">IF(G1866="","",C1866/C1865-1)</f>
        <v>0.043177228677254</v>
      </c>
      <c r="J1866" s="17" t="n">
        <f aca="false">AVERAGE(C1667:C1866)</f>
        <v>8863.62175</v>
      </c>
      <c r="K1866" s="17" t="n">
        <f aca="false">MAX(K1865,C1866)</f>
        <v>19650.01</v>
      </c>
      <c r="L1866" s="25" t="n">
        <f aca="false">C1866/K1866-1</f>
        <v>-0.476845558857222</v>
      </c>
      <c r="M1866" s="25" t="n">
        <f aca="false">IF(COUNT(G1837:G1866)&lt;20,"",_xlfn.STDEV.S(G1837:G1866)*SQRT($R$3))</f>
        <v>0.502335326722587</v>
      </c>
      <c r="N1866" s="25" t="n">
        <f aca="false">IF(A1866-7&lt;$R$2,"",C1866/INDEX(Clean_Data!$C$2:$C$4314,MATCH(A1866-7,Clean_Data!$A$2:$A$4314,1))-1)</f>
        <v>0.12244487949538</v>
      </c>
      <c r="O1866" s="25" t="n">
        <f aca="false">IF(A1866-30&lt;$R$2,"",C1866/INDEX(Clean_Data!$C$2:$C$4314,MATCH(A1866-30,Clean_Data!$A$2:$A$4314,1))-1)</f>
        <v>0.254780498641467</v>
      </c>
    </row>
    <row r="1867" customFormat="false" ht="15" hidden="false" customHeight="false" outlineLevel="0" collapsed="false">
      <c r="A1867" s="16" t="n">
        <v>43873</v>
      </c>
      <c r="B1867" s="23" t="n">
        <f aca="false">YEAR(A1867)</f>
        <v>2020</v>
      </c>
      <c r="C1867" s="17" t="n">
        <v>10344.01</v>
      </c>
      <c r="D1867" s="23" t="n">
        <f aca="false">A1867-A1866</f>
        <v>1</v>
      </c>
      <c r="E1867" s="24" t="n">
        <f aca="false">LN(C1867)</f>
        <v>9.24416288719523</v>
      </c>
      <c r="F1867" s="25" t="n">
        <f aca="false">LN(C1867/C1866)</f>
        <v>0.00620832094919518</v>
      </c>
      <c r="G1867" s="25" t="n">
        <f aca="false">IF(AND(D1867=1,A1867&gt;=$R$2),F1867,"")</f>
        <v>0.00620832094919518</v>
      </c>
      <c r="H1867" s="27" t="n">
        <f aca="false">IF(G1867="","",G1867^2)</f>
        <v>3.85432490082158E-005</v>
      </c>
      <c r="I1867" s="25" t="n">
        <f aca="false">IF(G1867="","",C1867/C1866-1)</f>
        <v>0.00622763251715219</v>
      </c>
      <c r="J1867" s="17" t="n">
        <f aca="false">AVERAGE(C1668:C1867)</f>
        <v>8867.9972</v>
      </c>
      <c r="K1867" s="17" t="n">
        <f aca="false">MAX(K1866,C1867)</f>
        <v>19650.01</v>
      </c>
      <c r="L1867" s="25" t="n">
        <f aca="false">C1867/K1867-1</f>
        <v>-0.473587545248069</v>
      </c>
      <c r="M1867" s="25" t="n">
        <f aca="false">IF(COUNT(G1838:G1867)&lt;20,"",_xlfn.STDEV.S(G1838:G1867)*SQRT($R$3))</f>
        <v>0.498281450052845</v>
      </c>
      <c r="N1867" s="25" t="n">
        <f aca="false">IF(A1867-7&lt;$R$2,"",C1867/INDEX(Clean_Data!$C$2:$C$4314,MATCH(A1867-7,Clean_Data!$A$2:$A$4314,1))-1)</f>
        <v>0.074876551420282</v>
      </c>
      <c r="O1867" s="25" t="n">
        <f aca="false">IF(A1867-30&lt;$R$2,"",C1867/INDEX(Clean_Data!$C$2:$C$4314,MATCH(A1867-30,Clean_Data!$A$2:$A$4314,1))-1)</f>
        <v>0.275523390738407</v>
      </c>
    </row>
    <row r="1868" customFormat="false" ht="15" hidden="false" customHeight="false" outlineLevel="0" collapsed="false">
      <c r="A1868" s="16" t="n">
        <v>43874</v>
      </c>
      <c r="B1868" s="23" t="n">
        <f aca="false">YEAR(A1868)</f>
        <v>2020</v>
      </c>
      <c r="C1868" s="17" t="n">
        <v>10239.57</v>
      </c>
      <c r="D1868" s="23" t="n">
        <f aca="false">A1868-A1867</f>
        <v>1</v>
      </c>
      <c r="E1868" s="24" t="n">
        <f aca="false">LN(C1868)</f>
        <v>9.2340149055243</v>
      </c>
      <c r="F1868" s="25" t="n">
        <f aca="false">LN(C1868/C1867)</f>
        <v>-0.0101479816709301</v>
      </c>
      <c r="G1868" s="25" t="n">
        <f aca="false">IF(AND(D1868=1,A1868&gt;=$R$2),F1868,"")</f>
        <v>-0.0101479816709301</v>
      </c>
      <c r="H1868" s="27" t="n">
        <f aca="false">IF(G1868="","",G1868^2)</f>
        <v>0.000102981531993533</v>
      </c>
      <c r="I1868" s="25" t="n">
        <f aca="false">IF(G1868="","",C1868/C1867-1)</f>
        <v>-0.0100966646397287</v>
      </c>
      <c r="J1868" s="17" t="n">
        <f aca="false">AVERAGE(C1669:C1868)</f>
        <v>8871.44655</v>
      </c>
      <c r="K1868" s="17" t="n">
        <f aca="false">MAX(K1867,C1868)</f>
        <v>19650.01</v>
      </c>
      <c r="L1868" s="25" t="n">
        <f aca="false">C1868/K1868-1</f>
        <v>-0.478902555265875</v>
      </c>
      <c r="M1868" s="25" t="n">
        <f aca="false">IF(COUNT(G1839:G1868)&lt;20,"",_xlfn.STDEV.S(G1839:G1868)*SQRT($R$3))</f>
        <v>0.435758501082143</v>
      </c>
      <c r="N1868" s="25" t="n">
        <f aca="false">IF(A1868-7&lt;$R$2,"",C1868/INDEX(Clean_Data!$C$2:$C$4314,MATCH(A1868-7,Clean_Data!$A$2:$A$4314,1))-1)</f>
        <v>0.0484960003932027</v>
      </c>
      <c r="O1868" s="25" t="n">
        <f aca="false">IF(A1868-30&lt;$R$2,"",C1868/INDEX(Clean_Data!$C$2:$C$4314,MATCH(A1868-30,Clean_Data!$A$2:$A$4314,1))-1)</f>
        <v>0.169277096051468</v>
      </c>
    </row>
    <row r="1869" customFormat="false" ht="15" hidden="false" customHeight="false" outlineLevel="0" collapsed="false">
      <c r="A1869" s="16" t="n">
        <v>43875</v>
      </c>
      <c r="B1869" s="23" t="n">
        <f aca="false">YEAR(A1869)</f>
        <v>2020</v>
      </c>
      <c r="C1869" s="17" t="n">
        <v>10380</v>
      </c>
      <c r="D1869" s="23" t="n">
        <f aca="false">A1869-A1868</f>
        <v>1</v>
      </c>
      <c r="E1869" s="24" t="n">
        <f aca="false">LN(C1869)</f>
        <v>9.24763615671988</v>
      </c>
      <c r="F1869" s="25" t="n">
        <f aca="false">LN(C1869/C1868)</f>
        <v>0.0136212511955774</v>
      </c>
      <c r="G1869" s="25" t="n">
        <f aca="false">IF(AND(D1869=1,A1869&gt;=$R$2),F1869,"")</f>
        <v>0.0136212511955774</v>
      </c>
      <c r="H1869" s="27" t="n">
        <f aca="false">IF(G1869="","",G1869^2)</f>
        <v>0.00018553848413302</v>
      </c>
      <c r="I1869" s="25" t="n">
        <f aca="false">IF(G1869="","",C1869/C1868-1)</f>
        <v>0.0137144430869656</v>
      </c>
      <c r="J1869" s="17" t="n">
        <f aca="false">AVERAGE(C1670:C1869)</f>
        <v>8875.82995</v>
      </c>
      <c r="K1869" s="17" t="n">
        <f aca="false">MAX(K1868,C1869)</f>
        <v>19650.01</v>
      </c>
      <c r="L1869" s="25" t="n">
        <f aca="false">C1869/K1869-1</f>
        <v>-0.471755994017306</v>
      </c>
      <c r="M1869" s="25" t="n">
        <f aca="false">IF(COUNT(G1840:G1869)&lt;20,"",_xlfn.STDEV.S(G1840:G1869)*SQRT($R$3))</f>
        <v>0.436610786306823</v>
      </c>
      <c r="N1869" s="25" t="n">
        <f aca="false">IF(A1869-7&lt;$R$2,"",C1869/INDEX(Clean_Data!$C$2:$C$4314,MATCH(A1869-7,Clean_Data!$A$2:$A$4314,1))-1)</f>
        <v>0.0586457086092986</v>
      </c>
      <c r="O1869" s="25" t="n">
        <f aca="false">IF(A1869-30&lt;$R$2,"",C1869/INDEX(Clean_Data!$C$2:$C$4314,MATCH(A1869-30,Clean_Data!$A$2:$A$4314,1))-1)</f>
        <v>0.175290369186106</v>
      </c>
    </row>
    <row r="1870" customFormat="false" ht="15" hidden="false" customHeight="false" outlineLevel="0" collapsed="false">
      <c r="A1870" s="16" t="n">
        <v>43876</v>
      </c>
      <c r="B1870" s="23" t="n">
        <f aca="false">YEAR(A1870)</f>
        <v>2020</v>
      </c>
      <c r="C1870" s="17" t="n">
        <v>9901.34</v>
      </c>
      <c r="D1870" s="23" t="n">
        <f aca="false">A1870-A1869</f>
        <v>1</v>
      </c>
      <c r="E1870" s="24" t="n">
        <f aca="false">LN(C1870)</f>
        <v>9.20042538049857</v>
      </c>
      <c r="F1870" s="25" t="n">
        <f aca="false">LN(C1870/C1869)</f>
        <v>-0.047210776221308</v>
      </c>
      <c r="G1870" s="25" t="n">
        <f aca="false">IF(AND(D1870=1,A1870&gt;=$R$2),F1870,"")</f>
        <v>-0.047210776221308</v>
      </c>
      <c r="H1870" s="27" t="n">
        <f aca="false">IF(G1870="","",G1870^2)</f>
        <v>0.00222885739141842</v>
      </c>
      <c r="I1870" s="25" t="n">
        <f aca="false">IF(G1870="","",C1870/C1869-1)</f>
        <v>-0.0461136801541425</v>
      </c>
      <c r="J1870" s="17" t="n">
        <f aca="false">AVERAGE(C1671:C1870)</f>
        <v>8877.43665</v>
      </c>
      <c r="K1870" s="17" t="n">
        <f aca="false">MAX(K1869,C1870)</f>
        <v>19650.01</v>
      </c>
      <c r="L1870" s="25" t="n">
        <f aca="false">C1870/K1870-1</f>
        <v>-0.496115269152535</v>
      </c>
      <c r="M1870" s="25" t="n">
        <f aca="false">IF(COUNT(G1841:G1870)&lt;20,"",_xlfn.STDEV.S(G1841:G1870)*SQRT($R$3))</f>
        <v>0.470270410005628</v>
      </c>
      <c r="N1870" s="25" t="n">
        <f aca="false">IF(A1870-7&lt;$R$2,"",C1870/INDEX(Clean_Data!$C$2:$C$4314,MATCH(A1870-7,Clean_Data!$A$2:$A$4314,1))-1)</f>
        <v>-0.000987778386520866</v>
      </c>
      <c r="O1870" s="25" t="n">
        <f aca="false">IF(A1870-30&lt;$R$2,"",C1870/INDEX(Clean_Data!$C$2:$C$4314,MATCH(A1870-30,Clean_Data!$A$2:$A$4314,1))-1)</f>
        <v>0.134535396151352</v>
      </c>
    </row>
    <row r="1871" customFormat="false" ht="15" hidden="false" customHeight="false" outlineLevel="0" collapsed="false">
      <c r="A1871" s="16" t="n">
        <v>43877</v>
      </c>
      <c r="B1871" s="23" t="n">
        <f aca="false">YEAR(A1871)</f>
        <v>2020</v>
      </c>
      <c r="C1871" s="17" t="n">
        <v>9915.04</v>
      </c>
      <c r="D1871" s="23" t="n">
        <f aca="false">A1871-A1870</f>
        <v>1</v>
      </c>
      <c r="E1871" s="24" t="n">
        <f aca="false">LN(C1871)</f>
        <v>9.20180807523724</v>
      </c>
      <c r="F1871" s="25" t="n">
        <f aca="false">LN(C1871/C1870)</f>
        <v>0.00138269473866474</v>
      </c>
      <c r="G1871" s="25" t="n">
        <f aca="false">IF(AND(D1871=1,A1871&gt;=$R$2),F1871,"")</f>
        <v>0.00138269473866474</v>
      </c>
      <c r="H1871" s="27" t="n">
        <f aca="false">IF(G1871="","",G1871^2)</f>
        <v>1.91184474033115E-006</v>
      </c>
      <c r="I1871" s="25" t="n">
        <f aca="false">IF(G1871="","",C1871/C1870-1)</f>
        <v>0.00138365110177019</v>
      </c>
      <c r="J1871" s="17" t="n">
        <f aca="false">AVERAGE(C1672:C1871)</f>
        <v>8876.51685</v>
      </c>
      <c r="K1871" s="17" t="n">
        <f aca="false">MAX(K1870,C1871)</f>
        <v>19650.01</v>
      </c>
      <c r="L1871" s="25" t="n">
        <f aca="false">C1871/K1871-1</f>
        <v>-0.495418068489533</v>
      </c>
      <c r="M1871" s="25" t="n">
        <f aca="false">IF(COUNT(G1842:G1871)&lt;20,"",_xlfn.STDEV.S(G1842:G1871)*SQRT($R$3))</f>
        <v>0.468115110612195</v>
      </c>
      <c r="N1871" s="25" t="n">
        <f aca="false">IF(A1871-7&lt;$R$2,"",C1871/INDEX(Clean_Data!$C$2:$C$4314,MATCH(A1871-7,Clean_Data!$A$2:$A$4314,1))-1)</f>
        <v>-0.0255306978705252</v>
      </c>
      <c r="O1871" s="25" t="n">
        <f aca="false">IF(A1871-30&lt;$R$2,"",C1871/INDEX(Clean_Data!$C$2:$C$4314,MATCH(A1871-30,Clean_Data!$A$2:$A$4314,1))-1)</f>
        <v>0.117085651901066</v>
      </c>
    </row>
    <row r="1872" customFormat="false" ht="15" hidden="false" customHeight="false" outlineLevel="0" collapsed="false">
      <c r="A1872" s="16" t="n">
        <v>43878</v>
      </c>
      <c r="B1872" s="23" t="n">
        <f aca="false">YEAR(A1872)</f>
        <v>2020</v>
      </c>
      <c r="C1872" s="17" t="n">
        <v>9711.95</v>
      </c>
      <c r="D1872" s="23" t="n">
        <f aca="false">A1872-A1871</f>
        <v>1</v>
      </c>
      <c r="E1872" s="24" t="n">
        <f aca="false">LN(C1872)</f>
        <v>9.18111236501585</v>
      </c>
      <c r="F1872" s="25" t="n">
        <f aca="false">LN(C1872/C1871)</f>
        <v>-0.0206957102213903</v>
      </c>
      <c r="G1872" s="25" t="n">
        <f aca="false">IF(AND(D1872=1,A1872&gt;=$R$2),F1872,"")</f>
        <v>-0.0206957102213903</v>
      </c>
      <c r="H1872" s="27" t="n">
        <f aca="false">IF(G1872="","",G1872^2)</f>
        <v>0.000428312421567758</v>
      </c>
      <c r="I1872" s="25" t="n">
        <f aca="false">IF(G1872="","",C1872/C1871-1)</f>
        <v>-0.0204830237699495</v>
      </c>
      <c r="J1872" s="17" t="n">
        <f aca="false">AVERAGE(C1673:C1872)</f>
        <v>8872.9904</v>
      </c>
      <c r="K1872" s="17" t="n">
        <f aca="false">MAX(K1871,C1872)</f>
        <v>19650.01</v>
      </c>
      <c r="L1872" s="25" t="n">
        <f aca="false">C1872/K1872-1</f>
        <v>-0.505753432186548</v>
      </c>
      <c r="M1872" s="25" t="n">
        <f aca="false">IF(COUNT(G1843:G1872)&lt;20,"",_xlfn.STDEV.S(G1843:G1872)*SQRT($R$3))</f>
        <v>0.475789097180191</v>
      </c>
      <c r="N1872" s="25" t="n">
        <f aca="false">IF(A1872-7&lt;$R$2,"",C1872/INDEX(Clean_Data!$C$2:$C$4314,MATCH(A1872-7,Clean_Data!$A$2:$A$4314,1))-1)</f>
        <v>-0.0144654726267187</v>
      </c>
      <c r="O1872" s="25" t="n">
        <f aca="false">IF(A1872-30&lt;$R$2,"",C1872/INDEX(Clean_Data!$C$2:$C$4314,MATCH(A1872-30,Clean_Data!$A$2:$A$4314,1))-1)</f>
        <v>0.0911077407032919</v>
      </c>
    </row>
    <row r="1873" customFormat="false" ht="15" hidden="false" customHeight="false" outlineLevel="0" collapsed="false">
      <c r="A1873" s="16" t="n">
        <v>43879</v>
      </c>
      <c r="B1873" s="23" t="n">
        <f aca="false">YEAR(A1873)</f>
        <v>2020</v>
      </c>
      <c r="C1873" s="17" t="n">
        <v>10191.51</v>
      </c>
      <c r="D1873" s="23" t="n">
        <f aca="false">A1873-A1872</f>
        <v>1</v>
      </c>
      <c r="E1873" s="24" t="n">
        <f aca="false">LN(C1873)</f>
        <v>9.22931029973314</v>
      </c>
      <c r="F1873" s="25" t="n">
        <f aca="false">LN(C1873/C1872)</f>
        <v>0.0481979347172894</v>
      </c>
      <c r="G1873" s="25" t="n">
        <f aca="false">IF(AND(D1873=1,A1873&gt;=$R$2),F1873,"")</f>
        <v>0.0481979347172894</v>
      </c>
      <c r="H1873" s="27" t="n">
        <f aca="false">IF(G1873="","",G1873^2)</f>
        <v>0.00232304091101209</v>
      </c>
      <c r="I1873" s="25" t="n">
        <f aca="false">IF(G1873="","",C1873/C1872-1)</f>
        <v>0.0493783431751604</v>
      </c>
      <c r="J1873" s="17" t="n">
        <f aca="false">AVERAGE(C1674:C1873)</f>
        <v>8871.2826</v>
      </c>
      <c r="K1873" s="17" t="n">
        <f aca="false">MAX(K1872,C1873)</f>
        <v>19650.01</v>
      </c>
      <c r="L1873" s="25" t="n">
        <f aca="false">C1873/K1873-1</f>
        <v>-0.481348355547911</v>
      </c>
      <c r="M1873" s="25" t="n">
        <f aca="false">IF(COUNT(G1844:G1873)&lt;20,"",_xlfn.STDEV.S(G1844:G1873)*SQRT($R$3))</f>
        <v>0.49250439405978</v>
      </c>
      <c r="N1873" s="25" t="n">
        <f aca="false">IF(A1873-7&lt;$R$2,"",C1873/INDEX(Clean_Data!$C$2:$C$4314,MATCH(A1873-7,Clean_Data!$A$2:$A$4314,1))-1)</f>
        <v>-0.00860701226363059</v>
      </c>
      <c r="O1873" s="25" t="n">
        <f aca="false">IF(A1873-30&lt;$R$2,"",C1873/INDEX(Clean_Data!$C$2:$C$4314,MATCH(A1873-30,Clean_Data!$A$2:$A$4314,1))-1)</f>
        <v>0.170037920143828</v>
      </c>
    </row>
    <row r="1874" customFormat="false" ht="15" hidden="false" customHeight="false" outlineLevel="0" collapsed="false">
      <c r="A1874" s="16" t="n">
        <v>43880</v>
      </c>
      <c r="B1874" s="23" t="n">
        <f aca="false">YEAR(A1874)</f>
        <v>2020</v>
      </c>
      <c r="C1874" s="17" t="n">
        <v>9591.54</v>
      </c>
      <c r="D1874" s="23" t="n">
        <f aca="false">A1874-A1873</f>
        <v>1</v>
      </c>
      <c r="E1874" s="24" t="n">
        <f aca="false">LN(C1874)</f>
        <v>9.16863673892687</v>
      </c>
      <c r="F1874" s="25" t="n">
        <f aca="false">LN(C1874/C1873)</f>
        <v>-0.0606735608062665</v>
      </c>
      <c r="G1874" s="25" t="n">
        <f aca="false">IF(AND(D1874=1,A1874&gt;=$R$2),F1874,"")</f>
        <v>-0.0606735608062665</v>
      </c>
      <c r="H1874" s="27" t="n">
        <f aca="false">IF(G1874="","",G1874^2)</f>
        <v>0.00368128098091172</v>
      </c>
      <c r="I1874" s="25" t="n">
        <f aca="false">IF(G1874="","",C1874/C1873-1)</f>
        <v>-0.0588695885104366</v>
      </c>
      <c r="J1874" s="17" t="n">
        <f aca="false">AVERAGE(C1675:C1874)</f>
        <v>8865.13655</v>
      </c>
      <c r="K1874" s="17" t="n">
        <f aca="false">MAX(K1873,C1874)</f>
        <v>19650.01</v>
      </c>
      <c r="L1874" s="25" t="n">
        <f aca="false">C1874/K1874-1</f>
        <v>-0.511881164437066</v>
      </c>
      <c r="M1874" s="25" t="n">
        <f aca="false">IF(COUNT(G1845:G1874)&lt;20,"",_xlfn.STDEV.S(G1845:G1874)*SQRT($R$3))</f>
        <v>0.541858138713891</v>
      </c>
      <c r="N1874" s="25" t="n">
        <f aca="false">IF(A1874-7&lt;$R$2,"",C1874/INDEX(Clean_Data!$C$2:$C$4314,MATCH(A1874-7,Clean_Data!$A$2:$A$4314,1))-1)</f>
        <v>-0.0727445159082406</v>
      </c>
      <c r="O1874" s="25" t="n">
        <f aca="false">IF(A1874-30&lt;$R$2,"",C1874/INDEX(Clean_Data!$C$2:$C$4314,MATCH(A1874-30,Clean_Data!$A$2:$A$4314,1))-1)</f>
        <v>0.110945866589758</v>
      </c>
    </row>
    <row r="1875" customFormat="false" ht="15" hidden="false" customHeight="false" outlineLevel="0" collapsed="false">
      <c r="A1875" s="16" t="n">
        <v>43881</v>
      </c>
      <c r="B1875" s="23" t="n">
        <f aca="false">YEAR(A1875)</f>
        <v>2020</v>
      </c>
      <c r="C1875" s="17" t="n">
        <v>9610.05</v>
      </c>
      <c r="D1875" s="23" t="n">
        <f aca="false">A1875-A1874</f>
        <v>1</v>
      </c>
      <c r="E1875" s="24" t="n">
        <f aca="false">LN(C1875)</f>
        <v>9.17056470486443</v>
      </c>
      <c r="F1875" s="25" t="n">
        <f aca="false">LN(C1875/C1874)</f>
        <v>0.00192796593756586</v>
      </c>
      <c r="G1875" s="25" t="n">
        <f aca="false">IF(AND(D1875=1,A1875&gt;=$R$2),F1875,"")</f>
        <v>0.00192796593756586</v>
      </c>
      <c r="H1875" s="27" t="n">
        <f aca="false">IF(G1875="","",G1875^2)</f>
        <v>3.71705265641421E-006</v>
      </c>
      <c r="I1875" s="25" t="n">
        <f aca="false">IF(G1875="","",C1875/C1874-1)</f>
        <v>0.00192982565886179</v>
      </c>
      <c r="J1875" s="17" t="n">
        <f aca="false">AVERAGE(C1676:C1875)</f>
        <v>8858.1977</v>
      </c>
      <c r="K1875" s="17" t="n">
        <f aca="false">MAX(K1874,C1875)</f>
        <v>19650.01</v>
      </c>
      <c r="L1875" s="25" t="n">
        <f aca="false">C1875/K1875-1</f>
        <v>-0.510939180183623</v>
      </c>
      <c r="M1875" s="25" t="n">
        <f aca="false">IF(COUNT(G1846:G1875)&lt;20,"",_xlfn.STDEV.S(G1846:G1875)*SQRT($R$3))</f>
        <v>0.541185327563889</v>
      </c>
      <c r="N1875" s="25" t="n">
        <f aca="false">IF(A1875-7&lt;$R$2,"",C1875/INDEX(Clean_Data!$C$2:$C$4314,MATCH(A1875-7,Clean_Data!$A$2:$A$4314,1))-1)</f>
        <v>-0.0614791441437482</v>
      </c>
      <c r="O1875" s="25" t="n">
        <f aca="false">IF(A1875-30&lt;$R$2,"",C1875/INDEX(Clean_Data!$C$2:$C$4314,MATCH(A1875-30,Clean_Data!$A$2:$A$4314,1))-1)</f>
        <v>0.100807560137457</v>
      </c>
    </row>
    <row r="1876" customFormat="false" ht="15" hidden="false" customHeight="false" outlineLevel="0" collapsed="false">
      <c r="A1876" s="16" t="n">
        <v>43882</v>
      </c>
      <c r="B1876" s="23" t="n">
        <f aca="false">YEAR(A1876)</f>
        <v>2020</v>
      </c>
      <c r="C1876" s="17" t="n">
        <v>9697.01</v>
      </c>
      <c r="D1876" s="23" t="n">
        <f aca="false">A1876-A1875</f>
        <v>1</v>
      </c>
      <c r="E1876" s="24" t="n">
        <f aca="false">LN(C1876)</f>
        <v>9.17957286955079</v>
      </c>
      <c r="F1876" s="25" t="n">
        <f aca="false">LN(C1876/C1875)</f>
        <v>0.00900816468635725</v>
      </c>
      <c r="G1876" s="25" t="n">
        <f aca="false">IF(AND(D1876=1,A1876&gt;=$R$2),F1876,"")</f>
        <v>0.00900816468635725</v>
      </c>
      <c r="H1876" s="27" t="n">
        <f aca="false">IF(G1876="","",G1876^2)</f>
        <v>8.11470310165339E-005</v>
      </c>
      <c r="I1876" s="25" t="n">
        <f aca="false">IF(G1876="","",C1876/C1875-1)</f>
        <v>0.0090488603076988</v>
      </c>
      <c r="J1876" s="17" t="n">
        <f aca="false">AVERAGE(C1677:C1876)</f>
        <v>8847.80705</v>
      </c>
      <c r="K1876" s="17" t="n">
        <f aca="false">MAX(K1875,C1876)</f>
        <v>19650.01</v>
      </c>
      <c r="L1876" s="25" t="n">
        <f aca="false">C1876/K1876-1</f>
        <v>-0.506513737143136</v>
      </c>
      <c r="M1876" s="25" t="n">
        <f aca="false">IF(COUNT(G1847:G1876)&lt;20,"",_xlfn.STDEV.S(G1847:G1876)*SQRT($R$3))</f>
        <v>0.540146022201146</v>
      </c>
      <c r="N1876" s="25" t="n">
        <f aca="false">IF(A1876-7&lt;$R$2,"",C1876/INDEX(Clean_Data!$C$2:$C$4314,MATCH(A1876-7,Clean_Data!$A$2:$A$4314,1))-1)</f>
        <v>-0.0657986512524085</v>
      </c>
      <c r="O1876" s="25" t="n">
        <f aca="false">IF(A1876-30&lt;$R$2,"",C1876/INDEX(Clean_Data!$C$2:$C$4314,MATCH(A1876-30,Clean_Data!$A$2:$A$4314,1))-1)</f>
        <v>0.119100980957876</v>
      </c>
    </row>
    <row r="1877" customFormat="false" ht="15" hidden="false" customHeight="false" outlineLevel="0" collapsed="false">
      <c r="A1877" s="16" t="n">
        <v>43883</v>
      </c>
      <c r="B1877" s="23" t="n">
        <f aca="false">YEAR(A1877)</f>
        <v>2020</v>
      </c>
      <c r="C1877" s="17" t="n">
        <v>9668.26</v>
      </c>
      <c r="D1877" s="23" t="n">
        <f aca="false">A1877-A1876</f>
        <v>1</v>
      </c>
      <c r="E1877" s="24" t="n">
        <f aca="false">LN(C1877)</f>
        <v>9.17660363430414</v>
      </c>
      <c r="F1877" s="25" t="n">
        <f aca="false">LN(C1877/C1876)</f>
        <v>-0.00296923524665772</v>
      </c>
      <c r="G1877" s="25" t="n">
        <f aca="false">IF(AND(D1877=1,A1877&gt;=$R$2),F1877,"")</f>
        <v>-0.00296923524665772</v>
      </c>
      <c r="H1877" s="27" t="n">
        <f aca="false">IF(G1877="","",G1877^2)</f>
        <v>8.81635794999454E-006</v>
      </c>
      <c r="I1877" s="25" t="n">
        <f aca="false">IF(G1877="","",C1877/C1876-1)</f>
        <v>-0.00296483142741943</v>
      </c>
      <c r="J1877" s="17" t="n">
        <f aca="false">AVERAGE(C1678:C1877)</f>
        <v>8838.94795</v>
      </c>
      <c r="K1877" s="17" t="n">
        <f aca="false">MAX(K1876,C1877)</f>
        <v>19650.01</v>
      </c>
      <c r="L1877" s="25" t="n">
        <f aca="false">C1877/K1877-1</f>
        <v>-0.507976840724254</v>
      </c>
      <c r="M1877" s="25" t="n">
        <f aca="false">IF(COUNT(G1848:G1877)&lt;20,"",_xlfn.STDEV.S(G1848:G1877)*SQRT($R$3))</f>
        <v>0.52466803706183</v>
      </c>
      <c r="N1877" s="25" t="n">
        <f aca="false">IF(A1877-7&lt;$R$2,"",C1877/INDEX(Clean_Data!$C$2:$C$4314,MATCH(A1877-7,Clean_Data!$A$2:$A$4314,1))-1)</f>
        <v>-0.0235402480876326</v>
      </c>
      <c r="O1877" s="25" t="n">
        <f aca="false">IF(A1877-30&lt;$R$2,"",C1877/INDEX(Clean_Data!$C$2:$C$4314,MATCH(A1877-30,Clean_Data!$A$2:$A$4314,1))-1)</f>
        <v>0.15281823569181</v>
      </c>
    </row>
    <row r="1878" customFormat="false" ht="15" hidden="false" customHeight="false" outlineLevel="0" collapsed="false">
      <c r="A1878" s="16" t="n">
        <v>43884</v>
      </c>
      <c r="B1878" s="23" t="n">
        <f aca="false">YEAR(A1878)</f>
        <v>2020</v>
      </c>
      <c r="C1878" s="17" t="n">
        <v>9964.16</v>
      </c>
      <c r="D1878" s="23" t="n">
        <f aca="false">A1878-A1877</f>
        <v>1</v>
      </c>
      <c r="E1878" s="24" t="n">
        <f aca="false">LN(C1878)</f>
        <v>9.20674993406126</v>
      </c>
      <c r="F1878" s="25" t="n">
        <f aca="false">LN(C1878/C1877)</f>
        <v>0.0301462997571207</v>
      </c>
      <c r="G1878" s="25" t="n">
        <f aca="false">IF(AND(D1878=1,A1878&gt;=$R$2),F1878,"")</f>
        <v>0.0301462997571207</v>
      </c>
      <c r="H1878" s="27" t="n">
        <f aca="false">IF(G1878="","",G1878^2)</f>
        <v>0.000908799389046178</v>
      </c>
      <c r="I1878" s="25" t="n">
        <f aca="false">IF(G1878="","",C1878/C1877-1)</f>
        <v>0.0306053002298241</v>
      </c>
      <c r="J1878" s="17" t="n">
        <f aca="false">AVERAGE(C1679:C1878)</f>
        <v>8828.6967</v>
      </c>
      <c r="K1878" s="17" t="n">
        <f aca="false">MAX(K1877,C1878)</f>
        <v>19650.01</v>
      </c>
      <c r="L1878" s="25" t="n">
        <f aca="false">C1878/K1878-1</f>
        <v>-0.492918324214593</v>
      </c>
      <c r="M1878" s="25" t="n">
        <f aca="false">IF(COUNT(G1849:G1878)&lt;20,"",_xlfn.STDEV.S(G1849:G1878)*SQRT($R$3))</f>
        <v>0.53209531519033</v>
      </c>
      <c r="N1878" s="25" t="n">
        <f aca="false">IF(A1878-7&lt;$R$2,"",C1878/INDEX(Clean_Data!$C$2:$C$4314,MATCH(A1878-7,Clean_Data!$A$2:$A$4314,1))-1)</f>
        <v>0.0049540899481999</v>
      </c>
      <c r="O1878" s="25" t="n">
        <f aca="false">IF(A1878-30&lt;$R$2,"",C1878/INDEX(Clean_Data!$C$2:$C$4314,MATCH(A1878-30,Clean_Data!$A$2:$A$4314,1))-1)</f>
        <v>0.182695229413552</v>
      </c>
    </row>
    <row r="1879" customFormat="false" ht="15" hidden="false" customHeight="false" outlineLevel="0" collapsed="false">
      <c r="A1879" s="16" t="n">
        <v>43885</v>
      </c>
      <c r="B1879" s="23" t="n">
        <f aca="false">YEAR(A1879)</f>
        <v>2020</v>
      </c>
      <c r="C1879" s="17" t="n">
        <v>9668.08</v>
      </c>
      <c r="D1879" s="23" t="n">
        <f aca="false">A1879-A1878</f>
        <v>1</v>
      </c>
      <c r="E1879" s="24" t="n">
        <f aca="false">LN(C1879)</f>
        <v>9.17658501650987</v>
      </c>
      <c r="F1879" s="25" t="n">
        <f aca="false">LN(C1879/C1878)</f>
        <v>-0.0301649175513885</v>
      </c>
      <c r="G1879" s="25" t="n">
        <f aca="false">IF(AND(D1879=1,A1879&gt;=$R$2),F1879,"")</f>
        <v>-0.0301649175513885</v>
      </c>
      <c r="H1879" s="27" t="n">
        <f aca="false">IF(G1879="","",G1879^2)</f>
        <v>0.000909922250882066</v>
      </c>
      <c r="I1879" s="25" t="n">
        <f aca="false">IF(G1879="","",C1879/C1878-1)</f>
        <v>-0.0297144967563748</v>
      </c>
      <c r="J1879" s="17" t="n">
        <f aca="false">AVERAGE(C1680:C1879)</f>
        <v>8816.94765</v>
      </c>
      <c r="K1879" s="17" t="n">
        <f aca="false">MAX(K1878,C1879)</f>
        <v>19650.01</v>
      </c>
      <c r="L1879" s="25" t="n">
        <f aca="false">C1879/K1879-1</f>
        <v>-0.507986001024936</v>
      </c>
      <c r="M1879" s="25" t="n">
        <f aca="false">IF(COUNT(G1850:G1879)&lt;20,"",_xlfn.STDEV.S(G1850:G1879)*SQRT($R$3))</f>
        <v>0.542268925921278</v>
      </c>
      <c r="N1879" s="25" t="n">
        <f aca="false">IF(A1879-7&lt;$R$2,"",C1879/INDEX(Clean_Data!$C$2:$C$4314,MATCH(A1879-7,Clean_Data!$A$2:$A$4314,1))-1)</f>
        <v>-0.0045171155123328</v>
      </c>
      <c r="O1879" s="25" t="n">
        <f aca="false">IF(A1879-30&lt;$R$2,"",C1879/INDEX(Clean_Data!$C$2:$C$4314,MATCH(A1879-30,Clean_Data!$A$2:$A$4314,1))-1)</f>
        <v>0.164262214536539</v>
      </c>
    </row>
    <row r="1880" customFormat="false" ht="15" hidden="false" customHeight="false" outlineLevel="0" collapsed="false">
      <c r="A1880" s="16" t="n">
        <v>43886</v>
      </c>
      <c r="B1880" s="23" t="n">
        <f aca="false">YEAR(A1880)</f>
        <v>2020</v>
      </c>
      <c r="C1880" s="17" t="n">
        <v>9301.01</v>
      </c>
      <c r="D1880" s="23" t="n">
        <f aca="false">A1880-A1879</f>
        <v>1</v>
      </c>
      <c r="E1880" s="24" t="n">
        <f aca="false">LN(C1880)</f>
        <v>9.1378782753951</v>
      </c>
      <c r="F1880" s="25" t="n">
        <f aca="false">LN(C1880/C1879)</f>
        <v>-0.0387067411147682</v>
      </c>
      <c r="G1880" s="25" t="n">
        <f aca="false">IF(AND(D1880=1,A1880&gt;=$R$2),F1880,"")</f>
        <v>-0.0387067411147682</v>
      </c>
      <c r="H1880" s="27" t="n">
        <f aca="false">IF(G1880="","",G1880^2)</f>
        <v>0.00149821180772568</v>
      </c>
      <c r="I1880" s="25" t="n">
        <f aca="false">IF(G1880="","",C1880/C1879-1)</f>
        <v>-0.0379672075531026</v>
      </c>
      <c r="J1880" s="17" t="n">
        <f aca="false">AVERAGE(C1681:C1880)</f>
        <v>8804.0077</v>
      </c>
      <c r="K1880" s="17" t="n">
        <f aca="false">MAX(K1879,C1880)</f>
        <v>19650.01</v>
      </c>
      <c r="L1880" s="25" t="n">
        <f aca="false">C1880/K1880-1</f>
        <v>-0.526666398643054</v>
      </c>
      <c r="M1880" s="25" t="n">
        <f aca="false">IF(COUNT(G1851:G1880)&lt;20,"",_xlfn.STDEV.S(G1851:G1880)*SQRT($R$3))</f>
        <v>0.548906227361688</v>
      </c>
      <c r="N1880" s="25" t="n">
        <f aca="false">IF(A1880-7&lt;$R$2,"",C1880/INDEX(Clean_Data!$C$2:$C$4314,MATCH(A1880-7,Clean_Data!$A$2:$A$4314,1))-1)</f>
        <v>-0.087376649780062</v>
      </c>
      <c r="O1880" s="25" t="n">
        <f aca="false">IF(A1880-30&lt;$R$2,"",C1880/INDEX(Clean_Data!$C$2:$C$4314,MATCH(A1880-30,Clean_Data!$A$2:$A$4314,1))-1)</f>
        <v>0.0773886471784751</v>
      </c>
    </row>
    <row r="1881" customFormat="false" ht="15" hidden="false" customHeight="false" outlineLevel="0" collapsed="false">
      <c r="A1881" s="16" t="n">
        <v>43887</v>
      </c>
      <c r="B1881" s="23" t="n">
        <f aca="false">YEAR(A1881)</f>
        <v>2020</v>
      </c>
      <c r="C1881" s="17" t="n">
        <v>8776.01</v>
      </c>
      <c r="D1881" s="23" t="n">
        <f aca="false">A1881-A1880</f>
        <v>1</v>
      </c>
      <c r="E1881" s="24" t="n">
        <f aca="false">LN(C1881)</f>
        <v>9.0797771414257</v>
      </c>
      <c r="F1881" s="25" t="n">
        <f aca="false">LN(C1881/C1880)</f>
        <v>-0.0581011339693961</v>
      </c>
      <c r="G1881" s="25" t="n">
        <f aca="false">IF(AND(D1881=1,A1881&gt;=$R$2),F1881,"")</f>
        <v>-0.0581011339693961</v>
      </c>
      <c r="H1881" s="27" t="n">
        <f aca="false">IF(G1881="","",G1881^2)</f>
        <v>0.00337574176852971</v>
      </c>
      <c r="I1881" s="25" t="n">
        <f aca="false">IF(G1881="","",C1881/C1880-1)</f>
        <v>-0.0564454828024054</v>
      </c>
      <c r="J1881" s="17" t="n">
        <f aca="false">AVERAGE(C1682:C1881)</f>
        <v>8791.46865</v>
      </c>
      <c r="K1881" s="17" t="n">
        <f aca="false">MAX(K1880,C1881)</f>
        <v>19650.01</v>
      </c>
      <c r="L1881" s="25" t="n">
        <f aca="false">C1881/K1881-1</f>
        <v>-0.553383942298248</v>
      </c>
      <c r="M1881" s="25" t="n">
        <f aca="false">IF(COUNT(G1852:G1881)&lt;20,"",_xlfn.STDEV.S(G1852:G1881)*SQRT($R$3))</f>
        <v>0.57798358751237</v>
      </c>
      <c r="N1881" s="25" t="n">
        <f aca="false">IF(A1881-7&lt;$R$2,"",C1881/INDEX(Clean_Data!$C$2:$C$4314,MATCH(A1881-7,Clean_Data!$A$2:$A$4314,1))-1)</f>
        <v>-0.0850259708034372</v>
      </c>
      <c r="O1881" s="25" t="n">
        <f aca="false">IF(A1881-30&lt;$R$2,"",C1881/INDEX(Clean_Data!$C$2:$C$4314,MATCH(A1881-30,Clean_Data!$A$2:$A$4314,1))-1)</f>
        <v>-0.0142903033053136</v>
      </c>
    </row>
    <row r="1882" customFormat="false" ht="15" hidden="false" customHeight="false" outlineLevel="0" collapsed="false">
      <c r="A1882" s="16" t="n">
        <v>43888</v>
      </c>
      <c r="B1882" s="23" t="n">
        <f aca="false">YEAR(A1882)</f>
        <v>2020</v>
      </c>
      <c r="C1882" s="17" t="n">
        <v>8816.71</v>
      </c>
      <c r="D1882" s="23" t="n">
        <f aca="false">A1882-A1881</f>
        <v>1</v>
      </c>
      <c r="E1882" s="24" t="n">
        <f aca="false">LN(C1882)</f>
        <v>9.0844040635401</v>
      </c>
      <c r="F1882" s="25" t="n">
        <f aca="false">LN(C1882/C1881)</f>
        <v>0.00462692211439241</v>
      </c>
      <c r="G1882" s="25" t="n">
        <f aca="false">IF(AND(D1882=1,A1882&gt;=$R$2),F1882,"")</f>
        <v>0.00462692211439241</v>
      </c>
      <c r="H1882" s="27" t="n">
        <f aca="false">IF(G1882="","",G1882^2)</f>
        <v>2.14084082526535E-005</v>
      </c>
      <c r="I1882" s="25" t="n">
        <f aca="false">IF(G1882="","",C1882/C1881-1)</f>
        <v>0.00463764284680601</v>
      </c>
      <c r="J1882" s="17" t="n">
        <f aca="false">AVERAGE(C1683:C1882)</f>
        <v>8777.89245</v>
      </c>
      <c r="K1882" s="17" t="n">
        <f aca="false">MAX(K1881,C1882)</f>
        <v>19650.01</v>
      </c>
      <c r="L1882" s="25" t="n">
        <f aca="false">C1882/K1882-1</f>
        <v>-0.551312696532979</v>
      </c>
      <c r="M1882" s="25" t="n">
        <f aca="false">IF(COUNT(G1853:G1882)&lt;20,"",_xlfn.STDEV.S(G1853:G1882)*SQRT($R$3))</f>
        <v>0.541191384416674</v>
      </c>
      <c r="N1882" s="25" t="n">
        <f aca="false">IF(A1882-7&lt;$R$2,"",C1882/INDEX(Clean_Data!$C$2:$C$4314,MATCH(A1882-7,Clean_Data!$A$2:$A$4314,1))-1)</f>
        <v>-0.0825531604934418</v>
      </c>
      <c r="O1882" s="25" t="n">
        <f aca="false">IF(A1882-30&lt;$R$2,"",C1882/INDEX(Clean_Data!$C$2:$C$4314,MATCH(A1882-30,Clean_Data!$A$2:$A$4314,1))-1)</f>
        <v>-0.0638089797443946</v>
      </c>
    </row>
    <row r="1883" customFormat="false" ht="15" hidden="false" customHeight="false" outlineLevel="0" collapsed="false">
      <c r="A1883" s="16" t="n">
        <v>43889</v>
      </c>
      <c r="B1883" s="23" t="n">
        <f aca="false">YEAR(A1883)</f>
        <v>2020</v>
      </c>
      <c r="C1883" s="17" t="n">
        <v>8713.16</v>
      </c>
      <c r="D1883" s="23" t="n">
        <f aca="false">A1883-A1882</f>
        <v>1</v>
      </c>
      <c r="E1883" s="24" t="n">
        <f aca="false">LN(C1883)</f>
        <v>9.07258980542777</v>
      </c>
      <c r="F1883" s="25" t="n">
        <f aca="false">LN(C1883/C1882)</f>
        <v>-0.0118142581123259</v>
      </c>
      <c r="G1883" s="25" t="n">
        <f aca="false">IF(AND(D1883=1,A1883&gt;=$R$2),F1883,"")</f>
        <v>-0.0118142581123259</v>
      </c>
      <c r="H1883" s="27" t="n">
        <f aca="false">IF(G1883="","",G1883^2)</f>
        <v>0.000139576694744657</v>
      </c>
      <c r="I1883" s="25" t="n">
        <f aca="false">IF(G1883="","",C1883/C1882-1)</f>
        <v>-0.0117447437876486</v>
      </c>
      <c r="J1883" s="17" t="n">
        <f aca="false">AVERAGE(C1684:C1883)</f>
        <v>8764.52135</v>
      </c>
      <c r="K1883" s="17" t="n">
        <f aca="false">MAX(K1882,C1883)</f>
        <v>19650.01</v>
      </c>
      <c r="L1883" s="25" t="n">
        <f aca="false">C1883/K1883-1</f>
        <v>-0.55658241395297</v>
      </c>
      <c r="M1883" s="25" t="n">
        <f aca="false">IF(COUNT(G1854:G1883)&lt;20,"",_xlfn.STDEV.S(G1854:G1883)*SQRT($R$3))</f>
        <v>0.540107661830199</v>
      </c>
      <c r="N1883" s="25" t="n">
        <f aca="false">IF(A1883-7&lt;$R$2,"",C1883/INDEX(Clean_Data!$C$2:$C$4314,MATCH(A1883-7,Clean_Data!$A$2:$A$4314,1))-1)</f>
        <v>-0.101459109560576</v>
      </c>
      <c r="O1883" s="25" t="n">
        <f aca="false">IF(A1883-30&lt;$R$2,"",C1883/INDEX(Clean_Data!$C$2:$C$4314,MATCH(A1883-30,Clean_Data!$A$2:$A$4314,1))-1)</f>
        <v>-0.0600690399137002</v>
      </c>
    </row>
    <row r="1884" customFormat="false" ht="15" hidden="false" customHeight="false" outlineLevel="0" collapsed="false">
      <c r="A1884" s="16" t="n">
        <v>43890</v>
      </c>
      <c r="B1884" s="23" t="n">
        <f aca="false">YEAR(A1884)</f>
        <v>2020</v>
      </c>
      <c r="C1884" s="17" t="n">
        <v>8552.08</v>
      </c>
      <c r="D1884" s="23" t="n">
        <f aca="false">A1884-A1883</f>
        <v>1</v>
      </c>
      <c r="E1884" s="24" t="n">
        <f aca="false">LN(C1884)</f>
        <v>9.05392980719808</v>
      </c>
      <c r="F1884" s="25" t="n">
        <f aca="false">LN(C1884/C1883)</f>
        <v>-0.0186599982296908</v>
      </c>
      <c r="G1884" s="25" t="n">
        <f aca="false">IF(AND(D1884=1,A1884&gt;=$R$2),F1884,"")</f>
        <v>-0.0186599982296908</v>
      </c>
      <c r="H1884" s="27" t="n">
        <f aca="false">IF(G1884="","",G1884^2)</f>
        <v>0.000348195533932064</v>
      </c>
      <c r="I1884" s="25" t="n">
        <f aca="false">IF(G1884="","",C1884/C1883-1)</f>
        <v>-0.0184869783178548</v>
      </c>
      <c r="J1884" s="17" t="n">
        <f aca="false">AVERAGE(C1685:C1884)</f>
        <v>8753.00385</v>
      </c>
      <c r="K1884" s="17" t="n">
        <f aca="false">MAX(K1883,C1884)</f>
        <v>19650.01</v>
      </c>
      <c r="L1884" s="25" t="n">
        <f aca="false">C1884/K1884-1</f>
        <v>-0.564779865251977</v>
      </c>
      <c r="M1884" s="25" t="n">
        <f aca="false">IF(COUNT(G1855:G1884)&lt;20,"",_xlfn.STDEV.S(G1855:G1884)*SQRT($R$3))</f>
        <v>0.534772416282843</v>
      </c>
      <c r="N1884" s="25" t="n">
        <f aca="false">IF(A1884-7&lt;$R$2,"",C1884/INDEX(Clean_Data!$C$2:$C$4314,MATCH(A1884-7,Clean_Data!$A$2:$A$4314,1))-1)</f>
        <v>-0.115447867558382</v>
      </c>
      <c r="O1884" s="25" t="n">
        <f aca="false">IF(A1884-30&lt;$R$2,"",C1884/INDEX(Clean_Data!$C$2:$C$4314,MATCH(A1884-30,Clean_Data!$A$2:$A$4314,1))-1)</f>
        <v>-0.0991751293764964</v>
      </c>
    </row>
    <row r="1885" customFormat="false" ht="15" hidden="false" customHeight="false" outlineLevel="0" collapsed="false">
      <c r="A1885" s="16" t="n">
        <v>43891</v>
      </c>
      <c r="B1885" s="23" t="n">
        <f aca="false">YEAR(A1885)</f>
        <v>2020</v>
      </c>
      <c r="C1885" s="17" t="n">
        <v>8490.3</v>
      </c>
      <c r="D1885" s="23" t="n">
        <f aca="false">A1885-A1884</f>
        <v>1</v>
      </c>
      <c r="E1885" s="24" t="n">
        <f aca="false">LN(C1885)</f>
        <v>9.04667961437015</v>
      </c>
      <c r="F1885" s="25" t="n">
        <f aca="false">LN(C1885/C1884)</f>
        <v>-0.00725019282793005</v>
      </c>
      <c r="G1885" s="25" t="n">
        <f aca="false">IF(AND(D1885=1,A1885&gt;=$R$2),F1885,"")</f>
        <v>-0.00725019282793005</v>
      </c>
      <c r="H1885" s="27" t="n">
        <f aca="false">IF(G1885="","",G1885^2)</f>
        <v>5.25652960421684E-005</v>
      </c>
      <c r="I1885" s="25" t="n">
        <f aca="false">IF(G1885="","",C1885/C1884-1)</f>
        <v>-0.00722397358303484</v>
      </c>
      <c r="J1885" s="17" t="n">
        <f aca="false">AVERAGE(C1686:C1885)</f>
        <v>8744.92865</v>
      </c>
      <c r="K1885" s="17" t="n">
        <f aca="false">MAX(K1884,C1885)</f>
        <v>19650.01</v>
      </c>
      <c r="L1885" s="25" t="n">
        <f aca="false">C1885/K1885-1</f>
        <v>-0.567923884008202</v>
      </c>
      <c r="M1885" s="25" t="n">
        <f aca="false">IF(COUNT(G1856:G1885)&lt;20,"",_xlfn.STDEV.S(G1856:G1885)*SQRT($R$3))</f>
        <v>0.533074223508487</v>
      </c>
      <c r="N1885" s="25" t="n">
        <f aca="false">IF(A1885-7&lt;$R$2,"",C1885/INDEX(Clean_Data!$C$2:$C$4314,MATCH(A1885-7,Clean_Data!$A$2:$A$4314,1))-1)</f>
        <v>-0.147916131414991</v>
      </c>
      <c r="O1885" s="25" t="n">
        <f aca="false">IF(A1885-30&lt;$R$2,"",C1885/INDEX(Clean_Data!$C$2:$C$4314,MATCH(A1885-30,Clean_Data!$A$2:$A$4314,1))-1)</f>
        <v>-0.0912934215821426</v>
      </c>
    </row>
    <row r="1886" customFormat="false" ht="15" hidden="false" customHeight="false" outlineLevel="0" collapsed="false">
      <c r="A1886" s="16" t="n">
        <v>43892</v>
      </c>
      <c r="B1886" s="23" t="n">
        <f aca="false">YEAR(A1886)</f>
        <v>2020</v>
      </c>
      <c r="C1886" s="17" t="n">
        <v>8923.52</v>
      </c>
      <c r="D1886" s="23" t="n">
        <f aca="false">A1886-A1885</f>
        <v>1</v>
      </c>
      <c r="E1886" s="24" t="n">
        <f aca="false">LN(C1886)</f>
        <v>9.0964457665666</v>
      </c>
      <c r="F1886" s="25" t="n">
        <f aca="false">LN(C1886/C1885)</f>
        <v>0.0497661521964536</v>
      </c>
      <c r="G1886" s="25" t="n">
        <f aca="false">IF(AND(D1886=1,A1886&gt;=$R$2),F1886,"")</f>
        <v>0.0497661521964536</v>
      </c>
      <c r="H1886" s="27" t="n">
        <f aca="false">IF(G1886="","",G1886^2)</f>
        <v>0.00247666990444058</v>
      </c>
      <c r="I1886" s="25" t="n">
        <f aca="false">IF(G1886="","",C1886/C1885-1)</f>
        <v>0.0510252876812365</v>
      </c>
      <c r="J1886" s="17" t="n">
        <f aca="false">AVERAGE(C1687:C1886)</f>
        <v>8738.14145</v>
      </c>
      <c r="K1886" s="17" t="n">
        <f aca="false">MAX(K1885,C1886)</f>
        <v>19650.01</v>
      </c>
      <c r="L1886" s="25" t="n">
        <f aca="false">C1886/K1886-1</f>
        <v>-0.545877075889529</v>
      </c>
      <c r="M1886" s="25" t="n">
        <f aca="false">IF(COUNT(G1857:G1886)&lt;20,"",_xlfn.STDEV.S(G1857:G1886)*SQRT($R$3))</f>
        <v>0.56393051021417</v>
      </c>
      <c r="N1886" s="25" t="n">
        <f aca="false">IF(A1886-7&lt;$R$2,"",C1886/INDEX(Clean_Data!$C$2:$C$4314,MATCH(A1886-7,Clean_Data!$A$2:$A$4314,1))-1)</f>
        <v>-0.0770121885627756</v>
      </c>
      <c r="O1886" s="25" t="n">
        <f aca="false">IF(A1886-30&lt;$R$2,"",C1886/INDEX(Clean_Data!$C$2:$C$4314,MATCH(A1886-30,Clean_Data!$A$2:$A$4314,1))-1)</f>
        <v>-0.0481639584173327</v>
      </c>
    </row>
    <row r="1887" customFormat="false" ht="15" hidden="false" customHeight="false" outlineLevel="0" collapsed="false">
      <c r="A1887" s="16" t="n">
        <v>43893</v>
      </c>
      <c r="B1887" s="23" t="n">
        <f aca="false">YEAR(A1887)</f>
        <v>2020</v>
      </c>
      <c r="C1887" s="17" t="n">
        <v>8769.67</v>
      </c>
      <c r="D1887" s="23" t="n">
        <f aca="false">A1887-A1886</f>
        <v>1</v>
      </c>
      <c r="E1887" s="24" t="n">
        <f aca="false">LN(C1887)</f>
        <v>9.07905445638005</v>
      </c>
      <c r="F1887" s="25" t="n">
        <f aca="false">LN(C1887/C1886)</f>
        <v>-0.0173913101865554</v>
      </c>
      <c r="G1887" s="25" t="n">
        <f aca="false">IF(AND(D1887=1,A1887&gt;=$R$2),F1887,"")</f>
        <v>-0.0173913101865554</v>
      </c>
      <c r="H1887" s="27" t="n">
        <f aca="false">IF(G1887="","",G1887^2)</f>
        <v>0.000302457670004986</v>
      </c>
      <c r="I1887" s="25" t="n">
        <f aca="false">IF(G1887="","",C1887/C1886-1)</f>
        <v>-0.0172409542422721</v>
      </c>
      <c r="J1887" s="17" t="n">
        <f aca="false">AVERAGE(C1688:C1887)</f>
        <v>8730.14565</v>
      </c>
      <c r="K1887" s="17" t="n">
        <f aca="false">MAX(K1886,C1887)</f>
        <v>19650.01</v>
      </c>
      <c r="L1887" s="25" t="n">
        <f aca="false">C1887/K1887-1</f>
        <v>-0.553706588444484</v>
      </c>
      <c r="M1887" s="25" t="n">
        <f aca="false">IF(COUNT(G1858:G1887)&lt;20,"",_xlfn.STDEV.S(G1858:G1887)*SQRT($R$3))</f>
        <v>0.566382035956424</v>
      </c>
      <c r="N1887" s="25" t="n">
        <f aca="false">IF(A1887-7&lt;$R$2,"",C1887/INDEX(Clean_Data!$C$2:$C$4314,MATCH(A1887-7,Clean_Data!$A$2:$A$4314,1))-1)</f>
        <v>-0.0571271292042477</v>
      </c>
      <c r="O1887" s="25" t="n">
        <f aca="false">IF(A1887-30&lt;$R$2,"",C1887/INDEX(Clean_Data!$C$2:$C$4314,MATCH(A1887-30,Clean_Data!$A$2:$A$4314,1))-1)</f>
        <v>-0.0584481955237565</v>
      </c>
    </row>
    <row r="1888" customFormat="false" ht="15" hidden="false" customHeight="false" outlineLevel="0" collapsed="false">
      <c r="A1888" s="16" t="n">
        <v>43894</v>
      </c>
      <c r="B1888" s="23" t="n">
        <f aca="false">YEAR(A1888)</f>
        <v>2020</v>
      </c>
      <c r="C1888" s="17" t="n">
        <v>8765</v>
      </c>
      <c r="D1888" s="23" t="n">
        <f aca="false">A1888-A1887</f>
        <v>1</v>
      </c>
      <c r="E1888" s="24" t="n">
        <f aca="false">LN(C1888)</f>
        <v>9.07852179735533</v>
      </c>
      <c r="F1888" s="25" t="n">
        <f aca="false">LN(C1888/C1887)</f>
        <v>-0.000532659024711184</v>
      </c>
      <c r="G1888" s="25" t="n">
        <f aca="false">IF(AND(D1888=1,A1888&gt;=$R$2),F1888,"")</f>
        <v>-0.000532659024711184</v>
      </c>
      <c r="H1888" s="27" t="n">
        <f aca="false">IF(G1888="","",G1888^2)</f>
        <v>2.83725636606269E-007</v>
      </c>
      <c r="I1888" s="25" t="n">
        <f aca="false">IF(G1888="","",C1888/C1887-1)</f>
        <v>-0.000532517187077697</v>
      </c>
      <c r="J1888" s="17" t="n">
        <f aca="false">AVERAGE(C1689:C1888)</f>
        <v>8722.8788</v>
      </c>
      <c r="K1888" s="17" t="n">
        <f aca="false">MAX(K1887,C1888)</f>
        <v>19650.01</v>
      </c>
      <c r="L1888" s="25" t="n">
        <f aca="false">C1888/K1888-1</f>
        <v>-0.553944247356617</v>
      </c>
      <c r="M1888" s="25" t="n">
        <f aca="false">IF(COUNT(G1859:G1888)&lt;20,"",_xlfn.STDEV.S(G1859:G1888)*SQRT($R$3))</f>
        <v>0.566381057293182</v>
      </c>
      <c r="N1888" s="25" t="n">
        <f aca="false">IF(A1888-7&lt;$R$2,"",C1888/INDEX(Clean_Data!$C$2:$C$4314,MATCH(A1888-7,Clean_Data!$A$2:$A$4314,1))-1)</f>
        <v>-0.00125455645561023</v>
      </c>
      <c r="O1888" s="25" t="n">
        <f aca="false">IF(A1888-30&lt;$R$2,"",C1888/INDEX(Clean_Data!$C$2:$C$4314,MATCH(A1888-30,Clean_Data!$A$2:$A$4314,1))-1)</f>
        <v>-0.0557287048777835</v>
      </c>
    </row>
    <row r="1889" customFormat="false" ht="15" hidden="false" customHeight="false" outlineLevel="0" collapsed="false">
      <c r="A1889" s="16" t="n">
        <v>43895</v>
      </c>
      <c r="B1889" s="23" t="n">
        <f aca="false">YEAR(A1889)</f>
        <v>2020</v>
      </c>
      <c r="C1889" s="17" t="n">
        <v>9053.56</v>
      </c>
      <c r="D1889" s="23" t="n">
        <f aca="false">A1889-A1888</f>
        <v>1</v>
      </c>
      <c r="E1889" s="24" t="n">
        <f aca="false">LN(C1889)</f>
        <v>9.11091332950996</v>
      </c>
      <c r="F1889" s="25" t="n">
        <f aca="false">LN(C1889/C1888)</f>
        <v>0.0323915321546232</v>
      </c>
      <c r="G1889" s="25" t="n">
        <f aca="false">IF(AND(D1889=1,A1889&gt;=$R$2),F1889,"")</f>
        <v>0.0323915321546232</v>
      </c>
      <c r="H1889" s="27" t="n">
        <f aca="false">IF(G1889="","",G1889^2)</f>
        <v>0.00104921135532399</v>
      </c>
      <c r="I1889" s="25" t="n">
        <f aca="false">IF(G1889="","",C1889/C1888-1)</f>
        <v>0.0329218482601255</v>
      </c>
      <c r="J1889" s="17" t="n">
        <f aca="false">AVERAGE(C1690:C1889)</f>
        <v>8716.6014</v>
      </c>
      <c r="K1889" s="17" t="n">
        <f aca="false">MAX(K1888,C1889)</f>
        <v>19650.01</v>
      </c>
      <c r="L1889" s="25" t="n">
        <f aca="false">C1889/K1889-1</f>
        <v>-0.539259267552536</v>
      </c>
      <c r="M1889" s="25" t="n">
        <f aca="false">IF(COUNT(G1860:G1889)&lt;20,"",_xlfn.STDEV.S(G1860:G1889)*SQRT($R$3))</f>
        <v>0.577105404555928</v>
      </c>
      <c r="N1889" s="25" t="n">
        <f aca="false">IF(A1889-7&lt;$R$2,"",C1889/INDEX(Clean_Data!$C$2:$C$4314,MATCH(A1889-7,Clean_Data!$A$2:$A$4314,1))-1)</f>
        <v>0.0268637621062733</v>
      </c>
      <c r="O1889" s="25" t="n">
        <f aca="false">IF(A1889-30&lt;$R$2,"",C1889/INDEX(Clean_Data!$C$2:$C$4314,MATCH(A1889-30,Clean_Data!$A$2:$A$4314,1))-1)</f>
        <v>-0.011465763760063</v>
      </c>
    </row>
    <row r="1890" customFormat="false" ht="15" hidden="false" customHeight="false" outlineLevel="0" collapsed="false">
      <c r="A1890" s="16" t="n">
        <v>43896</v>
      </c>
      <c r="B1890" s="23" t="n">
        <f aca="false">YEAR(A1890)</f>
        <v>2020</v>
      </c>
      <c r="C1890" s="17" t="n">
        <v>9162.98</v>
      </c>
      <c r="D1890" s="23" t="n">
        <f aca="false">A1890-A1889</f>
        <v>1</v>
      </c>
      <c r="E1890" s="24" t="n">
        <f aca="false">LN(C1890)</f>
        <v>9.12292673227157</v>
      </c>
      <c r="F1890" s="25" t="n">
        <f aca="false">LN(C1890/C1889)</f>
        <v>0.0120134027616148</v>
      </c>
      <c r="G1890" s="25" t="n">
        <f aca="false">IF(AND(D1890=1,A1890&gt;=$R$2),F1890,"")</f>
        <v>0.0120134027616148</v>
      </c>
      <c r="H1890" s="27" t="n">
        <f aca="false">IF(G1890="","",G1890^2)</f>
        <v>0.000144321845912774</v>
      </c>
      <c r="I1890" s="25" t="n">
        <f aca="false">IF(G1890="","",C1890/C1889-1)</f>
        <v>0.0120858535206041</v>
      </c>
      <c r="J1890" s="17" t="n">
        <f aca="false">AVERAGE(C1691:C1890)</f>
        <v>8707.73795</v>
      </c>
      <c r="K1890" s="17" t="n">
        <f aca="false">MAX(K1889,C1890)</f>
        <v>19650.01</v>
      </c>
      <c r="L1890" s="25" t="n">
        <f aca="false">C1890/K1890-1</f>
        <v>-0.5336908225492</v>
      </c>
      <c r="M1890" s="25" t="n">
        <f aca="false">IF(COUNT(G1861:G1890)&lt;20,"",_xlfn.STDEV.S(G1861:G1890)*SQRT($R$3))</f>
        <v>0.55050918561111</v>
      </c>
      <c r="N1890" s="25" t="n">
        <f aca="false">IF(A1890-7&lt;$R$2,"",C1890/INDEX(Clean_Data!$C$2:$C$4314,MATCH(A1890-7,Clean_Data!$A$2:$A$4314,1))-1)</f>
        <v>0.051625357505199</v>
      </c>
      <c r="O1890" s="25" t="n">
        <f aca="false">IF(A1890-30&lt;$R$2,"",C1890/INDEX(Clean_Data!$C$2:$C$4314,MATCH(A1890-30,Clean_Data!$A$2:$A$4314,1))-1)</f>
        <v>-0.0478477550647171</v>
      </c>
    </row>
    <row r="1891" customFormat="false" ht="15" hidden="false" customHeight="false" outlineLevel="0" collapsed="false">
      <c r="A1891" s="16" t="n">
        <v>43897</v>
      </c>
      <c r="B1891" s="23" t="n">
        <f aca="false">YEAR(A1891)</f>
        <v>2020</v>
      </c>
      <c r="C1891" s="17" t="n">
        <v>8885.68</v>
      </c>
      <c r="D1891" s="23" t="n">
        <f aca="false">A1891-A1890</f>
        <v>1</v>
      </c>
      <c r="E1891" s="24" t="n">
        <f aca="false">LN(C1891)</f>
        <v>9.09219627114361</v>
      </c>
      <c r="F1891" s="25" t="n">
        <f aca="false">LN(C1891/C1890)</f>
        <v>-0.0307304611279597</v>
      </c>
      <c r="G1891" s="25" t="n">
        <f aca="false">IF(AND(D1891=1,A1891&gt;=$R$2),F1891,"")</f>
        <v>-0.0307304611279597</v>
      </c>
      <c r="H1891" s="27" t="n">
        <f aca="false">IF(G1891="","",G1891^2)</f>
        <v>0.000944361241137044</v>
      </c>
      <c r="I1891" s="25" t="n">
        <f aca="false">IF(G1891="","",C1891/C1890-1)</f>
        <v>-0.0302630803515886</v>
      </c>
      <c r="J1891" s="17" t="n">
        <f aca="false">AVERAGE(C1692:C1891)</f>
        <v>8698.3114</v>
      </c>
      <c r="K1891" s="17" t="n">
        <f aca="false">MAX(K1890,C1891)</f>
        <v>19650.01</v>
      </c>
      <c r="L1891" s="25" t="n">
        <f aca="false">C1891/K1891-1</f>
        <v>-0.547802774655076</v>
      </c>
      <c r="M1891" s="25" t="n">
        <f aca="false">IF(COUNT(G1862:G1891)&lt;20,"",_xlfn.STDEV.S(G1862:G1891)*SQRT($R$3))</f>
        <v>0.556319263450892</v>
      </c>
      <c r="N1891" s="25" t="n">
        <f aca="false">IF(A1891-7&lt;$R$2,"",C1891/INDEX(Clean_Data!$C$2:$C$4314,MATCH(A1891-7,Clean_Data!$A$2:$A$4314,1))-1)</f>
        <v>0.0390080541809712</v>
      </c>
      <c r="O1891" s="25" t="n">
        <f aca="false">IF(A1891-30&lt;$R$2,"",C1891/INDEX(Clean_Data!$C$2:$C$4314,MATCH(A1891-30,Clean_Data!$A$2:$A$4314,1))-1)</f>
        <v>-0.0901375799204583</v>
      </c>
    </row>
    <row r="1892" customFormat="false" ht="15" hidden="false" customHeight="false" outlineLevel="0" collapsed="false">
      <c r="A1892" s="16" t="n">
        <v>43898</v>
      </c>
      <c r="B1892" s="23" t="n">
        <f aca="false">YEAR(A1892)</f>
        <v>2020</v>
      </c>
      <c r="C1892" s="17" t="n">
        <v>8068</v>
      </c>
      <c r="D1892" s="23" t="n">
        <f aca="false">A1892-A1891</f>
        <v>1</v>
      </c>
      <c r="E1892" s="24" t="n">
        <f aca="false">LN(C1892)</f>
        <v>8.9956608990741</v>
      </c>
      <c r="F1892" s="25" t="n">
        <f aca="false">LN(C1892/C1891)</f>
        <v>-0.0965353720695107</v>
      </c>
      <c r="G1892" s="25" t="n">
        <f aca="false">IF(AND(D1892=1,A1892&gt;=$R$2),F1892,"")</f>
        <v>-0.0965353720695107</v>
      </c>
      <c r="H1892" s="27" t="n">
        <f aca="false">IF(G1892="","",G1892^2)</f>
        <v>0.00931907806059888</v>
      </c>
      <c r="I1892" s="25" t="n">
        <f aca="false">IF(G1892="","",C1892/C1891-1)</f>
        <v>-0.0920222200214278</v>
      </c>
      <c r="J1892" s="17" t="n">
        <f aca="false">AVERAGE(C1693:C1892)</f>
        <v>8687.96265</v>
      </c>
      <c r="K1892" s="17" t="n">
        <f aca="false">MAX(K1891,C1892)</f>
        <v>19650.01</v>
      </c>
      <c r="L1892" s="25" t="n">
        <f aca="false">C1892/K1892-1</f>
        <v>-0.589414967218846</v>
      </c>
      <c r="M1892" s="25" t="n">
        <f aca="false">IF(COUNT(G1863:G1892)&lt;20,"",_xlfn.STDEV.S(G1863:G1892)*SQRT($R$3))</f>
        <v>0.643720347975609</v>
      </c>
      <c r="N1892" s="25" t="n">
        <f aca="false">IF(A1892-7&lt;$R$2,"",C1892/INDEX(Clean_Data!$C$2:$C$4314,MATCH(A1892-7,Clean_Data!$A$2:$A$4314,1))-1)</f>
        <v>-0.0497391140477956</v>
      </c>
      <c r="O1892" s="25" t="n">
        <f aca="false">IF(A1892-30&lt;$R$2,"",C1892/INDEX(Clean_Data!$C$2:$C$4314,MATCH(A1892-30,Clean_Data!$A$2:$A$4314,1))-1)</f>
        <v>-0.177152834579979</v>
      </c>
    </row>
    <row r="1893" customFormat="false" ht="15" hidden="false" customHeight="false" outlineLevel="0" collapsed="false">
      <c r="A1893" s="16" t="n">
        <v>43899</v>
      </c>
      <c r="B1893" s="23" t="n">
        <f aca="false">YEAR(A1893)</f>
        <v>2020</v>
      </c>
      <c r="C1893" s="17" t="n">
        <v>7945.03</v>
      </c>
      <c r="D1893" s="23" t="n">
        <f aca="false">A1893-A1892</f>
        <v>1</v>
      </c>
      <c r="E1893" s="24" t="n">
        <f aca="false">LN(C1893)</f>
        <v>8.98030185492341</v>
      </c>
      <c r="F1893" s="25" t="n">
        <f aca="false">LN(C1893/C1892)</f>
        <v>-0.0153590441506919</v>
      </c>
      <c r="G1893" s="25" t="n">
        <f aca="false">IF(AND(D1893=1,A1893&gt;=$R$2),F1893,"")</f>
        <v>-0.0153590441506919</v>
      </c>
      <c r="H1893" s="27" t="n">
        <f aca="false">IF(G1893="","",G1893^2)</f>
        <v>0.000235900237222902</v>
      </c>
      <c r="I1893" s="25" t="n">
        <f aca="false">IF(G1893="","",C1893/C1892-1)</f>
        <v>-0.0152416955875062</v>
      </c>
      <c r="J1893" s="17" t="n">
        <f aca="false">AVERAGE(C1694:C1893)</f>
        <v>8677.24335</v>
      </c>
      <c r="K1893" s="17" t="n">
        <f aca="false">MAX(K1892,C1893)</f>
        <v>19650.01</v>
      </c>
      <c r="L1893" s="25" t="n">
        <f aca="false">C1893/K1893-1</f>
        <v>-0.595672979301283</v>
      </c>
      <c r="M1893" s="25" t="n">
        <f aca="false">IF(COUNT(G1864:G1893)&lt;20,"",_xlfn.STDEV.S(G1864:G1893)*SQRT($R$3))</f>
        <v>0.641345968598425</v>
      </c>
      <c r="N1893" s="25" t="n">
        <f aca="false">IF(A1893-7&lt;$R$2,"",C1893/INDEX(Clean_Data!$C$2:$C$4314,MATCH(A1893-7,Clean_Data!$A$2:$A$4314,1))-1)</f>
        <v>-0.109652917234455</v>
      </c>
      <c r="O1893" s="25" t="n">
        <f aca="false">IF(A1893-30&lt;$R$2,"",C1893/INDEX(Clean_Data!$C$2:$C$4314,MATCH(A1893-30,Clean_Data!$A$2:$A$4314,1))-1)</f>
        <v>-0.198372940320629</v>
      </c>
    </row>
    <row r="1894" customFormat="false" ht="15" hidden="false" customHeight="false" outlineLevel="0" collapsed="false">
      <c r="A1894" s="16" t="n">
        <v>43900</v>
      </c>
      <c r="B1894" s="23" t="n">
        <f aca="false">YEAR(A1894)</f>
        <v>2020</v>
      </c>
      <c r="C1894" s="17" t="n">
        <v>7887.01</v>
      </c>
      <c r="D1894" s="23" t="n">
        <f aca="false">A1894-A1893</f>
        <v>1</v>
      </c>
      <c r="E1894" s="24" t="n">
        <f aca="false">LN(C1894)</f>
        <v>8.97297238130641</v>
      </c>
      <c r="F1894" s="25" t="n">
        <f aca="false">LN(C1894/C1893)</f>
        <v>-0.00732947361700562</v>
      </c>
      <c r="G1894" s="25" t="n">
        <f aca="false">IF(AND(D1894=1,A1894&gt;=$R$2),F1894,"")</f>
        <v>-0.00732947361700562</v>
      </c>
      <c r="H1894" s="27" t="n">
        <f aca="false">IF(G1894="","",G1894^2)</f>
        <v>5.37211835023815E-005</v>
      </c>
      <c r="I1894" s="25" t="n">
        <f aca="false">IF(G1894="","",C1894/C1893-1)</f>
        <v>-0.00730267852984812</v>
      </c>
      <c r="J1894" s="17" t="n">
        <f aca="false">AVERAGE(C1695:C1894)</f>
        <v>8664.60335</v>
      </c>
      <c r="K1894" s="17" t="n">
        <f aca="false">MAX(K1893,C1894)</f>
        <v>19650.01</v>
      </c>
      <c r="L1894" s="25" t="n">
        <f aca="false">C1894/K1894-1</f>
        <v>-0.598625649554377</v>
      </c>
      <c r="M1894" s="25" t="n">
        <f aca="false">IF(COUNT(G1865:G1894)&lt;20,"",_xlfn.STDEV.S(G1865:G1894)*SQRT($R$3))</f>
        <v>0.629777086327834</v>
      </c>
      <c r="N1894" s="25" t="n">
        <f aca="false">IF(A1894-7&lt;$R$2,"",C1894/INDEX(Clean_Data!$C$2:$C$4314,MATCH(A1894-7,Clean_Data!$A$2:$A$4314,1))-1)</f>
        <v>-0.100649169238979</v>
      </c>
      <c r="O1894" s="25" t="n">
        <f aca="false">IF(A1894-30&lt;$R$2,"",C1894/INDEX(Clean_Data!$C$2:$C$4314,MATCH(A1894-30,Clean_Data!$A$2:$A$4314,1))-1)</f>
        <v>-0.224849407507364</v>
      </c>
    </row>
    <row r="1895" customFormat="false" ht="15" hidden="false" customHeight="false" outlineLevel="0" collapsed="false">
      <c r="A1895" s="16" t="n">
        <v>43901</v>
      </c>
      <c r="B1895" s="23" t="n">
        <f aca="false">YEAR(A1895)</f>
        <v>2020</v>
      </c>
      <c r="C1895" s="17" t="n">
        <v>7957.02</v>
      </c>
      <c r="D1895" s="23" t="n">
        <f aca="false">A1895-A1894</f>
        <v>1</v>
      </c>
      <c r="E1895" s="24" t="n">
        <f aca="false">LN(C1895)</f>
        <v>8.98180983688449</v>
      </c>
      <c r="F1895" s="25" t="n">
        <f aca="false">LN(C1895/C1894)</f>
        <v>0.00883745557808803</v>
      </c>
      <c r="G1895" s="25" t="n">
        <f aca="false">IF(AND(D1895=1,A1895&gt;=$R$2),F1895,"")</f>
        <v>0.00883745557808803</v>
      </c>
      <c r="H1895" s="27" t="n">
        <f aca="false">IF(G1895="","",G1895^2)</f>
        <v>7.81006210946792E-005</v>
      </c>
      <c r="I1895" s="25" t="n">
        <f aca="false">IF(G1895="","",C1895/C1894-1)</f>
        <v>0.00887662117836796</v>
      </c>
      <c r="J1895" s="17" t="n">
        <f aca="false">AVERAGE(C1696:C1895)</f>
        <v>8653.60845</v>
      </c>
      <c r="K1895" s="17" t="n">
        <f aca="false">MAX(K1894,C1895)</f>
        <v>19650.01</v>
      </c>
      <c r="L1895" s="25" t="n">
        <f aca="false">C1895/K1895-1</f>
        <v>-0.595062801494757</v>
      </c>
      <c r="M1895" s="25" t="n">
        <f aca="false">IF(COUNT(G1866:G1895)&lt;20,"",_xlfn.STDEV.S(G1866:G1895)*SQRT($R$3))</f>
        <v>0.626697624258986</v>
      </c>
      <c r="N1895" s="25" t="n">
        <f aca="false">IF(A1895-7&lt;$R$2,"",C1895/INDEX(Clean_Data!$C$2:$C$4314,MATCH(A1895-7,Clean_Data!$A$2:$A$4314,1))-1)</f>
        <v>-0.0921825442099258</v>
      </c>
      <c r="O1895" s="25" t="n">
        <f aca="false">IF(A1895-30&lt;$R$2,"",C1895/INDEX(Clean_Data!$C$2:$C$4314,MATCH(A1895-30,Clean_Data!$A$2:$A$4314,1))-1)</f>
        <v>-0.192549596630981</v>
      </c>
    </row>
    <row r="1896" customFormat="false" ht="15" hidden="false" customHeight="false" outlineLevel="0" collapsed="false">
      <c r="A1896" s="16" t="n">
        <v>43902</v>
      </c>
      <c r="B1896" s="23" t="n">
        <f aca="false">YEAR(A1896)</f>
        <v>2020</v>
      </c>
      <c r="C1896" s="17" t="n">
        <v>4980</v>
      </c>
      <c r="D1896" s="23" t="n">
        <f aca="false">A1896-A1895</f>
        <v>1</v>
      </c>
      <c r="E1896" s="24" t="n">
        <f aca="false">LN(C1896)</f>
        <v>8.5131851700187</v>
      </c>
      <c r="F1896" s="25" t="n">
        <f aca="false">LN(C1896/C1895)</f>
        <v>-0.468624666865794</v>
      </c>
      <c r="G1896" s="25" t="n">
        <f aca="false">IF(AND(D1896=1,A1896&gt;=$R$2),F1896,"")</f>
        <v>-0.468624666865794</v>
      </c>
      <c r="H1896" s="27" t="n">
        <f aca="false">IF(G1896="","",G1896^2)</f>
        <v>0.219609078395077</v>
      </c>
      <c r="I1896" s="25" t="n">
        <f aca="false">IF(G1896="","",C1896/C1895-1)</f>
        <v>-0.374137554008913</v>
      </c>
      <c r="J1896" s="17" t="n">
        <f aca="false">AVERAGE(C1697:C1896)</f>
        <v>8627.76595</v>
      </c>
      <c r="K1896" s="17" t="n">
        <f aca="false">MAX(K1895,C1896)</f>
        <v>19650.01</v>
      </c>
      <c r="L1896" s="25" t="n">
        <f aca="false">C1896/K1896-1</f>
        <v>-0.746565014470731</v>
      </c>
      <c r="M1896" s="25" t="n">
        <f aca="false">IF(COUNT(G1867:G1896)&lt;20,"",_xlfn.STDEV.S(G1867:G1896)*SQRT($R$3))</f>
        <v>1.71263411895481</v>
      </c>
      <c r="N1896" s="25" t="n">
        <f aca="false">IF(A1896-7&lt;$R$2,"",C1896/INDEX(Clean_Data!$C$2:$C$4314,MATCH(A1896-7,Clean_Data!$A$2:$A$4314,1))-1)</f>
        <v>-0.449940134046718</v>
      </c>
      <c r="O1896" s="25" t="n">
        <f aca="false">IF(A1896-30&lt;$R$2,"",C1896/INDEX(Clean_Data!$C$2:$C$4314,MATCH(A1896-30,Clean_Data!$A$2:$A$4314,1))-1)</f>
        <v>-0.515563731093124</v>
      </c>
    </row>
    <row r="1897" customFormat="false" ht="15" hidden="false" customHeight="false" outlineLevel="0" collapsed="false">
      <c r="A1897" s="16" t="n">
        <v>43903</v>
      </c>
      <c r="B1897" s="23" t="n">
        <f aca="false">YEAR(A1897)</f>
        <v>2020</v>
      </c>
      <c r="C1897" s="17" t="n">
        <v>5592.77</v>
      </c>
      <c r="D1897" s="23" t="n">
        <f aca="false">A1897-A1896</f>
        <v>1</v>
      </c>
      <c r="E1897" s="24" t="n">
        <f aca="false">LN(C1897)</f>
        <v>8.62922997114391</v>
      </c>
      <c r="F1897" s="25" t="n">
        <f aca="false">LN(C1897/C1896)</f>
        <v>0.116044801125211</v>
      </c>
      <c r="G1897" s="25" t="n">
        <f aca="false">IF(AND(D1897=1,A1897&gt;=$R$2),F1897,"")</f>
        <v>0.116044801125211</v>
      </c>
      <c r="H1897" s="27" t="n">
        <f aca="false">IF(G1897="","",G1897^2)</f>
        <v>0.0134663958681898</v>
      </c>
      <c r="I1897" s="25" t="n">
        <f aca="false">IF(G1897="","",C1897/C1896-1)</f>
        <v>0.123046184738956</v>
      </c>
      <c r="J1897" s="17" t="n">
        <f aca="false">AVERAGE(C1698:C1897)</f>
        <v>8603.86105</v>
      </c>
      <c r="K1897" s="17" t="n">
        <f aca="false">MAX(K1896,C1897)</f>
        <v>19650.01</v>
      </c>
      <c r="L1897" s="25" t="n">
        <f aca="false">C1897/K1897-1</f>
        <v>-0.715380806421981</v>
      </c>
      <c r="M1897" s="25" t="n">
        <f aca="false">IF(COUNT(G1868:G1897)&lt;20,"",_xlfn.STDEV.S(G1868:G1897)*SQRT($R$3))</f>
        <v>1.77872312084427</v>
      </c>
      <c r="N1897" s="25" t="n">
        <f aca="false">IF(A1897-7&lt;$R$2,"",C1897/INDEX(Clean_Data!$C$2:$C$4314,MATCH(A1897-7,Clean_Data!$A$2:$A$4314,1))-1)</f>
        <v>-0.389634158319673</v>
      </c>
      <c r="O1897" s="25" t="n">
        <f aca="false">IF(A1897-30&lt;$R$2,"",C1897/INDEX(Clean_Data!$C$2:$C$4314,MATCH(A1897-30,Clean_Data!$A$2:$A$4314,1))-1)</f>
        <v>-0.459322835148071</v>
      </c>
    </row>
    <row r="1898" customFormat="false" ht="15" hidden="false" customHeight="false" outlineLevel="0" collapsed="false">
      <c r="A1898" s="16" t="n">
        <v>43904</v>
      </c>
      <c r="B1898" s="23" t="n">
        <f aca="false">YEAR(A1898)</f>
        <v>2020</v>
      </c>
      <c r="C1898" s="17" t="n">
        <v>5182.62</v>
      </c>
      <c r="D1898" s="23" t="n">
        <f aca="false">A1898-A1897</f>
        <v>1</v>
      </c>
      <c r="E1898" s="24" t="n">
        <f aca="false">LN(C1898)</f>
        <v>8.55306599888991</v>
      </c>
      <c r="F1898" s="25" t="n">
        <f aca="false">LN(C1898/C1897)</f>
        <v>-0.0761639722539981</v>
      </c>
      <c r="G1898" s="25" t="n">
        <f aca="false">IF(AND(D1898=1,A1898&gt;=$R$2),F1898,"")</f>
        <v>-0.0761639722539981</v>
      </c>
      <c r="H1898" s="27" t="n">
        <f aca="false">IF(G1898="","",G1898^2)</f>
        <v>0.00580095066950779</v>
      </c>
      <c r="I1898" s="25" t="n">
        <f aca="false">IF(G1898="","",C1898/C1897-1)</f>
        <v>-0.0733357531241229</v>
      </c>
      <c r="J1898" s="17" t="n">
        <f aca="false">AVERAGE(C1699:C1898)</f>
        <v>8578.92335</v>
      </c>
      <c r="K1898" s="17" t="n">
        <f aca="false">MAX(K1897,C1898)</f>
        <v>19650.01</v>
      </c>
      <c r="L1898" s="25" t="n">
        <f aca="false">C1898/K1898-1</f>
        <v>-0.736253569336606</v>
      </c>
      <c r="M1898" s="25" t="n">
        <f aca="false">IF(COUNT(G1869:G1898)&lt;20,"",_xlfn.STDEV.S(G1869:G1898)*SQRT($R$3))</f>
        <v>1.78876508927062</v>
      </c>
      <c r="N1898" s="25" t="n">
        <f aca="false">IF(A1898-7&lt;$R$2,"",C1898/INDEX(Clean_Data!$C$2:$C$4314,MATCH(A1898-7,Clean_Data!$A$2:$A$4314,1))-1)</f>
        <v>-0.416744694834835</v>
      </c>
      <c r="O1898" s="25" t="n">
        <f aca="false">IF(A1898-30&lt;$R$2,"",C1898/INDEX(Clean_Data!$C$2:$C$4314,MATCH(A1898-30,Clean_Data!$A$2:$A$4314,1))-1)</f>
        <v>-0.493863511846689</v>
      </c>
    </row>
    <row r="1899" customFormat="false" ht="15" hidden="false" customHeight="false" outlineLevel="0" collapsed="false">
      <c r="A1899" s="16" t="n">
        <v>43905</v>
      </c>
      <c r="B1899" s="23" t="n">
        <f aca="false">YEAR(A1899)</f>
        <v>2020</v>
      </c>
      <c r="C1899" s="17" t="n">
        <v>5327.12</v>
      </c>
      <c r="D1899" s="23" t="n">
        <f aca="false">A1899-A1898</f>
        <v>1</v>
      </c>
      <c r="E1899" s="24" t="n">
        <f aca="false">LN(C1899)</f>
        <v>8.58056603341379</v>
      </c>
      <c r="F1899" s="25" t="n">
        <f aca="false">LN(C1899/C1898)</f>
        <v>0.0275000345238804</v>
      </c>
      <c r="G1899" s="25" t="n">
        <f aca="false">IF(AND(D1899=1,A1899&gt;=$R$2),F1899,"")</f>
        <v>0.0275000345238804</v>
      </c>
      <c r="H1899" s="27" t="n">
        <f aca="false">IF(G1899="","",G1899^2)</f>
        <v>0.000756251898814612</v>
      </c>
      <c r="I1899" s="25" t="n">
        <f aca="false">IF(G1899="","",C1899/C1898-1)</f>
        <v>0.0278816505937152</v>
      </c>
      <c r="J1899" s="17" t="n">
        <f aca="false">AVERAGE(C1700:C1899)</f>
        <v>8557.00705</v>
      </c>
      <c r="K1899" s="17" t="n">
        <f aca="false">MAX(K1898,C1899)</f>
        <v>19650.01</v>
      </c>
      <c r="L1899" s="25" t="n">
        <f aca="false">C1899/K1899-1</f>
        <v>-0.72889988351151</v>
      </c>
      <c r="M1899" s="25" t="n">
        <f aca="false">IF(COUNT(G1870:G1899)&lt;20,"",_xlfn.STDEV.S(G1870:G1899)*SQRT($R$3))</f>
        <v>1.79296201377189</v>
      </c>
      <c r="N1899" s="25" t="n">
        <f aca="false">IF(A1899-7&lt;$R$2,"",C1899/INDEX(Clean_Data!$C$2:$C$4314,MATCH(A1899-7,Clean_Data!$A$2:$A$4314,1))-1)</f>
        <v>-0.339722359940506</v>
      </c>
      <c r="O1899" s="25" t="n">
        <f aca="false">IF(A1899-30&lt;$R$2,"",C1899/INDEX(Clean_Data!$C$2:$C$4314,MATCH(A1899-30,Clean_Data!$A$2:$A$4314,1))-1)</f>
        <v>-0.486789980732177</v>
      </c>
    </row>
    <row r="1900" customFormat="false" ht="15" hidden="false" customHeight="false" outlineLevel="0" collapsed="false">
      <c r="A1900" s="16" t="n">
        <v>43906</v>
      </c>
      <c r="B1900" s="23" t="n">
        <f aca="false">YEAR(A1900)</f>
        <v>2020</v>
      </c>
      <c r="C1900" s="17" t="n">
        <v>5074.2</v>
      </c>
      <c r="D1900" s="23" t="n">
        <f aca="false">A1900-A1899</f>
        <v>1</v>
      </c>
      <c r="E1900" s="24" t="n">
        <f aca="false">LN(C1900)</f>
        <v>8.53192415601623</v>
      </c>
      <c r="F1900" s="25" t="n">
        <f aca="false">LN(C1900/C1899)</f>
        <v>-0.0486418773975604</v>
      </c>
      <c r="G1900" s="25" t="n">
        <f aca="false">IF(AND(D1900=1,A1900&gt;=$R$2),F1900,"")</f>
        <v>-0.0486418773975604</v>
      </c>
      <c r="H1900" s="27" t="n">
        <f aca="false">IF(G1900="","",G1900^2)</f>
        <v>0.0023660322367593</v>
      </c>
      <c r="I1900" s="25" t="n">
        <f aca="false">IF(G1900="","",C1900/C1899-1)</f>
        <v>-0.047477811650573</v>
      </c>
      <c r="J1900" s="17" t="n">
        <f aca="false">AVERAGE(C1701:C1900)</f>
        <v>8534.75305</v>
      </c>
      <c r="K1900" s="17" t="n">
        <f aca="false">MAX(K1899,C1900)</f>
        <v>19650.01</v>
      </c>
      <c r="L1900" s="25" t="n">
        <f aca="false">C1900/K1900-1</f>
        <v>-0.741771123780599</v>
      </c>
      <c r="M1900" s="25" t="n">
        <f aca="false">IF(COUNT(G1871:G1900)&lt;20,"",_xlfn.STDEV.S(G1871:G1900)*SQRT($R$3))</f>
        <v>1.79321984450991</v>
      </c>
      <c r="N1900" s="25" t="n">
        <f aca="false">IF(A1900-7&lt;$R$2,"",C1900/INDEX(Clean_Data!$C$2:$C$4314,MATCH(A1900-7,Clean_Data!$A$2:$A$4314,1))-1)</f>
        <v>-0.361336584002829</v>
      </c>
      <c r="O1900" s="25" t="n">
        <f aca="false">IF(A1900-30&lt;$R$2,"",C1900/INDEX(Clean_Data!$C$2:$C$4314,MATCH(A1900-30,Clean_Data!$A$2:$A$4314,1))-1)</f>
        <v>-0.487523910904989</v>
      </c>
    </row>
    <row r="1901" customFormat="false" ht="15" hidden="false" customHeight="false" outlineLevel="0" collapsed="false">
      <c r="A1901" s="16" t="n">
        <v>43907</v>
      </c>
      <c r="B1901" s="23" t="n">
        <f aca="false">YEAR(A1901)</f>
        <v>2020</v>
      </c>
      <c r="C1901" s="17" t="n">
        <v>5361.77</v>
      </c>
      <c r="D1901" s="23" t="n">
        <f aca="false">A1901-A1900</f>
        <v>1</v>
      </c>
      <c r="E1901" s="24" t="n">
        <f aca="false">LN(C1901)</f>
        <v>8.58704942343354</v>
      </c>
      <c r="F1901" s="25" t="n">
        <f aca="false">LN(C1901/C1900)</f>
        <v>0.055125267417308</v>
      </c>
      <c r="G1901" s="25" t="n">
        <f aca="false">IF(AND(D1901=1,A1901&gt;=$R$2),F1901,"")</f>
        <v>0.055125267417308</v>
      </c>
      <c r="H1901" s="27" t="n">
        <f aca="false">IF(G1901="","",G1901^2)</f>
        <v>0.00303879510782972</v>
      </c>
      <c r="I1901" s="25" t="n">
        <f aca="false">IF(G1901="","",C1901/C1900-1)</f>
        <v>0.0566729730795004</v>
      </c>
      <c r="J1901" s="17" t="n">
        <f aca="false">AVERAGE(C1702:C1901)</f>
        <v>8513.6589</v>
      </c>
      <c r="K1901" s="17" t="n">
        <f aca="false">MAX(K1900,C1901)</f>
        <v>19650.01</v>
      </c>
      <c r="L1901" s="25" t="n">
        <f aca="false">C1901/K1901-1</f>
        <v>-0.727136525630267</v>
      </c>
      <c r="M1901" s="25" t="n">
        <f aca="false">IF(COUNT(G1872:G1901)&lt;20,"",_xlfn.STDEV.S(G1872:G1901)*SQRT($R$3))</f>
        <v>1.81184826408346</v>
      </c>
      <c r="N1901" s="25" t="n">
        <f aca="false">IF(A1901-7&lt;$R$2,"",C1901/INDEX(Clean_Data!$C$2:$C$4314,MATCH(A1901-7,Clean_Data!$A$2:$A$4314,1))-1)</f>
        <v>-0.32017710133498</v>
      </c>
      <c r="O1901" s="25" t="n">
        <f aca="false">IF(A1901-30&lt;$R$2,"",C1901/INDEX(Clean_Data!$C$2:$C$4314,MATCH(A1901-30,Clean_Data!$A$2:$A$4314,1))-1)</f>
        <v>-0.459228606238603</v>
      </c>
    </row>
    <row r="1902" customFormat="false" ht="15" hidden="false" customHeight="false" outlineLevel="0" collapsed="false">
      <c r="A1902" s="16" t="n">
        <v>43908</v>
      </c>
      <c r="B1902" s="23" t="n">
        <f aca="false">YEAR(A1902)</f>
        <v>2020</v>
      </c>
      <c r="C1902" s="17" t="n">
        <v>5426.71</v>
      </c>
      <c r="D1902" s="23" t="n">
        <f aca="false">A1902-A1901</f>
        <v>1</v>
      </c>
      <c r="E1902" s="24" t="n">
        <f aca="false">LN(C1902)</f>
        <v>8.59908833611453</v>
      </c>
      <c r="F1902" s="25" t="n">
        <f aca="false">LN(C1902/C1901)</f>
        <v>0.0120389126809853</v>
      </c>
      <c r="G1902" s="25" t="n">
        <f aca="false">IF(AND(D1902=1,A1902&gt;=$R$2),F1902,"")</f>
        <v>0.0120389126809853</v>
      </c>
      <c r="H1902" s="27" t="n">
        <f aca="false">IF(G1902="","",G1902^2)</f>
        <v>0.000144935418540388</v>
      </c>
      <c r="I1902" s="25" t="n">
        <f aca="false">IF(G1902="","",C1902/C1901-1)</f>
        <v>0.0121116720784367</v>
      </c>
      <c r="J1902" s="17" t="n">
        <f aca="false">AVERAGE(C1703:C1902)</f>
        <v>8492.8227</v>
      </c>
      <c r="K1902" s="17" t="n">
        <f aca="false">MAX(K1901,C1902)</f>
        <v>19650.01</v>
      </c>
      <c r="L1902" s="25" t="n">
        <f aca="false">C1902/K1902-1</f>
        <v>-0.723831692706518</v>
      </c>
      <c r="M1902" s="25" t="n">
        <f aca="false">IF(COUNT(G1873:G1902)&lt;20,"",_xlfn.STDEV.S(G1873:G1902)*SQRT($R$3))</f>
        <v>1.81539623633721</v>
      </c>
      <c r="N1902" s="25" t="n">
        <f aca="false">IF(A1902-7&lt;$R$2,"",C1902/INDEX(Clean_Data!$C$2:$C$4314,MATCH(A1902-7,Clean_Data!$A$2:$A$4314,1))-1)</f>
        <v>-0.317997189902753</v>
      </c>
      <c r="O1902" s="25" t="n">
        <f aca="false">IF(A1902-30&lt;$R$2,"",C1902/INDEX(Clean_Data!$C$2:$C$4314,MATCH(A1902-30,Clean_Data!$A$2:$A$4314,1))-1)</f>
        <v>-0.441233737817843</v>
      </c>
    </row>
    <row r="1903" customFormat="false" ht="15" hidden="false" customHeight="false" outlineLevel="0" collapsed="false">
      <c r="A1903" s="16" t="n">
        <v>43909</v>
      </c>
      <c r="B1903" s="23" t="n">
        <f aca="false">YEAR(A1903)</f>
        <v>2020</v>
      </c>
      <c r="C1903" s="17" t="n">
        <v>6219.99</v>
      </c>
      <c r="D1903" s="23" t="n">
        <f aca="false">A1903-A1902</f>
        <v>1</v>
      </c>
      <c r="E1903" s="24" t="n">
        <f aca="false">LN(C1903)</f>
        <v>8.73552357801489</v>
      </c>
      <c r="F1903" s="25" t="n">
        <f aca="false">LN(C1903/C1902)</f>
        <v>0.136435241900366</v>
      </c>
      <c r="G1903" s="25" t="n">
        <f aca="false">IF(AND(D1903=1,A1903&gt;=$R$2),F1903,"")</f>
        <v>0.136435241900366</v>
      </c>
      <c r="H1903" s="27" t="n">
        <f aca="false">IF(G1903="","",G1903^2)</f>
        <v>0.0186145752324114</v>
      </c>
      <c r="I1903" s="25" t="n">
        <f aca="false">IF(G1903="","",C1903/C1902-1)</f>
        <v>0.146180650891608</v>
      </c>
      <c r="J1903" s="17" t="n">
        <f aca="false">AVERAGE(C1704:C1903)</f>
        <v>8475.07445</v>
      </c>
      <c r="K1903" s="17" t="n">
        <f aca="false">MAX(K1902,C1903)</f>
        <v>19650.01</v>
      </c>
      <c r="L1903" s="25" t="n">
        <f aca="false">C1903/K1903-1</f>
        <v>-0.683461229790723</v>
      </c>
      <c r="M1903" s="25" t="n">
        <f aca="false">IF(COUNT(G1874:G1903)&lt;20,"",_xlfn.STDEV.S(G1874:G1903)*SQRT($R$3))</f>
        <v>1.88163164898118</v>
      </c>
      <c r="N1903" s="25" t="n">
        <f aca="false">IF(A1903-7&lt;$R$2,"",C1903/INDEX(Clean_Data!$C$2:$C$4314,MATCH(A1903-7,Clean_Data!$A$2:$A$4314,1))-1)</f>
        <v>0.248993975903614</v>
      </c>
      <c r="O1903" s="25" t="n">
        <f aca="false">IF(A1903-30&lt;$R$2,"",C1903/INDEX(Clean_Data!$C$2:$C$4314,MATCH(A1903-30,Clean_Data!$A$2:$A$4314,1))-1)</f>
        <v>-0.389689064721518</v>
      </c>
    </row>
    <row r="1904" customFormat="false" ht="15" hidden="false" customHeight="false" outlineLevel="0" collapsed="false">
      <c r="A1904" s="16" t="n">
        <v>43910</v>
      </c>
      <c r="B1904" s="23" t="n">
        <f aca="false">YEAR(A1904)</f>
        <v>2020</v>
      </c>
      <c r="C1904" s="17" t="n">
        <v>6215.4</v>
      </c>
      <c r="D1904" s="23" t="n">
        <f aca="false">A1904-A1903</f>
        <v>1</v>
      </c>
      <c r="E1904" s="24" t="n">
        <f aca="false">LN(C1904)</f>
        <v>8.73478536229211</v>
      </c>
      <c r="F1904" s="25" t="n">
        <f aca="false">LN(C1904/C1903)</f>
        <v>-0.000738215722779638</v>
      </c>
      <c r="G1904" s="25" t="n">
        <f aca="false">IF(AND(D1904=1,A1904&gt;=$R$2),F1904,"")</f>
        <v>-0.000738215722779638</v>
      </c>
      <c r="H1904" s="27" t="n">
        <f aca="false">IF(G1904="","",G1904^2)</f>
        <v>5.44962453359063E-007</v>
      </c>
      <c r="I1904" s="25" t="n">
        <f aca="false">IF(G1904="","",C1904/C1903-1)</f>
        <v>-0.000737943308590561</v>
      </c>
      <c r="J1904" s="17" t="n">
        <f aca="false">AVERAGE(C1705:C1904)</f>
        <v>8454.1262</v>
      </c>
      <c r="K1904" s="17" t="n">
        <f aca="false">MAX(K1903,C1904)</f>
        <v>19650.01</v>
      </c>
      <c r="L1904" s="25" t="n">
        <f aca="false">C1904/K1904-1</f>
        <v>-0.683694817458108</v>
      </c>
      <c r="M1904" s="25" t="n">
        <f aca="false">IF(COUNT(G1875:G1904)&lt;20,"",_xlfn.STDEV.S(G1875:G1904)*SQRT($R$3))</f>
        <v>1.87550976669071</v>
      </c>
      <c r="N1904" s="25" t="n">
        <f aca="false">IF(A1904-7&lt;$R$2,"",C1904/INDEX(Clean_Data!$C$2:$C$4314,MATCH(A1904-7,Clean_Data!$A$2:$A$4314,1))-1)</f>
        <v>0.111327660533153</v>
      </c>
      <c r="O1904" s="25" t="n">
        <f aca="false">IF(A1904-30&lt;$R$2,"",C1904/INDEX(Clean_Data!$C$2:$C$4314,MATCH(A1904-30,Clean_Data!$A$2:$A$4314,1))-1)</f>
        <v>-0.351991442458667</v>
      </c>
    </row>
    <row r="1905" customFormat="false" ht="15" hidden="false" customHeight="false" outlineLevel="0" collapsed="false">
      <c r="A1905" s="16" t="n">
        <v>43911</v>
      </c>
      <c r="B1905" s="23" t="n">
        <f aca="false">YEAR(A1905)</f>
        <v>2020</v>
      </c>
      <c r="C1905" s="17" t="n">
        <v>6168.72</v>
      </c>
      <c r="D1905" s="23" t="n">
        <f aca="false">A1905-A1904</f>
        <v>1</v>
      </c>
      <c r="E1905" s="24" t="n">
        <f aca="false">LN(C1905)</f>
        <v>8.72724663994808</v>
      </c>
      <c r="F1905" s="25" t="n">
        <f aca="false">LN(C1905/C1904)</f>
        <v>-0.00753872234402948</v>
      </c>
      <c r="G1905" s="25" t="n">
        <f aca="false">IF(AND(D1905=1,A1905&gt;=$R$2),F1905,"")</f>
        <v>-0.00753872234402948</v>
      </c>
      <c r="H1905" s="27" t="n">
        <f aca="false">IF(G1905="","",G1905^2)</f>
        <v>5.68323345803694E-005</v>
      </c>
      <c r="I1905" s="25" t="n">
        <f aca="false">IF(G1905="","",C1905/C1904-1)</f>
        <v>-0.00751037744956062</v>
      </c>
      <c r="J1905" s="17" t="n">
        <f aca="false">AVERAGE(C1706:C1905)</f>
        <v>8431.8275</v>
      </c>
      <c r="K1905" s="17" t="n">
        <f aca="false">MAX(K1904,C1905)</f>
        <v>19650.01</v>
      </c>
      <c r="L1905" s="25" t="n">
        <f aca="false">C1905/K1905-1</f>
        <v>-0.68607038876825</v>
      </c>
      <c r="M1905" s="25" t="n">
        <f aca="false">IF(COUNT(G1876:G1905)&lt;20,"",_xlfn.STDEV.S(G1876:G1905)*SQRT($R$3))</f>
        <v>1.87475907494735</v>
      </c>
      <c r="N1905" s="25" t="n">
        <f aca="false">IF(A1905-7&lt;$R$2,"",C1905/INDEX(Clean_Data!$C$2:$C$4314,MATCH(A1905-7,Clean_Data!$A$2:$A$4314,1))-1)</f>
        <v>0.190270558134689</v>
      </c>
      <c r="O1905" s="25" t="n">
        <f aca="false">IF(A1905-30&lt;$R$2,"",C1905/INDEX(Clean_Data!$C$2:$C$4314,MATCH(A1905-30,Clean_Data!$A$2:$A$4314,1))-1)</f>
        <v>-0.358096992211279</v>
      </c>
    </row>
    <row r="1906" customFormat="false" ht="15" hidden="false" customHeight="false" outlineLevel="0" collapsed="false">
      <c r="A1906" s="16" t="n">
        <v>43912</v>
      </c>
      <c r="B1906" s="23" t="n">
        <f aca="false">YEAR(A1906)</f>
        <v>2020</v>
      </c>
      <c r="C1906" s="17" t="n">
        <v>5791.69</v>
      </c>
      <c r="D1906" s="23" t="n">
        <f aca="false">A1906-A1905</f>
        <v>1</v>
      </c>
      <c r="E1906" s="24" t="n">
        <f aca="false">LN(C1906)</f>
        <v>8.66417941053375</v>
      </c>
      <c r="F1906" s="25" t="n">
        <f aca="false">LN(C1906/C1905)</f>
        <v>-0.0630672294143357</v>
      </c>
      <c r="G1906" s="25" t="n">
        <f aca="false">IF(AND(D1906=1,A1906&gt;=$R$2),F1906,"")</f>
        <v>-0.0630672294143357</v>
      </c>
      <c r="H1906" s="27" t="n">
        <f aca="false">IF(G1906="","",G1906^2)</f>
        <v>0.00397747542600045</v>
      </c>
      <c r="I1906" s="25" t="n">
        <f aca="false">IF(G1906="","",C1906/C1905-1)</f>
        <v>-0.0611196488088291</v>
      </c>
      <c r="J1906" s="17" t="n">
        <f aca="false">AVERAGE(C1707:C1906)</f>
        <v>8407.8576</v>
      </c>
      <c r="K1906" s="17" t="n">
        <f aca="false">MAX(K1905,C1906)</f>
        <v>19650.01</v>
      </c>
      <c r="L1906" s="25" t="n">
        <f aca="false">C1906/K1906-1</f>
        <v>-0.705257656357427</v>
      </c>
      <c r="M1906" s="25" t="n">
        <f aca="false">IF(COUNT(G1877:G1906)&lt;20,"",_xlfn.STDEV.S(G1877:G1906)*SQRT($R$3))</f>
        <v>1.88009881647716</v>
      </c>
      <c r="N1906" s="25" t="n">
        <f aca="false">IF(A1906-7&lt;$R$2,"",C1906/INDEX(Clean_Data!$C$2:$C$4314,MATCH(A1906-7,Clean_Data!$A$2:$A$4314,1))-1)</f>
        <v>0.0872084728708946</v>
      </c>
      <c r="O1906" s="25" t="n">
        <f aca="false">IF(A1906-30&lt;$R$2,"",C1906/INDEX(Clean_Data!$C$2:$C$4314,MATCH(A1906-30,Clean_Data!$A$2:$A$4314,1))-1)</f>
        <v>-0.402734451134938</v>
      </c>
    </row>
    <row r="1907" customFormat="false" ht="15" hidden="false" customHeight="false" outlineLevel="0" collapsed="false">
      <c r="A1907" s="16" t="n">
        <v>43913</v>
      </c>
      <c r="B1907" s="23" t="n">
        <f aca="false">YEAR(A1907)</f>
        <v>2020</v>
      </c>
      <c r="C1907" s="17" t="n">
        <v>6583.38</v>
      </c>
      <c r="D1907" s="23" t="n">
        <f aca="false">A1907-A1906</f>
        <v>1</v>
      </c>
      <c r="E1907" s="24" t="n">
        <f aca="false">LN(C1907)</f>
        <v>8.79230357024363</v>
      </c>
      <c r="F1907" s="25" t="n">
        <f aca="false">LN(C1907/C1906)</f>
        <v>0.128124159709883</v>
      </c>
      <c r="G1907" s="25" t="n">
        <f aca="false">IF(AND(D1907=1,A1907&gt;=$R$2),F1907,"")</f>
        <v>0.128124159709883</v>
      </c>
      <c r="H1907" s="27" t="n">
        <f aca="false">IF(G1907="","",G1907^2)</f>
        <v>0.0164158003013636</v>
      </c>
      <c r="I1907" s="25" t="n">
        <f aca="false">IF(G1907="","",C1907/C1906-1)</f>
        <v>0.136694125548847</v>
      </c>
      <c r="J1907" s="17" t="n">
        <f aca="false">AVERAGE(C1708:C1907)</f>
        <v>8387.90315</v>
      </c>
      <c r="K1907" s="17" t="n">
        <f aca="false">MAX(K1906,C1907)</f>
        <v>19650.01</v>
      </c>
      <c r="L1907" s="25" t="n">
        <f aca="false">C1907/K1907-1</f>
        <v>-0.664968109430988</v>
      </c>
      <c r="M1907" s="25" t="n">
        <f aca="false">IF(COUNT(G1878:G1907)&lt;20,"",_xlfn.STDEV.S(G1878:G1907)*SQRT($R$3))</f>
        <v>1.94698624957137</v>
      </c>
      <c r="N1907" s="25" t="n">
        <f aca="false">IF(A1907-7&lt;$R$2,"",C1907/INDEX(Clean_Data!$C$2:$C$4314,MATCH(A1907-7,Clean_Data!$A$2:$A$4314,1))-1)</f>
        <v>0.297422253754287</v>
      </c>
      <c r="O1907" s="25" t="n">
        <f aca="false">IF(A1907-30&lt;$R$2,"",C1907/INDEX(Clean_Data!$C$2:$C$4314,MATCH(A1907-30,Clean_Data!$A$2:$A$4314,1))-1)</f>
        <v>-0.319072925221291</v>
      </c>
    </row>
    <row r="1908" customFormat="false" ht="15" hidden="false" customHeight="false" outlineLevel="0" collapsed="false">
      <c r="A1908" s="16" t="n">
        <v>43914</v>
      </c>
      <c r="B1908" s="23" t="n">
        <f aca="false">YEAR(A1908)</f>
        <v>2020</v>
      </c>
      <c r="C1908" s="17" t="n">
        <v>6742.21</v>
      </c>
      <c r="D1908" s="23" t="n">
        <f aca="false">A1908-A1907</f>
        <v>1</v>
      </c>
      <c r="E1908" s="24" t="n">
        <f aca="false">LN(C1908)</f>
        <v>8.81614304333621</v>
      </c>
      <c r="F1908" s="25" t="n">
        <f aca="false">LN(C1908/C1907)</f>
        <v>0.0238394730925788</v>
      </c>
      <c r="G1908" s="25" t="n">
        <f aca="false">IF(AND(D1908=1,A1908&gt;=$R$2),F1908,"")</f>
        <v>0.0238394730925788</v>
      </c>
      <c r="H1908" s="27" t="n">
        <f aca="false">IF(G1908="","",G1908^2)</f>
        <v>0.000568320477331791</v>
      </c>
      <c r="I1908" s="25" t="n">
        <f aca="false">IF(G1908="","",C1908/C1907-1)</f>
        <v>0.0241259049302942</v>
      </c>
      <c r="J1908" s="17" t="n">
        <f aca="false">AVERAGE(C1709:C1908)</f>
        <v>8370.0202</v>
      </c>
      <c r="K1908" s="17" t="n">
        <f aca="false">MAX(K1907,C1908)</f>
        <v>19650.01</v>
      </c>
      <c r="L1908" s="25" t="n">
        <f aca="false">C1908/K1908-1</f>
        <v>-0.656885161890503</v>
      </c>
      <c r="M1908" s="25" t="n">
        <f aca="false">IF(COUNT(G1879:G1908)&lt;20,"",_xlfn.STDEV.S(G1879:G1908)*SQRT($R$3))</f>
        <v>1.94535851178352</v>
      </c>
      <c r="N1908" s="25" t="n">
        <f aca="false">IF(A1908-7&lt;$R$2,"",C1908/INDEX(Clean_Data!$C$2:$C$4314,MATCH(A1908-7,Clean_Data!$A$2:$A$4314,1))-1)</f>
        <v>0.257459756759428</v>
      </c>
      <c r="O1908" s="25" t="n">
        <f aca="false">IF(A1908-30&lt;$R$2,"",C1908/INDEX(Clean_Data!$C$2:$C$4314,MATCH(A1908-30,Clean_Data!$A$2:$A$4314,1))-1)</f>
        <v>-0.323353900378958</v>
      </c>
    </row>
    <row r="1909" customFormat="false" ht="15" hidden="false" customHeight="false" outlineLevel="0" collapsed="false">
      <c r="A1909" s="16" t="n">
        <v>43915</v>
      </c>
      <c r="B1909" s="23" t="n">
        <f aca="false">YEAR(A1909)</f>
        <v>2020</v>
      </c>
      <c r="C1909" s="17" t="n">
        <v>6752.83</v>
      </c>
      <c r="D1909" s="23" t="n">
        <f aca="false">A1909-A1908</f>
        <v>1</v>
      </c>
      <c r="E1909" s="24" t="n">
        <f aca="false">LN(C1909)</f>
        <v>8.81771695526123</v>
      </c>
      <c r="F1909" s="25" t="n">
        <f aca="false">LN(C1909/C1908)</f>
        <v>0.00157391192502153</v>
      </c>
      <c r="G1909" s="25" t="n">
        <f aca="false">IF(AND(D1909=1,A1909&gt;=$R$2),F1909,"")</f>
        <v>0.00157391192502153</v>
      </c>
      <c r="H1909" s="27" t="n">
        <f aca="false">IF(G1909="","",G1909^2)</f>
        <v>2.47719874772498E-006</v>
      </c>
      <c r="I1909" s="25" t="n">
        <f aca="false">IF(G1909="","",C1909/C1908-1)</f>
        <v>0.0015751511744666</v>
      </c>
      <c r="J1909" s="17" t="n">
        <f aca="false">AVERAGE(C1710:C1909)</f>
        <v>8351.36</v>
      </c>
      <c r="K1909" s="17" t="n">
        <f aca="false">MAX(K1908,C1909)</f>
        <v>19650.01</v>
      </c>
      <c r="L1909" s="25" t="n">
        <f aca="false">C1909/K1909-1</f>
        <v>-0.656344704150278</v>
      </c>
      <c r="M1909" s="25" t="n">
        <f aca="false">IF(COUNT(G1880:G1909)&lt;20,"",_xlfn.STDEV.S(G1880:G1909)*SQRT($R$3))</f>
        <v>1.94498798033972</v>
      </c>
      <c r="N1909" s="25" t="n">
        <f aca="false">IF(A1909-7&lt;$R$2,"",C1909/INDEX(Clean_Data!$C$2:$C$4314,MATCH(A1909-7,Clean_Data!$A$2:$A$4314,1))-1)</f>
        <v>0.244369056021051</v>
      </c>
      <c r="O1909" s="25" t="n">
        <f aca="false">IF(A1909-30&lt;$R$2,"",C1909/INDEX(Clean_Data!$C$2:$C$4314,MATCH(A1909-30,Clean_Data!$A$2:$A$4314,1))-1)</f>
        <v>-0.301533499929666</v>
      </c>
    </row>
    <row r="1910" customFormat="false" ht="15" hidden="false" customHeight="false" outlineLevel="0" collapsed="false">
      <c r="A1910" s="16" t="n">
        <v>43916</v>
      </c>
      <c r="B1910" s="23" t="n">
        <f aca="false">YEAR(A1910)</f>
        <v>2020</v>
      </c>
      <c r="C1910" s="17" t="n">
        <v>6772.2</v>
      </c>
      <c r="D1910" s="23" t="n">
        <f aca="false">A1910-A1909</f>
        <v>1</v>
      </c>
      <c r="E1910" s="24" t="n">
        <f aca="false">LN(C1910)</f>
        <v>8.82058127618964</v>
      </c>
      <c r="F1910" s="25" t="n">
        <f aca="false">LN(C1910/C1909)</f>
        <v>0.00286432092840628</v>
      </c>
      <c r="G1910" s="25" t="n">
        <f aca="false">IF(AND(D1910=1,A1910&gt;=$R$2),F1910,"")</f>
        <v>0.00286432092840628</v>
      </c>
      <c r="H1910" s="27" t="n">
        <f aca="false">IF(G1910="","",G1910^2)</f>
        <v>8.20433438090623E-006</v>
      </c>
      <c r="I1910" s="25" t="n">
        <f aca="false">IF(G1910="","",C1910/C1909-1)</f>
        <v>0.00286842701504408</v>
      </c>
      <c r="J1910" s="17" t="n">
        <f aca="false">AVERAGE(C1711:C1910)</f>
        <v>8333.24515</v>
      </c>
      <c r="K1910" s="17" t="n">
        <f aca="false">MAX(K1909,C1910)</f>
        <v>19650.01</v>
      </c>
      <c r="L1910" s="25" t="n">
        <f aca="false">C1910/K1910-1</f>
        <v>-0.6553589540158</v>
      </c>
      <c r="M1910" s="25" t="n">
        <f aca="false">IF(COUNT(G1881:G1910)&lt;20,"",_xlfn.STDEV.S(G1881:G1910)*SQRT($R$3))</f>
        <v>1.94319775513519</v>
      </c>
      <c r="N1910" s="25" t="n">
        <f aca="false">IF(A1910-7&lt;$R$2,"",C1910/INDEX(Clean_Data!$C$2:$C$4314,MATCH(A1910-7,Clean_Data!$A$2:$A$4314,1))-1)</f>
        <v>0.0887798854982083</v>
      </c>
      <c r="O1910" s="25" t="n">
        <f aca="false">IF(A1910-30&lt;$R$2,"",C1910/INDEX(Clean_Data!$C$2:$C$4314,MATCH(A1910-30,Clean_Data!$A$2:$A$4314,1))-1)</f>
        <v>-0.271885526410573</v>
      </c>
    </row>
    <row r="1911" customFormat="false" ht="15" hidden="false" customHeight="false" outlineLevel="0" collapsed="false">
      <c r="A1911" s="16" t="n">
        <v>43917</v>
      </c>
      <c r="B1911" s="23" t="n">
        <f aca="false">YEAR(A1911)</f>
        <v>2020</v>
      </c>
      <c r="C1911" s="17" t="n">
        <v>6320.46</v>
      </c>
      <c r="D1911" s="23" t="n">
        <f aca="false">A1911-A1910</f>
        <v>1</v>
      </c>
      <c r="E1911" s="24" t="n">
        <f aca="false">LN(C1911)</f>
        <v>8.75154726930234</v>
      </c>
      <c r="F1911" s="25" t="n">
        <f aca="false">LN(C1911/C1910)</f>
        <v>-0.0690340068872917</v>
      </c>
      <c r="G1911" s="25" t="n">
        <f aca="false">IF(AND(D1911=1,A1911&gt;=$R$2),F1911,"")</f>
        <v>-0.0690340068872917</v>
      </c>
      <c r="H1911" s="27" t="n">
        <f aca="false">IF(G1911="","",G1911^2)</f>
        <v>0.00476569410691463</v>
      </c>
      <c r="I1911" s="25" t="n">
        <f aca="false">IF(G1911="","",C1911/C1910-1)</f>
        <v>-0.0667050589173385</v>
      </c>
      <c r="J1911" s="17" t="n">
        <f aca="false">AVERAGE(C1712:C1911)</f>
        <v>8313.2974</v>
      </c>
      <c r="K1911" s="17" t="n">
        <f aca="false">MAX(K1910,C1911)</f>
        <v>19650.01</v>
      </c>
      <c r="L1911" s="25" t="n">
        <f aca="false">C1911/K1911-1</f>
        <v>-0.678348255293509</v>
      </c>
      <c r="M1911" s="25" t="n">
        <f aca="false">IF(COUNT(G1882:G1911)&lt;20,"",_xlfn.STDEV.S(G1882:G1911)*SQRT($R$3))</f>
        <v>1.94693370547528</v>
      </c>
      <c r="N1911" s="25" t="n">
        <f aca="false">IF(A1911-7&lt;$R$2,"",C1911/INDEX(Clean_Data!$C$2:$C$4314,MATCH(A1911-7,Clean_Data!$A$2:$A$4314,1))-1)</f>
        <v>0.0169031759822378</v>
      </c>
      <c r="O1911" s="25" t="n">
        <f aca="false">IF(A1911-30&lt;$R$2,"",C1911/INDEX(Clean_Data!$C$2:$C$4314,MATCH(A1911-30,Clean_Data!$A$2:$A$4314,1))-1)</f>
        <v>-0.279802552640665</v>
      </c>
    </row>
    <row r="1912" customFormat="false" ht="15" hidden="false" customHeight="false" outlineLevel="0" collapsed="false">
      <c r="A1912" s="16" t="n">
        <v>43918</v>
      </c>
      <c r="B1912" s="23" t="n">
        <f aca="false">YEAR(A1912)</f>
        <v>2020</v>
      </c>
      <c r="C1912" s="17" t="n">
        <v>6269.81</v>
      </c>
      <c r="D1912" s="23" t="n">
        <f aca="false">A1912-A1911</f>
        <v>1</v>
      </c>
      <c r="E1912" s="24" t="n">
        <f aca="false">LN(C1912)</f>
        <v>8.74350133013752</v>
      </c>
      <c r="F1912" s="25" t="n">
        <f aca="false">LN(C1912/C1911)</f>
        <v>-0.0080459391648266</v>
      </c>
      <c r="G1912" s="25" t="n">
        <f aca="false">IF(AND(D1912=1,A1912&gt;=$R$2),F1912,"")</f>
        <v>-0.0080459391648266</v>
      </c>
      <c r="H1912" s="27" t="n">
        <f aca="false">IF(G1912="","",G1912^2)</f>
        <v>6.47371370440906E-005</v>
      </c>
      <c r="I1912" s="25" t="n">
        <f aca="false">IF(G1912="","",C1912/C1911-1)</f>
        <v>-0.00801365723380887</v>
      </c>
      <c r="J1912" s="17" t="n">
        <f aca="false">AVERAGE(C1713:C1912)</f>
        <v>8294.1964</v>
      </c>
      <c r="K1912" s="17" t="n">
        <f aca="false">MAX(K1911,C1912)</f>
        <v>19650.01</v>
      </c>
      <c r="L1912" s="25" t="n">
        <f aca="false">C1912/K1912-1</f>
        <v>-0.680925862124243</v>
      </c>
      <c r="M1912" s="25" t="n">
        <f aca="false">IF(COUNT(G1883:G1912)&lt;20,"",_xlfn.STDEV.S(G1883:G1912)*SQRT($R$3))</f>
        <v>1.94615995495287</v>
      </c>
      <c r="N1912" s="25" t="n">
        <f aca="false">IF(A1912-7&lt;$R$2,"",C1912/INDEX(Clean_Data!$C$2:$C$4314,MATCH(A1912-7,Clean_Data!$A$2:$A$4314,1))-1)</f>
        <v>0.0163875163729266</v>
      </c>
      <c r="O1912" s="25" t="n">
        <f aca="false">IF(A1912-30&lt;$R$2,"",C1912/INDEX(Clean_Data!$C$2:$C$4314,MATCH(A1912-30,Clean_Data!$A$2:$A$4314,1))-1)</f>
        <v>-0.288871926149323</v>
      </c>
    </row>
    <row r="1913" customFormat="false" ht="15" hidden="false" customHeight="false" outlineLevel="0" collapsed="false">
      <c r="A1913" s="16" t="n">
        <v>43919</v>
      </c>
      <c r="B1913" s="23" t="n">
        <f aca="false">YEAR(A1913)</f>
        <v>2020</v>
      </c>
      <c r="C1913" s="17" t="n">
        <v>5897.55</v>
      </c>
      <c r="D1913" s="23" t="n">
        <f aca="false">A1913-A1912</f>
        <v>1</v>
      </c>
      <c r="E1913" s="24" t="n">
        <f aca="false">LN(C1913)</f>
        <v>8.68229228941461</v>
      </c>
      <c r="F1913" s="25" t="n">
        <f aca="false">LN(C1913/C1912)</f>
        <v>-0.0612090407229111</v>
      </c>
      <c r="G1913" s="25" t="n">
        <f aca="false">IF(AND(D1913=1,A1913&gt;=$R$2),F1913,"")</f>
        <v>-0.0612090407229111</v>
      </c>
      <c r="H1913" s="27" t="n">
        <f aca="false">IF(G1913="","",G1913^2)</f>
        <v>0.00374654666621898</v>
      </c>
      <c r="I1913" s="25" t="n">
        <f aca="false">IF(G1913="","",C1913/C1912-1)</f>
        <v>-0.0593734100395387</v>
      </c>
      <c r="J1913" s="17" t="n">
        <f aca="false">AVERAGE(C1714:C1913)</f>
        <v>8272.8367</v>
      </c>
      <c r="K1913" s="17" t="n">
        <f aca="false">MAX(K1912,C1913)</f>
        <v>19650.01</v>
      </c>
      <c r="L1913" s="25" t="n">
        <f aca="false">C1913/K1913-1</f>
        <v>-0.699870381745353</v>
      </c>
      <c r="M1913" s="25" t="n">
        <f aca="false">IF(COUNT(G1884:G1913)&lt;20,"",_xlfn.STDEV.S(G1884:G1913)*SQRT($R$3))</f>
        <v>1.95391502011636</v>
      </c>
      <c r="N1913" s="25" t="n">
        <f aca="false">IF(A1913-7&lt;$R$2,"",C1913/INDEX(Clean_Data!$C$2:$C$4314,MATCH(A1913-7,Clean_Data!$A$2:$A$4314,1))-1)</f>
        <v>0.0182779119738798</v>
      </c>
      <c r="O1913" s="25" t="n">
        <f aca="false">IF(A1913-30&lt;$R$2,"",C1913/INDEX(Clean_Data!$C$2:$C$4314,MATCH(A1913-30,Clean_Data!$A$2:$A$4314,1))-1)</f>
        <v>-0.323144530801684</v>
      </c>
    </row>
    <row r="1914" customFormat="false" ht="15" hidden="false" customHeight="false" outlineLevel="0" collapsed="false">
      <c r="A1914" s="16" t="n">
        <v>43920</v>
      </c>
      <c r="B1914" s="23" t="n">
        <f aca="false">YEAR(A1914)</f>
        <v>2020</v>
      </c>
      <c r="C1914" s="17" t="n">
        <v>6401.26</v>
      </c>
      <c r="D1914" s="23" t="n">
        <f aca="false">A1914-A1913</f>
        <v>1</v>
      </c>
      <c r="E1914" s="24" t="n">
        <f aca="false">LN(C1914)</f>
        <v>8.76425012497042</v>
      </c>
      <c r="F1914" s="25" t="n">
        <f aca="false">LN(C1914/C1913)</f>
        <v>0.0819578355558175</v>
      </c>
      <c r="G1914" s="25" t="n">
        <f aca="false">IF(AND(D1914=1,A1914&gt;=$R$2),F1914,"")</f>
        <v>0.0819578355558175</v>
      </c>
      <c r="H1914" s="27" t="n">
        <f aca="false">IF(G1914="","",G1914^2)</f>
        <v>0.00671708680899443</v>
      </c>
      <c r="I1914" s="25" t="n">
        <f aca="false">IF(G1914="","",C1914/C1913-1)</f>
        <v>0.085410043153513</v>
      </c>
      <c r="J1914" s="17" t="n">
        <f aca="false">AVERAGE(C1715:C1914)</f>
        <v>8252.65705</v>
      </c>
      <c r="K1914" s="17" t="n">
        <f aca="false">MAX(K1913,C1914)</f>
        <v>19650.01</v>
      </c>
      <c r="L1914" s="25" t="n">
        <f aca="false">C1914/K1914-1</f>
        <v>-0.674236298098576</v>
      </c>
      <c r="M1914" s="25" t="n">
        <f aca="false">IF(COUNT(G1885:G1914)&lt;20,"",_xlfn.STDEV.S(G1885:G1914)*SQRT($R$3))</f>
        <v>1.98157718052806</v>
      </c>
      <c r="N1914" s="25" t="n">
        <f aca="false">IF(A1914-7&lt;$R$2,"",C1914/INDEX(Clean_Data!$C$2:$C$4314,MATCH(A1914-7,Clean_Data!$A$2:$A$4314,1))-1)</f>
        <v>-0.0276636013719396</v>
      </c>
      <c r="O1914" s="25" t="n">
        <f aca="false">IF(A1914-30&lt;$R$2,"",C1914/INDEX(Clean_Data!$C$2:$C$4314,MATCH(A1914-30,Clean_Data!$A$2:$A$4314,1))-1)</f>
        <v>-0.25149671191102</v>
      </c>
    </row>
    <row r="1915" customFormat="false" ht="15" hidden="false" customHeight="false" outlineLevel="0" collapsed="false">
      <c r="A1915" s="16" t="n">
        <v>43921</v>
      </c>
      <c r="B1915" s="23" t="n">
        <f aca="false">YEAR(A1915)</f>
        <v>2020</v>
      </c>
      <c r="C1915" s="17" t="n">
        <v>6434.73</v>
      </c>
      <c r="D1915" s="23" t="n">
        <f aca="false">A1915-A1914</f>
        <v>1</v>
      </c>
      <c r="E1915" s="24" t="n">
        <f aca="false">LN(C1915)</f>
        <v>8.76946516110801</v>
      </c>
      <c r="F1915" s="25" t="n">
        <f aca="false">LN(C1915/C1914)</f>
        <v>0.00521503613758191</v>
      </c>
      <c r="G1915" s="25" t="n">
        <f aca="false">IF(AND(D1915=1,A1915&gt;=$R$2),F1915,"")</f>
        <v>0.00521503613758191</v>
      </c>
      <c r="H1915" s="27" t="n">
        <f aca="false">IF(G1915="","",G1915^2)</f>
        <v>2.71966019162852E-005</v>
      </c>
      <c r="I1915" s="25" t="n">
        <f aca="false">IF(G1915="","",C1915/C1914-1)</f>
        <v>0.00522865810793483</v>
      </c>
      <c r="J1915" s="17" t="n">
        <f aca="false">AVERAGE(C1716:C1915)</f>
        <v>8232.92115</v>
      </c>
      <c r="K1915" s="17" t="n">
        <f aca="false">MAX(K1914,C1915)</f>
        <v>19650.01</v>
      </c>
      <c r="L1915" s="25" t="n">
        <f aca="false">C1915/K1915-1</f>
        <v>-0.672532991077358</v>
      </c>
      <c r="M1915" s="25" t="n">
        <f aca="false">IF(COUNT(G1886:G1915)&lt;20,"",_xlfn.STDEV.S(G1886:G1915)*SQRT($R$3))</f>
        <v>1.98224455937965</v>
      </c>
      <c r="N1915" s="25" t="n">
        <f aca="false">IF(A1915-7&lt;$R$2,"",C1915/INDEX(Clean_Data!$C$2:$C$4314,MATCH(A1915-7,Clean_Data!$A$2:$A$4314,1))-1)</f>
        <v>-0.0456052243997147</v>
      </c>
      <c r="O1915" s="25" t="n">
        <f aca="false">IF(A1915-30&lt;$R$2,"",C1915/INDEX(Clean_Data!$C$2:$C$4314,MATCH(A1915-30,Clean_Data!$A$2:$A$4314,1))-1)</f>
        <v>-0.242108052718985</v>
      </c>
    </row>
    <row r="1916" customFormat="false" ht="15" hidden="false" customHeight="false" outlineLevel="0" collapsed="false">
      <c r="A1916" s="16" t="n">
        <v>43922</v>
      </c>
      <c r="B1916" s="23" t="n">
        <f aca="false">YEAR(A1916)</f>
        <v>2020</v>
      </c>
      <c r="C1916" s="17" t="n">
        <v>6719.39</v>
      </c>
      <c r="D1916" s="23" t="n">
        <f aca="false">A1916-A1915</f>
        <v>1</v>
      </c>
      <c r="E1916" s="24" t="n">
        <f aca="false">LN(C1916)</f>
        <v>8.81275265558748</v>
      </c>
      <c r="F1916" s="25" t="n">
        <f aca="false">LN(C1916/C1915)</f>
        <v>0.0432874944794742</v>
      </c>
      <c r="G1916" s="25" t="n">
        <f aca="false">IF(AND(D1916=1,A1916&gt;=$R$2),F1916,"")</f>
        <v>0.0432874944794742</v>
      </c>
      <c r="H1916" s="27" t="n">
        <f aca="false">IF(G1916="","",G1916^2)</f>
        <v>0.00187380717831051</v>
      </c>
      <c r="I1916" s="25" t="n">
        <f aca="false">IF(G1916="","",C1916/C1915-1)</f>
        <v>0.0442380643787697</v>
      </c>
      <c r="J1916" s="17" t="n">
        <f aca="false">AVERAGE(C1717:C1916)</f>
        <v>8214.7171</v>
      </c>
      <c r="K1916" s="17" t="n">
        <f aca="false">MAX(K1915,C1916)</f>
        <v>19650.01</v>
      </c>
      <c r="L1916" s="25" t="n">
        <f aca="false">C1916/K1916-1</f>
        <v>-0.658046484454715</v>
      </c>
      <c r="M1916" s="25" t="n">
        <f aca="false">IF(COUNT(G1887:G1916)&lt;20,"",_xlfn.STDEV.S(G1887:G1916)*SQRT($R$3))</f>
        <v>1.97994473638793</v>
      </c>
      <c r="N1916" s="25" t="n">
        <f aca="false">IF(A1916-7&lt;$R$2,"",C1916/INDEX(Clean_Data!$C$2:$C$4314,MATCH(A1916-7,Clean_Data!$A$2:$A$4314,1))-1)</f>
        <v>-0.0049519979031013</v>
      </c>
      <c r="O1916" s="25" t="n">
        <f aca="false">IF(A1916-30&lt;$R$2,"",C1916/INDEX(Clean_Data!$C$2:$C$4314,MATCH(A1916-30,Clean_Data!$A$2:$A$4314,1))-1)</f>
        <v>-0.247002304023524</v>
      </c>
    </row>
    <row r="1917" customFormat="false" ht="15" hidden="false" customHeight="false" outlineLevel="0" collapsed="false">
      <c r="A1917" s="16" t="n">
        <v>43923</v>
      </c>
      <c r="B1917" s="23" t="n">
        <f aca="false">YEAR(A1917)</f>
        <v>2020</v>
      </c>
      <c r="C1917" s="17" t="n">
        <v>6789.84</v>
      </c>
      <c r="D1917" s="23" t="n">
        <f aca="false">A1917-A1916</f>
        <v>1</v>
      </c>
      <c r="E1917" s="24" t="n">
        <f aca="false">LN(C1917)</f>
        <v>8.8231826562103</v>
      </c>
      <c r="F1917" s="25" t="n">
        <f aca="false">LN(C1917/C1916)</f>
        <v>0.0104300006228238</v>
      </c>
      <c r="G1917" s="25" t="n">
        <f aca="false">IF(AND(D1917=1,A1917&gt;=$R$2),F1917,"")</f>
        <v>0.0104300006228238</v>
      </c>
      <c r="H1917" s="27" t="n">
        <f aca="false">IF(G1917="","",G1917^2)</f>
        <v>0.000108784912992106</v>
      </c>
      <c r="I1917" s="25" t="n">
        <f aca="false">IF(G1917="","",C1917/C1916-1)</f>
        <v>0.0104845826778919</v>
      </c>
      <c r="J1917" s="17" t="n">
        <f aca="false">AVERAGE(C1718:C1917)</f>
        <v>8197.13305</v>
      </c>
      <c r="K1917" s="17" t="n">
        <f aca="false">MAX(K1916,C1917)</f>
        <v>19650.01</v>
      </c>
      <c r="L1917" s="25" t="n">
        <f aca="false">C1917/K1917-1</f>
        <v>-0.654461244548985</v>
      </c>
      <c r="M1917" s="25" t="n">
        <f aca="false">IF(COUNT(G1888:G1917)&lt;20,"",_xlfn.STDEV.S(G1888:G1917)*SQRT($R$3))</f>
        <v>1.9809193424432</v>
      </c>
      <c r="N1917" s="25" t="n">
        <f aca="false">IF(A1917-7&lt;$R$2,"",C1917/INDEX(Clean_Data!$C$2:$C$4314,MATCH(A1917-7,Clean_Data!$A$2:$A$4314,1))-1)</f>
        <v>0.0026047665455835</v>
      </c>
      <c r="O1917" s="25" t="n">
        <f aca="false">IF(A1917-30&lt;$R$2,"",C1917/INDEX(Clean_Data!$C$2:$C$4314,MATCH(A1917-30,Clean_Data!$A$2:$A$4314,1))-1)</f>
        <v>-0.225758779976898</v>
      </c>
    </row>
    <row r="1918" customFormat="false" ht="15" hidden="false" customHeight="false" outlineLevel="0" collapsed="false">
      <c r="A1918" s="16" t="n">
        <v>43924</v>
      </c>
      <c r="B1918" s="23" t="n">
        <f aca="false">YEAR(A1918)</f>
        <v>2020</v>
      </c>
      <c r="C1918" s="17" t="n">
        <v>6727.99</v>
      </c>
      <c r="D1918" s="23" t="n">
        <f aca="false">A1918-A1917</f>
        <v>1</v>
      </c>
      <c r="E1918" s="24" t="n">
        <f aca="false">LN(C1918)</f>
        <v>8.81403171532588</v>
      </c>
      <c r="F1918" s="25" t="n">
        <f aca="false">LN(C1918/C1917)</f>
        <v>-0.00915094088442693</v>
      </c>
      <c r="G1918" s="25" t="n">
        <f aca="false">IF(AND(D1918=1,A1918&gt;=$R$2),F1918,"")</f>
        <v>-0.00915094088442693</v>
      </c>
      <c r="H1918" s="27" t="n">
        <f aca="false">IF(G1918="","",G1918^2)</f>
        <v>8.37397190702764E-005</v>
      </c>
      <c r="I1918" s="25" t="n">
        <f aca="false">IF(G1918="","",C1918/C1917-1)</f>
        <v>-0.00910919844944802</v>
      </c>
      <c r="J1918" s="17" t="n">
        <f aca="false">AVERAGE(C1719:C1918)</f>
        <v>8179.42915</v>
      </c>
      <c r="K1918" s="17" t="n">
        <f aca="false">MAX(K1917,C1918)</f>
        <v>19650.01</v>
      </c>
      <c r="L1918" s="25" t="n">
        <f aca="false">C1918/K1918-1</f>
        <v>-0.657608825644364</v>
      </c>
      <c r="M1918" s="25" t="n">
        <f aca="false">IF(COUNT(G1889:G1918)&lt;20,"",_xlfn.STDEV.S(G1889:G1918)*SQRT($R$3))</f>
        <v>1.98070955844291</v>
      </c>
      <c r="N1918" s="25" t="n">
        <f aca="false">IF(A1918-7&lt;$R$2,"",C1918/INDEX(Clean_Data!$C$2:$C$4314,MATCH(A1918-7,Clean_Data!$A$2:$A$4314,1))-1)</f>
        <v>0.0644779019248598</v>
      </c>
      <c r="O1918" s="25" t="n">
        <f aca="false">IF(A1918-30&lt;$R$2,"",C1918/INDEX(Clean_Data!$C$2:$C$4314,MATCH(A1918-30,Clean_Data!$A$2:$A$4314,1))-1)</f>
        <v>-0.232402738163149</v>
      </c>
    </row>
    <row r="1919" customFormat="false" ht="15" hidden="false" customHeight="false" outlineLevel="0" collapsed="false">
      <c r="A1919" s="16" t="n">
        <v>43925</v>
      </c>
      <c r="B1919" s="23" t="n">
        <f aca="false">YEAR(A1919)</f>
        <v>2020</v>
      </c>
      <c r="C1919" s="17" t="n">
        <v>6896.6</v>
      </c>
      <c r="D1919" s="23" t="n">
        <f aca="false">A1919-A1918</f>
        <v>1</v>
      </c>
      <c r="E1919" s="24" t="n">
        <f aca="false">LN(C1919)</f>
        <v>8.8387838155192</v>
      </c>
      <c r="F1919" s="25" t="n">
        <f aca="false">LN(C1919/C1918)</f>
        <v>0.0247521001933232</v>
      </c>
      <c r="G1919" s="25" t="n">
        <f aca="false">IF(AND(D1919=1,A1919&gt;=$R$2),F1919,"")</f>
        <v>0.0247521001933232</v>
      </c>
      <c r="H1919" s="27" t="n">
        <f aca="false">IF(G1919="","",G1919^2)</f>
        <v>0.000612666463980311</v>
      </c>
      <c r="I1919" s="25" t="n">
        <f aca="false">IF(G1919="","",C1919/C1918-1)</f>
        <v>0.0250609766066836</v>
      </c>
      <c r="J1919" s="17" t="n">
        <f aca="false">AVERAGE(C1720:C1919)</f>
        <v>8162.98645</v>
      </c>
      <c r="K1919" s="17" t="n">
        <f aca="false">MAX(K1918,C1919)</f>
        <v>19650.01</v>
      </c>
      <c r="L1919" s="25" t="n">
        <f aca="false">C1919/K1919-1</f>
        <v>-0.649028168433502</v>
      </c>
      <c r="M1919" s="25" t="n">
        <f aca="false">IF(COUNT(G1890:G1919)&lt;20,"",_xlfn.STDEV.S(G1890:G1919)*SQRT($R$3))</f>
        <v>1.97888757095073</v>
      </c>
      <c r="N1919" s="25" t="n">
        <f aca="false">IF(A1919-7&lt;$R$2,"",C1919/INDEX(Clean_Data!$C$2:$C$4314,MATCH(A1919-7,Clean_Data!$A$2:$A$4314,1))-1)</f>
        <v>0.0999695365569291</v>
      </c>
      <c r="O1919" s="25" t="n">
        <f aca="false">IF(A1919-30&lt;$R$2,"",C1919/INDEX(Clean_Data!$C$2:$C$4314,MATCH(A1919-30,Clean_Data!$A$2:$A$4314,1))-1)</f>
        <v>-0.238244403306545</v>
      </c>
    </row>
    <row r="1920" customFormat="false" ht="15" hidden="false" customHeight="false" outlineLevel="0" collapsed="false">
      <c r="A1920" s="16" t="n">
        <v>43926</v>
      </c>
      <c r="B1920" s="23" t="n">
        <f aca="false">YEAR(A1920)</f>
        <v>2020</v>
      </c>
      <c r="C1920" s="17" t="n">
        <v>6779.75</v>
      </c>
      <c r="D1920" s="23" t="n">
        <f aca="false">A1920-A1919</f>
        <v>1</v>
      </c>
      <c r="E1920" s="24" t="n">
        <f aca="false">LN(C1920)</f>
        <v>8.82169550709827</v>
      </c>
      <c r="F1920" s="25" t="n">
        <f aca="false">LN(C1920/C1919)</f>
        <v>-0.0170883084209323</v>
      </c>
      <c r="G1920" s="25" t="n">
        <f aca="false">IF(AND(D1920=1,A1920&gt;=$R$2),F1920,"")</f>
        <v>-0.0170883084209323</v>
      </c>
      <c r="H1920" s="27" t="n">
        <f aca="false">IF(G1920="","",G1920^2)</f>
        <v>0.000292010284688906</v>
      </c>
      <c r="I1920" s="25" t="n">
        <f aca="false">IF(G1920="","",C1920/C1919-1)</f>
        <v>-0.0169431313980802</v>
      </c>
      <c r="J1920" s="17" t="n">
        <f aca="false">AVERAGE(C1721:C1920)</f>
        <v>8146.1089</v>
      </c>
      <c r="K1920" s="17" t="n">
        <f aca="false">MAX(K1919,C1920)</f>
        <v>19650.01</v>
      </c>
      <c r="L1920" s="25" t="n">
        <f aca="false">C1920/K1920-1</f>
        <v>-0.654974730292758</v>
      </c>
      <c r="M1920" s="25" t="n">
        <f aca="false">IF(COUNT(G1891:G1920)&lt;20,"",_xlfn.STDEV.S(G1891:G1920)*SQRT($R$3))</f>
        <v>1.97758805121436</v>
      </c>
      <c r="N1920" s="25" t="n">
        <f aca="false">IF(A1920-7&lt;$R$2,"",C1920/INDEX(Clean_Data!$C$2:$C$4314,MATCH(A1920-7,Clean_Data!$A$2:$A$4314,1))-1)</f>
        <v>0.149587540588889</v>
      </c>
      <c r="O1920" s="25" t="n">
        <f aca="false">IF(A1920-30&lt;$R$2,"",C1920/INDEX(Clean_Data!$C$2:$C$4314,MATCH(A1920-30,Clean_Data!$A$2:$A$4314,1))-1)</f>
        <v>-0.260093332081921</v>
      </c>
    </row>
    <row r="1921" customFormat="false" ht="15" hidden="false" customHeight="false" outlineLevel="0" collapsed="false">
      <c r="A1921" s="16" t="n">
        <v>43927</v>
      </c>
      <c r="B1921" s="23" t="n">
        <f aca="false">YEAR(A1921)</f>
        <v>2020</v>
      </c>
      <c r="C1921" s="17" t="n">
        <v>7320.07</v>
      </c>
      <c r="D1921" s="23" t="n">
        <f aca="false">A1921-A1920</f>
        <v>1</v>
      </c>
      <c r="E1921" s="24" t="n">
        <f aca="false">LN(C1921)</f>
        <v>8.89837516975116</v>
      </c>
      <c r="F1921" s="25" t="n">
        <f aca="false">LN(C1921/C1920)</f>
        <v>0.076679662652896</v>
      </c>
      <c r="G1921" s="25" t="n">
        <f aca="false">IF(AND(D1921=1,A1921&gt;=$R$2),F1921,"")</f>
        <v>0.076679662652896</v>
      </c>
      <c r="H1921" s="27" t="n">
        <f aca="false">IF(G1921="","",G1921^2)</f>
        <v>0.00587977066456193</v>
      </c>
      <c r="I1921" s="25" t="n">
        <f aca="false">IF(G1921="","",C1921/C1920-1)</f>
        <v>0.0796961539879788</v>
      </c>
      <c r="J1921" s="17" t="n">
        <f aca="false">AVERAGE(C1722:C1921)</f>
        <v>8131.18455</v>
      </c>
      <c r="K1921" s="17" t="n">
        <f aca="false">MAX(K1920,C1921)</f>
        <v>19650.01</v>
      </c>
      <c r="L1921" s="25" t="n">
        <f aca="false">C1921/K1921-1</f>
        <v>-0.627477543268426</v>
      </c>
      <c r="M1921" s="25" t="n">
        <f aca="false">IF(COUNT(G1892:G1921)&lt;20,"",_xlfn.STDEV.S(G1892:G1921)*SQRT($R$3))</f>
        <v>1.99881991737243</v>
      </c>
      <c r="N1921" s="25" t="n">
        <f aca="false">IF(A1921-7&lt;$R$2,"",C1921/INDEX(Clean_Data!$C$2:$C$4314,MATCH(A1921-7,Clean_Data!$A$2:$A$4314,1))-1)</f>
        <v>0.143535803888609</v>
      </c>
      <c r="O1921" s="25" t="n">
        <f aca="false">IF(A1921-30&lt;$R$2,"",C1921/INDEX(Clean_Data!$C$2:$C$4314,MATCH(A1921-30,Clean_Data!$A$2:$A$4314,1))-1)</f>
        <v>-0.176194731297999</v>
      </c>
    </row>
    <row r="1922" customFormat="false" ht="15" hidden="false" customHeight="false" outlineLevel="0" collapsed="false">
      <c r="A1922" s="16" t="n">
        <v>43928</v>
      </c>
      <c r="B1922" s="23" t="n">
        <f aca="false">YEAR(A1922)</f>
        <v>2020</v>
      </c>
      <c r="C1922" s="17" t="n">
        <v>7204.58</v>
      </c>
      <c r="D1922" s="23" t="n">
        <f aca="false">A1922-A1921</f>
        <v>1</v>
      </c>
      <c r="E1922" s="24" t="n">
        <f aca="false">LN(C1922)</f>
        <v>8.88247221388234</v>
      </c>
      <c r="F1922" s="25" t="n">
        <f aca="false">LN(C1922/C1921)</f>
        <v>-0.0159029558688214</v>
      </c>
      <c r="G1922" s="25" t="n">
        <f aca="false">IF(AND(D1922=1,A1922&gt;=$R$2),F1922,"")</f>
        <v>-0.0159029558688214</v>
      </c>
      <c r="H1922" s="27" t="n">
        <f aca="false">IF(G1922="","",G1922^2)</f>
        <v>0.000252904005365682</v>
      </c>
      <c r="I1922" s="25" t="n">
        <f aca="false">IF(G1922="","",C1922/C1921-1)</f>
        <v>-0.0157771715297804</v>
      </c>
      <c r="J1922" s="17" t="n">
        <f aca="false">AVERAGE(C1723:C1922)</f>
        <v>8116.36525</v>
      </c>
      <c r="K1922" s="17" t="n">
        <f aca="false">MAX(K1921,C1922)</f>
        <v>19650.01</v>
      </c>
      <c r="L1922" s="25" t="n">
        <f aca="false">C1922/K1922-1</f>
        <v>-0.633354893966975</v>
      </c>
      <c r="M1922" s="25" t="n">
        <f aca="false">IF(COUNT(G1893:G1922)&lt;20,"",_xlfn.STDEV.S(G1893:G1922)*SQRT($R$3))</f>
        <v>1.97270322483059</v>
      </c>
      <c r="N1922" s="25" t="n">
        <f aca="false">IF(A1922-7&lt;$R$2,"",C1922/INDEX(Clean_Data!$C$2:$C$4314,MATCH(A1922-7,Clean_Data!$A$2:$A$4314,1))-1)</f>
        <v>0.119639829487795</v>
      </c>
      <c r="O1922" s="25" t="n">
        <f aca="false">IF(A1922-30&lt;$R$2,"",C1922/INDEX(Clean_Data!$C$2:$C$4314,MATCH(A1922-30,Clean_Data!$A$2:$A$4314,1))-1)</f>
        <v>-0.107017848289539</v>
      </c>
    </row>
    <row r="1923" customFormat="false" ht="15" hidden="false" customHeight="false" outlineLevel="0" collapsed="false">
      <c r="A1923" s="16" t="n">
        <v>43929</v>
      </c>
      <c r="B1923" s="23" t="n">
        <f aca="false">YEAR(A1923)</f>
        <v>2020</v>
      </c>
      <c r="C1923" s="17" t="n">
        <v>7343.65</v>
      </c>
      <c r="D1923" s="23" t="n">
        <f aca="false">A1923-A1922</f>
        <v>1</v>
      </c>
      <c r="E1923" s="24" t="n">
        <f aca="false">LN(C1923)</f>
        <v>8.90159127321258</v>
      </c>
      <c r="F1923" s="25" t="n">
        <f aca="false">LN(C1923/C1922)</f>
        <v>0.0191190593302383</v>
      </c>
      <c r="G1923" s="25" t="n">
        <f aca="false">IF(AND(D1923=1,A1923&gt;=$R$2),F1923,"")</f>
        <v>0.0191190593302383</v>
      </c>
      <c r="H1923" s="27" t="n">
        <f aca="false">IF(G1923="","",G1923^2)</f>
        <v>0.000365538429673172</v>
      </c>
      <c r="I1923" s="25" t="n">
        <f aca="false">IF(G1923="","",C1923/C1922-1)</f>
        <v>0.0193029989256834</v>
      </c>
      <c r="J1923" s="17" t="n">
        <f aca="false">AVERAGE(C1724:C1923)</f>
        <v>8103.17155</v>
      </c>
      <c r="K1923" s="17" t="n">
        <f aca="false">MAX(K1922,C1923)</f>
        <v>19650.01</v>
      </c>
      <c r="L1923" s="25" t="n">
        <f aca="false">C1923/K1923-1</f>
        <v>-0.626277543879113</v>
      </c>
      <c r="M1923" s="25" t="n">
        <f aca="false">IF(COUNT(G1894:G1923)&lt;20,"",_xlfn.STDEV.S(G1894:G1923)*SQRT($R$3))</f>
        <v>1.97382002217778</v>
      </c>
      <c r="N1923" s="25" t="n">
        <f aca="false">IF(A1923-7&lt;$R$2,"",C1923/INDEX(Clean_Data!$C$2:$C$4314,MATCH(A1923-7,Clean_Data!$A$2:$A$4314,1))-1)</f>
        <v>0.0929042666075342</v>
      </c>
      <c r="O1923" s="25" t="n">
        <f aca="false">IF(A1923-30&lt;$R$2,"",C1923/INDEX(Clean_Data!$C$2:$C$4314,MATCH(A1923-30,Clean_Data!$A$2:$A$4314,1))-1)</f>
        <v>-0.0756926027969687</v>
      </c>
    </row>
    <row r="1924" customFormat="false" ht="15" hidden="false" customHeight="false" outlineLevel="0" collapsed="false">
      <c r="A1924" s="16" t="n">
        <v>43930</v>
      </c>
      <c r="B1924" s="23" t="n">
        <f aca="false">YEAR(A1924)</f>
        <v>2020</v>
      </c>
      <c r="C1924" s="17" t="n">
        <v>7294.69</v>
      </c>
      <c r="D1924" s="23" t="n">
        <f aca="false">A1924-A1923</f>
        <v>1</v>
      </c>
      <c r="E1924" s="24" t="n">
        <f aca="false">LN(C1924)</f>
        <v>8.89490196519446</v>
      </c>
      <c r="F1924" s="25" t="n">
        <f aca="false">LN(C1924/C1923)</f>
        <v>-0.00668930801811929</v>
      </c>
      <c r="G1924" s="25" t="n">
        <f aca="false">IF(AND(D1924=1,A1924&gt;=$R$2),F1924,"")</f>
        <v>-0.00668930801811929</v>
      </c>
      <c r="H1924" s="27" t="n">
        <f aca="false">IF(G1924="","",G1924^2)</f>
        <v>4.47468417612751E-005</v>
      </c>
      <c r="I1924" s="25" t="n">
        <f aca="false">IF(G1924="","",C1924/C1923-1)</f>
        <v>-0.00666698440148972</v>
      </c>
      <c r="J1924" s="17" t="n">
        <f aca="false">AVERAGE(C1725:C1924)</f>
        <v>8089.47</v>
      </c>
      <c r="K1924" s="17" t="n">
        <f aca="false">MAX(K1923,C1924)</f>
        <v>19650.01</v>
      </c>
      <c r="L1924" s="25" t="n">
        <f aca="false">C1924/K1924-1</f>
        <v>-0.628769145664557</v>
      </c>
      <c r="M1924" s="25" t="n">
        <f aca="false">IF(COUNT(G1895:G1924)&lt;20,"",_xlfn.STDEV.S(G1895:G1924)*SQRT($R$3))</f>
        <v>1.97380207582204</v>
      </c>
      <c r="N1924" s="25" t="n">
        <f aca="false">IF(A1924-7&lt;$R$2,"",C1924/INDEX(Clean_Data!$C$2:$C$4314,MATCH(A1924-7,Clean_Data!$A$2:$A$4314,1))-1)</f>
        <v>0.074353740294322</v>
      </c>
      <c r="O1924" s="25" t="n">
        <f aca="false">IF(A1924-30&lt;$R$2,"",C1924/INDEX(Clean_Data!$C$2:$C$4314,MATCH(A1924-30,Clean_Data!$A$2:$A$4314,1))-1)</f>
        <v>-0.0751007035619329</v>
      </c>
    </row>
    <row r="1925" customFormat="false" ht="15" hidden="false" customHeight="false" outlineLevel="0" collapsed="false">
      <c r="A1925" s="16" t="n">
        <v>43931</v>
      </c>
      <c r="B1925" s="23" t="n">
        <f aca="false">YEAR(A1925)</f>
        <v>2020</v>
      </c>
      <c r="C1925" s="17" t="n">
        <v>6892.54</v>
      </c>
      <c r="D1925" s="23" t="n">
        <f aca="false">A1925-A1924</f>
        <v>1</v>
      </c>
      <c r="E1925" s="24" t="n">
        <f aca="false">LN(C1925)</f>
        <v>8.83819494629062</v>
      </c>
      <c r="F1925" s="25" t="n">
        <f aca="false">LN(C1925/C1924)</f>
        <v>-0.0567070189038459</v>
      </c>
      <c r="G1925" s="25" t="n">
        <f aca="false">IF(AND(D1925=1,A1925&gt;=$R$2),F1925,"")</f>
        <v>-0.0567070189038459</v>
      </c>
      <c r="H1925" s="27" t="n">
        <f aca="false">IF(G1925="","",G1925^2)</f>
        <v>0.00321568599296113</v>
      </c>
      <c r="I1925" s="25" t="n">
        <f aca="false">IF(G1925="","",C1925/C1924-1)</f>
        <v>-0.0551291418826571</v>
      </c>
      <c r="J1925" s="17" t="n">
        <f aca="false">AVERAGE(C1726:C1925)</f>
        <v>8075.51325</v>
      </c>
      <c r="K1925" s="17" t="n">
        <f aca="false">MAX(K1924,C1925)</f>
        <v>19650.01</v>
      </c>
      <c r="L1925" s="25" t="n">
        <f aca="false">C1925/K1925-1</f>
        <v>-0.649234784104436</v>
      </c>
      <c r="M1925" s="25" t="n">
        <f aca="false">IF(COUNT(G1896:G1925)&lt;20,"",_xlfn.STDEV.S(G1896:G1925)*SQRT($R$3))</f>
        <v>1.9822434033258</v>
      </c>
      <c r="N1925" s="25" t="n">
        <f aca="false">IF(A1925-7&lt;$R$2,"",C1925/INDEX(Clean_Data!$C$2:$C$4314,MATCH(A1925-7,Clean_Data!$A$2:$A$4314,1))-1)</f>
        <v>0.0244575274338994</v>
      </c>
      <c r="O1925" s="25" t="n">
        <f aca="false">IF(A1925-30&lt;$R$2,"",C1925/INDEX(Clean_Data!$C$2:$C$4314,MATCH(A1925-30,Clean_Data!$A$2:$A$4314,1))-1)</f>
        <v>-0.133778726206545</v>
      </c>
    </row>
    <row r="1926" customFormat="false" ht="15" hidden="false" customHeight="false" outlineLevel="0" collapsed="false">
      <c r="A1926" s="16" t="n">
        <v>43932</v>
      </c>
      <c r="B1926" s="23" t="n">
        <f aca="false">YEAR(A1926)</f>
        <v>2020</v>
      </c>
      <c r="C1926" s="17" t="n">
        <v>6891.43</v>
      </c>
      <c r="D1926" s="23" t="n">
        <f aca="false">A1926-A1925</f>
        <v>1</v>
      </c>
      <c r="E1926" s="24" t="n">
        <f aca="false">LN(C1926)</f>
        <v>8.83803388964258</v>
      </c>
      <c r="F1926" s="25" t="n">
        <f aca="false">LN(C1926/C1925)</f>
        <v>-0.00016105664803376</v>
      </c>
      <c r="G1926" s="25" t="n">
        <f aca="false">IF(AND(D1926=1,A1926&gt;=$R$2),F1926,"")</f>
        <v>-0.00016105664803376</v>
      </c>
      <c r="H1926" s="27" t="n">
        <f aca="false">IF(G1926="","",G1926^2)</f>
        <v>2.59392438758703E-008</v>
      </c>
      <c r="I1926" s="25" t="n">
        <f aca="false">IF(G1926="","",C1926/C1925-1)</f>
        <v>-0.000161043679108075</v>
      </c>
      <c r="J1926" s="17" t="n">
        <f aca="false">AVERAGE(C1727:C1926)</f>
        <v>8067.18825</v>
      </c>
      <c r="K1926" s="17" t="n">
        <f aca="false">MAX(K1925,C1926)</f>
        <v>19650.01</v>
      </c>
      <c r="L1926" s="25" t="n">
        <f aca="false">C1926/K1926-1</f>
        <v>-0.649291272625307</v>
      </c>
      <c r="M1926" s="25" t="n">
        <f aca="false">IF(COUNT(G1897:G1926)&lt;20,"",_xlfn.STDEV.S(G1897:G1926)*SQRT($R$3))</f>
        <v>1.06283788227643</v>
      </c>
      <c r="N1926" s="25" t="n">
        <f aca="false">IF(A1926-7&lt;$R$2,"",C1926/INDEX(Clean_Data!$C$2:$C$4314,MATCH(A1926-7,Clean_Data!$A$2:$A$4314,1))-1)</f>
        <v>-0.000749644752486733</v>
      </c>
      <c r="O1926" s="25" t="n">
        <f aca="false">IF(A1926-30&lt;$R$2,"",C1926/INDEX(Clean_Data!$C$2:$C$4314,MATCH(A1926-30,Clean_Data!$A$2:$A$4314,1))-1)</f>
        <v>0.383821285140562</v>
      </c>
    </row>
    <row r="1927" customFormat="false" ht="15" hidden="false" customHeight="false" outlineLevel="0" collapsed="false">
      <c r="A1927" s="16" t="n">
        <v>43933</v>
      </c>
      <c r="B1927" s="23" t="n">
        <f aca="false">YEAR(A1927)</f>
        <v>2020</v>
      </c>
      <c r="C1927" s="17" t="n">
        <v>6860.97</v>
      </c>
      <c r="D1927" s="23" t="n">
        <f aca="false">A1927-A1926</f>
        <v>1</v>
      </c>
      <c r="E1927" s="24" t="n">
        <f aca="false">LN(C1927)</f>
        <v>8.83360411014089</v>
      </c>
      <c r="F1927" s="25" t="n">
        <f aca="false">LN(C1927/C1926)</f>
        <v>-0.00442977950169611</v>
      </c>
      <c r="G1927" s="25" t="n">
        <f aca="false">IF(AND(D1927=1,A1927&gt;=$R$2),F1927,"")</f>
        <v>-0.00442977950169611</v>
      </c>
      <c r="H1927" s="27" t="n">
        <f aca="false">IF(G1927="","",G1927^2)</f>
        <v>1.96229464336471E-005</v>
      </c>
      <c r="I1927" s="25" t="n">
        <f aca="false">IF(G1927="","",C1927/C1926-1)</f>
        <v>-0.00441998250000364</v>
      </c>
      <c r="J1927" s="17" t="n">
        <f aca="false">AVERAGE(C1728:C1927)</f>
        <v>8059.26025</v>
      </c>
      <c r="K1927" s="17" t="n">
        <f aca="false">MAX(K1926,C1927)</f>
        <v>19650.01</v>
      </c>
      <c r="L1927" s="25" t="n">
        <f aca="false">C1927/K1927-1</f>
        <v>-0.650841399062901</v>
      </c>
      <c r="M1927" s="25" t="n">
        <f aca="false">IF(COUNT(G1898:G1927)&lt;20,"",_xlfn.STDEV.S(G1898:G1927)*SQRT($R$3))</f>
        <v>0.993543910835841</v>
      </c>
      <c r="N1927" s="25" t="n">
        <f aca="false">IF(A1927-7&lt;$R$2,"",C1927/INDEX(Clean_Data!$C$2:$C$4314,MATCH(A1927-7,Clean_Data!$A$2:$A$4314,1))-1)</f>
        <v>0.0119797927652201</v>
      </c>
      <c r="O1927" s="25" t="n">
        <f aca="false">IF(A1927-30&lt;$R$2,"",C1927/INDEX(Clean_Data!$C$2:$C$4314,MATCH(A1927-30,Clean_Data!$A$2:$A$4314,1))-1)</f>
        <v>0.226757045256644</v>
      </c>
    </row>
    <row r="1928" customFormat="false" ht="15" hidden="false" customHeight="false" outlineLevel="0" collapsed="false">
      <c r="A1928" s="16" t="n">
        <v>43934</v>
      </c>
      <c r="B1928" s="23" t="n">
        <f aca="false">YEAR(A1928)</f>
        <v>2020</v>
      </c>
      <c r="C1928" s="17" t="n">
        <v>6871</v>
      </c>
      <c r="D1928" s="23" t="n">
        <f aca="false">A1928-A1927</f>
        <v>1</v>
      </c>
      <c r="E1928" s="24" t="n">
        <f aca="false">LN(C1928)</f>
        <v>8.83506493503108</v>
      </c>
      <c r="F1928" s="25" t="n">
        <f aca="false">LN(C1928/C1927)</f>
        <v>0.00146082489019076</v>
      </c>
      <c r="G1928" s="25" t="n">
        <f aca="false">IF(AND(D1928=1,A1928&gt;=$R$2),F1928,"")</f>
        <v>0.00146082489019076</v>
      </c>
      <c r="H1928" s="27" t="n">
        <f aca="false">IF(G1928="","",G1928^2)</f>
        <v>2.13400935980084E-006</v>
      </c>
      <c r="I1928" s="25" t="n">
        <f aca="false">IF(G1928="","",C1928/C1927-1)</f>
        <v>0.00146189241462946</v>
      </c>
      <c r="J1928" s="17" t="n">
        <f aca="false">AVERAGE(C1729:C1928)</f>
        <v>8053.30025</v>
      </c>
      <c r="K1928" s="17" t="n">
        <f aca="false">MAX(K1927,C1928)</f>
        <v>19650.01</v>
      </c>
      <c r="L1928" s="25" t="n">
        <f aca="false">C1928/K1928-1</f>
        <v>-0.650330966752689</v>
      </c>
      <c r="M1928" s="25" t="n">
        <f aca="false">IF(COUNT(G1899:G1928)&lt;20,"",_xlfn.STDEV.S(G1899:G1928)*SQRT($R$3))</f>
        <v>0.947789437701055</v>
      </c>
      <c r="N1928" s="25" t="n">
        <f aca="false">IF(A1928-7&lt;$R$2,"",C1928/INDEX(Clean_Data!$C$2:$C$4314,MATCH(A1928-7,Clean_Data!$A$2:$A$4314,1))-1)</f>
        <v>-0.0613477739966967</v>
      </c>
      <c r="O1928" s="25" t="n">
        <f aca="false">IF(A1928-30&lt;$R$2,"",C1928/INDEX(Clean_Data!$C$2:$C$4314,MATCH(A1928-30,Clean_Data!$A$2:$A$4314,1))-1)</f>
        <v>0.325777309546137</v>
      </c>
    </row>
    <row r="1929" customFormat="false" ht="15" hidden="false" customHeight="false" outlineLevel="0" collapsed="false">
      <c r="A1929" s="16" t="n">
        <v>43935</v>
      </c>
      <c r="B1929" s="23" t="n">
        <f aca="false">YEAR(A1929)</f>
        <v>2020</v>
      </c>
      <c r="C1929" s="17" t="n">
        <v>6865.72</v>
      </c>
      <c r="D1929" s="23" t="n">
        <f aca="false">A1929-A1928</f>
        <v>1</v>
      </c>
      <c r="E1929" s="24" t="n">
        <f aca="false">LN(C1929)</f>
        <v>8.83429619252777</v>
      </c>
      <c r="F1929" s="25" t="n">
        <f aca="false">LN(C1929/C1928)</f>
        <v>-0.000768742503308575</v>
      </c>
      <c r="G1929" s="25" t="n">
        <f aca="false">IF(AND(D1929=1,A1929&gt;=$R$2),F1929,"")</f>
        <v>-0.000768742503308575</v>
      </c>
      <c r="H1929" s="27" t="n">
        <f aca="false">IF(G1929="","",G1929^2)</f>
        <v>5.90965036393135E-007</v>
      </c>
      <c r="I1929" s="25" t="n">
        <f aca="false">IF(G1929="","",C1929/C1928-1)</f>
        <v>-0.000768447096492486</v>
      </c>
      <c r="J1929" s="17" t="n">
        <f aca="false">AVERAGE(C1730:C1929)</f>
        <v>8046.65895</v>
      </c>
      <c r="K1929" s="17" t="n">
        <f aca="false">MAX(K1928,C1929)</f>
        <v>19650.01</v>
      </c>
      <c r="L1929" s="25" t="n">
        <f aca="false">C1929/K1929-1</f>
        <v>-0.650599668906021</v>
      </c>
      <c r="M1929" s="25" t="n">
        <f aca="false">IF(COUNT(G1900:G1929)&lt;20,"",_xlfn.STDEV.S(G1900:G1929)*SQRT($R$3))</f>
        <v>0.946122402799541</v>
      </c>
      <c r="N1929" s="25" t="n">
        <f aca="false">IF(A1929-7&lt;$R$2,"",C1929/INDEX(Clean_Data!$C$2:$C$4314,MATCH(A1929-7,Clean_Data!$A$2:$A$4314,1))-1)</f>
        <v>-0.0470339700579353</v>
      </c>
      <c r="O1929" s="25" t="n">
        <f aca="false">IF(A1929-30&lt;$R$2,"",C1929/INDEX(Clean_Data!$C$2:$C$4314,MATCH(A1929-30,Clean_Data!$A$2:$A$4314,1))-1)</f>
        <v>0.288823979936626</v>
      </c>
    </row>
    <row r="1930" customFormat="false" ht="15" hidden="false" customHeight="false" outlineLevel="0" collapsed="false">
      <c r="A1930" s="16" t="n">
        <v>43936</v>
      </c>
      <c r="B1930" s="23" t="n">
        <f aca="false">YEAR(A1930)</f>
        <v>2020</v>
      </c>
      <c r="C1930" s="17" t="n">
        <v>6576.76</v>
      </c>
      <c r="D1930" s="23" t="n">
        <f aca="false">A1930-A1929</f>
        <v>1</v>
      </c>
      <c r="E1930" s="24" t="n">
        <f aca="false">LN(C1930)</f>
        <v>8.79129750183427</v>
      </c>
      <c r="F1930" s="25" t="n">
        <f aca="false">LN(C1930/C1929)</f>
        <v>-0.042998690693499</v>
      </c>
      <c r="G1930" s="25" t="n">
        <f aca="false">IF(AND(D1930=1,A1930&gt;=$R$2),F1930,"")</f>
        <v>-0.042998690693499</v>
      </c>
      <c r="H1930" s="27" t="n">
        <f aca="false">IF(G1930="","",G1930^2)</f>
        <v>0.0018488874013552</v>
      </c>
      <c r="I1930" s="25" t="n">
        <f aca="false">IF(G1930="","",C1930/C1929-1)</f>
        <v>-0.0420873557325379</v>
      </c>
      <c r="J1930" s="17" t="n">
        <f aca="false">AVERAGE(C1731:C1930)</f>
        <v>8038.40165</v>
      </c>
      <c r="K1930" s="17" t="n">
        <f aca="false">MAX(K1929,C1930)</f>
        <v>19650.01</v>
      </c>
      <c r="L1930" s="25" t="n">
        <f aca="false">C1930/K1930-1</f>
        <v>-0.66530500493384</v>
      </c>
      <c r="M1930" s="25" t="n">
        <f aca="false">IF(COUNT(G1901:G1930)&lt;20,"",_xlfn.STDEV.S(G1901:G1930)*SQRT($R$3))</f>
        <v>0.942031801023334</v>
      </c>
      <c r="N1930" s="25" t="n">
        <f aca="false">IF(A1930-7&lt;$R$2,"",C1930/INDEX(Clean_Data!$C$2:$C$4314,MATCH(A1930-7,Clean_Data!$A$2:$A$4314,1))-1)</f>
        <v>-0.104428996479952</v>
      </c>
      <c r="O1930" s="25" t="n">
        <f aca="false">IF(A1930-30&lt;$R$2,"",C1930/INDEX(Clean_Data!$C$2:$C$4314,MATCH(A1930-30,Clean_Data!$A$2:$A$4314,1))-1)</f>
        <v>0.296117614599346</v>
      </c>
    </row>
    <row r="1931" customFormat="false" ht="15" hidden="false" customHeight="false" outlineLevel="0" collapsed="false">
      <c r="A1931" s="16" t="n">
        <v>43937</v>
      </c>
      <c r="B1931" s="23" t="n">
        <f aca="false">YEAR(A1931)</f>
        <v>2020</v>
      </c>
      <c r="C1931" s="17" t="n">
        <v>7123.29</v>
      </c>
      <c r="D1931" s="23" t="n">
        <f aca="false">A1931-A1930</f>
        <v>1</v>
      </c>
      <c r="E1931" s="24" t="n">
        <f aca="false">LN(C1931)</f>
        <v>8.87112497633224</v>
      </c>
      <c r="F1931" s="25" t="n">
        <f aca="false">LN(C1931/C1930)</f>
        <v>0.0798274744979741</v>
      </c>
      <c r="G1931" s="25" t="n">
        <f aca="false">IF(AND(D1931=1,A1931&gt;=$R$2),F1931,"")</f>
        <v>0.0798274744979741</v>
      </c>
      <c r="H1931" s="27" t="n">
        <f aca="false">IF(G1931="","",G1931^2)</f>
        <v>0.00637242568472471</v>
      </c>
      <c r="I1931" s="25" t="n">
        <f aca="false">IF(G1931="","",C1931/C1930-1)</f>
        <v>0.0831001891508889</v>
      </c>
      <c r="J1931" s="17" t="n">
        <f aca="false">AVERAGE(C1732:C1931)</f>
        <v>8033.7028</v>
      </c>
      <c r="K1931" s="17" t="n">
        <f aca="false">MAX(K1930,C1931)</f>
        <v>19650.01</v>
      </c>
      <c r="L1931" s="25" t="n">
        <f aca="false">C1931/K1931-1</f>
        <v>-0.637491787535986</v>
      </c>
      <c r="M1931" s="25" t="n">
        <f aca="false">IF(COUNT(G1902:G1931)&lt;20,"",_xlfn.STDEV.S(G1902:G1931)*SQRT($R$3))</f>
        <v>0.961118935299153</v>
      </c>
      <c r="N1931" s="25" t="n">
        <f aca="false">IF(A1931-7&lt;$R$2,"",C1931/INDEX(Clean_Data!$C$2:$C$4314,MATCH(A1931-7,Clean_Data!$A$2:$A$4314,1))-1)</f>
        <v>-0.0234965433760721</v>
      </c>
      <c r="O1931" s="25" t="n">
        <f aca="false">IF(A1931-30&lt;$R$2,"",C1931/INDEX(Clean_Data!$C$2:$C$4314,MATCH(A1931-30,Clean_Data!$A$2:$A$4314,1))-1)</f>
        <v>0.328533301503048</v>
      </c>
    </row>
    <row r="1932" customFormat="false" ht="15" hidden="false" customHeight="false" outlineLevel="0" collapsed="false">
      <c r="A1932" s="16" t="n">
        <v>43938</v>
      </c>
      <c r="B1932" s="23" t="n">
        <f aca="false">YEAR(A1932)</f>
        <v>2020</v>
      </c>
      <c r="C1932" s="17" t="n">
        <v>7055.22</v>
      </c>
      <c r="D1932" s="23" t="n">
        <f aca="false">A1932-A1931</f>
        <v>1</v>
      </c>
      <c r="E1932" s="24" t="n">
        <f aca="false">LN(C1932)</f>
        <v>8.86152304735848</v>
      </c>
      <c r="F1932" s="25" t="n">
        <f aca="false">LN(C1932/C1931)</f>
        <v>-0.00960192897376463</v>
      </c>
      <c r="G1932" s="25" t="n">
        <f aca="false">IF(AND(D1932=1,A1932&gt;=$R$2),F1932,"")</f>
        <v>-0.00960192897376463</v>
      </c>
      <c r="H1932" s="27" t="n">
        <f aca="false">IF(G1932="","",G1932^2)</f>
        <v>9.21970400172207E-005</v>
      </c>
      <c r="I1932" s="25" t="n">
        <f aca="false">IF(G1932="","",C1932/C1931-1)</f>
        <v>-0.00955597764516114</v>
      </c>
      <c r="J1932" s="17" t="n">
        <f aca="false">AVERAGE(C1733:C1932)</f>
        <v>8027.4532</v>
      </c>
      <c r="K1932" s="17" t="n">
        <f aca="false">MAX(K1931,C1932)</f>
        <v>19650.01</v>
      </c>
      <c r="L1932" s="25" t="n">
        <f aca="false">C1932/K1932-1</f>
        <v>-0.640955907910479</v>
      </c>
      <c r="M1932" s="25" t="n">
        <f aca="false">IF(COUNT(G1903:G1932)&lt;20,"",_xlfn.STDEV.S(G1903:G1932)*SQRT($R$3))</f>
        <v>0.963352328927457</v>
      </c>
      <c r="N1932" s="25" t="n">
        <f aca="false">IF(A1932-7&lt;$R$2,"",C1932/INDEX(Clean_Data!$C$2:$C$4314,MATCH(A1932-7,Clean_Data!$A$2:$A$4314,1))-1)</f>
        <v>0.0236023294750556</v>
      </c>
      <c r="O1932" s="25" t="n">
        <f aca="false">IF(A1932-30&lt;$R$2,"",C1932/INDEX(Clean_Data!$C$2:$C$4314,MATCH(A1932-30,Clean_Data!$A$2:$A$4314,1))-1)</f>
        <v>0.300091584035263</v>
      </c>
    </row>
    <row r="1933" customFormat="false" ht="15" hidden="false" customHeight="false" outlineLevel="0" collapsed="false">
      <c r="A1933" s="16" t="n">
        <v>43939</v>
      </c>
      <c r="B1933" s="23" t="n">
        <f aca="false">YEAR(A1933)</f>
        <v>2020</v>
      </c>
      <c r="C1933" s="17" t="n">
        <v>7271.53</v>
      </c>
      <c r="D1933" s="23" t="n">
        <f aca="false">A1933-A1932</f>
        <v>1</v>
      </c>
      <c r="E1933" s="24" t="n">
        <f aca="false">LN(C1933)</f>
        <v>8.89172200230547</v>
      </c>
      <c r="F1933" s="25" t="n">
        <f aca="false">LN(C1933/C1932)</f>
        <v>0.0301989549469875</v>
      </c>
      <c r="G1933" s="25" t="n">
        <f aca="false">IF(AND(D1933=1,A1933&gt;=$R$2),F1933,"")</f>
        <v>0.0301989549469875</v>
      </c>
      <c r="H1933" s="27" t="n">
        <f aca="false">IF(G1933="","",G1933^2)</f>
        <v>0.000911976879890182</v>
      </c>
      <c r="I1933" s="25" t="n">
        <f aca="false">IF(G1933="","",C1933/C1932-1)</f>
        <v>0.0306595683763227</v>
      </c>
      <c r="J1933" s="17" t="n">
        <f aca="false">AVERAGE(C1734:C1933)</f>
        <v>8022.1937</v>
      </c>
      <c r="K1933" s="17" t="n">
        <f aca="false">MAX(K1932,C1933)</f>
        <v>19650.01</v>
      </c>
      <c r="L1933" s="25" t="n">
        <f aca="false">C1933/K1933-1</f>
        <v>-0.629947771018946</v>
      </c>
      <c r="M1933" s="25" t="n">
        <f aca="false">IF(COUNT(G1904:G1933)&lt;20,"",_xlfn.STDEV.S(G1904:G1933)*SQRT($R$3))</f>
        <v>0.850821831474108</v>
      </c>
      <c r="N1933" s="25" t="n">
        <f aca="false">IF(A1933-7&lt;$R$2,"",C1933/INDEX(Clean_Data!$C$2:$C$4314,MATCH(A1933-7,Clean_Data!$A$2:$A$4314,1))-1)</f>
        <v>0.0551554612032625</v>
      </c>
      <c r="O1933" s="25" t="n">
        <f aca="false">IF(A1933-30&lt;$R$2,"",C1933/INDEX(Clean_Data!$C$2:$C$4314,MATCH(A1933-30,Clean_Data!$A$2:$A$4314,1))-1)</f>
        <v>0.169058149611173</v>
      </c>
    </row>
    <row r="1934" customFormat="false" ht="15" hidden="false" customHeight="false" outlineLevel="0" collapsed="false">
      <c r="A1934" s="16" t="n">
        <v>43940</v>
      </c>
      <c r="B1934" s="23" t="n">
        <f aca="false">YEAR(A1934)</f>
        <v>2020</v>
      </c>
      <c r="C1934" s="17" t="n">
        <v>7125.31</v>
      </c>
      <c r="D1934" s="23" t="n">
        <f aca="false">A1934-A1933</f>
        <v>1</v>
      </c>
      <c r="E1934" s="24" t="n">
        <f aca="false">LN(C1934)</f>
        <v>8.8714085129623</v>
      </c>
      <c r="F1934" s="25" t="n">
        <f aca="false">LN(C1934/C1933)</f>
        <v>-0.0203134893431634</v>
      </c>
      <c r="G1934" s="25" t="n">
        <f aca="false">IF(AND(D1934=1,A1934&gt;=$R$2),F1934,"")</f>
        <v>-0.0203134893431634</v>
      </c>
      <c r="H1934" s="27" t="n">
        <f aca="false">IF(G1934="","",G1934^2)</f>
        <v>0.000412637849294814</v>
      </c>
      <c r="I1934" s="25" t="n">
        <f aca="false">IF(G1934="","",C1934/C1933-1)</f>
        <v>-0.0201085603717511</v>
      </c>
      <c r="J1934" s="17" t="n">
        <f aca="false">AVERAGE(C1735:C1934)</f>
        <v>8015.84025</v>
      </c>
      <c r="K1934" s="17" t="n">
        <f aca="false">MAX(K1933,C1934)</f>
        <v>19650.01</v>
      </c>
      <c r="L1934" s="25" t="n">
        <f aca="false">C1934/K1934-1</f>
        <v>-0.637388988606113</v>
      </c>
      <c r="M1934" s="25" t="n">
        <f aca="false">IF(COUNT(G1905:G1934)&lt;20,"",_xlfn.STDEV.S(G1905:G1934)*SQRT($R$3))</f>
        <v>0.855271480903044</v>
      </c>
      <c r="N1934" s="25" t="n">
        <f aca="false">IF(A1934-7&lt;$R$2,"",C1934/INDEX(Clean_Data!$C$2:$C$4314,MATCH(A1934-7,Clean_Data!$A$2:$A$4314,1))-1)</f>
        <v>0.0385280798487677</v>
      </c>
      <c r="O1934" s="25" t="n">
        <f aca="false">IF(A1934-30&lt;$R$2,"",C1934/INDEX(Clean_Data!$C$2:$C$4314,MATCH(A1934-30,Clean_Data!$A$2:$A$4314,1))-1)</f>
        <v>0.146396048524633</v>
      </c>
    </row>
    <row r="1935" customFormat="false" ht="15" hidden="false" customHeight="false" outlineLevel="0" collapsed="false">
      <c r="A1935" s="16" t="n">
        <v>43941</v>
      </c>
      <c r="B1935" s="23" t="n">
        <f aca="false">YEAR(A1935)</f>
        <v>2020</v>
      </c>
      <c r="C1935" s="17" t="n">
        <v>6832.57</v>
      </c>
      <c r="D1935" s="23" t="n">
        <f aca="false">A1935-A1934</f>
        <v>1</v>
      </c>
      <c r="E1935" s="24" t="n">
        <f aca="false">LN(C1935)</f>
        <v>8.82945616290159</v>
      </c>
      <c r="F1935" s="25" t="n">
        <f aca="false">LN(C1935/C1934)</f>
        <v>-0.0419523500607123</v>
      </c>
      <c r="G1935" s="25" t="n">
        <f aca="false">IF(AND(D1935=1,A1935&gt;=$R$2),F1935,"")</f>
        <v>-0.0419523500607123</v>
      </c>
      <c r="H1935" s="27" t="n">
        <f aca="false">IF(G1935="","",G1935^2)</f>
        <v>0.00175999967561655</v>
      </c>
      <c r="I1935" s="25" t="n">
        <f aca="false">IF(G1935="","",C1935/C1934-1)</f>
        <v>-0.0410845282521042</v>
      </c>
      <c r="J1935" s="17" t="n">
        <f aca="false">AVERAGE(C1736:C1935)</f>
        <v>8008.79685</v>
      </c>
      <c r="K1935" s="17" t="n">
        <f aca="false">MAX(K1934,C1935)</f>
        <v>19650.01</v>
      </c>
      <c r="L1935" s="25" t="n">
        <f aca="false">C1935/K1935-1</f>
        <v>-0.652286690948249</v>
      </c>
      <c r="M1935" s="25" t="n">
        <f aca="false">IF(COUNT(G1906:G1935)&lt;20,"",_xlfn.STDEV.S(G1906:G1935)*SQRT($R$3))</f>
        <v>0.869697628572629</v>
      </c>
      <c r="N1935" s="25" t="n">
        <f aca="false">IF(A1935-7&lt;$R$2,"",C1935/INDEX(Clean_Data!$C$2:$C$4314,MATCH(A1935-7,Clean_Data!$A$2:$A$4314,1))-1)</f>
        <v>-0.00559307233299378</v>
      </c>
      <c r="O1935" s="25" t="n">
        <f aca="false">IF(A1935-30&lt;$R$2,"",C1935/INDEX(Clean_Data!$C$2:$C$4314,MATCH(A1935-30,Clean_Data!$A$2:$A$4314,1))-1)</f>
        <v>0.107615518292288</v>
      </c>
    </row>
    <row r="1936" customFormat="false" ht="15" hidden="false" customHeight="false" outlineLevel="0" collapsed="false">
      <c r="A1936" s="16" t="n">
        <v>43942</v>
      </c>
      <c r="B1936" s="23" t="n">
        <f aca="false">YEAR(A1936)</f>
        <v>2020</v>
      </c>
      <c r="C1936" s="17" t="n">
        <v>6845</v>
      </c>
      <c r="D1936" s="23" t="n">
        <f aca="false">A1936-A1935</f>
        <v>1</v>
      </c>
      <c r="E1936" s="24" t="n">
        <f aca="false">LN(C1936)</f>
        <v>8.83127373772255</v>
      </c>
      <c r="F1936" s="25" t="n">
        <f aca="false">LN(C1936/C1935)</f>
        <v>0.00181757482095972</v>
      </c>
      <c r="G1936" s="25" t="n">
        <f aca="false">IF(AND(D1936=1,A1936&gt;=$R$2),F1936,"")</f>
        <v>0.00181757482095972</v>
      </c>
      <c r="H1936" s="27" t="n">
        <f aca="false">IF(G1936="","",G1936^2)</f>
        <v>3.30357822978677E-006</v>
      </c>
      <c r="I1936" s="25" t="n">
        <f aca="false">IF(G1936="","",C1936/C1935-1)</f>
        <v>0.00181922761127962</v>
      </c>
      <c r="J1936" s="17" t="n">
        <f aca="false">AVERAGE(C1737:C1936)</f>
        <v>8002.2233</v>
      </c>
      <c r="K1936" s="17" t="n">
        <f aca="false">MAX(K1935,C1936)</f>
        <v>19650.01</v>
      </c>
      <c r="L1936" s="25" t="n">
        <f aca="false">C1936/K1936-1</f>
        <v>-0.651654121295613</v>
      </c>
      <c r="M1936" s="25" t="n">
        <f aca="false">IF(COUNT(G1907:G1936)&lt;20,"",_xlfn.STDEV.S(G1907:G1936)*SQRT($R$3))</f>
        <v>0.836076123528033</v>
      </c>
      <c r="N1936" s="25" t="n">
        <f aca="false">IF(A1936-7&lt;$R$2,"",C1936/INDEX(Clean_Data!$C$2:$C$4314,MATCH(A1936-7,Clean_Data!$A$2:$A$4314,1))-1)</f>
        <v>-0.00301789178702305</v>
      </c>
      <c r="O1936" s="25" t="n">
        <f aca="false">IF(A1936-30&lt;$R$2,"",C1936/INDEX(Clean_Data!$C$2:$C$4314,MATCH(A1936-30,Clean_Data!$A$2:$A$4314,1))-1)</f>
        <v>0.181865742123629</v>
      </c>
    </row>
    <row r="1937" customFormat="false" ht="15" hidden="false" customHeight="false" outlineLevel="0" collapsed="false">
      <c r="A1937" s="16" t="n">
        <v>43943</v>
      </c>
      <c r="B1937" s="23" t="n">
        <f aca="false">YEAR(A1937)</f>
        <v>2020</v>
      </c>
      <c r="C1937" s="17" t="n">
        <v>7143.99</v>
      </c>
      <c r="D1937" s="23" t="n">
        <f aca="false">A1937-A1936</f>
        <v>1</v>
      </c>
      <c r="E1937" s="24" t="n">
        <f aca="false">LN(C1937)</f>
        <v>8.87402672277932</v>
      </c>
      <c r="F1937" s="25" t="n">
        <f aca="false">LN(C1937/C1936)</f>
        <v>0.0427529850567701</v>
      </c>
      <c r="G1937" s="25" t="n">
        <f aca="false">IF(AND(D1937=1,A1937&gt;=$R$2),F1937,"")</f>
        <v>0.0427529850567701</v>
      </c>
      <c r="H1937" s="27" t="n">
        <f aca="false">IF(G1937="","",G1937^2)</f>
        <v>0.00182781773126441</v>
      </c>
      <c r="I1937" s="25" t="n">
        <f aca="false">IF(G1937="","",C1937/C1936-1)</f>
        <v>0.0436800584368151</v>
      </c>
      <c r="J1937" s="17" t="n">
        <f aca="false">AVERAGE(C1738:C1937)</f>
        <v>7997.1783</v>
      </c>
      <c r="K1937" s="17" t="n">
        <f aca="false">MAX(K1936,C1937)</f>
        <v>19650.01</v>
      </c>
      <c r="L1937" s="25" t="n">
        <f aca="false">C1937/K1937-1</f>
        <v>-0.636438352957581</v>
      </c>
      <c r="M1937" s="25" t="n">
        <f aca="false">IF(COUNT(G1908:G1937)&lt;20,"",_xlfn.STDEV.S(G1908:G1937)*SQRT($R$3))</f>
        <v>0.724104774295362</v>
      </c>
      <c r="N1937" s="25" t="n">
        <f aca="false">IF(A1937-7&lt;$R$2,"",C1937/INDEX(Clean_Data!$C$2:$C$4314,MATCH(A1937-7,Clean_Data!$A$2:$A$4314,1))-1)</f>
        <v>0.0862476356138888</v>
      </c>
      <c r="O1937" s="25" t="n">
        <f aca="false">IF(A1937-30&lt;$R$2,"",C1937/INDEX(Clean_Data!$C$2:$C$4314,MATCH(A1937-30,Clean_Data!$A$2:$A$4314,1))-1)</f>
        <v>0.085155345734258</v>
      </c>
    </row>
    <row r="1938" customFormat="false" ht="15" hidden="false" customHeight="false" outlineLevel="0" collapsed="false">
      <c r="A1938" s="16" t="n">
        <v>43944</v>
      </c>
      <c r="B1938" s="23" t="n">
        <f aca="false">YEAR(A1938)</f>
        <v>2020</v>
      </c>
      <c r="C1938" s="17" t="n">
        <v>7479.06</v>
      </c>
      <c r="D1938" s="23" t="n">
        <f aca="false">A1938-A1937</f>
        <v>1</v>
      </c>
      <c r="E1938" s="24" t="n">
        <f aca="false">LN(C1938)</f>
        <v>8.91986239462239</v>
      </c>
      <c r="F1938" s="25" t="n">
        <f aca="false">LN(C1938/C1937)</f>
        <v>0.0458356718430645</v>
      </c>
      <c r="G1938" s="25" t="n">
        <f aca="false">IF(AND(D1938=1,A1938&gt;=$R$2),F1938,"")</f>
        <v>0.0458356718430645</v>
      </c>
      <c r="H1938" s="27" t="n">
        <f aca="false">IF(G1938="","",G1938^2)</f>
        <v>0.0021009088133051</v>
      </c>
      <c r="I1938" s="25" t="n">
        <f aca="false">IF(G1938="","",C1938/C1937-1)</f>
        <v>0.0469023612855002</v>
      </c>
      <c r="J1938" s="17" t="n">
        <f aca="false">AVERAGE(C1739:C1938)</f>
        <v>7995.26025</v>
      </c>
      <c r="K1938" s="17" t="n">
        <f aca="false">MAX(K1937,C1938)</f>
        <v>19650.01</v>
      </c>
      <c r="L1938" s="25" t="n">
        <f aca="false">C1938/K1938-1</f>
        <v>-0.619386453238446</v>
      </c>
      <c r="M1938" s="25" t="n">
        <f aca="false">IF(COUNT(G1909:G1938)&lt;20,"",_xlfn.STDEV.S(G1909:G1938)*SQRT($R$3))</f>
        <v>0.736142568247178</v>
      </c>
      <c r="N1938" s="25" t="n">
        <f aca="false">IF(A1938-7&lt;$R$2,"",C1938/INDEX(Clean_Data!$C$2:$C$4314,MATCH(A1938-7,Clean_Data!$A$2:$A$4314,1))-1)</f>
        <v>0.0499446182873364</v>
      </c>
      <c r="O1938" s="25" t="n">
        <f aca="false">IF(A1938-30&lt;$R$2,"",C1938/INDEX(Clean_Data!$C$2:$C$4314,MATCH(A1938-30,Clean_Data!$A$2:$A$4314,1))-1)</f>
        <v>0.109289090669083</v>
      </c>
    </row>
    <row r="1939" customFormat="false" ht="15" hidden="false" customHeight="false" outlineLevel="0" collapsed="false">
      <c r="A1939" s="16" t="n">
        <v>43945</v>
      </c>
      <c r="B1939" s="23" t="n">
        <f aca="false">YEAR(A1939)</f>
        <v>2020</v>
      </c>
      <c r="C1939" s="17" t="n">
        <v>7514.64</v>
      </c>
      <c r="D1939" s="23" t="n">
        <f aca="false">A1939-A1938</f>
        <v>1</v>
      </c>
      <c r="E1939" s="24" t="n">
        <f aca="false">LN(C1939)</f>
        <v>8.92460839684802</v>
      </c>
      <c r="F1939" s="25" t="n">
        <f aca="false">LN(C1939/C1938)</f>
        <v>0.00474600222563175</v>
      </c>
      <c r="G1939" s="25" t="n">
        <f aca="false">IF(AND(D1939=1,A1939&gt;=$R$2),F1939,"")</f>
        <v>0.00474600222563175</v>
      </c>
      <c r="H1939" s="27" t="n">
        <f aca="false">IF(G1939="","",G1939^2)</f>
        <v>2.25245371257015E-005</v>
      </c>
      <c r="I1939" s="25" t="n">
        <f aca="false">IF(G1939="","",C1939/C1938-1)</f>
        <v>0.00475728233227168</v>
      </c>
      <c r="J1939" s="17" t="n">
        <f aca="false">AVERAGE(C1740:C1939)</f>
        <v>7991.70935</v>
      </c>
      <c r="K1939" s="17" t="n">
        <f aca="false">MAX(K1938,C1939)</f>
        <v>19650.01</v>
      </c>
      <c r="L1939" s="25" t="n">
        <f aca="false">C1939/K1939-1</f>
        <v>-0.617575767137014</v>
      </c>
      <c r="M1939" s="25" t="n">
        <f aca="false">IF(COUNT(G1910:G1939)&lt;20,"",_xlfn.STDEV.S(G1910:G1939)*SQRT($R$3))</f>
        <v>0.736123573719327</v>
      </c>
      <c r="N1939" s="25" t="n">
        <f aca="false">IF(A1939-7&lt;$R$2,"",C1939/INDEX(Clean_Data!$C$2:$C$4314,MATCH(A1939-7,Clean_Data!$A$2:$A$4314,1))-1)</f>
        <v>0.0651177426076013</v>
      </c>
      <c r="O1939" s="25" t="n">
        <f aca="false">IF(A1939-30&lt;$R$2,"",C1939/INDEX(Clean_Data!$C$2:$C$4314,MATCH(A1939-30,Clean_Data!$A$2:$A$4314,1))-1)</f>
        <v>0.112813442660336</v>
      </c>
    </row>
    <row r="1940" customFormat="false" ht="15" hidden="false" customHeight="false" outlineLevel="0" collapsed="false">
      <c r="A1940" s="16" t="n">
        <v>43946</v>
      </c>
      <c r="B1940" s="23" t="n">
        <f aca="false">YEAR(A1940)</f>
        <v>2020</v>
      </c>
      <c r="C1940" s="17" t="n">
        <v>7535.69</v>
      </c>
      <c r="D1940" s="23" t="n">
        <f aca="false">A1940-A1939</f>
        <v>1</v>
      </c>
      <c r="E1940" s="24" t="n">
        <f aca="false">LN(C1940)</f>
        <v>8.92740567952899</v>
      </c>
      <c r="F1940" s="25" t="n">
        <f aca="false">LN(C1940/C1939)</f>
        <v>0.00279728268097568</v>
      </c>
      <c r="G1940" s="25" t="n">
        <f aca="false">IF(AND(D1940=1,A1940&gt;=$R$2),F1940,"")</f>
        <v>0.00279728268097568</v>
      </c>
      <c r="H1940" s="27" t="n">
        <f aca="false">IF(G1940="","",G1940^2)</f>
        <v>7.82479039728647E-006</v>
      </c>
      <c r="I1940" s="25" t="n">
        <f aca="false">IF(G1940="","",C1940/C1939-1)</f>
        <v>0.002801198726752</v>
      </c>
      <c r="J1940" s="17" t="n">
        <f aca="false">AVERAGE(C1741:C1940)</f>
        <v>7988.45415</v>
      </c>
      <c r="K1940" s="17" t="n">
        <f aca="false">MAX(K1939,C1940)</f>
        <v>19650.01</v>
      </c>
      <c r="L1940" s="25" t="n">
        <f aca="false">C1940/K1940-1</f>
        <v>-0.616504520862839</v>
      </c>
      <c r="M1940" s="25" t="n">
        <f aca="false">IF(COUNT(G1911:G1940)&lt;20,"",_xlfn.STDEV.S(G1911:G1940)*SQRT($R$3))</f>
        <v>0.736124411751173</v>
      </c>
      <c r="N1940" s="25" t="n">
        <f aca="false">IF(A1940-7&lt;$R$2,"",C1940/INDEX(Clean_Data!$C$2:$C$4314,MATCH(A1940-7,Clean_Data!$A$2:$A$4314,1))-1)</f>
        <v>0.0363279804937888</v>
      </c>
      <c r="O1940" s="25" t="n">
        <f aca="false">IF(A1940-30&lt;$R$2,"",C1940/INDEX(Clean_Data!$C$2:$C$4314,MATCH(A1940-30,Clean_Data!$A$2:$A$4314,1))-1)</f>
        <v>0.11273884409793</v>
      </c>
    </row>
    <row r="1941" customFormat="false" ht="15" hidden="false" customHeight="false" outlineLevel="0" collapsed="false">
      <c r="A1941" s="16" t="n">
        <v>43947</v>
      </c>
      <c r="B1941" s="23" t="n">
        <f aca="false">YEAR(A1941)</f>
        <v>2020</v>
      </c>
      <c r="C1941" s="17" t="n">
        <v>7765.79</v>
      </c>
      <c r="D1941" s="23" t="n">
        <f aca="false">A1941-A1940</f>
        <v>1</v>
      </c>
      <c r="E1941" s="24" t="n">
        <f aca="false">LN(C1941)</f>
        <v>8.95748346897828</v>
      </c>
      <c r="F1941" s="25" t="n">
        <f aca="false">LN(C1941/C1940)</f>
        <v>0.0300777894492873</v>
      </c>
      <c r="G1941" s="25" t="n">
        <f aca="false">IF(AND(D1941=1,A1941&gt;=$R$2),F1941,"")</f>
        <v>0.0300777894492873</v>
      </c>
      <c r="H1941" s="27" t="n">
        <f aca="false">IF(G1941="","",G1941^2)</f>
        <v>0.000904673418155661</v>
      </c>
      <c r="I1941" s="25" t="n">
        <f aca="false">IF(G1941="","",C1941/C1940-1)</f>
        <v>0.030534695562052</v>
      </c>
      <c r="J1941" s="17" t="n">
        <f aca="false">AVERAGE(C1742:C1941)</f>
        <v>7984.2831</v>
      </c>
      <c r="K1941" s="17" t="n">
        <f aca="false">MAX(K1940,C1941)</f>
        <v>19650.01</v>
      </c>
      <c r="L1941" s="25" t="n">
        <f aca="false">C1941/K1941-1</f>
        <v>-0.604794603157963</v>
      </c>
      <c r="M1941" s="25" t="n">
        <f aca="false">IF(COUNT(G1912:G1941)&lt;20,"",_xlfn.STDEV.S(G1912:G1941)*SQRT($R$3))</f>
        <v>0.69302130201917</v>
      </c>
      <c r="N1941" s="25" t="n">
        <f aca="false">IF(A1941-7&lt;$R$2,"",C1941/INDEX(Clean_Data!$C$2:$C$4314,MATCH(A1941-7,Clean_Data!$A$2:$A$4314,1))-1)</f>
        <v>0.0898880189072475</v>
      </c>
      <c r="O1941" s="25" t="n">
        <f aca="false">IF(A1941-30&lt;$R$2,"",C1941/INDEX(Clean_Data!$C$2:$C$4314,MATCH(A1941-30,Clean_Data!$A$2:$A$4314,1))-1)</f>
        <v>0.228674811643456</v>
      </c>
    </row>
    <row r="1942" customFormat="false" ht="15" hidden="false" customHeight="false" outlineLevel="0" collapsed="false">
      <c r="A1942" s="16" t="n">
        <v>43948</v>
      </c>
      <c r="B1942" s="23" t="n">
        <f aca="false">YEAR(A1942)</f>
        <v>2020</v>
      </c>
      <c r="C1942" s="17" t="n">
        <v>7773</v>
      </c>
      <c r="D1942" s="23" t="n">
        <f aca="false">A1942-A1941</f>
        <v>1</v>
      </c>
      <c r="E1942" s="24" t="n">
        <f aca="false">LN(C1942)</f>
        <v>8.95841146923022</v>
      </c>
      <c r="F1942" s="25" t="n">
        <f aca="false">LN(C1942/C1941)</f>
        <v>0.000928000251940975</v>
      </c>
      <c r="G1942" s="25" t="n">
        <f aca="false">IF(AND(D1942=1,A1942&gt;=$R$2),F1942,"")</f>
        <v>0.000928000251940975</v>
      </c>
      <c r="H1942" s="27" t="n">
        <f aca="false">IF(G1942="","",G1942^2)</f>
        <v>8.61184467602512E-007</v>
      </c>
      <c r="I1942" s="25" t="n">
        <f aca="false">IF(G1942="","",C1942/C1941-1)</f>
        <v>0.00092843097740225</v>
      </c>
      <c r="J1942" s="17" t="n">
        <f aca="false">AVERAGE(C1743:C1942)</f>
        <v>7980.20305</v>
      </c>
      <c r="K1942" s="17" t="n">
        <f aca="false">MAX(K1941,C1942)</f>
        <v>19650.01</v>
      </c>
      <c r="L1942" s="25" t="n">
        <f aca="false">C1942/K1942-1</f>
        <v>-0.604427682225098</v>
      </c>
      <c r="M1942" s="25" t="n">
        <f aca="false">IF(COUNT(G1913:G1942)&lt;20,"",_xlfn.STDEV.S(G1913:G1942)*SQRT($R$3))</f>
        <v>0.691295966050716</v>
      </c>
      <c r="N1942" s="25" t="n">
        <f aca="false">IF(A1942-7&lt;$R$2,"",C1942/INDEX(Clean_Data!$C$2:$C$4314,MATCH(A1942-7,Clean_Data!$A$2:$A$4314,1))-1)</f>
        <v>0.137639277753466</v>
      </c>
      <c r="O1942" s="25" t="n">
        <f aca="false">IF(A1942-30&lt;$R$2,"",C1942/INDEX(Clean_Data!$C$2:$C$4314,MATCH(A1942-30,Clean_Data!$A$2:$A$4314,1))-1)</f>
        <v>0.239750486856859</v>
      </c>
    </row>
    <row r="1943" customFormat="false" ht="15" hidden="false" customHeight="false" outlineLevel="0" collapsed="false">
      <c r="A1943" s="16" t="n">
        <v>43949</v>
      </c>
      <c r="B1943" s="23" t="n">
        <f aca="false">YEAR(A1943)</f>
        <v>2020</v>
      </c>
      <c r="C1943" s="17" t="n">
        <v>7774.39</v>
      </c>
      <c r="D1943" s="23" t="n">
        <f aca="false">A1943-A1942</f>
        <v>1</v>
      </c>
      <c r="E1943" s="24" t="n">
        <f aca="false">LN(C1943)</f>
        <v>8.95859027737792</v>
      </c>
      <c r="F1943" s="25" t="n">
        <f aca="false">LN(C1943/C1942)</f>
        <v>0.000178808147696025</v>
      </c>
      <c r="G1943" s="25" t="n">
        <f aca="false">IF(AND(D1943=1,A1943&gt;=$R$2),F1943,"")</f>
        <v>0.000178808147696025</v>
      </c>
      <c r="H1943" s="27" t="n">
        <f aca="false">IF(G1943="","",G1943^2)</f>
        <v>3.19723536824834E-008</v>
      </c>
      <c r="I1943" s="25" t="n">
        <f aca="false">IF(G1943="","",C1943/C1942-1)</f>
        <v>0.000178824134825728</v>
      </c>
      <c r="J1943" s="17" t="n">
        <f aca="false">AVERAGE(C1744:C1943)</f>
        <v>7977.7568</v>
      </c>
      <c r="K1943" s="17" t="n">
        <f aca="false">MAX(K1942,C1943)</f>
        <v>19650.01</v>
      </c>
      <c r="L1943" s="25" t="n">
        <f aca="false">C1943/K1943-1</f>
        <v>-0.604356944347611</v>
      </c>
      <c r="M1943" s="25" t="n">
        <f aca="false">IF(COUNT(G1914:G1943)&lt;20,"",_xlfn.STDEV.S(G1914:G1943)*SQRT($R$3))</f>
        <v>0.646594772088599</v>
      </c>
      <c r="N1943" s="25" t="n">
        <f aca="false">IF(A1943-7&lt;$R$2,"",C1943/INDEX(Clean_Data!$C$2:$C$4314,MATCH(A1943-7,Clean_Data!$A$2:$A$4314,1))-1)</f>
        <v>0.135776479181885</v>
      </c>
      <c r="O1943" s="25" t="n">
        <f aca="false">IF(A1943-30&lt;$R$2,"",C1943/INDEX(Clean_Data!$C$2:$C$4314,MATCH(A1943-30,Clean_Data!$A$2:$A$4314,1))-1)</f>
        <v>0.318240625344423</v>
      </c>
    </row>
    <row r="1944" customFormat="false" ht="15" hidden="false" customHeight="false" outlineLevel="0" collapsed="false">
      <c r="A1944" s="16" t="n">
        <v>43950</v>
      </c>
      <c r="B1944" s="23" t="n">
        <f aca="false">YEAR(A1944)</f>
        <v>2020</v>
      </c>
      <c r="C1944" s="17" t="n">
        <v>8789.1</v>
      </c>
      <c r="D1944" s="23" t="n">
        <f aca="false">A1944-A1943</f>
        <v>1</v>
      </c>
      <c r="E1944" s="24" t="n">
        <f aca="false">LN(C1944)</f>
        <v>9.08126759635861</v>
      </c>
      <c r="F1944" s="25" t="n">
        <f aca="false">LN(C1944/C1943)</f>
        <v>0.122677318980689</v>
      </c>
      <c r="G1944" s="25" t="n">
        <f aca="false">IF(AND(D1944=1,A1944&gt;=$R$2),F1944,"")</f>
        <v>0.122677318980689</v>
      </c>
      <c r="H1944" s="27" t="n">
        <f aca="false">IF(G1944="","",G1944^2)</f>
        <v>0.0150497245922898</v>
      </c>
      <c r="I1944" s="25" t="n">
        <f aca="false">IF(G1944="","",C1944/C1943-1)</f>
        <v>0.130519564879045</v>
      </c>
      <c r="J1944" s="17" t="n">
        <f aca="false">AVERAGE(C1745:C1944)</f>
        <v>7980.1818</v>
      </c>
      <c r="K1944" s="17" t="n">
        <f aca="false">MAX(K1943,C1944)</f>
        <v>19650.01</v>
      </c>
      <c r="L1944" s="25" t="n">
        <f aca="false">C1944/K1944-1</f>
        <v>-0.552717784876445</v>
      </c>
      <c r="M1944" s="25" t="n">
        <f aca="false">IF(COUNT(G1915:G1944)&lt;20,"",_xlfn.STDEV.S(G1915:G1944)*SQRT($R$3))</f>
        <v>0.716118161099937</v>
      </c>
      <c r="N1944" s="25" t="n">
        <f aca="false">IF(A1944-7&lt;$R$2,"",C1944/INDEX(Clean_Data!$C$2:$C$4314,MATCH(A1944-7,Clean_Data!$A$2:$A$4314,1))-1)</f>
        <v>0.230278877769986</v>
      </c>
      <c r="O1944" s="25" t="n">
        <f aca="false">IF(A1944-30&lt;$R$2,"",C1944/INDEX(Clean_Data!$C$2:$C$4314,MATCH(A1944-30,Clean_Data!$A$2:$A$4314,1))-1)</f>
        <v>0.373026560395922</v>
      </c>
    </row>
    <row r="1945" customFormat="false" ht="15" hidden="false" customHeight="false" outlineLevel="0" collapsed="false">
      <c r="A1945" s="16" t="n">
        <v>43951</v>
      </c>
      <c r="B1945" s="23" t="n">
        <f aca="false">YEAR(A1945)</f>
        <v>2020</v>
      </c>
      <c r="C1945" s="17" t="n">
        <v>8652.3</v>
      </c>
      <c r="D1945" s="23" t="n">
        <f aca="false">A1945-A1944</f>
        <v>1</v>
      </c>
      <c r="E1945" s="24" t="n">
        <f aca="false">LN(C1945)</f>
        <v>9.06558046053562</v>
      </c>
      <c r="F1945" s="25" t="n">
        <f aca="false">LN(C1945/C1944)</f>
        <v>-0.0156871358229868</v>
      </c>
      <c r="G1945" s="25" t="n">
        <f aca="false">IF(AND(D1945=1,A1945&gt;=$R$2),F1945,"")</f>
        <v>-0.0156871358229868</v>
      </c>
      <c r="H1945" s="27" t="n">
        <f aca="false">IF(G1945="","",G1945^2)</f>
        <v>0.000246086230328836</v>
      </c>
      <c r="I1945" s="25" t="n">
        <f aca="false">IF(G1945="","",C1945/C1944-1)</f>
        <v>-0.0155647335904702</v>
      </c>
      <c r="J1945" s="17" t="n">
        <f aca="false">AVERAGE(C1746:C1945)</f>
        <v>7982.04325</v>
      </c>
      <c r="K1945" s="17" t="n">
        <f aca="false">MAX(K1944,C1945)</f>
        <v>19650.01</v>
      </c>
      <c r="L1945" s="25" t="n">
        <f aca="false">C1945/K1945-1</f>
        <v>-0.559679613394599</v>
      </c>
      <c r="M1945" s="25" t="n">
        <f aca="false">IF(COUNT(G1916:G1945)&lt;20,"",_xlfn.STDEV.S(G1916:G1945)*SQRT($R$3))</f>
        <v>0.721773480573575</v>
      </c>
      <c r="N1945" s="25" t="n">
        <f aca="false">IF(A1945-7&lt;$R$2,"",C1945/INDEX(Clean_Data!$C$2:$C$4314,MATCH(A1945-7,Clean_Data!$A$2:$A$4314,1))-1)</f>
        <v>0.156869980986915</v>
      </c>
      <c r="O1945" s="25" t="n">
        <f aca="false">IF(A1945-30&lt;$R$2,"",C1945/INDEX(Clean_Data!$C$2:$C$4314,MATCH(A1945-30,Clean_Data!$A$2:$A$4314,1))-1)</f>
        <v>0.344625182408586</v>
      </c>
    </row>
    <row r="1946" customFormat="false" ht="15" hidden="false" customHeight="false" outlineLevel="0" collapsed="false">
      <c r="A1946" s="16" t="n">
        <v>43952</v>
      </c>
      <c r="B1946" s="23" t="n">
        <f aca="false">YEAR(A1946)</f>
        <v>2020</v>
      </c>
      <c r="C1946" s="17" t="n">
        <v>8813.9</v>
      </c>
      <c r="D1946" s="23" t="n">
        <f aca="false">A1946-A1945</f>
        <v>1</v>
      </c>
      <c r="E1946" s="24" t="n">
        <f aca="false">LN(C1946)</f>
        <v>9.084085299751</v>
      </c>
      <c r="F1946" s="25" t="n">
        <f aca="false">LN(C1946/C1945)</f>
        <v>0.0185048392153857</v>
      </c>
      <c r="G1946" s="25" t="n">
        <f aca="false">IF(AND(D1946=1,A1946&gt;=$R$2),F1946,"")</f>
        <v>0.0185048392153857</v>
      </c>
      <c r="H1946" s="27" t="n">
        <f aca="false">IF(G1946="","",G1946^2)</f>
        <v>0.000342429074387276</v>
      </c>
      <c r="I1946" s="25" t="n">
        <f aca="false">IF(G1946="","",C1946/C1945-1)</f>
        <v>0.0186771147556142</v>
      </c>
      <c r="J1946" s="17" t="n">
        <f aca="false">AVERAGE(C1747:C1946)</f>
        <v>7984.29775</v>
      </c>
      <c r="K1946" s="17" t="n">
        <f aca="false">MAX(K1945,C1946)</f>
        <v>19650.01</v>
      </c>
      <c r="L1946" s="25" t="n">
        <f aca="false">C1946/K1946-1</f>
        <v>-0.551455699004733</v>
      </c>
      <c r="M1946" s="25" t="n">
        <f aca="false">IF(COUNT(G1917:G1946)&lt;20,"",_xlfn.STDEV.S(G1917:G1946)*SQRT($R$3))</f>
        <v>0.712448351785908</v>
      </c>
      <c r="N1946" s="25" t="n">
        <f aca="false">IF(A1946-7&lt;$R$2,"",C1946/INDEX(Clean_Data!$C$2:$C$4314,MATCH(A1946-7,Clean_Data!$A$2:$A$4314,1))-1)</f>
        <v>0.172897171388117</v>
      </c>
      <c r="O1946" s="25" t="n">
        <f aca="false">IF(A1946-30&lt;$R$2,"",C1946/INDEX(Clean_Data!$C$2:$C$4314,MATCH(A1946-30,Clean_Data!$A$2:$A$4314,1))-1)</f>
        <v>0.311711330939267</v>
      </c>
    </row>
    <row r="1947" customFormat="false" ht="15" hidden="false" customHeight="false" outlineLevel="0" collapsed="false">
      <c r="A1947" s="16" t="n">
        <v>43953</v>
      </c>
      <c r="B1947" s="23" t="n">
        <f aca="false">YEAR(A1947)</f>
        <v>2020</v>
      </c>
      <c r="C1947" s="17" t="n">
        <v>8992</v>
      </c>
      <c r="D1947" s="23" t="n">
        <f aca="false">A1947-A1946</f>
        <v>1</v>
      </c>
      <c r="E1947" s="24" t="n">
        <f aca="false">LN(C1947)</f>
        <v>9.10409057213347</v>
      </c>
      <c r="F1947" s="25" t="n">
        <f aca="false">LN(C1947/C1946)</f>
        <v>0.0200052723824686</v>
      </c>
      <c r="G1947" s="25" t="n">
        <f aca="false">IF(AND(D1947=1,A1947&gt;=$R$2),F1947,"")</f>
        <v>0.0200052723824686</v>
      </c>
      <c r="H1947" s="27" t="n">
        <f aca="false">IF(G1947="","",G1947^2)</f>
        <v>0.000400210923096759</v>
      </c>
      <c r="I1947" s="25" t="n">
        <f aca="false">IF(G1947="","",C1947/C1946-1)</f>
        <v>0.0202067189325952</v>
      </c>
      <c r="J1947" s="17" t="n">
        <f aca="false">AVERAGE(C1748:C1947)</f>
        <v>7988.47515</v>
      </c>
      <c r="K1947" s="17" t="n">
        <f aca="false">MAX(K1946,C1947)</f>
        <v>19650.01</v>
      </c>
      <c r="L1947" s="25" t="n">
        <f aca="false">C1947/K1947-1</f>
        <v>-0.542392090385705</v>
      </c>
      <c r="M1947" s="25" t="n">
        <f aca="false">IF(COUNT(G1918:G1947)&lt;20,"",_xlfn.STDEV.S(G1918:G1947)*SQRT($R$3))</f>
        <v>0.713464879845569</v>
      </c>
      <c r="N1947" s="25" t="n">
        <f aca="false">IF(A1947-7&lt;$R$2,"",C1947/INDEX(Clean_Data!$C$2:$C$4314,MATCH(A1947-7,Clean_Data!$A$2:$A$4314,1))-1)</f>
        <v>0.193255030395359</v>
      </c>
      <c r="O1947" s="25" t="n">
        <f aca="false">IF(A1947-30&lt;$R$2,"",C1947/INDEX(Clean_Data!$C$2:$C$4314,MATCH(A1947-30,Clean_Data!$A$2:$A$4314,1))-1)</f>
        <v>0.324331648462998</v>
      </c>
    </row>
    <row r="1948" customFormat="false" ht="15" hidden="false" customHeight="false" outlineLevel="0" collapsed="false">
      <c r="A1948" s="16" t="n">
        <v>43954</v>
      </c>
      <c r="B1948" s="23" t="n">
        <f aca="false">YEAR(A1948)</f>
        <v>2020</v>
      </c>
      <c r="C1948" s="17" t="n">
        <v>8917.63</v>
      </c>
      <c r="D1948" s="23" t="n">
        <f aca="false">A1948-A1947</f>
        <v>1</v>
      </c>
      <c r="E1948" s="24" t="n">
        <f aca="false">LN(C1948)</f>
        <v>9.0957854952036</v>
      </c>
      <c r="F1948" s="25" t="n">
        <f aca="false">LN(C1948/C1947)</f>
        <v>-0.00830507692986973</v>
      </c>
      <c r="G1948" s="25" t="n">
        <f aca="false">IF(AND(D1948=1,A1948&gt;=$R$2),F1948,"")</f>
        <v>-0.00830507692986973</v>
      </c>
      <c r="H1948" s="27" t="n">
        <f aca="false">IF(G1948="","",G1948^2)</f>
        <v>6.89743028110544E-005</v>
      </c>
      <c r="I1948" s="25" t="n">
        <f aca="false">IF(G1948="","",C1948/C1947-1)</f>
        <v>-0.00827068505338091</v>
      </c>
      <c r="J1948" s="17" t="n">
        <f aca="false">AVERAGE(C1749:C1948)</f>
        <v>7993.0983</v>
      </c>
      <c r="K1948" s="17" t="n">
        <f aca="false">MAX(K1947,C1948)</f>
        <v>19650.01</v>
      </c>
      <c r="L1948" s="25" t="n">
        <f aca="false">C1948/K1948-1</f>
        <v>-0.54617682128406</v>
      </c>
      <c r="M1948" s="25" t="n">
        <f aca="false">IF(COUNT(G1919:G1948)&lt;20,"",_xlfn.STDEV.S(G1919:G1948)*SQRT($R$3))</f>
        <v>0.71319465800448</v>
      </c>
      <c r="N1948" s="25" t="n">
        <f aca="false">IF(A1948-7&lt;$R$2,"",C1948/INDEX(Clean_Data!$C$2:$C$4314,MATCH(A1948-7,Clean_Data!$A$2:$A$4314,1))-1)</f>
        <v>0.148322321360737</v>
      </c>
      <c r="O1948" s="25" t="n">
        <f aca="false">IF(A1948-30&lt;$R$2,"",C1948/INDEX(Clean_Data!$C$2:$C$4314,MATCH(A1948-30,Clean_Data!$A$2:$A$4314,1))-1)</f>
        <v>0.325452326772186</v>
      </c>
    </row>
    <row r="1949" customFormat="false" ht="15" hidden="false" customHeight="false" outlineLevel="0" collapsed="false">
      <c r="A1949" s="16" t="n">
        <v>43955</v>
      </c>
      <c r="B1949" s="23" t="n">
        <f aca="false">YEAR(A1949)</f>
        <v>2020</v>
      </c>
      <c r="C1949" s="17" t="n">
        <v>8900.29</v>
      </c>
      <c r="D1949" s="23" t="n">
        <f aca="false">A1949-A1948</f>
        <v>1</v>
      </c>
      <c r="E1949" s="24" t="n">
        <f aca="false">LN(C1949)</f>
        <v>9.09383913945904</v>
      </c>
      <c r="F1949" s="25" t="n">
        <f aca="false">LN(C1949/C1948)</f>
        <v>-0.00194635574456417</v>
      </c>
      <c r="G1949" s="25" t="n">
        <f aca="false">IF(AND(D1949=1,A1949&gt;=$R$2),F1949,"")</f>
        <v>-0.00194635574456417</v>
      </c>
      <c r="H1949" s="27" t="n">
        <f aca="false">IF(G1949="","",G1949^2)</f>
        <v>3.78830068439793E-006</v>
      </c>
      <c r="I1949" s="25" t="n">
        <f aca="false">IF(G1949="","",C1949/C1948-1)</f>
        <v>-0.00194446282252103</v>
      </c>
      <c r="J1949" s="17" t="n">
        <f aca="false">AVERAGE(C1750:C1949)</f>
        <v>7997.21475</v>
      </c>
      <c r="K1949" s="17" t="n">
        <f aca="false">MAX(K1948,C1949)</f>
        <v>19650.01</v>
      </c>
      <c r="L1949" s="25" t="n">
        <f aca="false">C1949/K1949-1</f>
        <v>-0.547059263583072</v>
      </c>
      <c r="M1949" s="25" t="n">
        <f aca="false">IF(COUNT(G1920:G1949)&lt;20,"",_xlfn.STDEV.S(G1920:G1949)*SQRT($R$3))</f>
        <v>0.712036511297632</v>
      </c>
      <c r="N1949" s="25" t="n">
        <f aca="false">IF(A1949-7&lt;$R$2,"",C1949/INDEX(Clean_Data!$C$2:$C$4314,MATCH(A1949-7,Clean_Data!$A$2:$A$4314,1))-1)</f>
        <v>0.145026373343625</v>
      </c>
      <c r="O1949" s="25" t="n">
        <f aca="false">IF(A1949-30&lt;$R$2,"",C1949/INDEX(Clean_Data!$C$2:$C$4314,MATCH(A1949-30,Clean_Data!$A$2:$A$4314,1))-1)</f>
        <v>0.290533016268886</v>
      </c>
    </row>
    <row r="1950" customFormat="false" ht="15" hidden="false" customHeight="false" outlineLevel="0" collapsed="false">
      <c r="A1950" s="16" t="n">
        <v>43956</v>
      </c>
      <c r="B1950" s="23" t="n">
        <f aca="false">YEAR(A1950)</f>
        <v>2020</v>
      </c>
      <c r="C1950" s="17" t="n">
        <v>9037.69</v>
      </c>
      <c r="D1950" s="23" t="n">
        <f aca="false">A1950-A1949</f>
        <v>1</v>
      </c>
      <c r="E1950" s="24" t="n">
        <f aca="false">LN(C1950)</f>
        <v>9.10915888975917</v>
      </c>
      <c r="F1950" s="25" t="n">
        <f aca="false">LN(C1950/C1949)</f>
        <v>0.0153197503001305</v>
      </c>
      <c r="G1950" s="25" t="n">
        <f aca="false">IF(AND(D1950=1,A1950&gt;=$R$2),F1950,"")</f>
        <v>0.0153197503001305</v>
      </c>
      <c r="H1950" s="27" t="n">
        <f aca="false">IF(G1950="","",G1950^2)</f>
        <v>0.000234694749258347</v>
      </c>
      <c r="I1950" s="25" t="n">
        <f aca="false">IF(G1950="","",C1950/C1949-1)</f>
        <v>0.0154376992210366</v>
      </c>
      <c r="J1950" s="17" t="n">
        <f aca="false">AVERAGE(C1751:C1950)</f>
        <v>8002.6324</v>
      </c>
      <c r="K1950" s="17" t="n">
        <f aca="false">MAX(K1949,C1950)</f>
        <v>19650.01</v>
      </c>
      <c r="L1950" s="25" t="n">
        <f aca="false">C1950/K1950-1</f>
        <v>-0.540066900729313</v>
      </c>
      <c r="M1950" s="25" t="n">
        <f aca="false">IF(COUNT(G1921:G1950)&lt;20,"",_xlfn.STDEV.S(G1921:G1950)*SQRT($R$3))</f>
        <v>0.706327304512113</v>
      </c>
      <c r="N1950" s="25" t="n">
        <f aca="false">IF(A1950-7&lt;$R$2,"",C1950/INDEX(Clean_Data!$C$2:$C$4314,MATCH(A1950-7,Clean_Data!$A$2:$A$4314,1))-1)</f>
        <v>0.162495063921414</v>
      </c>
      <c r="O1950" s="25" t="n">
        <f aca="false">IF(A1950-30&lt;$R$2,"",C1950/INDEX(Clean_Data!$C$2:$C$4314,MATCH(A1950-30,Clean_Data!$A$2:$A$4314,1))-1)</f>
        <v>0.333041778826653</v>
      </c>
    </row>
    <row r="1951" customFormat="false" ht="15" hidden="false" customHeight="false" outlineLevel="0" collapsed="false">
      <c r="A1951" s="16" t="n">
        <v>43957</v>
      </c>
      <c r="B1951" s="23" t="n">
        <f aca="false">YEAR(A1951)</f>
        <v>2020</v>
      </c>
      <c r="C1951" s="17" t="n">
        <v>9132.24</v>
      </c>
      <c r="D1951" s="23" t="n">
        <f aca="false">A1951-A1950</f>
        <v>1</v>
      </c>
      <c r="E1951" s="24" t="n">
        <f aca="false">LN(C1951)</f>
        <v>9.11956628851328</v>
      </c>
      <c r="F1951" s="25" t="n">
        <f aca="false">LN(C1951/C1950)</f>
        <v>0.0104073987541079</v>
      </c>
      <c r="G1951" s="25" t="n">
        <f aca="false">IF(AND(D1951=1,A1951&gt;=$R$2),F1951,"")</f>
        <v>0.0104073987541079</v>
      </c>
      <c r="H1951" s="27" t="n">
        <f aca="false">IF(G1951="","",G1951^2)</f>
        <v>0.000108313948827007</v>
      </c>
      <c r="I1951" s="25" t="n">
        <f aca="false">IF(G1951="","",C1951/C1950-1)</f>
        <v>0.010461744096113</v>
      </c>
      <c r="J1951" s="17" t="n">
        <f aca="false">AVERAGE(C1752:C1951)</f>
        <v>8008.46725</v>
      </c>
      <c r="K1951" s="17" t="n">
        <f aca="false">MAX(K1950,C1951)</f>
        <v>19650.01</v>
      </c>
      <c r="L1951" s="25" t="n">
        <f aca="false">C1951/K1951-1</f>
        <v>-0.535255198343411</v>
      </c>
      <c r="M1951" s="25" t="n">
        <f aca="false">IF(COUNT(G1922:G1951)&lt;20,"",_xlfn.STDEV.S(G1922:G1951)*SQRT($R$3))</f>
        <v>0.663626462644749</v>
      </c>
      <c r="N1951" s="25" t="n">
        <f aca="false">IF(A1951-7&lt;$R$2,"",C1951/INDEX(Clean_Data!$C$2:$C$4314,MATCH(A1951-7,Clean_Data!$A$2:$A$4314,1))-1)</f>
        <v>0.0390415400894288</v>
      </c>
      <c r="O1951" s="25" t="n">
        <f aca="false">IF(A1951-30&lt;$R$2,"",C1951/INDEX(Clean_Data!$C$2:$C$4314,MATCH(A1951-30,Clean_Data!$A$2:$A$4314,1))-1)</f>
        <v>0.247561840255626</v>
      </c>
    </row>
    <row r="1952" customFormat="false" ht="15" hidden="false" customHeight="false" outlineLevel="0" collapsed="false">
      <c r="A1952" s="16" t="n">
        <v>43958</v>
      </c>
      <c r="B1952" s="23" t="n">
        <f aca="false">YEAR(A1952)</f>
        <v>2020</v>
      </c>
      <c r="C1952" s="17" t="n">
        <v>10007.56</v>
      </c>
      <c r="D1952" s="23" t="n">
        <f aca="false">A1952-A1951</f>
        <v>1</v>
      </c>
      <c r="E1952" s="24" t="n">
        <f aca="false">LN(C1952)</f>
        <v>9.21109608635213</v>
      </c>
      <c r="F1952" s="25" t="n">
        <f aca="false">LN(C1952/C1951)</f>
        <v>0.0915297978388514</v>
      </c>
      <c r="G1952" s="25" t="n">
        <f aca="false">IF(AND(D1952=1,A1952&gt;=$R$2),F1952,"")</f>
        <v>0.0915297978388514</v>
      </c>
      <c r="H1952" s="27" t="n">
        <f aca="false">IF(G1952="","",G1952^2)</f>
        <v>0.00837770389242101</v>
      </c>
      <c r="I1952" s="25" t="n">
        <f aca="false">IF(G1952="","",C1952/C1951-1)</f>
        <v>0.0958494301507626</v>
      </c>
      <c r="J1952" s="17" t="n">
        <f aca="false">AVERAGE(C1753:C1952)</f>
        <v>8017.32785</v>
      </c>
      <c r="K1952" s="17" t="n">
        <f aca="false">MAX(K1951,C1952)</f>
        <v>19650.01</v>
      </c>
      <c r="L1952" s="25" t="n">
        <f aca="false">C1952/K1952-1</f>
        <v>-0.490709673939097</v>
      </c>
      <c r="M1952" s="25" t="n">
        <f aca="false">IF(COUNT(G1923:G1952)&lt;20,"",_xlfn.STDEV.S(G1923:G1952)*SQRT($R$3))</f>
        <v>0.719638127028376</v>
      </c>
      <c r="N1952" s="25" t="n">
        <f aca="false">IF(A1952-7&lt;$R$2,"",C1952/INDEX(Clean_Data!$C$2:$C$4314,MATCH(A1952-7,Clean_Data!$A$2:$A$4314,1))-1)</f>
        <v>0.156635807819886</v>
      </c>
      <c r="O1952" s="25" t="n">
        <f aca="false">IF(A1952-30&lt;$R$2,"",C1952/INDEX(Clean_Data!$C$2:$C$4314,MATCH(A1952-30,Clean_Data!$A$2:$A$4314,1))-1)</f>
        <v>0.389055295381549</v>
      </c>
    </row>
    <row r="1953" customFormat="false" ht="15" hidden="false" customHeight="false" outlineLevel="0" collapsed="false">
      <c r="A1953" s="16" t="n">
        <v>43959</v>
      </c>
      <c r="B1953" s="23" t="n">
        <f aca="false">YEAR(A1953)</f>
        <v>2020</v>
      </c>
      <c r="C1953" s="17" t="n">
        <v>9790.23</v>
      </c>
      <c r="D1953" s="23" t="n">
        <f aca="false">A1953-A1952</f>
        <v>1</v>
      </c>
      <c r="E1953" s="24" t="n">
        <f aca="false">LN(C1953)</f>
        <v>9.18914022860916</v>
      </c>
      <c r="F1953" s="25" t="n">
        <f aca="false">LN(C1953/C1952)</f>
        <v>-0.0219558577429648</v>
      </c>
      <c r="G1953" s="25" t="n">
        <f aca="false">IF(AND(D1953=1,A1953&gt;=$R$2),F1953,"")</f>
        <v>-0.0219558577429648</v>
      </c>
      <c r="H1953" s="27" t="n">
        <f aca="false">IF(G1953="","",G1953^2)</f>
        <v>0.000482059689229307</v>
      </c>
      <c r="I1953" s="25" t="n">
        <f aca="false">IF(G1953="","",C1953/C1952-1)</f>
        <v>-0.0217165822638086</v>
      </c>
      <c r="J1953" s="17" t="n">
        <f aca="false">AVERAGE(C1754:C1953)</f>
        <v>8025.2061</v>
      </c>
      <c r="K1953" s="17" t="n">
        <f aca="false">MAX(K1952,C1953)</f>
        <v>19650.01</v>
      </c>
      <c r="L1953" s="25" t="n">
        <f aca="false">C1953/K1953-1</f>
        <v>-0.501769719201161</v>
      </c>
      <c r="M1953" s="25" t="n">
        <f aca="false">IF(COUNT(G1924:G1953)&lt;20,"",_xlfn.STDEV.S(G1924:G1953)*SQRT($R$3))</f>
        <v>0.727986155223334</v>
      </c>
      <c r="N1953" s="25" t="n">
        <f aca="false">IF(A1953-7&lt;$R$2,"",C1953/INDEX(Clean_Data!$C$2:$C$4314,MATCH(A1953-7,Clean_Data!$A$2:$A$4314,1))-1)</f>
        <v>0.110771622096915</v>
      </c>
      <c r="O1953" s="25" t="n">
        <f aca="false">IF(A1953-30&lt;$R$2,"",C1953/INDEX(Clean_Data!$C$2:$C$4314,MATCH(A1953-30,Clean_Data!$A$2:$A$4314,1))-1)</f>
        <v>0.333155855739312</v>
      </c>
    </row>
    <row r="1954" customFormat="false" ht="15" hidden="false" customHeight="false" outlineLevel="0" collapsed="false">
      <c r="A1954" s="16" t="n">
        <v>43960</v>
      </c>
      <c r="B1954" s="23" t="n">
        <f aca="false">YEAR(A1954)</f>
        <v>2020</v>
      </c>
      <c r="C1954" s="17" t="n">
        <v>9554.91</v>
      </c>
      <c r="D1954" s="23" t="n">
        <f aca="false">A1954-A1953</f>
        <v>1</v>
      </c>
      <c r="E1954" s="24" t="n">
        <f aca="false">LN(C1954)</f>
        <v>9.16481043747774</v>
      </c>
      <c r="F1954" s="25" t="n">
        <f aca="false">LN(C1954/C1953)</f>
        <v>-0.0243297911314267</v>
      </c>
      <c r="G1954" s="25" t="n">
        <f aca="false">IF(AND(D1954=1,A1954&gt;=$R$2),F1954,"")</f>
        <v>-0.0243297911314267</v>
      </c>
      <c r="H1954" s="27" t="n">
        <f aca="false">IF(G1954="","",G1954^2)</f>
        <v>0.00059193873649885</v>
      </c>
      <c r="I1954" s="25" t="n">
        <f aca="false">IF(G1954="","",C1954/C1953-1)</f>
        <v>-0.0240362075252573</v>
      </c>
      <c r="J1954" s="17" t="n">
        <f aca="false">AVERAGE(C1755:C1954)</f>
        <v>8032.94045</v>
      </c>
      <c r="K1954" s="17" t="n">
        <f aca="false">MAX(K1953,C1954)</f>
        <v>19650.01</v>
      </c>
      <c r="L1954" s="25" t="n">
        <f aca="false">C1954/K1954-1</f>
        <v>-0.513745285625809</v>
      </c>
      <c r="M1954" s="25" t="n">
        <f aca="false">IF(COUNT(G1925:G1954)&lt;20,"",_xlfn.STDEV.S(G1925:G1954)*SQRT($R$3))</f>
        <v>0.735511111406812</v>
      </c>
      <c r="N1954" s="25" t="n">
        <f aca="false">IF(A1954-7&lt;$R$2,"",C1954/INDEX(Clean_Data!$C$2:$C$4314,MATCH(A1954-7,Clean_Data!$A$2:$A$4314,1))-1)</f>
        <v>0.0626012010676156</v>
      </c>
      <c r="O1954" s="25" t="n">
        <f aca="false">IF(A1954-30&lt;$R$2,"",C1954/INDEX(Clean_Data!$C$2:$C$4314,MATCH(A1954-30,Clean_Data!$A$2:$A$4314,1))-1)</f>
        <v>0.309844558164912</v>
      </c>
    </row>
    <row r="1955" customFormat="false" ht="15" hidden="false" customHeight="false" outlineLevel="0" collapsed="false">
      <c r="A1955" s="16" t="n">
        <v>43961</v>
      </c>
      <c r="B1955" s="23" t="n">
        <f aca="false">YEAR(A1955)</f>
        <v>2020</v>
      </c>
      <c r="C1955" s="17" t="n">
        <v>8773.89</v>
      </c>
      <c r="D1955" s="23" t="n">
        <f aca="false">A1955-A1954</f>
        <v>1</v>
      </c>
      <c r="E1955" s="24" t="n">
        <f aca="false">LN(C1955)</f>
        <v>9.07953554460631</v>
      </c>
      <c r="F1955" s="25" t="n">
        <f aca="false">LN(C1955/C1954)</f>
        <v>-0.0852748928714251</v>
      </c>
      <c r="G1955" s="25" t="n">
        <f aca="false">IF(AND(D1955=1,A1955&gt;=$R$2),F1955,"")</f>
        <v>-0.0852748928714251</v>
      </c>
      <c r="H1955" s="27" t="n">
        <f aca="false">IF(G1955="","",G1955^2)</f>
        <v>0.00727180735423302</v>
      </c>
      <c r="I1955" s="25" t="n">
        <f aca="false">IF(G1955="","",C1955/C1954-1)</f>
        <v>-0.0817401733768294</v>
      </c>
      <c r="J1955" s="17" t="n">
        <f aca="false">AVERAGE(C1756:C1955)</f>
        <v>8039.4428</v>
      </c>
      <c r="K1955" s="17" t="n">
        <f aca="false">MAX(K1954,C1955)</f>
        <v>19650.01</v>
      </c>
      <c r="L1955" s="25" t="n">
        <f aca="false">C1955/K1955-1</f>
        <v>-0.553491830284056</v>
      </c>
      <c r="M1955" s="25" t="n">
        <f aca="false">IF(COUNT(G1926:G1955)&lt;20,"",_xlfn.STDEV.S(G1926:G1955)*SQRT($R$3))</f>
        <v>0.773404996208088</v>
      </c>
      <c r="N1955" s="25" t="n">
        <f aca="false">IF(A1955-7&lt;$R$2,"",C1955/INDEX(Clean_Data!$C$2:$C$4314,MATCH(A1955-7,Clean_Data!$A$2:$A$4314,1))-1)</f>
        <v>-0.0161186324169089</v>
      </c>
      <c r="O1955" s="25" t="n">
        <f aca="false">IF(A1955-30&lt;$R$2,"",C1955/INDEX(Clean_Data!$C$2:$C$4314,MATCH(A1955-30,Clean_Data!$A$2:$A$4314,1))-1)</f>
        <v>0.272954527648733</v>
      </c>
    </row>
    <row r="1956" customFormat="false" ht="15" hidden="false" customHeight="false" outlineLevel="0" collapsed="false">
      <c r="A1956" s="16" t="n">
        <v>43962</v>
      </c>
      <c r="B1956" s="23" t="n">
        <f aca="false">YEAR(A1956)</f>
        <v>2020</v>
      </c>
      <c r="C1956" s="17" t="n">
        <v>8557.37</v>
      </c>
      <c r="D1956" s="23" t="n">
        <f aca="false">A1956-A1955</f>
        <v>1</v>
      </c>
      <c r="E1956" s="24" t="n">
        <f aca="false">LN(C1956)</f>
        <v>9.05454817893634</v>
      </c>
      <c r="F1956" s="25" t="n">
        <f aca="false">LN(C1956/C1955)</f>
        <v>-0.0249873656699756</v>
      </c>
      <c r="G1956" s="25" t="n">
        <f aca="false">IF(AND(D1956=1,A1956&gt;=$R$2),F1956,"")</f>
        <v>-0.0249873656699756</v>
      </c>
      <c r="H1956" s="27" t="n">
        <f aca="false">IF(G1956="","",G1956^2)</f>
        <v>0.000624368443125074</v>
      </c>
      <c r="I1956" s="25" t="n">
        <f aca="false">IF(G1956="","",C1956/C1955-1)</f>
        <v>-0.0246777655065198</v>
      </c>
      <c r="J1956" s="17" t="n">
        <f aca="false">AVERAGE(C1757:C1956)</f>
        <v>8045.0332</v>
      </c>
      <c r="K1956" s="17" t="n">
        <f aca="false">MAX(K1955,C1956)</f>
        <v>19650.01</v>
      </c>
      <c r="L1956" s="25" t="n">
        <f aca="false">C1956/K1956-1</f>
        <v>-0.564510654193051</v>
      </c>
      <c r="M1956" s="25" t="n">
        <f aca="false">IF(COUNT(G1927:G1956)&lt;20,"",_xlfn.STDEV.S(G1927:G1956)*SQRT($R$3))</f>
        <v>0.781525586056281</v>
      </c>
      <c r="N1956" s="25" t="n">
        <f aca="false">IF(A1956-7&lt;$R$2,"",C1956/INDEX(Clean_Data!$C$2:$C$4314,MATCH(A1956-7,Clean_Data!$A$2:$A$4314,1))-1)</f>
        <v>-0.0385290816366658</v>
      </c>
      <c r="O1956" s="25" t="n">
        <f aca="false">IF(A1956-30&lt;$R$2,"",C1956/INDEX(Clean_Data!$C$2:$C$4314,MATCH(A1956-30,Clean_Data!$A$2:$A$4314,1))-1)</f>
        <v>0.241740828826528</v>
      </c>
    </row>
    <row r="1957" customFormat="false" ht="15" hidden="false" customHeight="false" outlineLevel="0" collapsed="false">
      <c r="A1957" s="16" t="n">
        <v>43963</v>
      </c>
      <c r="B1957" s="23" t="n">
        <f aca="false">YEAR(A1957)</f>
        <v>2020</v>
      </c>
      <c r="C1957" s="17" t="n">
        <v>8809.14</v>
      </c>
      <c r="D1957" s="23" t="n">
        <f aca="false">A1957-A1956</f>
        <v>1</v>
      </c>
      <c r="E1957" s="24" t="n">
        <f aca="false">LN(C1957)</f>
        <v>9.08354509782038</v>
      </c>
      <c r="F1957" s="25" t="n">
        <f aca="false">LN(C1957/C1956)</f>
        <v>0.0289969188840411</v>
      </c>
      <c r="G1957" s="25" t="n">
        <f aca="false">IF(AND(D1957=1,A1957&gt;=$R$2),F1957,"")</f>
        <v>0.0289969188840411</v>
      </c>
      <c r="H1957" s="27" t="n">
        <f aca="false">IF(G1957="","",G1957^2)</f>
        <v>0.000840821304767659</v>
      </c>
      <c r="I1957" s="25" t="n">
        <f aca="false">IF(G1957="","",C1957/C1956-1)</f>
        <v>0.0294214227034706</v>
      </c>
      <c r="J1957" s="17" t="n">
        <f aca="false">AVERAGE(C1758:C1957)</f>
        <v>8045.55465</v>
      </c>
      <c r="K1957" s="17" t="n">
        <f aca="false">MAX(K1956,C1957)</f>
        <v>19650.01</v>
      </c>
      <c r="L1957" s="25" t="n">
        <f aca="false">C1957/K1957-1</f>
        <v>-0.551697938067207</v>
      </c>
      <c r="M1957" s="25" t="n">
        <f aca="false">IF(COUNT(G1928:G1957)&lt;20,"",_xlfn.STDEV.S(G1928:G1957)*SQRT($R$3))</f>
        <v>0.783949308135584</v>
      </c>
      <c r="N1957" s="25" t="n">
        <f aca="false">IF(A1957-7&lt;$R$2,"",C1957/INDEX(Clean_Data!$C$2:$C$4314,MATCH(A1957-7,Clean_Data!$A$2:$A$4314,1))-1)</f>
        <v>-0.0252885416516833</v>
      </c>
      <c r="O1957" s="25" t="n">
        <f aca="false">IF(A1957-30&lt;$R$2,"",C1957/INDEX(Clean_Data!$C$2:$C$4314,MATCH(A1957-30,Clean_Data!$A$2:$A$4314,1))-1)</f>
        <v>0.283949645604047</v>
      </c>
    </row>
    <row r="1958" customFormat="false" ht="15" hidden="false" customHeight="false" outlineLevel="0" collapsed="false">
      <c r="A1958" s="16" t="n">
        <v>43964</v>
      </c>
      <c r="B1958" s="23" t="n">
        <f aca="false">YEAR(A1958)</f>
        <v>2020</v>
      </c>
      <c r="C1958" s="17" t="n">
        <v>9335.84</v>
      </c>
      <c r="D1958" s="23" t="n">
        <f aca="false">A1958-A1957</f>
        <v>1</v>
      </c>
      <c r="E1958" s="24" t="n">
        <f aca="false">LN(C1958)</f>
        <v>9.14161603585895</v>
      </c>
      <c r="F1958" s="25" t="n">
        <f aca="false">LN(C1958/C1957)</f>
        <v>0.0580709380385755</v>
      </c>
      <c r="G1958" s="25" t="n">
        <f aca="false">IF(AND(D1958=1,A1958&gt;=$R$2),F1958,"")</f>
        <v>0.0580709380385755</v>
      </c>
      <c r="H1958" s="27" t="n">
        <f aca="false">IF(G1958="","",G1958^2)</f>
        <v>0.00337223384468007</v>
      </c>
      <c r="I1958" s="25" t="n">
        <f aca="false">IF(G1958="","",C1958/C1957-1)</f>
        <v>0.059790172479947</v>
      </c>
      <c r="J1958" s="17" t="n">
        <f aca="false">AVERAGE(C1759:C1958)</f>
        <v>8045.8275</v>
      </c>
      <c r="K1958" s="17" t="n">
        <f aca="false">MAX(K1957,C1958)</f>
        <v>19650.01</v>
      </c>
      <c r="L1958" s="25" t="n">
        <f aca="false">C1958/K1958-1</f>
        <v>-0.52489388046113</v>
      </c>
      <c r="M1958" s="25" t="n">
        <f aca="false">IF(COUNT(G1929:G1958)&lt;20,"",_xlfn.STDEV.S(G1929:G1958)*SQRT($R$3))</f>
        <v>0.80235682962746</v>
      </c>
      <c r="N1958" s="25" t="n">
        <f aca="false">IF(A1958-7&lt;$R$2,"",C1958/INDEX(Clean_Data!$C$2:$C$4314,MATCH(A1958-7,Clean_Data!$A$2:$A$4314,1))-1)</f>
        <v>0.0222946396502939</v>
      </c>
      <c r="O1958" s="25" t="n">
        <f aca="false">IF(A1958-30&lt;$R$2,"",C1958/INDEX(Clean_Data!$C$2:$C$4314,MATCH(A1958-30,Clean_Data!$A$2:$A$4314,1))-1)</f>
        <v>0.358730897977005</v>
      </c>
    </row>
    <row r="1959" customFormat="false" ht="15" hidden="false" customHeight="false" outlineLevel="0" collapsed="false">
      <c r="A1959" s="16" t="n">
        <v>43965</v>
      </c>
      <c r="B1959" s="23" t="n">
        <f aca="false">YEAR(A1959)</f>
        <v>2020</v>
      </c>
      <c r="C1959" s="17" t="n">
        <v>9815.22</v>
      </c>
      <c r="D1959" s="23" t="n">
        <f aca="false">A1959-A1958</f>
        <v>1</v>
      </c>
      <c r="E1959" s="24" t="n">
        <f aca="false">LN(C1959)</f>
        <v>9.19168952113078</v>
      </c>
      <c r="F1959" s="25" t="n">
        <f aca="false">LN(C1959/C1958)</f>
        <v>0.0500734852718249</v>
      </c>
      <c r="G1959" s="25" t="n">
        <f aca="false">IF(AND(D1959=1,A1959&gt;=$R$2),F1959,"")</f>
        <v>0.0500734852718249</v>
      </c>
      <c r="H1959" s="27" t="n">
        <f aca="false">IF(G1959="","",G1959^2)</f>
        <v>0.00250735392726767</v>
      </c>
      <c r="I1959" s="25" t="n">
        <f aca="false">IF(G1959="","",C1959/C1958-1)</f>
        <v>0.0513483521568492</v>
      </c>
      <c r="J1959" s="17" t="n">
        <f aca="false">AVERAGE(C1760:C1959)</f>
        <v>8047.0507</v>
      </c>
      <c r="K1959" s="17" t="n">
        <f aca="false">MAX(K1958,C1959)</f>
        <v>19650.01</v>
      </c>
      <c r="L1959" s="25" t="n">
        <f aca="false">C1959/K1959-1</f>
        <v>-0.500497964123174</v>
      </c>
      <c r="M1959" s="25" t="n">
        <f aca="false">IF(COUNT(G1930:G1959)&lt;20,"",_xlfn.STDEV.S(G1930:G1959)*SQRT($R$3))</f>
        <v>0.813120498868834</v>
      </c>
      <c r="N1959" s="25" t="n">
        <f aca="false">IF(A1959-7&lt;$R$2,"",C1959/INDEX(Clean_Data!$C$2:$C$4314,MATCH(A1959-7,Clean_Data!$A$2:$A$4314,1))-1)</f>
        <v>-0.0192194700806191</v>
      </c>
      <c r="O1959" s="25" t="n">
        <f aca="false">IF(A1959-30&lt;$R$2,"",C1959/INDEX(Clean_Data!$C$2:$C$4314,MATCH(A1959-30,Clean_Data!$A$2:$A$4314,1))-1)</f>
        <v>0.429598061091917</v>
      </c>
    </row>
    <row r="1960" customFormat="false" ht="15" hidden="false" customHeight="false" outlineLevel="0" collapsed="false">
      <c r="A1960" s="16" t="n">
        <v>43966</v>
      </c>
      <c r="B1960" s="23" t="n">
        <f aca="false">YEAR(A1960)</f>
        <v>2020</v>
      </c>
      <c r="C1960" s="17" t="n">
        <v>9331.18</v>
      </c>
      <c r="D1960" s="23" t="n">
        <f aca="false">A1960-A1959</f>
        <v>1</v>
      </c>
      <c r="E1960" s="24" t="n">
        <f aca="false">LN(C1960)</f>
        <v>9.14111675958488</v>
      </c>
      <c r="F1960" s="25" t="n">
        <f aca="false">LN(C1960/C1959)</f>
        <v>-0.0505727615458958</v>
      </c>
      <c r="G1960" s="25" t="n">
        <f aca="false">IF(AND(D1960=1,A1960&gt;=$R$2),F1960,"")</f>
        <v>-0.0505727615458958</v>
      </c>
      <c r="H1960" s="27" t="n">
        <f aca="false">IF(G1960="","",G1960^2)</f>
        <v>0.00255760421037804</v>
      </c>
      <c r="I1960" s="25" t="n">
        <f aca="false">IF(G1960="","",C1960/C1959-1)</f>
        <v>-0.0493152471365899</v>
      </c>
      <c r="J1960" s="17" t="n">
        <f aca="false">AVERAGE(C1761:C1960)</f>
        <v>8047.5968</v>
      </c>
      <c r="K1960" s="17" t="n">
        <f aca="false">MAX(K1959,C1960)</f>
        <v>19650.01</v>
      </c>
      <c r="L1960" s="25" t="n">
        <f aca="false">C1960/K1960-1</f>
        <v>-0.525131030467669</v>
      </c>
      <c r="M1960" s="25" t="n">
        <f aca="false">IF(COUNT(G1931:G1960)&lt;20,"",_xlfn.STDEV.S(G1931:G1960)*SQRT($R$3))</f>
        <v>0.819958694191938</v>
      </c>
      <c r="N1960" s="25" t="n">
        <f aca="false">IF(A1960-7&lt;$R$2,"",C1960/INDEX(Clean_Data!$C$2:$C$4314,MATCH(A1960-7,Clean_Data!$A$2:$A$4314,1))-1)</f>
        <v>-0.046888581779999</v>
      </c>
      <c r="O1960" s="25" t="n">
        <f aca="false">IF(A1960-30&lt;$R$2,"",C1960/INDEX(Clean_Data!$C$2:$C$4314,MATCH(A1960-30,Clean_Data!$A$2:$A$4314,1))-1)</f>
        <v>0.418811086309976</v>
      </c>
    </row>
    <row r="1961" customFormat="false" ht="15" hidden="false" customHeight="false" outlineLevel="0" collapsed="false">
      <c r="A1961" s="16" t="n">
        <v>43967</v>
      </c>
      <c r="B1961" s="23" t="n">
        <f aca="false">YEAR(A1961)</f>
        <v>2020</v>
      </c>
      <c r="C1961" s="17" t="n">
        <v>9353.26</v>
      </c>
      <c r="D1961" s="23" t="n">
        <f aca="false">A1961-A1960</f>
        <v>1</v>
      </c>
      <c r="E1961" s="24" t="n">
        <f aca="false">LN(C1961)</f>
        <v>9.14348022461548</v>
      </c>
      <c r="F1961" s="25" t="n">
        <f aca="false">LN(C1961/C1960)</f>
        <v>0.0023634650306006</v>
      </c>
      <c r="G1961" s="25" t="n">
        <f aca="false">IF(AND(D1961=1,A1961&gt;=$R$2),F1961,"")</f>
        <v>0.0023634650306006</v>
      </c>
      <c r="H1961" s="27" t="n">
        <f aca="false">IF(G1961="","",G1961^2)</f>
        <v>5.58596695087191E-006</v>
      </c>
      <c r="I1961" s="25" t="n">
        <f aca="false">IF(G1961="","",C1961/C1960-1)</f>
        <v>0.00236626021574971</v>
      </c>
      <c r="J1961" s="17" t="n">
        <f aca="false">AVERAGE(C1762:C1961)</f>
        <v>8047.20675</v>
      </c>
      <c r="K1961" s="17" t="n">
        <f aca="false">MAX(K1960,C1961)</f>
        <v>19650.01</v>
      </c>
      <c r="L1961" s="25" t="n">
        <f aca="false">C1961/K1961-1</f>
        <v>-0.524007366917371</v>
      </c>
      <c r="M1961" s="25" t="n">
        <f aca="false">IF(COUNT(G1932:G1961)&lt;20,"",_xlfn.STDEV.S(G1932:G1961)*SQRT($R$3))</f>
        <v>0.782571475612046</v>
      </c>
      <c r="N1961" s="25" t="n">
        <f aca="false">IF(A1961-7&lt;$R$2,"",C1961/INDEX(Clean_Data!$C$2:$C$4314,MATCH(A1961-7,Clean_Data!$A$2:$A$4314,1))-1)</f>
        <v>-0.0211043327462006</v>
      </c>
      <c r="O1961" s="25" t="n">
        <f aca="false">IF(A1961-30&lt;$R$2,"",C1961/INDEX(Clean_Data!$C$2:$C$4314,MATCH(A1961-30,Clean_Data!$A$2:$A$4314,1))-1)</f>
        <v>0.313053378424857</v>
      </c>
    </row>
    <row r="1962" customFormat="false" ht="15" hidden="false" customHeight="false" outlineLevel="0" collapsed="false">
      <c r="A1962" s="16" t="n">
        <v>43968</v>
      </c>
      <c r="B1962" s="23" t="n">
        <f aca="false">YEAR(A1962)</f>
        <v>2020</v>
      </c>
      <c r="C1962" s="17" t="n">
        <v>9700.33</v>
      </c>
      <c r="D1962" s="23" t="n">
        <f aca="false">A1962-A1961</f>
        <v>1</v>
      </c>
      <c r="E1962" s="24" t="n">
        <f aca="false">LN(C1962)</f>
        <v>9.17991518453134</v>
      </c>
      <c r="F1962" s="25" t="n">
        <f aca="false">LN(C1962/C1961)</f>
        <v>0.0364349599158602</v>
      </c>
      <c r="G1962" s="25" t="n">
        <f aca="false">IF(AND(D1962=1,A1962&gt;=$R$2),F1962,"")</f>
        <v>0.0364349599158602</v>
      </c>
      <c r="H1962" s="27" t="n">
        <f aca="false">IF(G1962="","",G1962^2)</f>
        <v>0.00132750630407034</v>
      </c>
      <c r="I1962" s="25" t="n">
        <f aca="false">IF(G1962="","",C1962/C1961-1)</f>
        <v>0.0371068483074351</v>
      </c>
      <c r="J1962" s="17" t="n">
        <f aca="false">AVERAGE(C1763:C1962)</f>
        <v>8049.82955</v>
      </c>
      <c r="K1962" s="17" t="n">
        <f aca="false">MAX(K1961,C1962)</f>
        <v>19650.01</v>
      </c>
      <c r="L1962" s="25" t="n">
        <f aca="false">C1962/K1962-1</f>
        <v>-0.506344780486117</v>
      </c>
      <c r="M1962" s="25" t="n">
        <f aca="false">IF(COUNT(G1933:G1962)&lt;20,"",_xlfn.STDEV.S(G1933:G1962)*SQRT($R$3))</f>
        <v>0.785210853385173</v>
      </c>
      <c r="N1962" s="25" t="n">
        <f aca="false">IF(A1962-7&lt;$R$2,"",C1962/INDEX(Clean_Data!$C$2:$C$4314,MATCH(A1962-7,Clean_Data!$A$2:$A$4314,1))-1)</f>
        <v>0.105590564732405</v>
      </c>
      <c r="O1962" s="25" t="n">
        <f aca="false">IF(A1962-30&lt;$R$2,"",C1962/INDEX(Clean_Data!$C$2:$C$4314,MATCH(A1962-30,Clean_Data!$A$2:$A$4314,1))-1)</f>
        <v>0.374915310932898</v>
      </c>
    </row>
    <row r="1963" customFormat="false" ht="15" hidden="false" customHeight="false" outlineLevel="0" collapsed="false">
      <c r="A1963" s="16" t="n">
        <v>43969</v>
      </c>
      <c r="B1963" s="23" t="n">
        <f aca="false">YEAR(A1963)</f>
        <v>2020</v>
      </c>
      <c r="C1963" s="17" t="n">
        <v>9733.21</v>
      </c>
      <c r="D1963" s="23" t="n">
        <f aca="false">A1963-A1962</f>
        <v>1</v>
      </c>
      <c r="E1963" s="24" t="n">
        <f aca="false">LN(C1963)</f>
        <v>9.18329902827511</v>
      </c>
      <c r="F1963" s="25" t="n">
        <f aca="false">LN(C1963/C1962)</f>
        <v>0.00338384374376311</v>
      </c>
      <c r="G1963" s="25" t="n">
        <f aca="false">IF(AND(D1963=1,A1963&gt;=$R$2),F1963,"")</f>
        <v>0.00338384374376311</v>
      </c>
      <c r="H1963" s="27" t="n">
        <f aca="false">IF(G1963="","",G1963^2)</f>
        <v>1.14503984822048E-005</v>
      </c>
      <c r="I1963" s="25" t="n">
        <f aca="false">IF(G1963="","",C1963/C1962-1)</f>
        <v>0.00338957540619744</v>
      </c>
      <c r="J1963" s="17" t="n">
        <f aca="false">AVERAGE(C1764:C1963)</f>
        <v>8052.76185</v>
      </c>
      <c r="K1963" s="17" t="n">
        <f aca="false">MAX(K1962,C1963)</f>
        <v>19650.01</v>
      </c>
      <c r="L1963" s="25" t="n">
        <f aca="false">C1963/K1963-1</f>
        <v>-0.504671498894912</v>
      </c>
      <c r="M1963" s="25" t="n">
        <f aca="false">IF(COUNT(G1934:G1963)&lt;20,"",_xlfn.STDEV.S(G1934:G1963)*SQRT($R$3))</f>
        <v>0.782357997133147</v>
      </c>
      <c r="N1963" s="25" t="n">
        <f aca="false">IF(A1963-7&lt;$R$2,"",C1963/INDEX(Clean_Data!$C$2:$C$4314,MATCH(A1963-7,Clean_Data!$A$2:$A$4314,1))-1)</f>
        <v>0.137406703227744</v>
      </c>
      <c r="O1963" s="25" t="n">
        <f aca="false">IF(A1963-30&lt;$R$2,"",C1963/INDEX(Clean_Data!$C$2:$C$4314,MATCH(A1963-30,Clean_Data!$A$2:$A$4314,1))-1)</f>
        <v>0.338536731609441</v>
      </c>
    </row>
    <row r="1964" customFormat="false" ht="15" hidden="false" customHeight="false" outlineLevel="0" collapsed="false">
      <c r="A1964" s="16" t="n">
        <v>43970</v>
      </c>
      <c r="B1964" s="23" t="n">
        <f aca="false">YEAR(A1964)</f>
        <v>2020</v>
      </c>
      <c r="C1964" s="17" t="n">
        <v>9783.91</v>
      </c>
      <c r="D1964" s="23" t="n">
        <f aca="false">A1964-A1963</f>
        <v>1</v>
      </c>
      <c r="E1964" s="24" t="n">
        <f aca="false">LN(C1964)</f>
        <v>9.18849447863296</v>
      </c>
      <c r="F1964" s="25" t="n">
        <f aca="false">LN(C1964/C1963)</f>
        <v>0.00519545035785247</v>
      </c>
      <c r="G1964" s="25" t="n">
        <f aca="false">IF(AND(D1964=1,A1964&gt;=$R$2),F1964,"")</f>
        <v>0.00519545035785247</v>
      </c>
      <c r="H1964" s="27" t="n">
        <f aca="false">IF(G1964="","",G1964^2)</f>
        <v>2.69927044209094E-005</v>
      </c>
      <c r="I1964" s="25" t="n">
        <f aca="false">IF(G1964="","",C1964/C1963-1)</f>
        <v>0.00520897011366239</v>
      </c>
      <c r="J1964" s="17" t="n">
        <f aca="false">AVERAGE(C1765:C1964)</f>
        <v>8055.3414</v>
      </c>
      <c r="K1964" s="17" t="n">
        <f aca="false">MAX(K1963,C1964)</f>
        <v>19650.01</v>
      </c>
      <c r="L1964" s="25" t="n">
        <f aca="false">C1964/K1964-1</f>
        <v>-0.50209134753621</v>
      </c>
      <c r="M1964" s="25" t="n">
        <f aca="false">IF(COUNT(G1935:G1964)&lt;20,"",_xlfn.STDEV.S(G1935:G1964)*SQRT($R$3))</f>
        <v>0.775058900132705</v>
      </c>
      <c r="N1964" s="25" t="n">
        <f aca="false">IF(A1964-7&lt;$R$2,"",C1964/INDEX(Clean_Data!$C$2:$C$4314,MATCH(A1964-7,Clean_Data!$A$2:$A$4314,1))-1)</f>
        <v>0.110654388510116</v>
      </c>
      <c r="O1964" s="25" t="n">
        <f aca="false">IF(A1964-30&lt;$R$2,"",C1964/INDEX(Clean_Data!$C$2:$C$4314,MATCH(A1964-30,Clean_Data!$A$2:$A$4314,1))-1)</f>
        <v>0.373120608085824</v>
      </c>
    </row>
    <row r="1965" customFormat="false" ht="15" hidden="false" customHeight="false" outlineLevel="0" collapsed="false">
      <c r="A1965" s="16" t="n">
        <v>43971</v>
      </c>
      <c r="B1965" s="23" t="n">
        <f aca="false">YEAR(A1965)</f>
        <v>2020</v>
      </c>
      <c r="C1965" s="17" t="n">
        <v>9497.76</v>
      </c>
      <c r="D1965" s="23" t="n">
        <f aca="false">A1965-A1964</f>
        <v>1</v>
      </c>
      <c r="E1965" s="24" t="n">
        <f aca="false">LN(C1965)</f>
        <v>9.15881126031224</v>
      </c>
      <c r="F1965" s="25" t="n">
        <f aca="false">LN(C1965/C1964)</f>
        <v>-0.0296832183207188</v>
      </c>
      <c r="G1965" s="25" t="n">
        <f aca="false">IF(AND(D1965=1,A1965&gt;=$R$2),F1965,"")</f>
        <v>-0.0296832183207188</v>
      </c>
      <c r="H1965" s="27" t="n">
        <f aca="false">IF(G1965="","",G1965^2)</f>
        <v>0.000881093449875457</v>
      </c>
      <c r="I1965" s="25" t="n">
        <f aca="false">IF(G1965="","",C1965/C1964-1)</f>
        <v>-0.0292469983881699</v>
      </c>
      <c r="J1965" s="17" t="n">
        <f aca="false">AVERAGE(C1766:C1965)</f>
        <v>8056.2302</v>
      </c>
      <c r="K1965" s="17" t="n">
        <f aca="false">MAX(K1964,C1965)</f>
        <v>19650.01</v>
      </c>
      <c r="L1965" s="25" t="n">
        <f aca="false">C1965/K1965-1</f>
        <v>-0.516653681092274</v>
      </c>
      <c r="M1965" s="25" t="n">
        <f aca="false">IF(COUNT(G1936:G1965)&lt;20,"",_xlfn.STDEV.S(G1936:G1965)*SQRT($R$3))</f>
        <v>0.765719737240014</v>
      </c>
      <c r="N1965" s="25" t="n">
        <f aca="false">IF(A1965-7&lt;$R$2,"",C1965/INDEX(Clean_Data!$C$2:$C$4314,MATCH(A1965-7,Clean_Data!$A$2:$A$4314,1))-1)</f>
        <v>0.0173439133489863</v>
      </c>
      <c r="O1965" s="25" t="n">
        <f aca="false">IF(A1965-30&lt;$R$2,"",C1965/INDEX(Clean_Data!$C$2:$C$4314,MATCH(A1965-30,Clean_Data!$A$2:$A$4314,1))-1)</f>
        <v>0.390071378705231</v>
      </c>
    </row>
    <row r="1966" customFormat="false" ht="15" hidden="false" customHeight="false" outlineLevel="0" collapsed="false">
      <c r="A1966" s="16" t="n">
        <v>43972</v>
      </c>
      <c r="B1966" s="23" t="n">
        <f aca="false">YEAR(A1966)</f>
        <v>2020</v>
      </c>
      <c r="C1966" s="17" t="n">
        <v>9039.12</v>
      </c>
      <c r="D1966" s="23" t="n">
        <f aca="false">A1966-A1965</f>
        <v>1</v>
      </c>
      <c r="E1966" s="24" t="n">
        <f aca="false">LN(C1966)</f>
        <v>9.10931710351513</v>
      </c>
      <c r="F1966" s="25" t="n">
        <f aca="false">LN(C1966/C1965)</f>
        <v>-0.0494941567971056</v>
      </c>
      <c r="G1966" s="25" t="n">
        <f aca="false">IF(AND(D1966=1,A1966&gt;=$R$2),F1966,"")</f>
        <v>-0.0494941567971056</v>
      </c>
      <c r="H1966" s="27" t="n">
        <f aca="false">IF(G1966="","",G1966^2)</f>
        <v>0.00244967155705647</v>
      </c>
      <c r="I1966" s="25" t="n">
        <f aca="false">IF(G1966="","",C1966/C1965-1)</f>
        <v>-0.0482892808409561</v>
      </c>
      <c r="J1966" s="17" t="n">
        <f aca="false">AVERAGE(C1767:C1966)</f>
        <v>8055.35075</v>
      </c>
      <c r="K1966" s="17" t="n">
        <f aca="false">MAX(K1965,C1966)</f>
        <v>19650.01</v>
      </c>
      <c r="L1966" s="25" t="n">
        <f aca="false">C1966/K1966-1</f>
        <v>-0.539994127229452</v>
      </c>
      <c r="M1966" s="25" t="n">
        <f aca="false">IF(COUNT(G1937:G1966)&lt;20,"",_xlfn.STDEV.S(G1937:G1966)*SQRT($R$3))</f>
        <v>0.793846887084479</v>
      </c>
      <c r="N1966" s="25" t="n">
        <f aca="false">IF(A1966-7&lt;$R$2,"",C1966/INDEX(Clean_Data!$C$2:$C$4314,MATCH(A1966-7,Clean_Data!$A$2:$A$4314,1))-1)</f>
        <v>-0.0790710753299466</v>
      </c>
      <c r="O1966" s="25" t="n">
        <f aca="false">IF(A1966-30&lt;$R$2,"",C1966/INDEX(Clean_Data!$C$2:$C$4314,MATCH(A1966-30,Clean_Data!$A$2:$A$4314,1))-1)</f>
        <v>0.3205434623813</v>
      </c>
    </row>
    <row r="1967" customFormat="false" ht="15" hidden="false" customHeight="false" outlineLevel="0" collapsed="false">
      <c r="A1967" s="16" t="n">
        <v>43973</v>
      </c>
      <c r="B1967" s="23" t="n">
        <f aca="false">YEAR(A1967)</f>
        <v>2020</v>
      </c>
      <c r="C1967" s="17" t="n">
        <v>9173.23</v>
      </c>
      <c r="D1967" s="23" t="n">
        <f aca="false">A1967-A1966</f>
        <v>1</v>
      </c>
      <c r="E1967" s="24" t="n">
        <f aca="false">LN(C1967)</f>
        <v>9.12404473878084</v>
      </c>
      <c r="F1967" s="25" t="n">
        <f aca="false">LN(C1967/C1966)</f>
        <v>0.0147276352657072</v>
      </c>
      <c r="G1967" s="25" t="n">
        <f aca="false">IF(AND(D1967=1,A1967&gt;=$R$2),F1967,"")</f>
        <v>0.0147276352657072</v>
      </c>
      <c r="H1967" s="27" t="n">
        <f aca="false">IF(G1967="","",G1967^2)</f>
        <v>0.000216903240519703</v>
      </c>
      <c r="I1967" s="25" t="n">
        <f aca="false">IF(G1967="","",C1967/C1966-1)</f>
        <v>0.0148366212640167</v>
      </c>
      <c r="J1967" s="17" t="n">
        <f aca="false">AVERAGE(C1768:C1967)</f>
        <v>8054.1469</v>
      </c>
      <c r="K1967" s="17" t="n">
        <f aca="false">MAX(K1966,C1967)</f>
        <v>19650.01</v>
      </c>
      <c r="L1967" s="25" t="n">
        <f aca="false">C1967/K1967-1</f>
        <v>-0.533169194315932</v>
      </c>
      <c r="M1967" s="25" t="n">
        <f aca="false">IF(COUNT(G1938:G1967)&lt;20,"",_xlfn.STDEV.S(G1938:G1967)*SQRT($R$3))</f>
        <v>0.78493719299538</v>
      </c>
      <c r="N1967" s="25" t="n">
        <f aca="false">IF(A1967-7&lt;$R$2,"",C1967/INDEX(Clean_Data!$C$2:$C$4314,MATCH(A1967-7,Clean_Data!$A$2:$A$4314,1))-1)</f>
        <v>-0.0169271196140253</v>
      </c>
      <c r="O1967" s="25" t="n">
        <f aca="false">IF(A1967-30&lt;$R$2,"",C1967/INDEX(Clean_Data!$C$2:$C$4314,MATCH(A1967-30,Clean_Data!$A$2:$A$4314,1))-1)</f>
        <v>0.284048549899986</v>
      </c>
    </row>
    <row r="1968" customFormat="false" ht="15" hidden="false" customHeight="false" outlineLevel="0" collapsed="false">
      <c r="A1968" s="16" t="n">
        <v>43974</v>
      </c>
      <c r="B1968" s="23" t="n">
        <f aca="false">YEAR(A1968)</f>
        <v>2020</v>
      </c>
      <c r="C1968" s="17" t="n">
        <v>9166.02</v>
      </c>
      <c r="D1968" s="23" t="n">
        <f aca="false">A1968-A1967</f>
        <v>1</v>
      </c>
      <c r="E1968" s="24" t="n">
        <f aca="false">LN(C1968)</f>
        <v>9.12325844704356</v>
      </c>
      <c r="F1968" s="25" t="n">
        <f aca="false">LN(C1968/C1967)</f>
        <v>-0.000786291737281214</v>
      </c>
      <c r="G1968" s="25" t="n">
        <f aca="false">IF(AND(D1968=1,A1968&gt;=$R$2),F1968,"")</f>
        <v>-0.000786291737281214</v>
      </c>
      <c r="H1968" s="27" t="n">
        <f aca="false">IF(G1968="","",G1968^2)</f>
        <v>6.1825469611671E-007</v>
      </c>
      <c r="I1968" s="25" t="n">
        <f aca="false">IF(G1968="","",C1968/C1967-1)</f>
        <v>-0.000785982690938658</v>
      </c>
      <c r="J1968" s="17" t="n">
        <f aca="false">AVERAGE(C1769:C1968)</f>
        <v>8053.40205</v>
      </c>
      <c r="K1968" s="17" t="n">
        <f aca="false">MAX(K1967,C1968)</f>
        <v>19650.01</v>
      </c>
      <c r="L1968" s="25" t="n">
        <f aca="false">C1968/K1968-1</f>
        <v>-0.533536115248796</v>
      </c>
      <c r="M1968" s="25" t="n">
        <f aca="false">IF(COUNT(G1939:G1968)&lt;20,"",_xlfn.STDEV.S(G1939:G1968)*SQRT($R$3))</f>
        <v>0.773666846314478</v>
      </c>
      <c r="N1968" s="25" t="n">
        <f aca="false">IF(A1968-7&lt;$R$2,"",C1968/INDEX(Clean_Data!$C$2:$C$4314,MATCH(A1968-7,Clean_Data!$A$2:$A$4314,1))-1)</f>
        <v>-0.0200186886711157</v>
      </c>
      <c r="O1968" s="25" t="n">
        <f aca="false">IF(A1968-30&lt;$R$2,"",C1968/INDEX(Clean_Data!$C$2:$C$4314,MATCH(A1968-30,Clean_Data!$A$2:$A$4314,1))-1)</f>
        <v>0.225557757258265</v>
      </c>
    </row>
    <row r="1969" customFormat="false" ht="15" hidden="false" customHeight="false" outlineLevel="0" collapsed="false">
      <c r="A1969" s="16" t="n">
        <v>43975</v>
      </c>
      <c r="B1969" s="23" t="n">
        <f aca="false">YEAR(A1969)</f>
        <v>2020</v>
      </c>
      <c r="C1969" s="17" t="n">
        <v>8673.64</v>
      </c>
      <c r="D1969" s="23" t="n">
        <f aca="false">A1969-A1968</f>
        <v>1</v>
      </c>
      <c r="E1969" s="24" t="n">
        <f aca="false">LN(C1969)</f>
        <v>9.0680438201907</v>
      </c>
      <c r="F1969" s="25" t="n">
        <f aca="false">LN(C1969/C1968)</f>
        <v>-0.0552146268528609</v>
      </c>
      <c r="G1969" s="25" t="n">
        <f aca="false">IF(AND(D1969=1,A1969&gt;=$R$2),F1969,"")</f>
        <v>-0.0552146268528609</v>
      </c>
      <c r="H1969" s="27" t="n">
        <f aca="false">IF(G1969="","",G1969^2)</f>
        <v>0.00304865501850067</v>
      </c>
      <c r="I1969" s="25" t="n">
        <f aca="false">IF(G1969="","",C1969/C1968-1)</f>
        <v>-0.0537179713768899</v>
      </c>
      <c r="J1969" s="17" t="n">
        <f aca="false">AVERAGE(C1770:C1969)</f>
        <v>8050.0547</v>
      </c>
      <c r="K1969" s="17" t="n">
        <f aca="false">MAX(K1968,C1969)</f>
        <v>19650.01</v>
      </c>
      <c r="L1969" s="25" t="n">
        <f aca="false">C1969/K1969-1</f>
        <v>-0.558593608858214</v>
      </c>
      <c r="M1969" s="25" t="n">
        <f aca="false">IF(COUNT(G1940:G1969)&lt;20,"",_xlfn.STDEV.S(G1940:G1969)*SQRT($R$3))</f>
        <v>0.803350950700821</v>
      </c>
      <c r="N1969" s="25" t="n">
        <f aca="false">IF(A1969-7&lt;$R$2,"",C1969/INDEX(Clean_Data!$C$2:$C$4314,MATCH(A1969-7,Clean_Data!$A$2:$A$4314,1))-1)</f>
        <v>-0.105840729129834</v>
      </c>
      <c r="O1969" s="25" t="n">
        <f aca="false">IF(A1969-30&lt;$R$2,"",C1969/INDEX(Clean_Data!$C$2:$C$4314,MATCH(A1969-30,Clean_Data!$A$2:$A$4314,1))-1)</f>
        <v>0.154232271938509</v>
      </c>
    </row>
    <row r="1970" customFormat="false" ht="15" hidden="false" customHeight="false" outlineLevel="0" collapsed="false">
      <c r="A1970" s="16" t="n">
        <v>43976</v>
      </c>
      <c r="B1970" s="23" t="n">
        <f aca="false">YEAR(A1970)</f>
        <v>2020</v>
      </c>
      <c r="C1970" s="17" t="n">
        <v>8892.39</v>
      </c>
      <c r="D1970" s="23" t="n">
        <f aca="false">A1970-A1969</f>
        <v>1</v>
      </c>
      <c r="E1970" s="24" t="n">
        <f aca="false">LN(C1970)</f>
        <v>9.0929511337714</v>
      </c>
      <c r="F1970" s="25" t="n">
        <f aca="false">LN(C1970/C1969)</f>
        <v>0.0249073135807047</v>
      </c>
      <c r="G1970" s="25" t="n">
        <f aca="false">IF(AND(D1970=1,A1970&gt;=$R$2),F1970,"")</f>
        <v>0.0249073135807047</v>
      </c>
      <c r="H1970" s="27" t="n">
        <f aca="false">IF(G1970="","",G1970^2)</f>
        <v>0.000620374269807558</v>
      </c>
      <c r="I1970" s="25" t="n">
        <f aca="false">IF(G1970="","",C1970/C1969-1)</f>
        <v>0.0252200921412464</v>
      </c>
      <c r="J1970" s="17" t="n">
        <f aca="false">AVERAGE(C1771:C1970)</f>
        <v>8048.5331</v>
      </c>
      <c r="K1970" s="17" t="n">
        <f aca="false">MAX(K1969,C1970)</f>
        <v>19650.01</v>
      </c>
      <c r="L1970" s="25" t="n">
        <f aca="false">C1970/K1970-1</f>
        <v>-0.547461299001884</v>
      </c>
      <c r="M1970" s="25" t="n">
        <f aca="false">IF(COUNT(G1941:G1970)&lt;20,"",_xlfn.STDEV.S(G1941:G1970)*SQRT($R$3))</f>
        <v>0.80635990921773</v>
      </c>
      <c r="N1970" s="25" t="n">
        <f aca="false">IF(A1970-7&lt;$R$2,"",C1970/INDEX(Clean_Data!$C$2:$C$4314,MATCH(A1970-7,Clean_Data!$A$2:$A$4314,1))-1)</f>
        <v>-0.0863867110644895</v>
      </c>
      <c r="O1970" s="25" t="n">
        <f aca="false">IF(A1970-30&lt;$R$2,"",C1970/INDEX(Clean_Data!$C$2:$C$4314,MATCH(A1970-30,Clean_Data!$A$2:$A$4314,1))-1)</f>
        <v>0.180036599170083</v>
      </c>
    </row>
    <row r="1971" customFormat="false" ht="15" hidden="false" customHeight="false" outlineLevel="0" collapsed="false">
      <c r="A1971" s="16" t="n">
        <v>43977</v>
      </c>
      <c r="B1971" s="23" t="n">
        <f aca="false">YEAR(A1971)</f>
        <v>2020</v>
      </c>
      <c r="C1971" s="17" t="n">
        <v>8836.77</v>
      </c>
      <c r="D1971" s="23" t="n">
        <f aca="false">A1971-A1970</f>
        <v>1</v>
      </c>
      <c r="E1971" s="24" t="n">
        <f aca="false">LN(C1971)</f>
        <v>9.08667670424708</v>
      </c>
      <c r="F1971" s="25" t="n">
        <f aca="false">LN(C1971/C1970)</f>
        <v>-0.0062744295243225</v>
      </c>
      <c r="G1971" s="25" t="n">
        <f aca="false">IF(AND(D1971=1,A1971&gt;=$R$2),F1971,"")</f>
        <v>-0.0062744295243225</v>
      </c>
      <c r="H1971" s="27" t="n">
        <f aca="false">IF(G1971="","",G1971^2)</f>
        <v>3.93684658556898E-005</v>
      </c>
      <c r="I1971" s="25" t="n">
        <f aca="false">IF(G1971="","",C1971/C1970-1)</f>
        <v>-0.00625478639600818</v>
      </c>
      <c r="J1971" s="17" t="n">
        <f aca="false">AVERAGE(C1772:C1971)</f>
        <v>8048.9235</v>
      </c>
      <c r="K1971" s="17" t="n">
        <f aca="false">MAX(K1970,C1971)</f>
        <v>19650.01</v>
      </c>
      <c r="L1971" s="25" t="n">
        <f aca="false">C1971/K1971-1</f>
        <v>-0.550291831912554</v>
      </c>
      <c r="M1971" s="25" t="n">
        <f aca="false">IF(COUNT(G1942:G1971)&lt;20,"",_xlfn.STDEV.S(G1942:G1971)*SQRT($R$3))</f>
        <v>0.802384272111585</v>
      </c>
      <c r="N1971" s="25" t="n">
        <f aca="false">IF(A1971-7&lt;$R$2,"",C1971/INDEX(Clean_Data!$C$2:$C$4314,MATCH(A1971-7,Clean_Data!$A$2:$A$4314,1))-1)</f>
        <v>-0.0968058782225102</v>
      </c>
      <c r="O1971" s="25" t="n">
        <f aca="false">IF(A1971-30&lt;$R$2,"",C1971/INDEX(Clean_Data!$C$2:$C$4314,MATCH(A1971-30,Clean_Data!$A$2:$A$4314,1))-1)</f>
        <v>0.137909987264657</v>
      </c>
    </row>
    <row r="1972" customFormat="false" ht="15" hidden="false" customHeight="false" outlineLevel="0" collapsed="false">
      <c r="A1972" s="16" t="n">
        <v>43978</v>
      </c>
      <c r="B1972" s="23" t="n">
        <f aca="false">YEAR(A1972)</f>
        <v>2020</v>
      </c>
      <c r="C1972" s="17" t="n">
        <v>9200</v>
      </c>
      <c r="D1972" s="23" t="n">
        <f aca="false">A1972-A1971</f>
        <v>1</v>
      </c>
      <c r="E1972" s="24" t="n">
        <f aca="false">LN(C1972)</f>
        <v>9.12695876303713</v>
      </c>
      <c r="F1972" s="25" t="n">
        <f aca="false">LN(C1972/C1971)</f>
        <v>0.0402820587900505</v>
      </c>
      <c r="G1972" s="25" t="n">
        <f aca="false">IF(AND(D1972=1,A1972&gt;=$R$2),F1972,"")</f>
        <v>0.0402820587900505</v>
      </c>
      <c r="H1972" s="27" t="n">
        <f aca="false">IF(G1972="","",G1972^2)</f>
        <v>0.00162264426036509</v>
      </c>
      <c r="I1972" s="25" t="n">
        <f aca="false">IF(G1972="","",C1972/C1971-1)</f>
        <v>0.0411043854258966</v>
      </c>
      <c r="J1972" s="17" t="n">
        <f aca="false">AVERAGE(C1773:C1972)</f>
        <v>8050.9316</v>
      </c>
      <c r="K1972" s="17" t="n">
        <f aca="false">MAX(K1971,C1972)</f>
        <v>19650.01</v>
      </c>
      <c r="L1972" s="25" t="n">
        <f aca="false">C1972/K1972-1</f>
        <v>-0.531806854042313</v>
      </c>
      <c r="M1972" s="25" t="n">
        <f aca="false">IF(COUNT(G1943:G1972)&lt;20,"",_xlfn.STDEV.S(G1943:G1972)*SQRT($R$3))</f>
        <v>0.811983213793106</v>
      </c>
      <c r="N1972" s="25" t="n">
        <f aca="false">IF(A1972-7&lt;$R$2,"",C1972/INDEX(Clean_Data!$C$2:$C$4314,MATCH(A1972-7,Clean_Data!$A$2:$A$4314,1))-1)</f>
        <v>-0.0313505500244269</v>
      </c>
      <c r="O1972" s="25" t="n">
        <f aca="false">IF(A1972-30&lt;$R$2,"",C1972/INDEX(Clean_Data!$C$2:$C$4314,MATCH(A1972-30,Clean_Data!$A$2:$A$4314,1))-1)</f>
        <v>0.183584201723916</v>
      </c>
    </row>
    <row r="1973" customFormat="false" ht="15" hidden="false" customHeight="false" outlineLevel="0" collapsed="false">
      <c r="A1973" s="16" t="n">
        <v>43979</v>
      </c>
      <c r="B1973" s="23" t="n">
        <f aca="false">YEAR(A1973)</f>
        <v>2020</v>
      </c>
      <c r="C1973" s="17" t="n">
        <v>9593.72</v>
      </c>
      <c r="D1973" s="23" t="n">
        <f aca="false">A1973-A1972</f>
        <v>1</v>
      </c>
      <c r="E1973" s="24" t="n">
        <f aca="false">LN(C1973)</f>
        <v>9.16886399672889</v>
      </c>
      <c r="F1973" s="25" t="n">
        <f aca="false">LN(C1973/C1972)</f>
        <v>0.0419052336917561</v>
      </c>
      <c r="G1973" s="25" t="n">
        <f aca="false">IF(AND(D1973=1,A1973&gt;=$R$2),F1973,"")</f>
        <v>0.0419052336917561</v>
      </c>
      <c r="H1973" s="27" t="n">
        <f aca="false">IF(G1973="","",G1973^2)</f>
        <v>0.00175604861076069</v>
      </c>
      <c r="I1973" s="25" t="n">
        <f aca="false">IF(G1973="","",C1973/C1972-1)</f>
        <v>0.042795652173913</v>
      </c>
      <c r="J1973" s="17" t="n">
        <f aca="false">AVERAGE(C1774:C1973)</f>
        <v>8053.7161</v>
      </c>
      <c r="K1973" s="17" t="n">
        <f aca="false">MAX(K1972,C1973)</f>
        <v>19650.01</v>
      </c>
      <c r="L1973" s="25" t="n">
        <f aca="false">C1973/K1973-1</f>
        <v>-0.511770223017698</v>
      </c>
      <c r="M1973" s="25" t="n">
        <f aca="false">IF(COUNT(G1944:G1973)&lt;20,"",_xlfn.STDEV.S(G1944:G1973)*SQRT($R$3))</f>
        <v>0.821454027968884</v>
      </c>
      <c r="N1973" s="25" t="n">
        <f aca="false">IF(A1973-7&lt;$R$2,"",C1973/INDEX(Clean_Data!$C$2:$C$4314,MATCH(A1973-7,Clean_Data!$A$2:$A$4314,1))-1)</f>
        <v>0.061355530184354</v>
      </c>
      <c r="O1973" s="25" t="n">
        <f aca="false">IF(A1973-30&lt;$R$2,"",C1973/INDEX(Clean_Data!$C$2:$C$4314,MATCH(A1973-30,Clean_Data!$A$2:$A$4314,1))-1)</f>
        <v>0.234015787733828</v>
      </c>
    </row>
    <row r="1974" customFormat="false" ht="15" hidden="false" customHeight="false" outlineLevel="0" collapsed="false">
      <c r="A1974" s="16" t="n">
        <v>43980</v>
      </c>
      <c r="B1974" s="23" t="n">
        <f aca="false">YEAR(A1974)</f>
        <v>2020</v>
      </c>
      <c r="C1974" s="17" t="n">
        <v>9426.87</v>
      </c>
      <c r="D1974" s="23" t="n">
        <f aca="false">A1974-A1973</f>
        <v>1</v>
      </c>
      <c r="E1974" s="24" t="n">
        <f aca="false">LN(C1974)</f>
        <v>9.15131940112391</v>
      </c>
      <c r="F1974" s="25" t="n">
        <f aca="false">LN(C1974/C1973)</f>
        <v>-0.0175445956049735</v>
      </c>
      <c r="G1974" s="25" t="n">
        <f aca="false">IF(AND(D1974=1,A1974&gt;=$R$2),F1974,"")</f>
        <v>-0.0175445956049735</v>
      </c>
      <c r="H1974" s="27" t="n">
        <f aca="false">IF(G1974="","",G1974^2)</f>
        <v>0.000307812834942055</v>
      </c>
      <c r="I1974" s="25" t="n">
        <f aca="false">IF(G1974="","",C1974/C1973-1)</f>
        <v>-0.0173915853287357</v>
      </c>
      <c r="J1974" s="17" t="n">
        <f aca="false">AVERAGE(C1775:C1974)</f>
        <v>8057.2474</v>
      </c>
      <c r="K1974" s="17" t="n">
        <f aca="false">MAX(K1973,C1974)</f>
        <v>19650.01</v>
      </c>
      <c r="L1974" s="25" t="n">
        <f aca="false">C1974/K1974-1</f>
        <v>-0.520261312844116</v>
      </c>
      <c r="M1974" s="25" t="n">
        <f aca="false">IF(COUNT(G1945:G1974)&lt;20,"",_xlfn.STDEV.S(G1945:G1974)*SQRT($R$3))</f>
        <v>0.711149185760492</v>
      </c>
      <c r="N1974" s="25" t="n">
        <f aca="false">IF(A1974-7&lt;$R$2,"",C1974/INDEX(Clean_Data!$C$2:$C$4314,MATCH(A1974-7,Clean_Data!$A$2:$A$4314,1))-1)</f>
        <v>0.0276500207669492</v>
      </c>
      <c r="O1974" s="25" t="n">
        <f aca="false">IF(A1974-30&lt;$R$2,"",C1974/INDEX(Clean_Data!$C$2:$C$4314,MATCH(A1974-30,Clean_Data!$A$2:$A$4314,1))-1)</f>
        <v>0.0725637437280269</v>
      </c>
    </row>
    <row r="1975" customFormat="false" ht="15" hidden="false" customHeight="false" outlineLevel="0" collapsed="false">
      <c r="A1975" s="16" t="n">
        <v>43981</v>
      </c>
      <c r="B1975" s="23" t="n">
        <f aca="false">YEAR(A1975)</f>
        <v>2020</v>
      </c>
      <c r="C1975" s="17" t="n">
        <v>9684.6</v>
      </c>
      <c r="D1975" s="23" t="n">
        <f aca="false">A1975-A1974</f>
        <v>1</v>
      </c>
      <c r="E1975" s="24" t="n">
        <f aca="false">LN(C1975)</f>
        <v>9.17829227400729</v>
      </c>
      <c r="F1975" s="25" t="n">
        <f aca="false">LN(C1975/C1974)</f>
        <v>0.0269728728833747</v>
      </c>
      <c r="G1975" s="25" t="n">
        <f aca="false">IF(AND(D1975=1,A1975&gt;=$R$2),F1975,"")</f>
        <v>0.0269728728833747</v>
      </c>
      <c r="H1975" s="27" t="n">
        <f aca="false">IF(G1975="","",G1975^2)</f>
        <v>0.000727535871582692</v>
      </c>
      <c r="I1975" s="25" t="n">
        <f aca="false">IF(G1975="","",C1975/C1974-1)</f>
        <v>0.0273399336152933</v>
      </c>
      <c r="J1975" s="17" t="n">
        <f aca="false">AVERAGE(C1776:C1975)</f>
        <v>8061.55215</v>
      </c>
      <c r="K1975" s="17" t="n">
        <f aca="false">MAX(K1974,C1975)</f>
        <v>19650.01</v>
      </c>
      <c r="L1975" s="25" t="n">
        <f aca="false">C1975/K1975-1</f>
        <v>-0.507145288984586</v>
      </c>
      <c r="M1975" s="25" t="n">
        <f aca="false">IF(COUNT(G1946:G1975)&lt;20,"",_xlfn.STDEV.S(G1946:G1975)*SQRT($R$3))</f>
        <v>0.713107117425178</v>
      </c>
      <c r="N1975" s="25" t="n">
        <f aca="false">IF(A1975-7&lt;$R$2,"",C1975/INDEX(Clean_Data!$C$2:$C$4314,MATCH(A1975-7,Clean_Data!$A$2:$A$4314,1))-1)</f>
        <v>0.0565763548410325</v>
      </c>
      <c r="O1975" s="25" t="n">
        <f aca="false">IF(A1975-30&lt;$R$2,"",C1975/INDEX(Clean_Data!$C$2:$C$4314,MATCH(A1975-30,Clean_Data!$A$2:$A$4314,1))-1)</f>
        <v>0.119309316597899</v>
      </c>
    </row>
    <row r="1976" customFormat="false" ht="15" hidden="false" customHeight="false" outlineLevel="0" collapsed="false">
      <c r="A1976" s="16" t="n">
        <v>43982</v>
      </c>
      <c r="B1976" s="23" t="n">
        <f aca="false">YEAR(A1976)</f>
        <v>2020</v>
      </c>
      <c r="C1976" s="17" t="n">
        <v>9435.8</v>
      </c>
      <c r="D1976" s="23" t="n">
        <f aca="false">A1976-A1975</f>
        <v>1</v>
      </c>
      <c r="E1976" s="24" t="n">
        <f aca="false">LN(C1976)</f>
        <v>9.15226624488115</v>
      </c>
      <c r="F1976" s="25" t="n">
        <f aca="false">LN(C1976/C1975)</f>
        <v>-0.0260260291261384</v>
      </c>
      <c r="G1976" s="25" t="n">
        <f aca="false">IF(AND(D1976=1,A1976&gt;=$R$2),F1976,"")</f>
        <v>-0.0260260291261384</v>
      </c>
      <c r="H1976" s="27" t="n">
        <f aca="false">IF(G1976="","",G1976^2)</f>
        <v>0.000677354192074604</v>
      </c>
      <c r="I1976" s="25" t="n">
        <f aca="false">IF(G1976="","",C1976/C1975-1)</f>
        <v>-0.0256902711521385</v>
      </c>
      <c r="J1976" s="17" t="n">
        <f aca="false">AVERAGE(C1777:C1976)</f>
        <v>8064.9031</v>
      </c>
      <c r="K1976" s="17" t="n">
        <f aca="false">MAX(K1975,C1976)</f>
        <v>19650.01</v>
      </c>
      <c r="L1976" s="25" t="n">
        <f aca="false">C1976/K1976-1</f>
        <v>-0.519806860149181</v>
      </c>
      <c r="M1976" s="25" t="n">
        <f aca="false">IF(COUNT(G1947:G1976)&lt;20,"",_xlfn.STDEV.S(G1947:G1976)*SQRT($R$3))</f>
        <v>0.718412642592125</v>
      </c>
      <c r="N1976" s="25" t="n">
        <f aca="false">IF(A1976-7&lt;$R$2,"",C1976/INDEX(Clean_Data!$C$2:$C$4314,MATCH(A1976-7,Clean_Data!$A$2:$A$4314,1))-1)</f>
        <v>0.0878708362348448</v>
      </c>
      <c r="O1976" s="25" t="n">
        <f aca="false">IF(A1976-30&lt;$R$2,"",C1976/INDEX(Clean_Data!$C$2:$C$4314,MATCH(A1976-30,Clean_Data!$A$2:$A$4314,1))-1)</f>
        <v>0.0705590033923689</v>
      </c>
    </row>
    <row r="1977" customFormat="false" ht="15" hidden="false" customHeight="false" outlineLevel="0" collapsed="false">
      <c r="A1977" s="16" t="n">
        <v>43983</v>
      </c>
      <c r="B1977" s="23" t="n">
        <f aca="false">YEAR(A1977)</f>
        <v>2020</v>
      </c>
      <c r="C1977" s="17" t="n">
        <v>10212.38</v>
      </c>
      <c r="D1977" s="23" t="n">
        <f aca="false">A1977-A1976</f>
        <v>1</v>
      </c>
      <c r="E1977" s="24" t="n">
        <f aca="false">LN(C1977)</f>
        <v>9.23135598879323</v>
      </c>
      <c r="F1977" s="25" t="n">
        <f aca="false">LN(C1977/C1976)</f>
        <v>0.0790897439120748</v>
      </c>
      <c r="G1977" s="25" t="n">
        <f aca="false">IF(AND(D1977=1,A1977&gt;=$R$2),F1977,"")</f>
        <v>0.0790897439120748</v>
      </c>
      <c r="H1977" s="27" t="n">
        <f aca="false">IF(G1977="","",G1977^2)</f>
        <v>0.00625518759207758</v>
      </c>
      <c r="I1977" s="25" t="n">
        <f aca="false">IF(G1977="","",C1977/C1976-1)</f>
        <v>0.0823014476779924</v>
      </c>
      <c r="J1977" s="17" t="n">
        <f aca="false">AVERAGE(C1778:C1977)</f>
        <v>8072.81495</v>
      </c>
      <c r="K1977" s="17" t="n">
        <f aca="false">MAX(K1976,C1977)</f>
        <v>19650.01</v>
      </c>
      <c r="L1977" s="25" t="n">
        <f aca="false">C1977/K1977-1</f>
        <v>-0.480286269574418</v>
      </c>
      <c r="M1977" s="25" t="n">
        <f aca="false">IF(COUNT(G1948:G1977)&lt;20,"",_xlfn.STDEV.S(G1948:G1977)*SQRT($R$3))</f>
        <v>0.764829319012437</v>
      </c>
      <c r="N1977" s="25" t="n">
        <f aca="false">IF(A1977-7&lt;$R$2,"",C1977/INDEX(Clean_Data!$C$2:$C$4314,MATCH(A1977-7,Clean_Data!$A$2:$A$4314,1))-1)</f>
        <v>0.148440408034285</v>
      </c>
      <c r="O1977" s="25" t="n">
        <f aca="false">IF(A1977-30&lt;$R$2,"",C1977/INDEX(Clean_Data!$C$2:$C$4314,MATCH(A1977-30,Clean_Data!$A$2:$A$4314,1))-1)</f>
        <v>0.135718416370107</v>
      </c>
    </row>
    <row r="1978" customFormat="false" ht="15" hidden="false" customHeight="false" outlineLevel="0" collapsed="false">
      <c r="A1978" s="16" t="n">
        <v>43984</v>
      </c>
      <c r="B1978" s="23" t="n">
        <f aca="false">YEAR(A1978)</f>
        <v>2020</v>
      </c>
      <c r="C1978" s="17" t="n">
        <v>9509.35</v>
      </c>
      <c r="D1978" s="23" t="n">
        <f aca="false">A1978-A1977</f>
        <v>1</v>
      </c>
      <c r="E1978" s="24" t="n">
        <f aca="false">LN(C1978)</f>
        <v>9.16003080409733</v>
      </c>
      <c r="F1978" s="25" t="n">
        <f aca="false">LN(C1978/C1977)</f>
        <v>-0.0713251846958999</v>
      </c>
      <c r="G1978" s="25" t="n">
        <f aca="false">IF(AND(D1978=1,A1978&gt;=$R$2),F1978,"")</f>
        <v>-0.0713251846958999</v>
      </c>
      <c r="H1978" s="27" t="n">
        <f aca="false">IF(G1978="","",G1978^2)</f>
        <v>0.00508728197190423</v>
      </c>
      <c r="I1978" s="25" t="n">
        <f aca="false">IF(G1978="","",C1978/C1977-1)</f>
        <v>-0.0688409557811205</v>
      </c>
      <c r="J1978" s="17" t="n">
        <f aca="false">AVERAGE(C1779:C1978)</f>
        <v>8078.0617</v>
      </c>
      <c r="K1978" s="17" t="n">
        <f aca="false">MAX(K1977,C1978)</f>
        <v>19650.01</v>
      </c>
      <c r="L1978" s="25" t="n">
        <f aca="false">C1978/K1978-1</f>
        <v>-0.516063859509486</v>
      </c>
      <c r="M1978" s="25" t="n">
        <f aca="false">IF(COUNT(G1949:G1978)&lt;20,"",_xlfn.STDEV.S(G1949:G1978)*SQRT($R$3))</f>
        <v>0.808200957679094</v>
      </c>
      <c r="N1978" s="25" t="n">
        <f aca="false">IF(A1978-7&lt;$R$2,"",C1978/INDEX(Clean_Data!$C$2:$C$4314,MATCH(A1978-7,Clean_Data!$A$2:$A$4314,1))-1)</f>
        <v>0.0761115203858422</v>
      </c>
      <c r="O1978" s="25" t="n">
        <f aca="false">IF(A1978-30&lt;$R$2,"",C1978/INDEX(Clean_Data!$C$2:$C$4314,MATCH(A1978-30,Clean_Data!$A$2:$A$4314,1))-1)</f>
        <v>0.0663539527879045</v>
      </c>
    </row>
    <row r="1979" customFormat="false" ht="15" hidden="false" customHeight="false" outlineLevel="0" collapsed="false">
      <c r="A1979" s="16" t="n">
        <v>43985</v>
      </c>
      <c r="B1979" s="23" t="n">
        <f aca="false">YEAR(A1979)</f>
        <v>2020</v>
      </c>
      <c r="C1979" s="17" t="n">
        <v>9672.67</v>
      </c>
      <c r="D1979" s="23" t="n">
        <f aca="false">A1979-A1978</f>
        <v>1</v>
      </c>
      <c r="E1979" s="24" t="n">
        <f aca="false">LN(C1979)</f>
        <v>9.17705966202115</v>
      </c>
      <c r="F1979" s="25" t="n">
        <f aca="false">LN(C1979/C1978)</f>
        <v>0.0170288579238239</v>
      </c>
      <c r="G1979" s="25" t="n">
        <f aca="false">IF(AND(D1979=1,A1979&gt;=$R$2),F1979,"")</f>
        <v>0.0170288579238239</v>
      </c>
      <c r="H1979" s="27" t="n">
        <f aca="false">IF(G1979="","",G1979^2)</f>
        <v>0.000289982002189781</v>
      </c>
      <c r="I1979" s="25" t="n">
        <f aca="false">IF(G1979="","",C1979/C1978-1)</f>
        <v>0.0171746754510034</v>
      </c>
      <c r="J1979" s="17" t="n">
        <f aca="false">AVERAGE(C1780:C1979)</f>
        <v>8083.98505</v>
      </c>
      <c r="K1979" s="17" t="n">
        <f aca="false">MAX(K1978,C1979)</f>
        <v>19650.01</v>
      </c>
      <c r="L1979" s="25" t="n">
        <f aca="false">C1979/K1979-1</f>
        <v>-0.50775241335755</v>
      </c>
      <c r="M1979" s="25" t="n">
        <f aca="false">IF(COUNT(G1950:G1979)&lt;20,"",_xlfn.STDEV.S(G1950:G1979)*SQRT($R$3))</f>
        <v>0.809701750944324</v>
      </c>
      <c r="N1979" s="25" t="n">
        <f aca="false">IF(A1979-7&lt;$R$2,"",C1979/INDEX(Clean_Data!$C$2:$C$4314,MATCH(A1979-7,Clean_Data!$A$2:$A$4314,1))-1)</f>
        <v>0.0513771739130435</v>
      </c>
      <c r="O1979" s="25" t="n">
        <f aca="false">IF(A1979-30&lt;$R$2,"",C1979/INDEX(Clean_Data!$C$2:$C$4314,MATCH(A1979-30,Clean_Data!$A$2:$A$4314,1))-1)</f>
        <v>0.0867814419530149</v>
      </c>
    </row>
    <row r="1980" customFormat="false" ht="15" hidden="false" customHeight="false" outlineLevel="0" collapsed="false">
      <c r="A1980" s="16" t="n">
        <v>43986</v>
      </c>
      <c r="B1980" s="23" t="n">
        <f aca="false">YEAR(A1980)</f>
        <v>2020</v>
      </c>
      <c r="C1980" s="17" t="n">
        <v>9799.57</v>
      </c>
      <c r="D1980" s="23" t="n">
        <f aca="false">A1980-A1979</f>
        <v>1</v>
      </c>
      <c r="E1980" s="24" t="n">
        <f aca="false">LN(C1980)</f>
        <v>9.190093786145</v>
      </c>
      <c r="F1980" s="25" t="n">
        <f aca="false">LN(C1980/C1979)</f>
        <v>0.0130341241238455</v>
      </c>
      <c r="G1980" s="25" t="n">
        <f aca="false">IF(AND(D1980=1,A1980&gt;=$R$2),F1980,"")</f>
        <v>0.0130341241238455</v>
      </c>
      <c r="H1980" s="27" t="n">
        <f aca="false">IF(G1980="","",G1980^2)</f>
        <v>0.00016988839167581</v>
      </c>
      <c r="I1980" s="25" t="n">
        <f aca="false">IF(G1980="","",C1980/C1979-1)</f>
        <v>0.0131194385831419</v>
      </c>
      <c r="J1980" s="17" t="n">
        <f aca="false">AVERAGE(C1781:C1980)</f>
        <v>8090.48285</v>
      </c>
      <c r="K1980" s="17" t="n">
        <f aca="false">MAX(K1979,C1980)</f>
        <v>19650.01</v>
      </c>
      <c r="L1980" s="25" t="n">
        <f aca="false">C1980/K1980-1</f>
        <v>-0.501294401376895</v>
      </c>
      <c r="M1980" s="25" t="n">
        <f aca="false">IF(COUNT(G1951:G1980)&lt;20,"",_xlfn.STDEV.S(G1951:G1980)*SQRT($R$3))</f>
        <v>0.809295168575858</v>
      </c>
      <c r="N1980" s="25" t="n">
        <f aca="false">IF(A1980-7&lt;$R$2,"",C1980/INDEX(Clean_Data!$C$2:$C$4314,MATCH(A1980-7,Clean_Data!$A$2:$A$4314,1))-1)</f>
        <v>0.0214567446204392</v>
      </c>
      <c r="O1980" s="25" t="n">
        <f aca="false">IF(A1980-30&lt;$R$2,"",C1980/INDEX(Clean_Data!$C$2:$C$4314,MATCH(A1980-30,Clean_Data!$A$2:$A$4314,1))-1)</f>
        <v>0.0843003024002813</v>
      </c>
    </row>
    <row r="1981" customFormat="false" ht="15" hidden="false" customHeight="false" outlineLevel="0" collapsed="false">
      <c r="A1981" s="16" t="n">
        <v>43987</v>
      </c>
      <c r="B1981" s="23" t="n">
        <f aca="false">YEAR(A1981)</f>
        <v>2020</v>
      </c>
      <c r="C1981" s="17" t="n">
        <v>9568.95</v>
      </c>
      <c r="D1981" s="23" t="n">
        <f aca="false">A1981-A1980</f>
        <v>1</v>
      </c>
      <c r="E1981" s="24" t="n">
        <f aca="false">LN(C1981)</f>
        <v>9.16627876055922</v>
      </c>
      <c r="F1981" s="25" t="n">
        <f aca="false">LN(C1981/C1980)</f>
        <v>-0.023815025585779</v>
      </c>
      <c r="G1981" s="25" t="n">
        <f aca="false">IF(AND(D1981=1,A1981&gt;=$R$2),F1981,"")</f>
        <v>-0.023815025585779</v>
      </c>
      <c r="H1981" s="27" t="n">
        <f aca="false">IF(G1981="","",G1981^2)</f>
        <v>0.00056715544365131</v>
      </c>
      <c r="I1981" s="25" t="n">
        <f aca="false">IF(G1981="","",C1981/C1980-1)</f>
        <v>-0.0235336856617177</v>
      </c>
      <c r="J1981" s="17" t="n">
        <f aca="false">AVERAGE(C1782:C1981)</f>
        <v>8097.52395</v>
      </c>
      <c r="K1981" s="17" t="n">
        <f aca="false">MAX(K1980,C1981)</f>
        <v>19650.01</v>
      </c>
      <c r="L1981" s="25" t="n">
        <f aca="false">C1981/K1981-1</f>
        <v>-0.51303078217263</v>
      </c>
      <c r="M1981" s="25" t="n">
        <f aca="false">IF(COUNT(G1952:G1981)&lt;20,"",_xlfn.STDEV.S(G1952:G1981)*SQRT($R$3))</f>
        <v>0.813981857548087</v>
      </c>
      <c r="N1981" s="25" t="n">
        <f aca="false">IF(A1981-7&lt;$R$2,"",C1981/INDEX(Clean_Data!$C$2:$C$4314,MATCH(A1981-7,Clean_Data!$A$2:$A$4314,1))-1)</f>
        <v>0.0150718106858374</v>
      </c>
      <c r="O1981" s="25" t="n">
        <f aca="false">IF(A1981-30&lt;$R$2,"",C1981/INDEX(Clean_Data!$C$2:$C$4314,MATCH(A1981-30,Clean_Data!$A$2:$A$4314,1))-1)</f>
        <v>0.047820688023968</v>
      </c>
    </row>
    <row r="1982" customFormat="false" ht="15" hidden="false" customHeight="false" outlineLevel="0" collapsed="false">
      <c r="A1982" s="16" t="n">
        <v>43988</v>
      </c>
      <c r="B1982" s="23" t="n">
        <f aca="false">YEAR(A1982)</f>
        <v>2020</v>
      </c>
      <c r="C1982" s="17" t="n">
        <v>9665.36</v>
      </c>
      <c r="D1982" s="23" t="n">
        <f aca="false">A1982-A1981</f>
        <v>1</v>
      </c>
      <c r="E1982" s="24" t="n">
        <f aca="false">LN(C1982)</f>
        <v>9.17630363875009</v>
      </c>
      <c r="F1982" s="25" t="n">
        <f aca="false">LN(C1982/C1981)</f>
        <v>0.0100248781908784</v>
      </c>
      <c r="G1982" s="25" t="n">
        <f aca="false">IF(AND(D1982=1,A1982&gt;=$R$2),F1982,"")</f>
        <v>0.0100248781908784</v>
      </c>
      <c r="H1982" s="27" t="n">
        <f aca="false">IF(G1982="","",G1982^2)</f>
        <v>0.000100498182741949</v>
      </c>
      <c r="I1982" s="25" t="n">
        <f aca="false">IF(G1982="","",C1982/C1981-1)</f>
        <v>0.0100752956175965</v>
      </c>
      <c r="J1982" s="17" t="n">
        <f aca="false">AVERAGE(C1783:C1982)</f>
        <v>8105.23395</v>
      </c>
      <c r="K1982" s="17" t="n">
        <f aca="false">MAX(K1981,C1982)</f>
        <v>19650.01</v>
      </c>
      <c r="L1982" s="25" t="n">
        <f aca="false">C1982/K1982-1</f>
        <v>-0.508124423346349</v>
      </c>
      <c r="M1982" s="25" t="n">
        <f aca="false">IF(COUNT(G1953:G1982)&lt;20,"",_xlfn.STDEV.S(G1953:G1982)*SQRT($R$3))</f>
        <v>0.747526214397353</v>
      </c>
      <c r="N1982" s="25" t="n">
        <f aca="false">IF(A1982-7&lt;$R$2,"",C1982/INDEX(Clean_Data!$C$2:$C$4314,MATCH(A1982-7,Clean_Data!$A$2:$A$4314,1))-1)</f>
        <v>-0.001986659232183</v>
      </c>
      <c r="O1982" s="25" t="n">
        <f aca="false">IF(A1982-30&lt;$R$2,"",C1982/INDEX(Clean_Data!$C$2:$C$4314,MATCH(A1982-30,Clean_Data!$A$2:$A$4314,1))-1)</f>
        <v>-0.0341941492231872</v>
      </c>
    </row>
    <row r="1983" customFormat="false" ht="15" hidden="false" customHeight="false" outlineLevel="0" collapsed="false">
      <c r="A1983" s="16" t="n">
        <v>43989</v>
      </c>
      <c r="B1983" s="23" t="n">
        <f aca="false">YEAR(A1983)</f>
        <v>2020</v>
      </c>
      <c r="C1983" s="17" t="n">
        <v>9764</v>
      </c>
      <c r="D1983" s="23" t="n">
        <f aca="false">A1983-A1982</f>
        <v>1</v>
      </c>
      <c r="E1983" s="24" t="n">
        <f aca="false">LN(C1983)</f>
        <v>9.18645743151285</v>
      </c>
      <c r="F1983" s="25" t="n">
        <f aca="false">LN(C1983/C1982)</f>
        <v>0.0101537927627565</v>
      </c>
      <c r="G1983" s="25" t="n">
        <f aca="false">IF(AND(D1983=1,A1983&gt;=$R$2),F1983,"")</f>
        <v>0.0101537927627565</v>
      </c>
      <c r="H1983" s="27" t="n">
        <f aca="false">IF(G1983="","",G1983^2)</f>
        <v>0.000103099507469007</v>
      </c>
      <c r="I1983" s="25" t="n">
        <f aca="false">IF(G1983="","",C1983/C1982-1)</f>
        <v>0.0102055174354603</v>
      </c>
      <c r="J1983" s="17" t="n">
        <f aca="false">AVERAGE(C1784:C1983)</f>
        <v>8113.63915</v>
      </c>
      <c r="K1983" s="17" t="n">
        <f aca="false">MAX(K1982,C1983)</f>
        <v>19650.01</v>
      </c>
      <c r="L1983" s="25" t="n">
        <f aca="false">C1983/K1983-1</f>
        <v>-0.503104578572734</v>
      </c>
      <c r="M1983" s="25" t="n">
        <f aca="false">IF(COUNT(G1954:G1983)&lt;20,"",_xlfn.STDEV.S(G1954:G1983)*SQRT($R$3))</f>
        <v>0.744668120610112</v>
      </c>
      <c r="N1983" s="25" t="n">
        <f aca="false">IF(A1983-7&lt;$R$2,"",C1983/INDEX(Clean_Data!$C$2:$C$4314,MATCH(A1983-7,Clean_Data!$A$2:$A$4314,1))-1)</f>
        <v>0.03478242438373</v>
      </c>
      <c r="O1983" s="25" t="n">
        <f aca="false">IF(A1983-30&lt;$R$2,"",C1983/INDEX(Clean_Data!$C$2:$C$4314,MATCH(A1983-30,Clean_Data!$A$2:$A$4314,1))-1)</f>
        <v>-0.00267920161221946</v>
      </c>
    </row>
    <row r="1984" customFormat="false" ht="15" hidden="false" customHeight="false" outlineLevel="0" collapsed="false">
      <c r="A1984" s="16" t="n">
        <v>43990</v>
      </c>
      <c r="B1984" s="23" t="n">
        <f aca="false">YEAR(A1984)</f>
        <v>2020</v>
      </c>
      <c r="C1984" s="17" t="n">
        <v>9833.94</v>
      </c>
      <c r="D1984" s="23" t="n">
        <f aca="false">A1984-A1983</f>
        <v>1</v>
      </c>
      <c r="E1984" s="24" t="n">
        <f aca="false">LN(C1984)</f>
        <v>9.193594946672</v>
      </c>
      <c r="F1984" s="25" t="n">
        <f aca="false">LN(C1984/C1983)</f>
        <v>0.00713751515915202</v>
      </c>
      <c r="G1984" s="25" t="n">
        <f aca="false">IF(AND(D1984=1,A1984&gt;=$R$2),F1984,"")</f>
        <v>0.00713751515915202</v>
      </c>
      <c r="H1984" s="27" t="n">
        <f aca="false">IF(G1984="","",G1984^2)</f>
        <v>5.09441226471249E-005</v>
      </c>
      <c r="I1984" s="25" t="n">
        <f aca="false">IF(G1984="","",C1984/C1983-1)</f>
        <v>0.00716304793117573</v>
      </c>
      <c r="J1984" s="17" t="n">
        <f aca="false">AVERAGE(C1785:C1984)</f>
        <v>8124.71505</v>
      </c>
      <c r="K1984" s="17" t="n">
        <f aca="false">MAX(K1983,C1984)</f>
        <v>19650.01</v>
      </c>
      <c r="L1984" s="25" t="n">
        <f aca="false">C1984/K1984-1</f>
        <v>-0.499545292852268</v>
      </c>
      <c r="M1984" s="25" t="n">
        <f aca="false">IF(COUNT(G1955:G1984)&lt;20,"",_xlfn.STDEV.S(G1955:G1984)*SQRT($R$3))</f>
        <v>0.739849275262523</v>
      </c>
      <c r="N1984" s="25" t="n">
        <f aca="false">IF(A1984-7&lt;$R$2,"",C1984/INDEX(Clean_Data!$C$2:$C$4314,MATCH(A1984-7,Clean_Data!$A$2:$A$4314,1))-1)</f>
        <v>-0.0370569837785119</v>
      </c>
      <c r="O1984" s="25" t="n">
        <f aca="false">IF(A1984-30&lt;$R$2,"",C1984/INDEX(Clean_Data!$C$2:$C$4314,MATCH(A1984-30,Clean_Data!$A$2:$A$4314,1))-1)</f>
        <v>0.0292027868394364</v>
      </c>
    </row>
    <row r="1985" customFormat="false" ht="15" hidden="false" customHeight="false" outlineLevel="0" collapsed="false">
      <c r="A1985" s="16" t="n">
        <v>43991</v>
      </c>
      <c r="B1985" s="23" t="n">
        <f aca="false">YEAR(A1985)</f>
        <v>2020</v>
      </c>
      <c r="C1985" s="17" t="n">
        <v>9778.6</v>
      </c>
      <c r="D1985" s="23" t="n">
        <f aca="false">A1985-A1984</f>
        <v>1</v>
      </c>
      <c r="E1985" s="24" t="n">
        <f aca="false">LN(C1985)</f>
        <v>9.18795160349777</v>
      </c>
      <c r="F1985" s="25" t="n">
        <f aca="false">LN(C1985/C1984)</f>
        <v>-0.00564334317423001</v>
      </c>
      <c r="G1985" s="25" t="n">
        <f aca="false">IF(AND(D1985=1,A1985&gt;=$R$2),F1985,"")</f>
        <v>-0.00564334317423001</v>
      </c>
      <c r="H1985" s="27" t="n">
        <f aca="false">IF(G1985="","",G1985^2)</f>
        <v>3.18473221821284E-005</v>
      </c>
      <c r="I1985" s="25" t="n">
        <f aca="false">IF(G1985="","",C1985/C1984-1)</f>
        <v>-0.00562744942515414</v>
      </c>
      <c r="J1985" s="17" t="n">
        <f aca="false">AVERAGE(C1786:C1985)</f>
        <v>8137.1258</v>
      </c>
      <c r="K1985" s="17" t="n">
        <f aca="false">MAX(K1984,C1985)</f>
        <v>19650.01</v>
      </c>
      <c r="L1985" s="25" t="n">
        <f aca="false">C1985/K1985-1</f>
        <v>-0.502361576406322</v>
      </c>
      <c r="M1985" s="25" t="n">
        <f aca="false">IF(COUNT(G1956:G1985)&lt;20,"",_xlfn.STDEV.S(G1956:G1985)*SQRT($R$3))</f>
        <v>0.672063710533732</v>
      </c>
      <c r="N1985" s="25" t="n">
        <f aca="false">IF(A1985-7&lt;$R$2,"",C1985/INDEX(Clean_Data!$C$2:$C$4314,MATCH(A1985-7,Clean_Data!$A$2:$A$4314,1))-1)</f>
        <v>0.0283142380919832</v>
      </c>
      <c r="O1985" s="25" t="n">
        <f aca="false">IF(A1985-30&lt;$R$2,"",C1985/INDEX(Clean_Data!$C$2:$C$4314,MATCH(A1985-30,Clean_Data!$A$2:$A$4314,1))-1)</f>
        <v>0.11451135129344</v>
      </c>
    </row>
    <row r="1986" customFormat="false" ht="15" hidden="false" customHeight="false" outlineLevel="0" collapsed="false">
      <c r="A1986" s="16" t="n">
        <v>43992</v>
      </c>
      <c r="B1986" s="23" t="n">
        <f aca="false">YEAR(A1986)</f>
        <v>2020</v>
      </c>
      <c r="C1986" s="17" t="n">
        <v>9899.18</v>
      </c>
      <c r="D1986" s="23" t="n">
        <f aca="false">A1986-A1985</f>
        <v>1</v>
      </c>
      <c r="E1986" s="24" t="n">
        <f aca="false">LN(C1986)</f>
        <v>9.2002072044094</v>
      </c>
      <c r="F1986" s="25" t="n">
        <f aca="false">LN(C1986/C1985)</f>
        <v>0.0122556009116285</v>
      </c>
      <c r="G1986" s="25" t="n">
        <f aca="false">IF(AND(D1986=1,A1986&gt;=$R$2),F1986,"")</f>
        <v>0.0122556009116285</v>
      </c>
      <c r="H1986" s="27" t="n">
        <f aca="false">IF(G1986="","",G1986^2)</f>
        <v>0.00015019975370511</v>
      </c>
      <c r="I1986" s="25" t="n">
        <f aca="false">IF(G1986="","",C1986/C1985-1)</f>
        <v>0.0123310085288282</v>
      </c>
      <c r="J1986" s="17" t="n">
        <f aca="false">AVERAGE(C1787:C1986)</f>
        <v>8149.9271</v>
      </c>
      <c r="K1986" s="17" t="n">
        <f aca="false">MAX(K1985,C1986)</f>
        <v>19650.01</v>
      </c>
      <c r="L1986" s="25" t="n">
        <f aca="false">C1986/K1986-1</f>
        <v>-0.496225192760716</v>
      </c>
      <c r="M1986" s="25" t="n">
        <f aca="false">IF(COUNT(G1957:G1986)&lt;20,"",_xlfn.STDEV.S(G1957:G1986)*SQRT($R$3))</f>
        <v>0.664629026012789</v>
      </c>
      <c r="N1986" s="25" t="n">
        <f aca="false">IF(A1986-7&lt;$R$2,"",C1986/INDEX(Clean_Data!$C$2:$C$4314,MATCH(A1986-7,Clean_Data!$A$2:$A$4314,1))-1)</f>
        <v>0.0234175258744482</v>
      </c>
      <c r="O1986" s="25" t="n">
        <f aca="false">IF(A1986-30&lt;$R$2,"",C1986/INDEX(Clean_Data!$C$2:$C$4314,MATCH(A1986-30,Clean_Data!$A$2:$A$4314,1))-1)</f>
        <v>0.156801680890273</v>
      </c>
    </row>
    <row r="1987" customFormat="false" ht="15" hidden="false" customHeight="false" outlineLevel="0" collapsed="false">
      <c r="A1987" s="16" t="n">
        <v>43993</v>
      </c>
      <c r="B1987" s="23" t="n">
        <f aca="false">YEAR(A1987)</f>
        <v>2020</v>
      </c>
      <c r="C1987" s="17" t="n">
        <v>9258.7</v>
      </c>
      <c r="D1987" s="23" t="n">
        <f aca="false">A1987-A1986</f>
        <v>1</v>
      </c>
      <c r="E1987" s="24" t="n">
        <f aca="false">LN(C1987)</f>
        <v>9.1333189290159</v>
      </c>
      <c r="F1987" s="25" t="n">
        <f aca="false">LN(C1987/C1986)</f>
        <v>-0.0668882753935004</v>
      </c>
      <c r="G1987" s="25" t="n">
        <f aca="false">IF(AND(D1987=1,A1987&gt;=$R$2),F1987,"")</f>
        <v>-0.0668882753935004</v>
      </c>
      <c r="H1987" s="27" t="n">
        <f aca="false">IF(G1987="","",G1987^2)</f>
        <v>0.00447404138511675</v>
      </c>
      <c r="I1987" s="25" t="n">
        <f aca="false">IF(G1987="","",C1987/C1986-1)</f>
        <v>-0.0647003085104019</v>
      </c>
      <c r="J1987" s="17" t="n">
        <f aca="false">AVERAGE(C1788:C1987)</f>
        <v>8161.68935</v>
      </c>
      <c r="K1987" s="17" t="n">
        <f aca="false">MAX(K1986,C1987)</f>
        <v>19650.01</v>
      </c>
      <c r="L1987" s="25" t="n">
        <f aca="false">C1987/K1987-1</f>
        <v>-0.528819578208866</v>
      </c>
      <c r="M1987" s="25" t="n">
        <f aca="false">IF(COUNT(G1958:G1987)&lt;20,"",_xlfn.STDEV.S(G1958:G1987)*SQRT($R$3))</f>
        <v>0.703791173207695</v>
      </c>
      <c r="N1987" s="25" t="n">
        <f aca="false">IF(A1987-7&lt;$R$2,"",C1987/INDEX(Clean_Data!$C$2:$C$4314,MATCH(A1987-7,Clean_Data!$A$2:$A$4314,1))-1)</f>
        <v>-0.0551932380706499</v>
      </c>
      <c r="O1987" s="25" t="n">
        <f aca="false">IF(A1987-30&lt;$R$2,"",C1987/INDEX(Clean_Data!$C$2:$C$4314,MATCH(A1987-30,Clean_Data!$A$2:$A$4314,1))-1)</f>
        <v>0.0510333585344314</v>
      </c>
    </row>
    <row r="1988" customFormat="false" ht="15" hidden="false" customHeight="false" outlineLevel="0" collapsed="false">
      <c r="A1988" s="16" t="n">
        <v>43994</v>
      </c>
      <c r="B1988" s="23" t="n">
        <f aca="false">YEAR(A1988)</f>
        <v>2020</v>
      </c>
      <c r="C1988" s="17" t="n">
        <v>9466.77</v>
      </c>
      <c r="D1988" s="23" t="n">
        <f aca="false">A1988-A1987</f>
        <v>1</v>
      </c>
      <c r="E1988" s="24" t="n">
        <f aca="false">LN(C1988)</f>
        <v>9.15554305091457</v>
      </c>
      <c r="F1988" s="25" t="n">
        <f aca="false">LN(C1988/C1987)</f>
        <v>0.022224121898671</v>
      </c>
      <c r="G1988" s="25" t="n">
        <f aca="false">IF(AND(D1988=1,A1988&gt;=$R$2),F1988,"")</f>
        <v>0.022224121898671</v>
      </c>
      <c r="H1988" s="27" t="n">
        <f aca="false">IF(G1988="","",G1988^2)</f>
        <v>0.000493911594166988</v>
      </c>
      <c r="I1988" s="25" t="n">
        <f aca="false">IF(G1988="","",C1988/C1987-1)</f>
        <v>0.0224729173642089</v>
      </c>
      <c r="J1988" s="17" t="n">
        <f aca="false">AVERAGE(C1789:C1988)</f>
        <v>8173.3982</v>
      </c>
      <c r="K1988" s="17" t="n">
        <f aca="false">MAX(K1987,C1988)</f>
        <v>19650.01</v>
      </c>
      <c r="L1988" s="25" t="n">
        <f aca="false">C1988/K1988-1</f>
        <v>-0.518230779526321</v>
      </c>
      <c r="M1988" s="25" t="n">
        <f aca="false">IF(COUNT(G1959:G1988)&lt;20,"",_xlfn.STDEV.S(G1959:G1988)*SQRT($R$3))</f>
        <v>0.678271969576078</v>
      </c>
      <c r="N1988" s="25" t="n">
        <f aca="false">IF(A1988-7&lt;$R$2,"",C1988/INDEX(Clean_Data!$C$2:$C$4314,MATCH(A1988-7,Clean_Data!$A$2:$A$4314,1))-1)</f>
        <v>-0.0106782875864123</v>
      </c>
      <c r="O1988" s="25" t="n">
        <f aca="false">IF(A1988-30&lt;$R$2,"",C1988/INDEX(Clean_Data!$C$2:$C$4314,MATCH(A1988-30,Clean_Data!$A$2:$A$4314,1))-1)</f>
        <v>0.0140244477197553</v>
      </c>
    </row>
    <row r="1989" customFormat="false" ht="15" hidden="false" customHeight="false" outlineLevel="0" collapsed="false">
      <c r="A1989" s="16" t="n">
        <v>43995</v>
      </c>
      <c r="B1989" s="23" t="n">
        <f aca="false">YEAR(A1989)</f>
        <v>2020</v>
      </c>
      <c r="C1989" s="17" t="n">
        <v>9477.17</v>
      </c>
      <c r="D1989" s="23" t="n">
        <f aca="false">A1989-A1988</f>
        <v>1</v>
      </c>
      <c r="E1989" s="24" t="n">
        <f aca="false">LN(C1989)</f>
        <v>9.1566410274754</v>
      </c>
      <c r="F1989" s="25" t="n">
        <f aca="false">LN(C1989/C1988)</f>
        <v>0.00109797656082224</v>
      </c>
      <c r="G1989" s="25" t="n">
        <f aca="false">IF(AND(D1989=1,A1989&gt;=$R$2),F1989,"")</f>
        <v>0.00109797656082224</v>
      </c>
      <c r="H1989" s="27" t="n">
        <f aca="false">IF(G1989="","",G1989^2)</f>
        <v>1.20555252811504E-006</v>
      </c>
      <c r="I1989" s="25" t="n">
        <f aca="false">IF(G1989="","",C1989/C1988-1)</f>
        <v>0.00109857955775827</v>
      </c>
      <c r="J1989" s="17" t="n">
        <f aca="false">AVERAGE(C1790:C1989)</f>
        <v>8185.00905</v>
      </c>
      <c r="K1989" s="17" t="n">
        <f aca="false">MAX(K1988,C1989)</f>
        <v>19650.01</v>
      </c>
      <c r="L1989" s="25" t="n">
        <f aca="false">C1989/K1989-1</f>
        <v>-0.517701517709151</v>
      </c>
      <c r="M1989" s="25" t="n">
        <f aca="false">IF(COUNT(G1960:G1989)&lt;20,"",_xlfn.STDEV.S(G1960:G1989)*SQRT($R$3))</f>
        <v>0.654275152814328</v>
      </c>
      <c r="N1989" s="25" t="n">
        <f aca="false">IF(A1989-7&lt;$R$2,"",C1989/INDEX(Clean_Data!$C$2:$C$4314,MATCH(A1989-7,Clean_Data!$A$2:$A$4314,1))-1)</f>
        <v>-0.0194705629174703</v>
      </c>
      <c r="O1989" s="25" t="n">
        <f aca="false">IF(A1989-30&lt;$R$2,"",C1989/INDEX(Clean_Data!$C$2:$C$4314,MATCH(A1989-30,Clean_Data!$A$2:$A$4314,1))-1)</f>
        <v>-0.0344414083433687</v>
      </c>
    </row>
    <row r="1990" customFormat="false" ht="15" hidden="false" customHeight="false" outlineLevel="0" collapsed="false">
      <c r="A1990" s="16" t="n">
        <v>43996</v>
      </c>
      <c r="B1990" s="23" t="n">
        <f aca="false">YEAR(A1990)</f>
        <v>2020</v>
      </c>
      <c r="C1990" s="17" t="n">
        <v>9315.71</v>
      </c>
      <c r="D1990" s="23" t="n">
        <f aca="false">A1990-A1989</f>
        <v>1</v>
      </c>
      <c r="E1990" s="24" t="n">
        <f aca="false">LN(C1990)</f>
        <v>9.13945750127969</v>
      </c>
      <c r="F1990" s="25" t="n">
        <f aca="false">LN(C1990/C1989)</f>
        <v>-0.0171835261957047</v>
      </c>
      <c r="G1990" s="25" t="n">
        <f aca="false">IF(AND(D1990=1,A1990&gt;=$R$2),F1990,"")</f>
        <v>-0.0171835261957047</v>
      </c>
      <c r="H1990" s="27" t="n">
        <f aca="false">IF(G1990="","",G1990^2)</f>
        <v>0.00029527357251847</v>
      </c>
      <c r="I1990" s="25" t="n">
        <f aca="false">IF(G1990="","",C1990/C1989-1)</f>
        <v>-0.0170367314293192</v>
      </c>
      <c r="J1990" s="17" t="n">
        <f aca="false">AVERAGE(C1791:C1990)</f>
        <v>8193.8906</v>
      </c>
      <c r="K1990" s="17" t="n">
        <f aca="false">MAX(K1989,C1990)</f>
        <v>19650.01</v>
      </c>
      <c r="L1990" s="25" t="n">
        <f aca="false">C1990/K1990-1</f>
        <v>-0.525918307420709</v>
      </c>
      <c r="M1990" s="25" t="n">
        <f aca="false">IF(COUNT(G1961:G1990)&lt;20,"",_xlfn.STDEV.S(G1961:G1990)*SQRT($R$3))</f>
        <v>0.63254724802379</v>
      </c>
      <c r="N1990" s="25" t="n">
        <f aca="false">IF(A1990-7&lt;$R$2,"",C1990/INDEX(Clean_Data!$C$2:$C$4314,MATCH(A1990-7,Clean_Data!$A$2:$A$4314,1))-1)</f>
        <v>-0.0459125358459649</v>
      </c>
      <c r="O1990" s="25" t="n">
        <f aca="false">IF(A1990-30&lt;$R$2,"",C1990/INDEX(Clean_Data!$C$2:$C$4314,MATCH(A1990-30,Clean_Data!$A$2:$A$4314,1))-1)</f>
        <v>-0.00165788249717624</v>
      </c>
    </row>
    <row r="1991" customFormat="false" ht="15" hidden="false" customHeight="false" outlineLevel="0" collapsed="false">
      <c r="A1991" s="16" t="n">
        <v>43997</v>
      </c>
      <c r="B1991" s="23" t="n">
        <f aca="false">YEAR(A1991)</f>
        <v>2020</v>
      </c>
      <c r="C1991" s="17" t="n">
        <v>9437.23</v>
      </c>
      <c r="D1991" s="23" t="n">
        <f aca="false">A1991-A1990</f>
        <v>1</v>
      </c>
      <c r="E1991" s="24" t="n">
        <f aca="false">LN(C1991)</f>
        <v>9.1524177838765</v>
      </c>
      <c r="F1991" s="25" t="n">
        <f aca="false">LN(C1991/C1990)</f>
        <v>0.0129602825968143</v>
      </c>
      <c r="G1991" s="25" t="n">
        <f aca="false">IF(AND(D1991=1,A1991&gt;=$R$2),F1991,"")</f>
        <v>0.0129602825968143</v>
      </c>
      <c r="H1991" s="27" t="n">
        <f aca="false">IF(G1991="","",G1991^2)</f>
        <v>0.000167968924989288</v>
      </c>
      <c r="I1991" s="25" t="n">
        <f aca="false">IF(G1991="","",C1991/C1990-1)</f>
        <v>0.0130446310587169</v>
      </c>
      <c r="J1991" s="17" t="n">
        <f aca="false">AVERAGE(C1792:C1991)</f>
        <v>8204.0115</v>
      </c>
      <c r="K1991" s="17" t="n">
        <f aca="false">MAX(K1990,C1991)</f>
        <v>19650.01</v>
      </c>
      <c r="L1991" s="25" t="n">
        <f aca="false">C1991/K1991-1</f>
        <v>-0.51973408664932</v>
      </c>
      <c r="M1991" s="25" t="n">
        <f aca="false">IF(COUNT(G1962:G1991)&lt;20,"",_xlfn.STDEV.S(G1962:G1991)*SQRT($R$3))</f>
        <v>0.634135197479141</v>
      </c>
      <c r="N1991" s="25" t="n">
        <f aca="false">IF(A1991-7&lt;$R$2,"",C1991/INDEX(Clean_Data!$C$2:$C$4314,MATCH(A1991-7,Clean_Data!$A$2:$A$4314,1))-1)</f>
        <v>-0.04034090100204</v>
      </c>
      <c r="O1991" s="25" t="n">
        <f aca="false">IF(A1991-30&lt;$R$2,"",C1991/INDEX(Clean_Data!$C$2:$C$4314,MATCH(A1991-30,Clean_Data!$A$2:$A$4314,1))-1)</f>
        <v>0.00897761849879064</v>
      </c>
    </row>
    <row r="1992" customFormat="false" ht="15" hidden="false" customHeight="false" outlineLevel="0" collapsed="false">
      <c r="A1992" s="16" t="n">
        <v>43998</v>
      </c>
      <c r="B1992" s="23" t="n">
        <f aca="false">YEAR(A1992)</f>
        <v>2020</v>
      </c>
      <c r="C1992" s="17" t="n">
        <v>9534.8</v>
      </c>
      <c r="D1992" s="23" t="n">
        <f aca="false">A1992-A1991</f>
        <v>1</v>
      </c>
      <c r="E1992" s="24" t="n">
        <f aca="false">LN(C1992)</f>
        <v>9.16270354246058</v>
      </c>
      <c r="F1992" s="25" t="n">
        <f aca="false">LN(C1992/C1991)</f>
        <v>0.0102857585840706</v>
      </c>
      <c r="G1992" s="25" t="n">
        <f aca="false">IF(AND(D1992=1,A1992&gt;=$R$2),F1992,"")</f>
        <v>0.0102857585840706</v>
      </c>
      <c r="H1992" s="27" t="n">
        <f aca="false">IF(G1992="","",G1992^2)</f>
        <v>0.000105796829649781</v>
      </c>
      <c r="I1992" s="25" t="n">
        <f aca="false">IF(G1992="","",C1992/C1991-1)</f>
        <v>0.010338838833005</v>
      </c>
      <c r="J1992" s="17" t="n">
        <f aca="false">AVERAGE(C1793:C1992)</f>
        <v>8212.92905</v>
      </c>
      <c r="K1992" s="17" t="n">
        <f aca="false">MAX(K1991,C1992)</f>
        <v>19650.01</v>
      </c>
      <c r="L1992" s="25" t="n">
        <f aca="false">C1992/K1992-1</f>
        <v>-0.514768694774201</v>
      </c>
      <c r="M1992" s="25" t="n">
        <f aca="false">IF(COUNT(G1963:G1992)&lt;20,"",_xlfn.STDEV.S(G1963:G1992)*SQRT($R$3))</f>
        <v>0.621819900348568</v>
      </c>
      <c r="N1992" s="25" t="n">
        <f aca="false">IF(A1992-7&lt;$R$2,"",C1992/INDEX(Clean_Data!$C$2:$C$4314,MATCH(A1992-7,Clean_Data!$A$2:$A$4314,1))-1)</f>
        <v>-0.0249319943550203</v>
      </c>
      <c r="O1992" s="25" t="n">
        <f aca="false">IF(A1992-30&lt;$R$2,"",C1992/INDEX(Clean_Data!$C$2:$C$4314,MATCH(A1992-30,Clean_Data!$A$2:$A$4314,1))-1)</f>
        <v>-0.0170643679132566</v>
      </c>
    </row>
    <row r="1993" customFormat="false" ht="15" hidden="false" customHeight="false" outlineLevel="0" collapsed="false">
      <c r="A1993" s="16" t="n">
        <v>43999</v>
      </c>
      <c r="B1993" s="23" t="n">
        <f aca="false">YEAR(A1993)</f>
        <v>2020</v>
      </c>
      <c r="C1993" s="17" t="n">
        <v>9460.53</v>
      </c>
      <c r="D1993" s="23" t="n">
        <f aca="false">A1993-A1992</f>
        <v>1</v>
      </c>
      <c r="E1993" s="24" t="n">
        <f aca="false">LN(C1993)</f>
        <v>9.15488368584654</v>
      </c>
      <c r="F1993" s="25" t="n">
        <f aca="false">LN(C1993/C1992)</f>
        <v>-0.00781985661403401</v>
      </c>
      <c r="G1993" s="25" t="n">
        <f aca="false">IF(AND(D1993=1,A1993&gt;=$R$2),F1993,"")</f>
        <v>-0.00781985661403401</v>
      </c>
      <c r="H1993" s="27" t="n">
        <f aca="false">IF(G1993="","",G1993^2)</f>
        <v>6.11501574640514E-005</v>
      </c>
      <c r="I1993" s="25" t="n">
        <f aca="false">IF(G1993="","",C1993/C1992-1)</f>
        <v>-0.00778936107731665</v>
      </c>
      <c r="J1993" s="17" t="n">
        <f aca="false">AVERAGE(C1794:C1993)</f>
        <v>8222.4732</v>
      </c>
      <c r="K1993" s="17" t="n">
        <f aca="false">MAX(K1992,C1993)</f>
        <v>19650.01</v>
      </c>
      <c r="L1993" s="25" t="n">
        <f aca="false">C1993/K1993-1</f>
        <v>-0.518548336616623</v>
      </c>
      <c r="M1993" s="25" t="n">
        <f aca="false">IF(COUNT(G1964:G1993)&lt;20,"",_xlfn.STDEV.S(G1964:G1993)*SQRT($R$3))</f>
        <v>0.622150347346086</v>
      </c>
      <c r="N1993" s="25" t="n">
        <f aca="false">IF(A1993-7&lt;$R$2,"",C1993/INDEX(Clean_Data!$C$2:$C$4314,MATCH(A1993-7,Clean_Data!$A$2:$A$4314,1))-1)</f>
        <v>-0.0443117510743314</v>
      </c>
      <c r="O1993" s="25" t="n">
        <f aca="false">IF(A1993-30&lt;$R$2,"",C1993/INDEX(Clean_Data!$C$2:$C$4314,MATCH(A1993-30,Clean_Data!$A$2:$A$4314,1))-1)</f>
        <v>-0.0280154234831056</v>
      </c>
    </row>
    <row r="1994" customFormat="false" ht="15" hidden="false" customHeight="false" outlineLevel="0" collapsed="false">
      <c r="A1994" s="16" t="n">
        <v>44000</v>
      </c>
      <c r="B1994" s="23" t="n">
        <f aca="false">YEAR(A1994)</f>
        <v>2020</v>
      </c>
      <c r="C1994" s="17" t="n">
        <v>9368.15</v>
      </c>
      <c r="D1994" s="23" t="n">
        <f aca="false">A1994-A1993</f>
        <v>1</v>
      </c>
      <c r="E1994" s="24" t="n">
        <f aca="false">LN(C1994)</f>
        <v>9.14507091710496</v>
      </c>
      <c r="F1994" s="25" t="n">
        <f aca="false">LN(C1994/C1993)</f>
        <v>-0.00981276874158368</v>
      </c>
      <c r="G1994" s="25" t="n">
        <f aca="false">IF(AND(D1994=1,A1994&gt;=$R$2),F1994,"")</f>
        <v>-0.00981276874158368</v>
      </c>
      <c r="H1994" s="27" t="n">
        <f aca="false">IF(G1994="","",G1994^2)</f>
        <v>9.62904303758018E-005</v>
      </c>
      <c r="I1994" s="25" t="n">
        <f aca="false">IF(G1994="","",C1994/C1993-1)</f>
        <v>-0.00976478062011332</v>
      </c>
      <c r="J1994" s="17" t="n">
        <f aca="false">AVERAGE(C1795:C1994)</f>
        <v>8232.24475</v>
      </c>
      <c r="K1994" s="17" t="n">
        <f aca="false">MAX(K1993,C1994)</f>
        <v>19650.01</v>
      </c>
      <c r="L1994" s="25" t="n">
        <f aca="false">C1994/K1994-1</f>
        <v>-0.52324960648875</v>
      </c>
      <c r="M1994" s="25" t="n">
        <f aca="false">IF(COUNT(G1965:G1994)&lt;20,"",_xlfn.STDEV.S(G1965:G1994)*SQRT($R$3))</f>
        <v>0.622487680879699</v>
      </c>
      <c r="N1994" s="25" t="n">
        <f aca="false">IF(A1994-7&lt;$R$2,"",C1994/INDEX(Clean_Data!$C$2:$C$4314,MATCH(A1994-7,Clean_Data!$A$2:$A$4314,1))-1)</f>
        <v>0.011821314007366</v>
      </c>
      <c r="O1994" s="25" t="n">
        <f aca="false">IF(A1994-30&lt;$R$2,"",C1994/INDEX(Clean_Data!$C$2:$C$4314,MATCH(A1994-30,Clean_Data!$A$2:$A$4314,1))-1)</f>
        <v>-0.042494258430423</v>
      </c>
    </row>
    <row r="1995" customFormat="false" ht="15" hidden="false" customHeight="false" outlineLevel="0" collapsed="false">
      <c r="A1995" s="16" t="n">
        <v>44001</v>
      </c>
      <c r="B1995" s="23" t="n">
        <f aca="false">YEAR(A1995)</f>
        <v>2020</v>
      </c>
      <c r="C1995" s="17" t="n">
        <v>9285.54</v>
      </c>
      <c r="D1995" s="23" t="n">
        <f aca="false">A1995-A1994</f>
        <v>1</v>
      </c>
      <c r="E1995" s="24" t="n">
        <f aca="false">LN(C1995)</f>
        <v>9.13621363041555</v>
      </c>
      <c r="F1995" s="25" t="n">
        <f aca="false">LN(C1995/C1994)</f>
        <v>-0.00885728668940925</v>
      </c>
      <c r="G1995" s="25" t="n">
        <f aca="false">IF(AND(D1995=1,A1995&gt;=$R$2),F1995,"")</f>
        <v>-0.00885728668940925</v>
      </c>
      <c r="H1995" s="27" t="n">
        <f aca="false">IF(G1995="","",G1995^2)</f>
        <v>7.84515274983864E-005</v>
      </c>
      <c r="I1995" s="25" t="n">
        <f aca="false">IF(G1995="","",C1995/C1994-1)</f>
        <v>-0.00881817648094863</v>
      </c>
      <c r="J1995" s="17" t="n">
        <f aca="false">AVERAGE(C1796:C1995)</f>
        <v>8242.097</v>
      </c>
      <c r="K1995" s="17" t="n">
        <f aca="false">MAX(K1994,C1995)</f>
        <v>19650.01</v>
      </c>
      <c r="L1995" s="25" t="n">
        <f aca="false">C1995/K1995-1</f>
        <v>-0.527453675596094</v>
      </c>
      <c r="M1995" s="25" t="n">
        <f aca="false">IF(COUNT(G1966:G1995)&lt;20,"",_xlfn.STDEV.S(G1966:G1995)*SQRT($R$3))</f>
        <v>0.614789023625011</v>
      </c>
      <c r="N1995" s="25" t="n">
        <f aca="false">IF(A1995-7&lt;$R$2,"",C1995/INDEX(Clean_Data!$C$2:$C$4314,MATCH(A1995-7,Clean_Data!$A$2:$A$4314,1))-1)</f>
        <v>-0.019143805120437</v>
      </c>
      <c r="O1995" s="25" t="n">
        <f aca="false">IF(A1995-30&lt;$R$2,"",C1995/INDEX(Clean_Data!$C$2:$C$4314,MATCH(A1995-30,Clean_Data!$A$2:$A$4314,1))-1)</f>
        <v>-0.0223442158993278</v>
      </c>
    </row>
    <row r="1996" customFormat="false" ht="15" hidden="false" customHeight="false" outlineLevel="0" collapsed="false">
      <c r="A1996" s="16" t="n">
        <v>44002</v>
      </c>
      <c r="B1996" s="23" t="n">
        <f aca="false">YEAR(A1996)</f>
        <v>2020</v>
      </c>
      <c r="C1996" s="17" t="n">
        <v>9361.81</v>
      </c>
      <c r="D1996" s="23" t="n">
        <f aca="false">A1996-A1995</f>
        <v>1</v>
      </c>
      <c r="E1996" s="24" t="n">
        <f aca="false">LN(C1996)</f>
        <v>9.14439392684527</v>
      </c>
      <c r="F1996" s="25" t="n">
        <f aca="false">LN(C1996/C1995)</f>
        <v>0.00818029642972434</v>
      </c>
      <c r="G1996" s="25" t="n">
        <f aca="false">IF(AND(D1996=1,A1996&gt;=$R$2),F1996,"")</f>
        <v>0.00818029642972434</v>
      </c>
      <c r="H1996" s="27" t="n">
        <f aca="false">IF(G1996="","",G1996^2)</f>
        <v>6.69172496781608E-005</v>
      </c>
      <c r="I1996" s="25" t="n">
        <f aca="false">IF(G1996="","",C1996/C1995-1)</f>
        <v>0.00821384647527212</v>
      </c>
      <c r="J1996" s="17" t="n">
        <f aca="false">AVERAGE(C1797:C1996)</f>
        <v>8252.42605</v>
      </c>
      <c r="K1996" s="17" t="n">
        <f aca="false">MAX(K1995,C1996)</f>
        <v>19650.01</v>
      </c>
      <c r="L1996" s="25" t="n">
        <f aca="false">C1996/K1996-1</f>
        <v>-0.523572252634986</v>
      </c>
      <c r="M1996" s="25" t="n">
        <f aca="false">IF(COUNT(G1967:G1996)&lt;20,"",_xlfn.STDEV.S(G1967:G1996)*SQRT($R$3))</f>
        <v>0.589638659610931</v>
      </c>
      <c r="N1996" s="25" t="n">
        <f aca="false">IF(A1996-7&lt;$R$2,"",C1996/INDEX(Clean_Data!$C$2:$C$4314,MATCH(A1996-7,Clean_Data!$A$2:$A$4314,1))-1)</f>
        <v>-0.0121724101182105</v>
      </c>
      <c r="O1996" s="25" t="n">
        <f aca="false">IF(A1996-30&lt;$R$2,"",C1996/INDEX(Clean_Data!$C$2:$C$4314,MATCH(A1996-30,Clean_Data!$A$2:$A$4314,1))-1)</f>
        <v>0.0356992716105107</v>
      </c>
    </row>
    <row r="1997" customFormat="false" ht="15" hidden="false" customHeight="false" outlineLevel="0" collapsed="false">
      <c r="A1997" s="16" t="n">
        <v>44003</v>
      </c>
      <c r="B1997" s="23" t="n">
        <f aca="false">YEAR(A1997)</f>
        <v>2020</v>
      </c>
      <c r="C1997" s="17" t="n">
        <v>9279.68</v>
      </c>
      <c r="D1997" s="23" t="n">
        <f aca="false">A1997-A1996</f>
        <v>1</v>
      </c>
      <c r="E1997" s="24" t="n">
        <f aca="false">LN(C1997)</f>
        <v>9.13558234242708</v>
      </c>
      <c r="F1997" s="25" t="n">
        <f aca="false">LN(C1997/C1996)</f>
        <v>-0.00881158441819021</v>
      </c>
      <c r="G1997" s="25" t="n">
        <f aca="false">IF(AND(D1997=1,A1997&gt;=$R$2),F1997,"")</f>
        <v>-0.00881158441819021</v>
      </c>
      <c r="H1997" s="27" t="n">
        <f aca="false">IF(G1997="","",G1997^2)</f>
        <v>7.76440199588925E-005</v>
      </c>
      <c r="I1997" s="25" t="n">
        <f aca="false">IF(G1997="","",C1997/C1996-1)</f>
        <v>-0.00877287618526745</v>
      </c>
      <c r="J1997" s="17" t="n">
        <f aca="false">AVERAGE(C1798:C1997)</f>
        <v>8262.8966</v>
      </c>
      <c r="K1997" s="17" t="n">
        <f aca="false">MAX(K1996,C1997)</f>
        <v>19650.01</v>
      </c>
      <c r="L1997" s="25" t="n">
        <f aca="false">C1997/K1997-1</f>
        <v>-0.527751894273845</v>
      </c>
      <c r="M1997" s="25" t="n">
        <f aca="false">IF(COUNT(G1968:G1997)&lt;20,"",_xlfn.STDEV.S(G1968:G1997)*SQRT($R$3))</f>
        <v>0.588541715848941</v>
      </c>
      <c r="N1997" s="25" t="n">
        <f aca="false">IF(A1997-7&lt;$R$2,"",C1997/INDEX(Clean_Data!$C$2:$C$4314,MATCH(A1997-7,Clean_Data!$A$2:$A$4314,1))-1)</f>
        <v>-0.00386766011393647</v>
      </c>
      <c r="O1997" s="25" t="n">
        <f aca="false">IF(A1997-30&lt;$R$2,"",C1997/INDEX(Clean_Data!$C$2:$C$4314,MATCH(A1997-30,Clean_Data!$A$2:$A$4314,1))-1)</f>
        <v>0.0116044185090749</v>
      </c>
    </row>
    <row r="1998" customFormat="false" ht="15" hidden="false" customHeight="false" outlineLevel="0" collapsed="false">
      <c r="A1998" s="16" t="n">
        <v>44004</v>
      </c>
      <c r="B1998" s="23" t="n">
        <f aca="false">YEAR(A1998)</f>
        <v>2020</v>
      </c>
      <c r="C1998" s="17" t="n">
        <v>9700.91</v>
      </c>
      <c r="D1998" s="23" t="n">
        <f aca="false">A1998-A1997</f>
        <v>1</v>
      </c>
      <c r="E1998" s="24" t="n">
        <f aca="false">LN(C1998)</f>
        <v>9.17997497452417</v>
      </c>
      <c r="F1998" s="25" t="n">
        <f aca="false">LN(C1998/C1997)</f>
        <v>0.0443926320970836</v>
      </c>
      <c r="G1998" s="25" t="n">
        <f aca="false">IF(AND(D1998=1,A1998&gt;=$R$2),F1998,"")</f>
        <v>0.0443926320970836</v>
      </c>
      <c r="H1998" s="27" t="n">
        <f aca="false">IF(G1998="","",G1998^2)</f>
        <v>0.00197070578450702</v>
      </c>
      <c r="I1998" s="25" t="n">
        <f aca="false">IF(G1998="","",C1998/C1997-1)</f>
        <v>0.0453927290596228</v>
      </c>
      <c r="J1998" s="17" t="n">
        <f aca="false">AVERAGE(C1799:C1998)</f>
        <v>8274.4574</v>
      </c>
      <c r="K1998" s="17" t="n">
        <f aca="false">MAX(K1997,C1998)</f>
        <v>19650.01</v>
      </c>
      <c r="L1998" s="25" t="n">
        <f aca="false">C1998/K1998-1</f>
        <v>-0.506315263961698</v>
      </c>
      <c r="M1998" s="25" t="n">
        <f aca="false">IF(COUNT(G1969:G1998)&lt;20,"",_xlfn.STDEV.S(G1969:G1998)*SQRT($R$3))</f>
        <v>0.60818053740461</v>
      </c>
      <c r="N1998" s="25" t="n">
        <f aca="false">IF(A1998-7&lt;$R$2,"",C1998/INDEX(Clean_Data!$C$2:$C$4314,MATCH(A1998-7,Clean_Data!$A$2:$A$4314,1))-1)</f>
        <v>0.0279404020035541</v>
      </c>
      <c r="O1998" s="25" t="n">
        <f aca="false">IF(A1998-30&lt;$R$2,"",C1998/INDEX(Clean_Data!$C$2:$C$4314,MATCH(A1998-30,Clean_Data!$A$2:$A$4314,1))-1)</f>
        <v>0.0583557530967638</v>
      </c>
    </row>
    <row r="1999" customFormat="false" ht="15" hidden="false" customHeight="false" outlineLevel="0" collapsed="false">
      <c r="A1999" s="16" t="n">
        <v>44005</v>
      </c>
      <c r="B1999" s="23" t="n">
        <f aca="false">YEAR(A1999)</f>
        <v>2020</v>
      </c>
      <c r="C1999" s="17" t="n">
        <v>9623.74</v>
      </c>
      <c r="D1999" s="23" t="n">
        <f aca="false">A1999-A1998</f>
        <v>1</v>
      </c>
      <c r="E1999" s="24" t="n">
        <f aca="false">LN(C1999)</f>
        <v>9.17198824149573</v>
      </c>
      <c r="F1999" s="25" t="n">
        <f aca="false">LN(C1999/C1998)</f>
        <v>-0.00798673302843222</v>
      </c>
      <c r="G1999" s="25" t="n">
        <f aca="false">IF(AND(D1999=1,A1999&gt;=$R$2),F1999,"")</f>
        <v>-0.00798673302843222</v>
      </c>
      <c r="H1999" s="27" t="n">
        <f aca="false">IF(G1999="","",G1999^2)</f>
        <v>6.37879044674501E-005</v>
      </c>
      <c r="I1999" s="25" t="n">
        <f aca="false">IF(G1999="","",C1999/C1998-1)</f>
        <v>-0.00795492381642549</v>
      </c>
      <c r="J1999" s="17" t="n">
        <f aca="false">AVERAGE(C1800:C1999)</f>
        <v>8284.7723</v>
      </c>
      <c r="K1999" s="17" t="n">
        <f aca="false">MAX(K1998,C1999)</f>
        <v>19650.01</v>
      </c>
      <c r="L1999" s="25" t="n">
        <f aca="false">C1999/K1999-1</f>
        <v>-0.510242488426214</v>
      </c>
      <c r="M1999" s="25" t="n">
        <f aca="false">IF(COUNT(G1970:G1999)&lt;20,"",_xlfn.STDEV.S(G1970:G1999)*SQRT($R$3))</f>
        <v>0.573700335325425</v>
      </c>
      <c r="N1999" s="25" t="n">
        <f aca="false">IF(A1999-7&lt;$R$2,"",C1999/INDEX(Clean_Data!$C$2:$C$4314,MATCH(A1999-7,Clean_Data!$A$2:$A$4314,1))-1)</f>
        <v>0.009327935562361</v>
      </c>
      <c r="O1999" s="25" t="n">
        <f aca="false">IF(A1999-30&lt;$R$2,"",C1999/INDEX(Clean_Data!$C$2:$C$4314,MATCH(A1999-30,Clean_Data!$A$2:$A$4314,1))-1)</f>
        <v>0.109538786484106</v>
      </c>
    </row>
    <row r="2000" customFormat="false" ht="15" hidden="false" customHeight="false" outlineLevel="0" collapsed="false">
      <c r="A2000" s="16" t="n">
        <v>44006</v>
      </c>
      <c r="B2000" s="23" t="n">
        <f aca="false">YEAR(A2000)</f>
        <v>2020</v>
      </c>
      <c r="C2000" s="17" t="n">
        <v>9284.1</v>
      </c>
      <c r="D2000" s="23" t="n">
        <f aca="false">A2000-A1999</f>
        <v>1</v>
      </c>
      <c r="E2000" s="24" t="n">
        <f aca="false">LN(C2000)</f>
        <v>9.13605853855562</v>
      </c>
      <c r="F2000" s="25" t="n">
        <f aca="false">LN(C2000/C1999)</f>
        <v>-0.0359297029401124</v>
      </c>
      <c r="G2000" s="25" t="n">
        <f aca="false">IF(AND(D2000=1,A2000&gt;=$R$2),F2000,"")</f>
        <v>-0.0359297029401124</v>
      </c>
      <c r="H2000" s="27" t="n">
        <f aca="false">IF(G2000="","",G2000^2)</f>
        <v>0.00129094355336472</v>
      </c>
      <c r="I2000" s="25" t="n">
        <f aca="false">IF(G2000="","",C2000/C1999-1)</f>
        <v>-0.03529189275687</v>
      </c>
      <c r="J2000" s="17" t="n">
        <f aca="false">AVERAGE(C1801:C2000)</f>
        <v>8293.6818</v>
      </c>
      <c r="K2000" s="17" t="n">
        <f aca="false">MAX(K1999,C2000)</f>
        <v>19650.01</v>
      </c>
      <c r="L2000" s="25" t="n">
        <f aca="false">C2000/K2000-1</f>
        <v>-0.527526958001548</v>
      </c>
      <c r="M2000" s="25" t="n">
        <f aca="false">IF(COUNT(G1971:G2000)&lt;20,"",_xlfn.STDEV.S(G1971:G2000)*SQRT($R$3))</f>
        <v>0.584230508393528</v>
      </c>
      <c r="N2000" s="25" t="n">
        <f aca="false">IF(A2000-7&lt;$R$2,"",C2000/INDEX(Clean_Data!$C$2:$C$4314,MATCH(A2000-7,Clean_Data!$A$2:$A$4314,1))-1)</f>
        <v>-0.0186490608877092</v>
      </c>
      <c r="O2000" s="25" t="n">
        <f aca="false">IF(A2000-30&lt;$R$2,"",C2000/INDEX(Clean_Data!$C$2:$C$4314,MATCH(A2000-30,Clean_Data!$A$2:$A$4314,1))-1)</f>
        <v>0.0440500247964835</v>
      </c>
    </row>
    <row r="2001" customFormat="false" ht="15" hidden="false" customHeight="false" outlineLevel="0" collapsed="false">
      <c r="A2001" s="16" t="n">
        <v>44007</v>
      </c>
      <c r="B2001" s="23" t="n">
        <f aca="false">YEAR(A2001)</f>
        <v>2020</v>
      </c>
      <c r="C2001" s="17" t="n">
        <v>9232.84</v>
      </c>
      <c r="D2001" s="23" t="n">
        <f aca="false">A2001-A2000</f>
        <v>1</v>
      </c>
      <c r="E2001" s="24" t="n">
        <f aca="false">LN(C2001)</f>
        <v>9.13052197247702</v>
      </c>
      <c r="F2001" s="25" t="n">
        <f aca="false">LN(C2001/C2000)</f>
        <v>-0.00553656607860055</v>
      </c>
      <c r="G2001" s="25" t="n">
        <f aca="false">IF(AND(D2001=1,A2001&gt;=$R$2),F2001,"")</f>
        <v>-0.00553656607860055</v>
      </c>
      <c r="H2001" s="27" t="n">
        <f aca="false">IF(G2001="","",G2001^2)</f>
        <v>3.06535639427102E-005</v>
      </c>
      <c r="I2001" s="25" t="n">
        <f aca="false">IF(G2001="","",C2001/C2000-1)</f>
        <v>-0.00552126754343452</v>
      </c>
      <c r="J2001" s="17" t="n">
        <f aca="false">AVERAGE(C1802:C2001)</f>
        <v>8302.246</v>
      </c>
      <c r="K2001" s="17" t="n">
        <f aca="false">MAX(K2000,C2001)</f>
        <v>19650.01</v>
      </c>
      <c r="L2001" s="25" t="n">
        <f aca="false">C2001/K2001-1</f>
        <v>-0.530135608073482</v>
      </c>
      <c r="M2001" s="25" t="n">
        <f aca="false">IF(COUNT(G1972:G2001)&lt;20,"",_xlfn.STDEV.S(G1972:G2001)*SQRT($R$3))</f>
        <v>0.584113586568686</v>
      </c>
      <c r="N2001" s="25" t="n">
        <f aca="false">IF(A2001-7&lt;$R$2,"",C2001/INDEX(Clean_Data!$C$2:$C$4314,MATCH(A2001-7,Clean_Data!$A$2:$A$4314,1))-1)</f>
        <v>-0.0144436201384478</v>
      </c>
      <c r="O2001" s="25" t="n">
        <f aca="false">IF(A2001-30&lt;$R$2,"",C2001/INDEX(Clean_Data!$C$2:$C$4314,MATCH(A2001-30,Clean_Data!$A$2:$A$4314,1))-1)</f>
        <v>0.0448206754277865</v>
      </c>
    </row>
    <row r="2002" customFormat="false" ht="15" hidden="false" customHeight="false" outlineLevel="0" collapsed="false">
      <c r="A2002" s="16" t="n">
        <v>44008</v>
      </c>
      <c r="B2002" s="23" t="n">
        <f aca="false">YEAR(A2002)</f>
        <v>2020</v>
      </c>
      <c r="C2002" s="17" t="n">
        <v>9157.22</v>
      </c>
      <c r="D2002" s="23" t="n">
        <f aca="false">A2002-A2001</f>
        <v>1</v>
      </c>
      <c r="E2002" s="24" t="n">
        <f aca="false">LN(C2002)</f>
        <v>9.12229791815494</v>
      </c>
      <c r="F2002" s="25" t="n">
        <f aca="false">LN(C2002/C2001)</f>
        <v>-0.00822405432208306</v>
      </c>
      <c r="G2002" s="25" t="n">
        <f aca="false">IF(AND(D2002=1,A2002&gt;=$R$2),F2002,"")</f>
        <v>-0.00822405432208306</v>
      </c>
      <c r="H2002" s="27" t="n">
        <f aca="false">IF(G2002="","",G2002^2)</f>
        <v>6.76350694925731E-005</v>
      </c>
      <c r="I2002" s="25" t="n">
        <f aca="false">IF(G2002="","",C2002/C2001-1)</f>
        <v>-0.00819032930279318</v>
      </c>
      <c r="J2002" s="17" t="n">
        <f aca="false">AVERAGE(C1803:C2002)</f>
        <v>8311.36865</v>
      </c>
      <c r="K2002" s="17" t="n">
        <f aca="false">MAX(K2001,C2002)</f>
        <v>19650.01</v>
      </c>
      <c r="L2002" s="25" t="n">
        <f aca="false">C2002/K2002-1</f>
        <v>-0.533983952171017</v>
      </c>
      <c r="M2002" s="25" t="n">
        <f aca="false">IF(COUNT(G1973:G2002)&lt;20,"",_xlfn.STDEV.S(G1973:G2002)*SQRT($R$3))</f>
        <v>0.567815487675282</v>
      </c>
      <c r="N2002" s="25" t="n">
        <f aca="false">IF(A2002-7&lt;$R$2,"",C2002/INDEX(Clean_Data!$C$2:$C$4314,MATCH(A2002-7,Clean_Data!$A$2:$A$4314,1))-1)</f>
        <v>-0.0138193363013892</v>
      </c>
      <c r="O2002" s="25" t="n">
        <f aca="false">IF(A2002-30&lt;$R$2,"",C2002/INDEX(Clean_Data!$C$2:$C$4314,MATCH(A2002-30,Clean_Data!$A$2:$A$4314,1))-1)</f>
        <v>-0.00465000000000004</v>
      </c>
    </row>
    <row r="2003" customFormat="false" ht="15" hidden="false" customHeight="false" outlineLevel="0" collapsed="false">
      <c r="A2003" s="16" t="n">
        <v>44009</v>
      </c>
      <c r="B2003" s="23" t="n">
        <f aca="false">YEAR(A2003)</f>
        <v>2020</v>
      </c>
      <c r="C2003" s="17" t="n">
        <v>9001.24</v>
      </c>
      <c r="D2003" s="23" t="n">
        <f aca="false">A2003-A2002</f>
        <v>1</v>
      </c>
      <c r="E2003" s="24" t="n">
        <f aca="false">LN(C2003)</f>
        <v>9.10511762460565</v>
      </c>
      <c r="F2003" s="25" t="n">
        <f aca="false">LN(C2003/C2002)</f>
        <v>-0.0171802935492892</v>
      </c>
      <c r="G2003" s="25" t="n">
        <f aca="false">IF(AND(D2003=1,A2003&gt;=$R$2),F2003,"")</f>
        <v>-0.0171802935492892</v>
      </c>
      <c r="H2003" s="27" t="n">
        <f aca="false">IF(G2003="","",G2003^2)</f>
        <v>0.000295162486439746</v>
      </c>
      <c r="I2003" s="25" t="n">
        <f aca="false">IF(G2003="","",C2003/C2002-1)</f>
        <v>-0.0170335538514964</v>
      </c>
      <c r="J2003" s="17" t="n">
        <f aca="false">AVERAGE(C1804:C2003)</f>
        <v>8320.2964</v>
      </c>
      <c r="K2003" s="17" t="n">
        <f aca="false">MAX(K2002,C2003)</f>
        <v>19650.01</v>
      </c>
      <c r="L2003" s="25" t="n">
        <f aca="false">C2003/K2003-1</f>
        <v>-0.541921861617373</v>
      </c>
      <c r="M2003" s="25" t="n">
        <f aca="false">IF(COUNT(G1974:G2003)&lt;20,"",_xlfn.STDEV.S(G1974:G2003)*SQRT($R$3))</f>
        <v>0.549846963474118</v>
      </c>
      <c r="N2003" s="25" t="n">
        <f aca="false">IF(A2003-7&lt;$R$2,"",C2003/INDEX(Clean_Data!$C$2:$C$4314,MATCH(A2003-7,Clean_Data!$A$2:$A$4314,1))-1)</f>
        <v>-0.0385149880204789</v>
      </c>
      <c r="O2003" s="25" t="n">
        <f aca="false">IF(A2003-30&lt;$R$2,"",C2003/INDEX(Clean_Data!$C$2:$C$4314,MATCH(A2003-30,Clean_Data!$A$2:$A$4314,1))-1)</f>
        <v>-0.0617570660807277</v>
      </c>
    </row>
    <row r="2004" customFormat="false" ht="15" hidden="false" customHeight="false" outlineLevel="0" collapsed="false">
      <c r="A2004" s="16" t="n">
        <v>44010</v>
      </c>
      <c r="B2004" s="23" t="n">
        <f aca="false">YEAR(A2004)</f>
        <v>2020</v>
      </c>
      <c r="C2004" s="17" t="n">
        <v>9122.56</v>
      </c>
      <c r="D2004" s="23" t="n">
        <f aca="false">A2004-A2003</f>
        <v>1</v>
      </c>
      <c r="E2004" s="24" t="n">
        <f aca="false">LN(C2004)</f>
        <v>9.1185057454334</v>
      </c>
      <c r="F2004" s="25" t="n">
        <f aca="false">LN(C2004/C2003)</f>
        <v>0.0133881208277486</v>
      </c>
      <c r="G2004" s="25" t="n">
        <f aca="false">IF(AND(D2004=1,A2004&gt;=$R$2),F2004,"")</f>
        <v>0.0133881208277486</v>
      </c>
      <c r="H2004" s="27" t="n">
        <f aca="false">IF(G2004="","",G2004^2)</f>
        <v>0.000179241779298395</v>
      </c>
      <c r="I2004" s="25" t="n">
        <f aca="false">IF(G2004="","",C2004/C2003-1)</f>
        <v>0.0134781430114073</v>
      </c>
      <c r="J2004" s="17" t="n">
        <f aca="false">AVERAGE(C1805:C2004)</f>
        <v>8329.53335</v>
      </c>
      <c r="K2004" s="17" t="n">
        <f aca="false">MAX(K2003,C2004)</f>
        <v>19650.01</v>
      </c>
      <c r="L2004" s="25" t="n">
        <f aca="false">C2004/K2004-1</f>
        <v>-0.535747818957853</v>
      </c>
      <c r="M2004" s="25" t="n">
        <f aca="false">IF(COUNT(G1975:G2004)&lt;20,"",_xlfn.STDEV.S(G1975:G2004)*SQRT($R$3))</f>
        <v>0.549514850505884</v>
      </c>
      <c r="N2004" s="25" t="n">
        <f aca="false">IF(A2004-7&lt;$R$2,"",C2004/INDEX(Clean_Data!$C$2:$C$4314,MATCH(A2004-7,Clean_Data!$A$2:$A$4314,1))-1)</f>
        <v>-0.0169316183316667</v>
      </c>
      <c r="O2004" s="25" t="n">
        <f aca="false">IF(A2004-30&lt;$R$2,"",C2004/INDEX(Clean_Data!$C$2:$C$4314,MATCH(A2004-30,Clean_Data!$A$2:$A$4314,1))-1)</f>
        <v>-0.0322811283066385</v>
      </c>
    </row>
    <row r="2005" customFormat="false" ht="15" hidden="false" customHeight="false" outlineLevel="0" collapsed="false">
      <c r="A2005" s="16" t="n">
        <v>44011</v>
      </c>
      <c r="B2005" s="23" t="n">
        <f aca="false">YEAR(A2005)</f>
        <v>2020</v>
      </c>
      <c r="C2005" s="17" t="n">
        <v>9191.05</v>
      </c>
      <c r="D2005" s="23" t="n">
        <f aca="false">A2005-A2004</f>
        <v>1</v>
      </c>
      <c r="E2005" s="24" t="n">
        <f aca="false">LN(C2005)</f>
        <v>9.12598546344776</v>
      </c>
      <c r="F2005" s="25" t="n">
        <f aca="false">LN(C2005/C2004)</f>
        <v>0.00747971801436557</v>
      </c>
      <c r="G2005" s="25" t="n">
        <f aca="false">IF(AND(D2005=1,A2005&gt;=$R$2),F2005,"")</f>
        <v>0.00747971801436557</v>
      </c>
      <c r="H2005" s="27" t="n">
        <f aca="false">IF(G2005="","",G2005^2)</f>
        <v>5.59461815744248E-005</v>
      </c>
      <c r="I2005" s="25" t="n">
        <f aca="false">IF(G2005="","",C2005/C2004-1)</f>
        <v>0.00750776097937411</v>
      </c>
      <c r="J2005" s="17" t="n">
        <f aca="false">AVERAGE(C1806:C2005)</f>
        <v>8339.51765</v>
      </c>
      <c r="K2005" s="17" t="n">
        <f aca="false">MAX(K2004,C2005)</f>
        <v>19650.01</v>
      </c>
      <c r="L2005" s="25" t="n">
        <f aca="false">C2005/K2005-1</f>
        <v>-0.532262324548435</v>
      </c>
      <c r="M2005" s="25" t="n">
        <f aca="false">IF(COUNT(G1976:G2005)&lt;20,"",_xlfn.STDEV.S(G1976:G2005)*SQRT($R$3))</f>
        <v>0.541126302371739</v>
      </c>
      <c r="N2005" s="25" t="n">
        <f aca="false">IF(A2005-7&lt;$R$2,"",C2005/INDEX(Clean_Data!$C$2:$C$4314,MATCH(A2005-7,Clean_Data!$A$2:$A$4314,1))-1)</f>
        <v>-0.0525579559031061</v>
      </c>
      <c r="O2005" s="25" t="n">
        <f aca="false">IF(A2005-30&lt;$R$2,"",C2005/INDEX(Clean_Data!$C$2:$C$4314,MATCH(A2005-30,Clean_Data!$A$2:$A$4314,1))-1)</f>
        <v>-0.0509623526010368</v>
      </c>
    </row>
    <row r="2006" customFormat="false" ht="15" hidden="false" customHeight="false" outlineLevel="0" collapsed="false">
      <c r="A2006" s="16" t="n">
        <v>44012</v>
      </c>
      <c r="B2006" s="23" t="n">
        <f aca="false">YEAR(A2006)</f>
        <v>2020</v>
      </c>
      <c r="C2006" s="17" t="n">
        <v>9129.47</v>
      </c>
      <c r="D2006" s="23" t="n">
        <f aca="false">A2006-A2005</f>
        <v>1</v>
      </c>
      <c r="E2006" s="24" t="n">
        <f aca="false">LN(C2006)</f>
        <v>9.11926292152067</v>
      </c>
      <c r="F2006" s="25" t="n">
        <f aca="false">LN(C2006/C2005)</f>
        <v>-0.00672254192708834</v>
      </c>
      <c r="G2006" s="25" t="n">
        <f aca="false">IF(AND(D2006=1,A2006&gt;=$R$2),F2006,"")</f>
        <v>-0.00672254192708834</v>
      </c>
      <c r="H2006" s="27" t="n">
        <f aca="false">IF(G2006="","",G2006^2)</f>
        <v>4.51925699614606E-005</v>
      </c>
      <c r="I2006" s="25" t="n">
        <f aca="false">IF(G2006="","",C2006/C2005-1)</f>
        <v>-0.00669999619194761</v>
      </c>
      <c r="J2006" s="17" t="n">
        <f aca="false">AVERAGE(C1807:C2006)</f>
        <v>8348.91875</v>
      </c>
      <c r="K2006" s="17" t="n">
        <f aca="false">MAX(K2005,C2006)</f>
        <v>19650.01</v>
      </c>
      <c r="L2006" s="25" t="n">
        <f aca="false">C2006/K2006-1</f>
        <v>-0.535396165192791</v>
      </c>
      <c r="M2006" s="25" t="n">
        <f aca="false">IF(COUNT(G1977:G2006)&lt;20,"",_xlfn.STDEV.S(G1977:G2006)*SQRT($R$3))</f>
        <v>0.534370704569104</v>
      </c>
      <c r="N2006" s="25" t="n">
        <f aca="false">IF(A2006-7&lt;$R$2,"",C2006/INDEX(Clean_Data!$C$2:$C$4314,MATCH(A2006-7,Clean_Data!$A$2:$A$4314,1))-1)</f>
        <v>-0.051359450691727</v>
      </c>
      <c r="O2006" s="25" t="n">
        <f aca="false">IF(A2006-30&lt;$R$2,"",C2006/INDEX(Clean_Data!$C$2:$C$4314,MATCH(A2006-30,Clean_Data!$A$2:$A$4314,1))-1)</f>
        <v>-0.0324646558850336</v>
      </c>
    </row>
    <row r="2007" customFormat="false" ht="15" hidden="false" customHeight="false" outlineLevel="0" collapsed="false">
      <c r="A2007" s="16" t="n">
        <v>44013</v>
      </c>
      <c r="B2007" s="23" t="n">
        <f aca="false">YEAR(A2007)</f>
        <v>2020</v>
      </c>
      <c r="C2007" s="17" t="n">
        <v>9239.09</v>
      </c>
      <c r="D2007" s="23" t="n">
        <f aca="false">A2007-A2006</f>
        <v>1</v>
      </c>
      <c r="E2007" s="24" t="n">
        <f aca="false">LN(C2007)</f>
        <v>9.13119867493729</v>
      </c>
      <c r="F2007" s="25" t="n">
        <f aca="false">LN(C2007/C2006)</f>
        <v>0.0119357534166201</v>
      </c>
      <c r="G2007" s="25" t="n">
        <f aca="false">IF(AND(D2007=1,A2007&gt;=$R$2),F2007,"")</f>
        <v>0.0119357534166201</v>
      </c>
      <c r="H2007" s="27" t="n">
        <f aca="false">IF(G2007="","",G2007^2)</f>
        <v>0.000142462209622358</v>
      </c>
      <c r="I2007" s="25" t="n">
        <f aca="false">IF(G2007="","",C2007/C2006-1)</f>
        <v>0.0120072687680666</v>
      </c>
      <c r="J2007" s="17" t="n">
        <f aca="false">AVERAGE(C1808:C2007)</f>
        <v>8359.81645</v>
      </c>
      <c r="K2007" s="17" t="n">
        <f aca="false">MAX(K2006,C2007)</f>
        <v>19650.01</v>
      </c>
      <c r="L2007" s="25" t="n">
        <f aca="false">C2007/K2007-1</f>
        <v>-0.529817542077587</v>
      </c>
      <c r="M2007" s="25" t="n">
        <f aca="false">IF(COUNT(G1978:G2007)&lt;20,"",_xlfn.STDEV.S(G1978:G2007)*SQRT($R$3))</f>
        <v>0.452619467427373</v>
      </c>
      <c r="N2007" s="25" t="n">
        <f aca="false">IF(A2007-7&lt;$R$2,"",C2007/INDEX(Clean_Data!$C$2:$C$4314,MATCH(A2007-7,Clean_Data!$A$2:$A$4314,1))-1)</f>
        <v>-0.00484807358817763</v>
      </c>
      <c r="O2007" s="25" t="n">
        <f aca="false">IF(A2007-30&lt;$R$2,"",C2007/INDEX(Clean_Data!$C$2:$C$4314,MATCH(A2007-30,Clean_Data!$A$2:$A$4314,1))-1)</f>
        <v>-0.0953049142315503</v>
      </c>
    </row>
    <row r="2008" customFormat="false" ht="15" hidden="false" customHeight="false" outlineLevel="0" collapsed="false">
      <c r="A2008" s="16" t="n">
        <v>44014</v>
      </c>
      <c r="B2008" s="23" t="n">
        <f aca="false">YEAR(A2008)</f>
        <v>2020</v>
      </c>
      <c r="C2008" s="17" t="n">
        <v>9088.54</v>
      </c>
      <c r="D2008" s="23" t="n">
        <f aca="false">A2008-A2007</f>
        <v>1</v>
      </c>
      <c r="E2008" s="24" t="n">
        <f aca="false">LN(C2008)</f>
        <v>9.11476955820978</v>
      </c>
      <c r="F2008" s="25" t="n">
        <f aca="false">LN(C2008/C2007)</f>
        <v>-0.0164291167275164</v>
      </c>
      <c r="G2008" s="25" t="n">
        <f aca="false">IF(AND(D2008=1,A2008&gt;=$R$2),F2008,"")</f>
        <v>-0.0164291167275164</v>
      </c>
      <c r="H2008" s="27" t="n">
        <f aca="false">IF(G2008="","",G2008^2)</f>
        <v>0.00026991587644636</v>
      </c>
      <c r="I2008" s="25" t="n">
        <f aca="false">IF(G2008="","",C2008/C2007-1)</f>
        <v>-0.0162948948435397</v>
      </c>
      <c r="J2008" s="17" t="n">
        <f aca="false">AVERAGE(C1809:C2008)</f>
        <v>8369.70415</v>
      </c>
      <c r="K2008" s="17" t="n">
        <f aca="false">MAX(K2007,C2008)</f>
        <v>19650.01</v>
      </c>
      <c r="L2008" s="25" t="n">
        <f aca="false">C2008/K2008-1</f>
        <v>-0.537479115786709</v>
      </c>
      <c r="M2008" s="25" t="n">
        <f aca="false">IF(COUNT(G1979:G2008)&lt;20,"",_xlfn.STDEV.S(G1979:G2008)*SQRT($R$3))</f>
        <v>0.384162942794913</v>
      </c>
      <c r="N2008" s="25" t="n">
        <f aca="false">IF(A2008-7&lt;$R$2,"",C2008/INDEX(Clean_Data!$C$2:$C$4314,MATCH(A2008-7,Clean_Data!$A$2:$A$4314,1))-1)</f>
        <v>-0.0156289938957026</v>
      </c>
      <c r="O2008" s="25" t="n">
        <f aca="false">IF(A2008-30&lt;$R$2,"",C2008/INDEX(Clean_Data!$C$2:$C$4314,MATCH(A2008-30,Clean_Data!$A$2:$A$4314,1))-1)</f>
        <v>-0.044252235957242</v>
      </c>
    </row>
    <row r="2009" customFormat="false" ht="15" hidden="false" customHeight="false" outlineLevel="0" collapsed="false">
      <c r="A2009" s="16" t="n">
        <v>44015</v>
      </c>
      <c r="B2009" s="23" t="n">
        <f aca="false">YEAR(A2009)</f>
        <v>2020</v>
      </c>
      <c r="C2009" s="17" t="n">
        <v>9050.05</v>
      </c>
      <c r="D2009" s="23" t="n">
        <f aca="false">A2009-A2008</f>
        <v>1</v>
      </c>
      <c r="E2009" s="24" t="n">
        <f aca="false">LN(C2009)</f>
        <v>9.11052556154059</v>
      </c>
      <c r="F2009" s="25" t="n">
        <f aca="false">LN(C2009/C2008)</f>
        <v>-0.00424399666918933</v>
      </c>
      <c r="G2009" s="25" t="n">
        <f aca="false">IF(AND(D2009=1,A2009&gt;=$R$2),F2009,"")</f>
        <v>-0.00424399666918933</v>
      </c>
      <c r="H2009" s="27" t="n">
        <f aca="false">IF(G2009="","",G2009^2)</f>
        <v>1.80115077280901E-005</v>
      </c>
      <c r="I2009" s="25" t="n">
        <f aca="false">IF(G2009="","",C2009/C2008-1)</f>
        <v>-0.00423500364194929</v>
      </c>
      <c r="J2009" s="17" t="n">
        <f aca="false">AVERAGE(C1810:C2009)</f>
        <v>8380.5692</v>
      </c>
      <c r="K2009" s="17" t="n">
        <f aca="false">MAX(K2008,C2009)</f>
        <v>19650.01</v>
      </c>
      <c r="L2009" s="25" t="n">
        <f aca="false">C2009/K2009-1</f>
        <v>-0.53943789341583</v>
      </c>
      <c r="M2009" s="25" t="n">
        <f aca="false">IF(COUNT(G1980:G2009)&lt;20,"",_xlfn.STDEV.S(G1980:G2009)*SQRT($R$3))</f>
        <v>0.378365347977287</v>
      </c>
      <c r="N2009" s="25" t="n">
        <f aca="false">IF(A2009-7&lt;$R$2,"",C2009/INDEX(Clean_Data!$C$2:$C$4314,MATCH(A2009-7,Clean_Data!$A$2:$A$4314,1))-1)</f>
        <v>-0.01170333354446</v>
      </c>
      <c r="O2009" s="25" t="n">
        <f aca="false">IF(A2009-30&lt;$R$2,"",C2009/INDEX(Clean_Data!$C$2:$C$4314,MATCH(A2009-30,Clean_Data!$A$2:$A$4314,1))-1)</f>
        <v>-0.0643689901547351</v>
      </c>
    </row>
    <row r="2010" customFormat="false" ht="15" hidden="false" customHeight="false" outlineLevel="0" collapsed="false">
      <c r="A2010" s="16" t="n">
        <v>44016</v>
      </c>
      <c r="B2010" s="23" t="n">
        <f aca="false">YEAR(A2010)</f>
        <v>2020</v>
      </c>
      <c r="C2010" s="17" t="n">
        <v>9138.22</v>
      </c>
      <c r="D2010" s="23" t="n">
        <f aca="false">A2010-A2009</f>
        <v>1</v>
      </c>
      <c r="E2010" s="24" t="n">
        <f aca="false">LN(C2010)</f>
        <v>9.12022089712341</v>
      </c>
      <c r="F2010" s="25" t="n">
        <f aca="false">LN(C2010/C2009)</f>
        <v>0.00969533558282115</v>
      </c>
      <c r="G2010" s="25" t="n">
        <f aca="false">IF(AND(D2010=1,A2010&gt;=$R$2),F2010,"")</f>
        <v>0.00969533558282115</v>
      </c>
      <c r="H2010" s="27" t="n">
        <f aca="false">IF(G2010="","",G2010^2)</f>
        <v>9.39995320635179E-005</v>
      </c>
      <c r="I2010" s="25" t="n">
        <f aca="false">IF(G2010="","",C2010/C2009-1)</f>
        <v>0.00974248761056562</v>
      </c>
      <c r="J2010" s="17" t="n">
        <f aca="false">AVERAGE(C1811:C2010)</f>
        <v>8393.1672</v>
      </c>
      <c r="K2010" s="17" t="n">
        <f aca="false">MAX(K2009,C2010)</f>
        <v>19650.01</v>
      </c>
      <c r="L2010" s="25" t="n">
        <f aca="false">C2010/K2010-1</f>
        <v>-0.534950872798538</v>
      </c>
      <c r="M2010" s="25" t="n">
        <f aca="false">IF(COUNT(G1981:G2010)&lt;20,"",_xlfn.STDEV.S(G1981:G2010)*SQRT($R$3))</f>
        <v>0.376847596167841</v>
      </c>
      <c r="N2010" s="25" t="n">
        <f aca="false">IF(A2010-7&lt;$R$2,"",C2010/INDEX(Clean_Data!$C$2:$C$4314,MATCH(A2010-7,Clean_Data!$A$2:$A$4314,1))-1)</f>
        <v>0.0152179033110993</v>
      </c>
      <c r="O2010" s="25" t="n">
        <f aca="false">IF(A2010-30&lt;$R$2,"",C2010/INDEX(Clean_Data!$C$2:$C$4314,MATCH(A2010-30,Clean_Data!$A$2:$A$4314,1))-1)</f>
        <v>-0.0674876550705796</v>
      </c>
    </row>
    <row r="2011" customFormat="false" ht="15" hidden="false" customHeight="false" outlineLevel="0" collapsed="false">
      <c r="A2011" s="16" t="n">
        <v>44017</v>
      </c>
      <c r="B2011" s="23" t="n">
        <f aca="false">YEAR(A2011)</f>
        <v>2020</v>
      </c>
      <c r="C2011" s="17" t="n">
        <v>9088.52</v>
      </c>
      <c r="D2011" s="23" t="n">
        <f aca="false">A2011-A2010</f>
        <v>1</v>
      </c>
      <c r="E2011" s="24" t="n">
        <f aca="false">LN(C2011)</f>
        <v>9.11476735763389</v>
      </c>
      <c r="F2011" s="25" t="n">
        <f aca="false">LN(C2011/C2010)</f>
        <v>-0.00545353948952268</v>
      </c>
      <c r="G2011" s="25" t="n">
        <f aca="false">IF(AND(D2011=1,A2011&gt;=$R$2),F2011,"")</f>
        <v>-0.00545353948952268</v>
      </c>
      <c r="H2011" s="27" t="n">
        <f aca="false">IF(G2011="","",G2011^2)</f>
        <v>2.97410929637833E-005</v>
      </c>
      <c r="I2011" s="25" t="n">
        <f aca="false">IF(G2011="","",C2011/C2010-1)</f>
        <v>-0.00543869593859625</v>
      </c>
      <c r="J2011" s="17" t="n">
        <f aca="false">AVERAGE(C1812:C2011)</f>
        <v>8402.0642</v>
      </c>
      <c r="K2011" s="17" t="n">
        <f aca="false">MAX(K2010,C2011)</f>
        <v>19650.01</v>
      </c>
      <c r="L2011" s="25" t="n">
        <f aca="false">C2011/K2011-1</f>
        <v>-0.537480133597896</v>
      </c>
      <c r="M2011" s="25" t="n">
        <f aca="false">IF(COUNT(G1982:G2011)&lt;20,"",_xlfn.STDEV.S(G1982:G2011)*SQRT($R$3))</f>
        <v>0.369032752085903</v>
      </c>
      <c r="N2011" s="25" t="n">
        <f aca="false">IF(A2011-7&lt;$R$2,"",C2011/INDEX(Clean_Data!$C$2:$C$4314,MATCH(A2011-7,Clean_Data!$A$2:$A$4314,1))-1)</f>
        <v>-0.00373140872737465</v>
      </c>
      <c r="O2011" s="25" t="n">
        <f aca="false">IF(A2011-30&lt;$R$2,"",C2011/INDEX(Clean_Data!$C$2:$C$4314,MATCH(A2011-30,Clean_Data!$A$2:$A$4314,1))-1)</f>
        <v>-0.0502071805161486</v>
      </c>
    </row>
    <row r="2012" customFormat="false" ht="15" hidden="false" customHeight="false" outlineLevel="0" collapsed="false">
      <c r="A2012" s="16" t="n">
        <v>44018</v>
      </c>
      <c r="B2012" s="23" t="n">
        <f aca="false">YEAR(A2012)</f>
        <v>2020</v>
      </c>
      <c r="C2012" s="17" t="n">
        <v>9331.69</v>
      </c>
      <c r="D2012" s="23" t="n">
        <f aca="false">A2012-A2011</f>
        <v>1</v>
      </c>
      <c r="E2012" s="24" t="n">
        <f aca="false">LN(C2012)</f>
        <v>9.14117141355827</v>
      </c>
      <c r="F2012" s="25" t="n">
        <f aca="false">LN(C2012/C2011)</f>
        <v>0.0264040559243794</v>
      </c>
      <c r="G2012" s="25" t="n">
        <f aca="false">IF(AND(D2012=1,A2012&gt;=$R$2),F2012,"")</f>
        <v>0.0264040559243794</v>
      </c>
      <c r="H2012" s="27" t="n">
        <f aca="false">IF(G2012="","",G2012^2)</f>
        <v>0.000697174169257754</v>
      </c>
      <c r="I2012" s="25" t="n">
        <f aca="false">IF(G2012="","",C2012/C2011-1)</f>
        <v>0.0267557314062135</v>
      </c>
      <c r="J2012" s="17" t="n">
        <f aca="false">AVERAGE(C1813:C2012)</f>
        <v>8412.9527</v>
      </c>
      <c r="K2012" s="17" t="n">
        <f aca="false">MAX(K2011,C2012)</f>
        <v>19650.01</v>
      </c>
      <c r="L2012" s="25" t="n">
        <f aca="false">C2012/K2012-1</f>
        <v>-0.525105076282404</v>
      </c>
      <c r="M2012" s="25" t="n">
        <f aca="false">IF(COUNT(G1983:G2012)&lt;20,"",_xlfn.STDEV.S(G1983:G2012)*SQRT($R$3))</f>
        <v>0.37985582873854</v>
      </c>
      <c r="N2012" s="25" t="n">
        <f aca="false">IF(A2012-7&lt;$R$2,"",C2012/INDEX(Clean_Data!$C$2:$C$4314,MATCH(A2012-7,Clean_Data!$A$2:$A$4314,1))-1)</f>
        <v>0.0153018425533538</v>
      </c>
      <c r="O2012" s="25" t="n">
        <f aca="false">IF(A2012-30&lt;$R$2,"",C2012/INDEX(Clean_Data!$C$2:$C$4314,MATCH(A2012-30,Clean_Data!$A$2:$A$4314,1))-1)</f>
        <v>-0.0345222526631186</v>
      </c>
    </row>
    <row r="2013" customFormat="false" ht="15" hidden="false" customHeight="false" outlineLevel="0" collapsed="false">
      <c r="A2013" s="16" t="n">
        <v>44019</v>
      </c>
      <c r="B2013" s="23" t="n">
        <f aca="false">YEAR(A2013)</f>
        <v>2020</v>
      </c>
      <c r="C2013" s="17" t="n">
        <v>9263.56</v>
      </c>
      <c r="D2013" s="23" t="n">
        <f aca="false">A2013-A2012</f>
        <v>1</v>
      </c>
      <c r="E2013" s="24" t="n">
        <f aca="false">LN(C2013)</f>
        <v>9.13384370300261</v>
      </c>
      <c r="F2013" s="25" t="n">
        <f aca="false">LN(C2013/C2012)</f>
        <v>-0.00732771055565609</v>
      </c>
      <c r="G2013" s="25" t="n">
        <f aca="false">IF(AND(D2013=1,A2013&gt;=$R$2),F2013,"")</f>
        <v>-0.00732771055565609</v>
      </c>
      <c r="H2013" s="27" t="n">
        <f aca="false">IF(G2013="","",G2013^2)</f>
        <v>5.36953419874737E-005</v>
      </c>
      <c r="I2013" s="25" t="n">
        <f aca="false">IF(G2013="","",C2013/C2012-1)</f>
        <v>-0.007300928342026</v>
      </c>
      <c r="J2013" s="17" t="n">
        <f aca="false">AVERAGE(C1814:C2013)</f>
        <v>8423.32115</v>
      </c>
      <c r="K2013" s="17" t="n">
        <f aca="false">MAX(K2012,C2013)</f>
        <v>19650.01</v>
      </c>
      <c r="L2013" s="25" t="n">
        <f aca="false">C2013/K2013-1</f>
        <v>-0.528572250090458</v>
      </c>
      <c r="M2013" s="25" t="n">
        <f aca="false">IF(COUNT(G1984:G2013)&lt;20,"",_xlfn.STDEV.S(G1984:G2013)*SQRT($R$3))</f>
        <v>0.378186585878072</v>
      </c>
      <c r="N2013" s="25" t="n">
        <f aca="false">IF(A2013-7&lt;$R$2,"",C2013/INDEX(Clean_Data!$C$2:$C$4314,MATCH(A2013-7,Clean_Data!$A$2:$A$4314,1))-1)</f>
        <v>0.0146875996087397</v>
      </c>
      <c r="O2013" s="25" t="n">
        <f aca="false">IF(A2013-30&lt;$R$2,"",C2013/INDEX(Clean_Data!$C$2:$C$4314,MATCH(A2013-30,Clean_Data!$A$2:$A$4314,1))-1)</f>
        <v>-0.0512535845964769</v>
      </c>
    </row>
    <row r="2014" customFormat="false" ht="15" hidden="false" customHeight="false" outlineLevel="0" collapsed="false">
      <c r="A2014" s="16" t="n">
        <v>44020</v>
      </c>
      <c r="B2014" s="23" t="n">
        <f aca="false">YEAR(A2014)</f>
        <v>2020</v>
      </c>
      <c r="C2014" s="17" t="n">
        <v>9436.01</v>
      </c>
      <c r="D2014" s="23" t="n">
        <f aca="false">A2014-A2013</f>
        <v>1</v>
      </c>
      <c r="E2014" s="24" t="n">
        <f aca="false">LN(C2014)</f>
        <v>9.15228850029809</v>
      </c>
      <c r="F2014" s="25" t="n">
        <f aca="false">LN(C2014/C2013)</f>
        <v>0.0184447972954835</v>
      </c>
      <c r="G2014" s="25" t="n">
        <f aca="false">IF(AND(D2014=1,A2014&gt;=$R$2),F2014,"")</f>
        <v>0.0184447972954835</v>
      </c>
      <c r="H2014" s="27" t="n">
        <f aca="false">IF(G2014="","",G2014^2)</f>
        <v>0.000340210547271474</v>
      </c>
      <c r="I2014" s="25" t="n">
        <f aca="false">IF(G2014="","",C2014/C2013-1)</f>
        <v>0.0186159532620289</v>
      </c>
      <c r="J2014" s="17" t="n">
        <f aca="false">AVERAGE(C1815:C2014)</f>
        <v>8434.78615</v>
      </c>
      <c r="K2014" s="17" t="n">
        <f aca="false">MAX(K2013,C2014)</f>
        <v>19650.01</v>
      </c>
      <c r="L2014" s="25" t="n">
        <f aca="false">C2014/K2014-1</f>
        <v>-0.519796173131718</v>
      </c>
      <c r="M2014" s="25" t="n">
        <f aca="false">IF(COUNT(G1985:G2014)&lt;20,"",_xlfn.STDEV.S(G1985:G2014)*SQRT($R$3))</f>
        <v>0.383551046073023</v>
      </c>
      <c r="N2014" s="25" t="n">
        <f aca="false">IF(A2014-7&lt;$R$2,"",C2014/INDEX(Clean_Data!$C$2:$C$4314,MATCH(A2014-7,Clean_Data!$A$2:$A$4314,1))-1)</f>
        <v>0.0213137873968108</v>
      </c>
      <c r="O2014" s="25" t="n">
        <f aca="false">IF(A2014-30&lt;$R$2,"",C2014/INDEX(Clean_Data!$C$2:$C$4314,MATCH(A2014-30,Clean_Data!$A$2:$A$4314,1))-1)</f>
        <v>-0.0404649611447701</v>
      </c>
    </row>
    <row r="2015" customFormat="false" ht="15" hidden="false" customHeight="false" outlineLevel="0" collapsed="false">
      <c r="A2015" s="16" t="n">
        <v>44021</v>
      </c>
      <c r="B2015" s="23" t="n">
        <f aca="false">YEAR(A2015)</f>
        <v>2020</v>
      </c>
      <c r="C2015" s="17" t="n">
        <v>9230.48</v>
      </c>
      <c r="D2015" s="23" t="n">
        <f aca="false">A2015-A2014</f>
        <v>1</v>
      </c>
      <c r="E2015" s="24" t="n">
        <f aca="false">LN(C2015)</f>
        <v>9.13026633047841</v>
      </c>
      <c r="F2015" s="25" t="n">
        <f aca="false">LN(C2015/C2014)</f>
        <v>-0.0220221698196797</v>
      </c>
      <c r="G2015" s="25" t="n">
        <f aca="false">IF(AND(D2015=1,A2015&gt;=$R$2),F2015,"")</f>
        <v>-0.0220221698196797</v>
      </c>
      <c r="H2015" s="27" t="n">
        <f aca="false">IF(G2015="","",G2015^2)</f>
        <v>0.000484975963566813</v>
      </c>
      <c r="I2015" s="25" t="n">
        <f aca="false">IF(G2015="","",C2015/C2014-1)</f>
        <v>-0.0217814521180033</v>
      </c>
      <c r="J2015" s="17" t="n">
        <f aca="false">AVERAGE(C1816:C2015)</f>
        <v>8443.18855</v>
      </c>
      <c r="K2015" s="17" t="n">
        <f aca="false">MAX(K2014,C2015)</f>
        <v>19650.01</v>
      </c>
      <c r="L2015" s="25" t="n">
        <f aca="false">C2015/K2015-1</f>
        <v>-0.530255709793532</v>
      </c>
      <c r="M2015" s="25" t="n">
        <f aca="false">IF(COUNT(G1986:G2015)&lt;20,"",_xlfn.STDEV.S(G1986:G2015)*SQRT($R$3))</f>
        <v>0.390044031594951</v>
      </c>
      <c r="N2015" s="25" t="n">
        <f aca="false">IF(A2015-7&lt;$R$2,"",C2015/INDEX(Clean_Data!$C$2:$C$4314,MATCH(A2015-7,Clean_Data!$A$2:$A$4314,1))-1)</f>
        <v>0.015617469912659</v>
      </c>
      <c r="O2015" s="25" t="n">
        <f aca="false">IF(A2015-30&lt;$R$2,"",C2015/INDEX(Clean_Data!$C$2:$C$4314,MATCH(A2015-30,Clean_Data!$A$2:$A$4314,1))-1)</f>
        <v>-0.0560530137238461</v>
      </c>
    </row>
    <row r="2016" customFormat="false" ht="15" hidden="false" customHeight="false" outlineLevel="0" collapsed="false">
      <c r="A2016" s="16" t="n">
        <v>44022</v>
      </c>
      <c r="B2016" s="23" t="n">
        <f aca="false">YEAR(A2016)</f>
        <v>2020</v>
      </c>
      <c r="C2016" s="17" t="n">
        <v>9298.16</v>
      </c>
      <c r="D2016" s="23" t="n">
        <f aca="false">A2016-A2015</f>
        <v>1</v>
      </c>
      <c r="E2016" s="24" t="n">
        <f aca="false">LN(C2016)</f>
        <v>9.1375718101042</v>
      </c>
      <c r="F2016" s="25" t="n">
        <f aca="false">LN(C2016/C2015)</f>
        <v>0.00730547962578101</v>
      </c>
      <c r="G2016" s="25" t="n">
        <f aca="false">IF(AND(D2016=1,A2016&gt;=$R$2),F2016,"")</f>
        <v>0.00730547962578101</v>
      </c>
      <c r="H2016" s="27" t="n">
        <f aca="false">IF(G2016="","",G2016^2)</f>
        <v>5.33700325627015E-005</v>
      </c>
      <c r="I2016" s="25" t="n">
        <f aca="false">IF(G2016="","",C2016/C2015-1)</f>
        <v>0.00733222974319858</v>
      </c>
      <c r="J2016" s="17" t="n">
        <f aca="false">AVERAGE(C1817:C2016)</f>
        <v>8453.08845</v>
      </c>
      <c r="K2016" s="17" t="n">
        <f aca="false">MAX(K2015,C2016)</f>
        <v>19650.01</v>
      </c>
      <c r="L2016" s="25" t="n">
        <f aca="false">C2016/K2016-1</f>
        <v>-0.526811436737182</v>
      </c>
      <c r="M2016" s="25" t="n">
        <f aca="false">IF(COUNT(G1987:G2016)&lt;20,"",_xlfn.STDEV.S(G1987:G2016)*SQRT($R$3))</f>
        <v>0.38815686097537</v>
      </c>
      <c r="N2016" s="25" t="n">
        <f aca="false">IF(A2016-7&lt;$R$2,"",C2016/INDEX(Clean_Data!$C$2:$C$4314,MATCH(A2016-7,Clean_Data!$A$2:$A$4314,1))-1)</f>
        <v>0.0274153181474137</v>
      </c>
      <c r="O2016" s="25" t="n">
        <f aca="false">IF(A2016-30&lt;$R$2,"",C2016/INDEX(Clean_Data!$C$2:$C$4314,MATCH(A2016-30,Clean_Data!$A$2:$A$4314,1))-1)</f>
        <v>-0.0607141197553738</v>
      </c>
    </row>
    <row r="2017" customFormat="false" ht="15" hidden="false" customHeight="false" outlineLevel="0" collapsed="false">
      <c r="A2017" s="16" t="n">
        <v>44023</v>
      </c>
      <c r="B2017" s="23" t="n">
        <f aca="false">YEAR(A2017)</f>
        <v>2020</v>
      </c>
      <c r="C2017" s="17" t="n">
        <v>9235</v>
      </c>
      <c r="D2017" s="23" t="n">
        <f aca="false">A2017-A2016</f>
        <v>1</v>
      </c>
      <c r="E2017" s="24" t="n">
        <f aca="false">LN(C2017)</f>
        <v>9.13075589263334</v>
      </c>
      <c r="F2017" s="25" t="n">
        <f aca="false">LN(C2017/C2016)</f>
        <v>-0.00681591747085449</v>
      </c>
      <c r="G2017" s="25" t="n">
        <f aca="false">IF(AND(D2017=1,A2017&gt;=$R$2),F2017,"")</f>
        <v>-0.00681591747085449</v>
      </c>
      <c r="H2017" s="27" t="n">
        <f aca="false">IF(G2017="","",G2017^2)</f>
        <v>4.64567309694995E-005</v>
      </c>
      <c r="I2017" s="25" t="n">
        <f aca="false">IF(G2017="","",C2017/C2016-1)</f>
        <v>-0.0067927417897734</v>
      </c>
      <c r="J2017" s="17" t="n">
        <f aca="false">AVERAGE(C1818:C2017)</f>
        <v>8462.9641</v>
      </c>
      <c r="K2017" s="17" t="n">
        <f aca="false">MAX(K2016,C2017)</f>
        <v>19650.01</v>
      </c>
      <c r="L2017" s="25" t="n">
        <f aca="false">C2017/K2017-1</f>
        <v>-0.5300256844653</v>
      </c>
      <c r="M2017" s="25" t="n">
        <f aca="false">IF(COUNT(G1988:G2017)&lt;20,"",_xlfn.STDEV.S(G1988:G2017)*SQRT($R$3))</f>
        <v>0.310777144143084</v>
      </c>
      <c r="N2017" s="25" t="n">
        <f aca="false">IF(A2017-7&lt;$R$2,"",C2017/INDEX(Clean_Data!$C$2:$C$4314,MATCH(A2017-7,Clean_Data!$A$2:$A$4314,1))-1)</f>
        <v>0.0105906839625223</v>
      </c>
      <c r="O2017" s="25" t="n">
        <f aca="false">IF(A2017-30&lt;$R$2,"",C2017/INDEX(Clean_Data!$C$2:$C$4314,MATCH(A2017-30,Clean_Data!$A$2:$A$4314,1))-1)</f>
        <v>-0.00255975460917846</v>
      </c>
    </row>
    <row r="2018" customFormat="false" ht="15" hidden="false" customHeight="false" outlineLevel="0" collapsed="false">
      <c r="A2018" s="16" t="n">
        <v>44024</v>
      </c>
      <c r="B2018" s="23" t="n">
        <f aca="false">YEAR(A2018)</f>
        <v>2020</v>
      </c>
      <c r="C2018" s="17" t="n">
        <v>9313.77</v>
      </c>
      <c r="D2018" s="23" t="n">
        <f aca="false">A2018-A2017</f>
        <v>1</v>
      </c>
      <c r="E2018" s="24" t="n">
        <f aca="false">LN(C2018)</f>
        <v>9.1392492292284</v>
      </c>
      <c r="F2018" s="25" t="n">
        <f aca="false">LN(C2018/C2017)</f>
        <v>0.0084933365950615</v>
      </c>
      <c r="G2018" s="25" t="n">
        <f aca="false">IF(AND(D2018=1,A2018&gt;=$R$2),F2018,"")</f>
        <v>0.0084933365950615</v>
      </c>
      <c r="H2018" s="27" t="n">
        <f aca="false">IF(G2018="","",G2018^2)</f>
        <v>7.21367665170109E-005</v>
      </c>
      <c r="I2018" s="25" t="n">
        <f aca="false">IF(G2018="","",C2018/C2017-1)</f>
        <v>0.00852950730915003</v>
      </c>
      <c r="J2018" s="17" t="n">
        <f aca="false">AVERAGE(C1819:C2018)</f>
        <v>8473.55915</v>
      </c>
      <c r="K2018" s="17" t="n">
        <f aca="false">MAX(K2017,C2018)</f>
        <v>19650.01</v>
      </c>
      <c r="L2018" s="25" t="n">
        <f aca="false">C2018/K2018-1</f>
        <v>-0.526017035105834</v>
      </c>
      <c r="M2018" s="25" t="n">
        <f aca="false">IF(COUNT(G1989:G2018)&lt;20,"",_xlfn.STDEV.S(G1989:G2018)*SQRT($R$3))</f>
        <v>0.301935855676923</v>
      </c>
      <c r="N2018" s="25" t="n">
        <f aca="false">IF(A2018-7&lt;$R$2,"",C2018/INDEX(Clean_Data!$C$2:$C$4314,MATCH(A2018-7,Clean_Data!$A$2:$A$4314,1))-1)</f>
        <v>0.0247840132386792</v>
      </c>
      <c r="O2018" s="25" t="n">
        <f aca="false">IF(A2018-30&lt;$R$2,"",C2018/INDEX(Clean_Data!$C$2:$C$4314,MATCH(A2018-30,Clean_Data!$A$2:$A$4314,1))-1)</f>
        <v>-0.0161617954170219</v>
      </c>
    </row>
    <row r="2019" customFormat="false" ht="15" hidden="false" customHeight="false" outlineLevel="0" collapsed="false">
      <c r="A2019" s="16" t="n">
        <v>44025</v>
      </c>
      <c r="B2019" s="23" t="n">
        <f aca="false">YEAR(A2019)</f>
        <v>2020</v>
      </c>
      <c r="C2019" s="17" t="n">
        <v>9230.14</v>
      </c>
      <c r="D2019" s="23" t="n">
        <f aca="false">A2019-A2018</f>
        <v>1</v>
      </c>
      <c r="E2019" s="24" t="n">
        <f aca="false">LN(C2019)</f>
        <v>9.13022949531253</v>
      </c>
      <c r="F2019" s="25" t="n">
        <f aca="false">LN(C2019/C2018)</f>
        <v>-0.0090197339158751</v>
      </c>
      <c r="G2019" s="25" t="n">
        <f aca="false">IF(AND(D2019=1,A2019&gt;=$R$2),F2019,"")</f>
        <v>-0.0090197339158751</v>
      </c>
      <c r="H2019" s="27" t="n">
        <f aca="false">IF(G2019="","",G2019^2)</f>
        <v>8.13555999131875E-005</v>
      </c>
      <c r="I2019" s="25" t="n">
        <f aca="false">IF(G2019="","",C2019/C2018-1)</f>
        <v>-0.00897917814161198</v>
      </c>
      <c r="J2019" s="17" t="n">
        <f aca="false">AVERAGE(C1820:C2019)</f>
        <v>8483.73485</v>
      </c>
      <c r="K2019" s="17" t="n">
        <f aca="false">MAX(K2018,C2019)</f>
        <v>19650.01</v>
      </c>
      <c r="L2019" s="25" t="n">
        <f aca="false">C2019/K2019-1</f>
        <v>-0.530273012583709</v>
      </c>
      <c r="M2019" s="25" t="n">
        <f aca="false">IF(COUNT(G1990:G2019)&lt;20,"",_xlfn.STDEV.S(G1990:G2019)*SQRT($R$3))</f>
        <v>0.30330310072538</v>
      </c>
      <c r="N2019" s="25" t="n">
        <f aca="false">IF(A2019-7&lt;$R$2,"",C2019/INDEX(Clean_Data!$C$2:$C$4314,MATCH(A2019-7,Clean_Data!$A$2:$A$4314,1))-1)</f>
        <v>-0.0108822732002457</v>
      </c>
      <c r="O2019" s="25" t="n">
        <f aca="false">IF(A2019-30&lt;$R$2,"",C2019/INDEX(Clean_Data!$C$2:$C$4314,MATCH(A2019-30,Clean_Data!$A$2:$A$4314,1))-1)</f>
        <v>-0.0260657981232795</v>
      </c>
    </row>
    <row r="2020" customFormat="false" ht="15" hidden="false" customHeight="false" outlineLevel="0" collapsed="false">
      <c r="A2020" s="16" t="n">
        <v>44026</v>
      </c>
      <c r="B2020" s="23" t="n">
        <f aca="false">YEAR(A2020)</f>
        <v>2020</v>
      </c>
      <c r="C2020" s="17" t="n">
        <v>9258.34</v>
      </c>
      <c r="D2020" s="23" t="n">
        <f aca="false">A2020-A2019</f>
        <v>1</v>
      </c>
      <c r="E2020" s="24" t="n">
        <f aca="false">LN(C2020)</f>
        <v>9.13328004591147</v>
      </c>
      <c r="F2020" s="25" t="n">
        <f aca="false">LN(C2020/C2019)</f>
        <v>0.00305055059894236</v>
      </c>
      <c r="G2020" s="25" t="n">
        <f aca="false">IF(AND(D2020=1,A2020&gt;=$R$2),F2020,"")</f>
        <v>0.00305055059894236</v>
      </c>
      <c r="H2020" s="27" t="n">
        <f aca="false">IF(G2020="","",G2020^2)</f>
        <v>9.30585895670757E-006</v>
      </c>
      <c r="I2020" s="25" t="n">
        <f aca="false">IF(G2020="","",C2020/C2019-1)</f>
        <v>0.00305520826336347</v>
      </c>
      <c r="J2020" s="17" t="n">
        <f aca="false">AVERAGE(C1821:C2020)</f>
        <v>8493.7898</v>
      </c>
      <c r="K2020" s="17" t="n">
        <f aca="false">MAX(K2019,C2020)</f>
        <v>19650.01</v>
      </c>
      <c r="L2020" s="25" t="n">
        <f aca="false">C2020/K2020-1</f>
        <v>-0.52883789881023</v>
      </c>
      <c r="M2020" s="25" t="n">
        <f aca="false">IF(COUNT(G1991:G2020)&lt;20,"",_xlfn.STDEV.S(G1991:G2020)*SQRT($R$3))</f>
        <v>0.297775368888955</v>
      </c>
      <c r="N2020" s="25" t="n">
        <f aca="false">IF(A2020-7&lt;$R$2,"",C2020/INDEX(Clean_Data!$C$2:$C$4314,MATCH(A2020-7,Clean_Data!$A$2:$A$4314,1))-1)</f>
        <v>-0.00056349826632518</v>
      </c>
      <c r="O2020" s="25" t="n">
        <f aca="false">IF(A2020-30&lt;$R$2,"",C2020/INDEX(Clean_Data!$C$2:$C$4314,MATCH(A2020-30,Clean_Data!$A$2:$A$4314,1))-1)</f>
        <v>-0.006158414119804</v>
      </c>
    </row>
    <row r="2021" customFormat="false" ht="15" hidden="false" customHeight="false" outlineLevel="0" collapsed="false">
      <c r="A2021" s="16" t="n">
        <v>44027</v>
      </c>
      <c r="B2021" s="23" t="n">
        <f aca="false">YEAR(A2021)</f>
        <v>2020</v>
      </c>
      <c r="C2021" s="17" t="n">
        <v>9194.51</v>
      </c>
      <c r="D2021" s="23" t="n">
        <f aca="false">A2021-A2020</f>
        <v>1</v>
      </c>
      <c r="E2021" s="24" t="n">
        <f aca="false">LN(C2021)</f>
        <v>9.12636184578704</v>
      </c>
      <c r="F2021" s="25" t="n">
        <f aca="false">LN(C2021/C2020)</f>
        <v>-0.00691820012443116</v>
      </c>
      <c r="G2021" s="25" t="n">
        <f aca="false">IF(AND(D2021=1,A2021&gt;=$R$2),F2021,"")</f>
        <v>-0.00691820012443116</v>
      </c>
      <c r="H2021" s="27" t="n">
        <f aca="false">IF(G2021="","",G2021^2)</f>
        <v>4.78614929616793E-005</v>
      </c>
      <c r="I2021" s="25" t="n">
        <f aca="false">IF(G2021="","",C2021/C2020-1)</f>
        <v>-0.00689432446853322</v>
      </c>
      <c r="J2021" s="17" t="n">
        <f aca="false">AVERAGE(C1822:C2021)</f>
        <v>8503.24385</v>
      </c>
      <c r="K2021" s="17" t="n">
        <f aca="false">MAX(K2020,C2021)</f>
        <v>19650.01</v>
      </c>
      <c r="L2021" s="25" t="n">
        <f aca="false">C2021/K2021-1</f>
        <v>-0.532086243213108</v>
      </c>
      <c r="M2021" s="25" t="n">
        <f aca="false">IF(COUNT(G1992:G2021)&lt;20,"",_xlfn.STDEV.S(G1992:G2021)*SQRT($R$3))</f>
        <v>0.294770508234329</v>
      </c>
      <c r="N2021" s="25" t="n">
        <f aca="false">IF(A2021-7&lt;$R$2,"",C2021/INDEX(Clean_Data!$C$2:$C$4314,MATCH(A2021-7,Clean_Data!$A$2:$A$4314,1))-1)</f>
        <v>-0.0255934446868963</v>
      </c>
      <c r="O2021" s="25" t="n">
        <f aca="false">IF(A2021-30&lt;$R$2,"",C2021/INDEX(Clean_Data!$C$2:$C$4314,MATCH(A2021-30,Clean_Data!$A$2:$A$4314,1))-1)</f>
        <v>-0.0257194113103103</v>
      </c>
    </row>
    <row r="2022" customFormat="false" ht="15" hidden="false" customHeight="false" outlineLevel="0" collapsed="false">
      <c r="A2022" s="16" t="n">
        <v>44028</v>
      </c>
      <c r="B2022" s="23" t="n">
        <f aca="false">YEAR(A2022)</f>
        <v>2020</v>
      </c>
      <c r="C2022" s="17" t="n">
        <v>9130.91</v>
      </c>
      <c r="D2022" s="23" t="n">
        <f aca="false">A2022-A2021</f>
        <v>1</v>
      </c>
      <c r="E2022" s="24" t="n">
        <f aca="false">LN(C2022)</f>
        <v>9.11942064003507</v>
      </c>
      <c r="F2022" s="25" t="n">
        <f aca="false">LN(C2022/C2021)</f>
        <v>-0.00694120575196454</v>
      </c>
      <c r="G2022" s="25" t="n">
        <f aca="false">IF(AND(D2022=1,A2022&gt;=$R$2),F2022,"")</f>
        <v>-0.00694120575196454</v>
      </c>
      <c r="H2022" s="27" t="n">
        <f aca="false">IF(G2022="","",G2022^2)</f>
        <v>4.81803372911057E-005</v>
      </c>
      <c r="I2022" s="25" t="n">
        <f aca="false">IF(G2022="","",C2022/C2021-1)</f>
        <v>-0.00691717122500279</v>
      </c>
      <c r="J2022" s="17" t="n">
        <f aca="false">AVERAGE(C1823:C2022)</f>
        <v>8512.00575</v>
      </c>
      <c r="K2022" s="17" t="n">
        <f aca="false">MAX(K2021,C2022)</f>
        <v>19650.01</v>
      </c>
      <c r="L2022" s="25" t="n">
        <f aca="false">C2022/K2022-1</f>
        <v>-0.535322882787337</v>
      </c>
      <c r="M2022" s="25" t="n">
        <f aca="false">IF(COUNT(G1993:G2022)&lt;20,"",_xlfn.STDEV.S(G1993:G2022)*SQRT($R$3))</f>
        <v>0.292683001860186</v>
      </c>
      <c r="N2022" s="25" t="n">
        <f aca="false">IF(A2022-7&lt;$R$2,"",C2022/INDEX(Clean_Data!$C$2:$C$4314,MATCH(A2022-7,Clean_Data!$A$2:$A$4314,1))-1)</f>
        <v>-0.0107870879954238</v>
      </c>
      <c r="O2022" s="25" t="n">
        <f aca="false">IF(A2022-30&lt;$R$2,"",C2022/INDEX(Clean_Data!$C$2:$C$4314,MATCH(A2022-30,Clean_Data!$A$2:$A$4314,1))-1)</f>
        <v>-0.0423595670596132</v>
      </c>
    </row>
    <row r="2023" customFormat="false" ht="15" hidden="false" customHeight="false" outlineLevel="0" collapsed="false">
      <c r="A2023" s="16" t="n">
        <v>44029</v>
      </c>
      <c r="B2023" s="23" t="n">
        <f aca="false">YEAR(A2023)</f>
        <v>2020</v>
      </c>
      <c r="C2023" s="17" t="n">
        <v>9147.65</v>
      </c>
      <c r="D2023" s="23" t="n">
        <f aca="false">A2023-A2022</f>
        <v>1</v>
      </c>
      <c r="E2023" s="24" t="n">
        <f aca="false">LN(C2023)</f>
        <v>9.12125229468185</v>
      </c>
      <c r="F2023" s="25" t="n">
        <f aca="false">LN(C2023/C2022)</f>
        <v>0.00183165464677383</v>
      </c>
      <c r="G2023" s="25" t="n">
        <f aca="false">IF(AND(D2023=1,A2023&gt;=$R$2),F2023,"")</f>
        <v>0.00183165464677383</v>
      </c>
      <c r="H2023" s="27" t="n">
        <f aca="false">IF(G2023="","",G2023^2)</f>
        <v>3.35495874504815E-006</v>
      </c>
      <c r="I2023" s="25" t="n">
        <f aca="false">IF(G2023="","",C2023/C2022-1)</f>
        <v>0.00183333315080314</v>
      </c>
      <c r="J2023" s="17" t="n">
        <f aca="false">AVERAGE(C1824:C2023)</f>
        <v>8521.789</v>
      </c>
      <c r="K2023" s="17" t="n">
        <f aca="false">MAX(K2022,C2023)</f>
        <v>19650.01</v>
      </c>
      <c r="L2023" s="25" t="n">
        <f aca="false">C2023/K2023-1</f>
        <v>-0.534470974823931</v>
      </c>
      <c r="M2023" s="25" t="n">
        <f aca="false">IF(COUNT(G1994:G2023)&lt;20,"",_xlfn.STDEV.S(G1994:G2023)*SQRT($R$3))</f>
        <v>0.291971502711334</v>
      </c>
      <c r="N2023" s="25" t="n">
        <f aca="false">IF(A2023-7&lt;$R$2,"",C2023/INDEX(Clean_Data!$C$2:$C$4314,MATCH(A2023-7,Clean_Data!$A$2:$A$4314,1))-1)</f>
        <v>-0.0161870735715454</v>
      </c>
      <c r="O2023" s="25" t="n">
        <f aca="false">IF(A2023-30&lt;$R$2,"",C2023/INDEX(Clean_Data!$C$2:$C$4314,MATCH(A2023-30,Clean_Data!$A$2:$A$4314,1))-1)</f>
        <v>-0.0330721428926287</v>
      </c>
    </row>
    <row r="2024" customFormat="false" ht="15" hidden="false" customHeight="false" outlineLevel="0" collapsed="false">
      <c r="A2024" s="16" t="n">
        <v>44030</v>
      </c>
      <c r="B2024" s="23" t="n">
        <f aca="false">YEAR(A2024)</f>
        <v>2020</v>
      </c>
      <c r="C2024" s="17" t="n">
        <v>9174.6</v>
      </c>
      <c r="D2024" s="23" t="n">
        <f aca="false">A2024-A2023</f>
        <v>1</v>
      </c>
      <c r="E2024" s="24" t="n">
        <f aca="false">LN(C2024)</f>
        <v>9.12419407524216</v>
      </c>
      <c r="F2024" s="25" t="n">
        <f aca="false">LN(C2024/C2023)</f>
        <v>0.00294178056031358</v>
      </c>
      <c r="G2024" s="25" t="n">
        <f aca="false">IF(AND(D2024=1,A2024&gt;=$R$2),F2024,"")</f>
        <v>0.00294178056031358</v>
      </c>
      <c r="H2024" s="27" t="n">
        <f aca="false">IF(G2024="","",G2024^2)</f>
        <v>8.65407286503888E-006</v>
      </c>
      <c r="I2024" s="25" t="n">
        <f aca="false">IF(G2024="","",C2024/C2023-1)</f>
        <v>0.00294611184293236</v>
      </c>
      <c r="J2024" s="17" t="n">
        <f aca="false">AVERAGE(C1825:C2024)</f>
        <v>8531.87195</v>
      </c>
      <c r="K2024" s="17" t="n">
        <f aca="false">MAX(K2023,C2024)</f>
        <v>19650.01</v>
      </c>
      <c r="L2024" s="25" t="n">
        <f aca="false">C2024/K2024-1</f>
        <v>-0.533099474249631</v>
      </c>
      <c r="M2024" s="25" t="n">
        <f aca="false">IF(COUNT(G1995:G2024)&lt;20,"",_xlfn.STDEV.S(G1995:G2024)*SQRT($R$3))</f>
        <v>0.290578776169742</v>
      </c>
      <c r="N2024" s="25" t="n">
        <f aca="false">IF(A2024-7&lt;$R$2,"",C2024/INDEX(Clean_Data!$C$2:$C$4314,MATCH(A2024-7,Clean_Data!$A$2:$A$4314,1))-1)</f>
        <v>-0.0065403356794802</v>
      </c>
      <c r="O2024" s="25" t="n">
        <f aca="false">IF(A2024-30&lt;$R$2,"",C2024/INDEX(Clean_Data!$C$2:$C$4314,MATCH(A2024-30,Clean_Data!$A$2:$A$4314,1))-1)</f>
        <v>-0.0206604292202836</v>
      </c>
    </row>
    <row r="2025" customFormat="false" ht="15" hidden="false" customHeight="false" outlineLevel="0" collapsed="false">
      <c r="A2025" s="16" t="n">
        <v>44031</v>
      </c>
      <c r="B2025" s="23" t="n">
        <f aca="false">YEAR(A2025)</f>
        <v>2020</v>
      </c>
      <c r="C2025" s="17" t="n">
        <v>9221.71</v>
      </c>
      <c r="D2025" s="23" t="n">
        <f aca="false">A2025-A2024</f>
        <v>1</v>
      </c>
      <c r="E2025" s="24" t="n">
        <f aca="false">LN(C2025)</f>
        <v>9.12931576573132</v>
      </c>
      <c r="F2025" s="25" t="n">
        <f aca="false">LN(C2025/C2024)</f>
        <v>0.00512169048915668</v>
      </c>
      <c r="G2025" s="25" t="n">
        <f aca="false">IF(AND(D2025=1,A2025&gt;=$R$2),F2025,"")</f>
        <v>0.00512169048915668</v>
      </c>
      <c r="H2025" s="27" t="n">
        <f aca="false">IF(G2025="","",G2025^2)</f>
        <v>2.6231713466718E-005</v>
      </c>
      <c r="I2025" s="25" t="n">
        <f aca="false">IF(G2025="","",C2025/C2024-1)</f>
        <v>0.00513482876637661</v>
      </c>
      <c r="J2025" s="17" t="n">
        <f aca="false">AVERAGE(C1826:C2025)</f>
        <v>8542.1089</v>
      </c>
      <c r="K2025" s="17" t="n">
        <f aca="false">MAX(K2024,C2025)</f>
        <v>19650.01</v>
      </c>
      <c r="L2025" s="25" t="n">
        <f aca="false">C2025/K2025-1</f>
        <v>-0.530702019998972</v>
      </c>
      <c r="M2025" s="25" t="n">
        <f aca="false">IF(COUNT(G1996:G2025)&lt;20,"",_xlfn.STDEV.S(G1996:G2025)*SQRT($R$3))</f>
        <v>0.289726883980255</v>
      </c>
      <c r="N2025" s="25" t="n">
        <f aca="false">IF(A2025-7&lt;$R$2,"",C2025/INDEX(Clean_Data!$C$2:$C$4314,MATCH(A2025-7,Clean_Data!$A$2:$A$4314,1))-1)</f>
        <v>-0.00988428960560561</v>
      </c>
      <c r="O2025" s="25" t="n">
        <f aca="false">IF(A2025-30&lt;$R$2,"",C2025/INDEX(Clean_Data!$C$2:$C$4314,MATCH(A2025-30,Clean_Data!$A$2:$A$4314,1))-1)</f>
        <v>-0.00687412902211415</v>
      </c>
    </row>
    <row r="2026" customFormat="false" ht="15" hidden="false" customHeight="false" outlineLevel="0" collapsed="false">
      <c r="A2026" s="16" t="n">
        <v>44032</v>
      </c>
      <c r="B2026" s="23" t="n">
        <f aca="false">YEAR(A2026)</f>
        <v>2020</v>
      </c>
      <c r="C2026" s="17" t="n">
        <v>9161.13</v>
      </c>
      <c r="D2026" s="23" t="n">
        <f aca="false">A2026-A2025</f>
        <v>1</v>
      </c>
      <c r="E2026" s="24" t="n">
        <f aca="false">LN(C2026)</f>
        <v>9.12272481250507</v>
      </c>
      <c r="F2026" s="25" t="n">
        <f aca="false">LN(C2026/C2025)</f>
        <v>-0.00659095322624749</v>
      </c>
      <c r="G2026" s="25" t="n">
        <f aca="false">IF(AND(D2026=1,A2026&gt;=$R$2),F2026,"")</f>
        <v>-0.00659095322624749</v>
      </c>
      <c r="H2026" s="27" t="n">
        <f aca="false">IF(G2026="","",G2026^2)</f>
        <v>4.34406644305821E-005</v>
      </c>
      <c r="I2026" s="25" t="n">
        <f aca="false">IF(G2026="","",C2026/C2025-1)</f>
        <v>-0.00656928053473815</v>
      </c>
      <c r="J2026" s="17" t="n">
        <f aca="false">AVERAGE(C1827:C2026)</f>
        <v>8553.1895</v>
      </c>
      <c r="K2026" s="17" t="n">
        <f aca="false">MAX(K2025,C2026)</f>
        <v>19650.01</v>
      </c>
      <c r="L2026" s="25" t="n">
        <f aca="false">C2026/K2026-1</f>
        <v>-0.533784970083985</v>
      </c>
      <c r="M2026" s="25" t="n">
        <f aca="false">IF(COUNT(G1997:G2026)&lt;20,"",_xlfn.STDEV.S(G1997:G2026)*SQRT($R$3))</f>
        <v>0.288910284967023</v>
      </c>
      <c r="N2026" s="25" t="n">
        <f aca="false">IF(A2026-7&lt;$R$2,"",C2026/INDEX(Clean_Data!$C$2:$C$4314,MATCH(A2026-7,Clean_Data!$A$2:$A$4314,1))-1)</f>
        <v>-0.00747659298775538</v>
      </c>
      <c r="O2026" s="25" t="n">
        <f aca="false">IF(A2026-30&lt;$R$2,"",C2026/INDEX(Clean_Data!$C$2:$C$4314,MATCH(A2026-30,Clean_Data!$A$2:$A$4314,1))-1)</f>
        <v>-0.0214360257257945</v>
      </c>
    </row>
    <row r="2027" customFormat="false" ht="15" hidden="false" customHeight="false" outlineLevel="0" collapsed="false">
      <c r="A2027" s="16" t="n">
        <v>44033</v>
      </c>
      <c r="B2027" s="23" t="n">
        <f aca="false">YEAR(A2027)</f>
        <v>2020</v>
      </c>
      <c r="C2027" s="17" t="n">
        <v>9396.65</v>
      </c>
      <c r="D2027" s="23" t="n">
        <f aca="false">A2027-A2026</f>
        <v>1</v>
      </c>
      <c r="E2027" s="24" t="n">
        <f aca="false">LN(C2027)</f>
        <v>9.14810852175987</v>
      </c>
      <c r="F2027" s="25" t="n">
        <f aca="false">LN(C2027/C2026)</f>
        <v>0.0253837092547962</v>
      </c>
      <c r="G2027" s="25" t="n">
        <f aca="false">IF(AND(D2027=1,A2027&gt;=$R$2),F2027,"")</f>
        <v>0.0253837092547962</v>
      </c>
      <c r="H2027" s="27" t="n">
        <f aca="false">IF(G2027="","",G2027^2)</f>
        <v>0.000644332695532024</v>
      </c>
      <c r="I2027" s="25" t="n">
        <f aca="false">IF(G2027="","",C2027/C2026-1)</f>
        <v>0.0257086189149156</v>
      </c>
      <c r="J2027" s="17" t="n">
        <f aca="false">AVERAGE(C1828:C2027)</f>
        <v>8563.49505</v>
      </c>
      <c r="K2027" s="17" t="n">
        <f aca="false">MAX(K2026,C2027)</f>
        <v>19650.01</v>
      </c>
      <c r="L2027" s="25" t="n">
        <f aca="false">C2027/K2027-1</f>
        <v>-0.521799225547468</v>
      </c>
      <c r="M2027" s="25" t="n">
        <f aca="false">IF(COUNT(G1998:G2027)&lt;20,"",_xlfn.STDEV.S(G1998:G2027)*SQRT($R$3))</f>
        <v>0.301218825735432</v>
      </c>
      <c r="N2027" s="25" t="n">
        <f aca="false">IF(A2027-7&lt;$R$2,"",C2027/INDEX(Clean_Data!$C$2:$C$4314,MATCH(A2027-7,Clean_Data!$A$2:$A$4314,1))-1)</f>
        <v>0.0149389631402606</v>
      </c>
      <c r="O2027" s="25" t="n">
        <f aca="false">IF(A2027-30&lt;$R$2,"",C2027/INDEX(Clean_Data!$C$2:$C$4314,MATCH(A2027-30,Clean_Data!$A$2:$A$4314,1))-1)</f>
        <v>0.0126049605158798</v>
      </c>
    </row>
    <row r="2028" customFormat="false" ht="15" hidden="false" customHeight="false" outlineLevel="0" collapsed="false">
      <c r="A2028" s="16" t="n">
        <v>44034</v>
      </c>
      <c r="B2028" s="23" t="n">
        <f aca="false">YEAR(A2028)</f>
        <v>2020</v>
      </c>
      <c r="C2028" s="17" t="n">
        <v>9546.31</v>
      </c>
      <c r="D2028" s="23" t="n">
        <f aca="false">A2028-A2027</f>
        <v>1</v>
      </c>
      <c r="E2028" s="24" t="n">
        <f aca="false">LN(C2028)</f>
        <v>9.16390997137336</v>
      </c>
      <c r="F2028" s="25" t="n">
        <f aca="false">LN(C2028/C2027)</f>
        <v>0.0158014496134958</v>
      </c>
      <c r="G2028" s="25" t="n">
        <f aca="false">IF(AND(D2028=1,A2028&gt;=$R$2),F2028,"")</f>
        <v>0.0158014496134958</v>
      </c>
      <c r="H2028" s="27" t="n">
        <f aca="false">IF(G2028="","",G2028^2)</f>
        <v>0.000249685809887848</v>
      </c>
      <c r="I2028" s="25" t="n">
        <f aca="false">IF(G2028="","",C2028/C2027-1)</f>
        <v>0.0159269526905865</v>
      </c>
      <c r="J2028" s="17" t="n">
        <f aca="false">AVERAGE(C1829:C2028)</f>
        <v>8574.4591</v>
      </c>
      <c r="K2028" s="17" t="n">
        <f aca="false">MAX(K2027,C2028)</f>
        <v>19650.01</v>
      </c>
      <c r="L2028" s="25" t="n">
        <f aca="false">C2028/K2028-1</f>
        <v>-0.514182944436161</v>
      </c>
      <c r="M2028" s="25" t="n">
        <f aca="false">IF(COUNT(G1999:G2028)&lt;20,"",_xlfn.STDEV.S(G1999:G2028)*SQRT($R$3))</f>
        <v>0.262734121835661</v>
      </c>
      <c r="N2028" s="25" t="n">
        <f aca="false">IF(A2028-7&lt;$R$2,"",C2028/INDEX(Clean_Data!$C$2:$C$4314,MATCH(A2028-7,Clean_Data!$A$2:$A$4314,1))-1)</f>
        <v>0.0382619628452194</v>
      </c>
      <c r="O2028" s="25" t="n">
        <f aca="false">IF(A2028-30&lt;$R$2,"",C2028/INDEX(Clean_Data!$C$2:$C$4314,MATCH(A2028-30,Clean_Data!$A$2:$A$4314,1))-1)</f>
        <v>-0.0159366492421845</v>
      </c>
    </row>
    <row r="2029" customFormat="false" ht="15" hidden="false" customHeight="false" outlineLevel="0" collapsed="false">
      <c r="A2029" s="16" t="n">
        <v>44035</v>
      </c>
      <c r="B2029" s="23" t="n">
        <f aca="false">YEAR(A2029)</f>
        <v>2020</v>
      </c>
      <c r="C2029" s="17" t="n">
        <v>9612.05</v>
      </c>
      <c r="D2029" s="23" t="n">
        <f aca="false">A2029-A2028</f>
        <v>1</v>
      </c>
      <c r="E2029" s="24" t="n">
        <f aca="false">LN(C2029)</f>
        <v>9.17077279867388</v>
      </c>
      <c r="F2029" s="25" t="n">
        <f aca="false">LN(C2029/C2028)</f>
        <v>0.00686282730051259</v>
      </c>
      <c r="G2029" s="25" t="n">
        <f aca="false">IF(AND(D2029=1,A2029&gt;=$R$2),F2029,"")</f>
        <v>0.00686282730051259</v>
      </c>
      <c r="H2029" s="27" t="n">
        <f aca="false">IF(G2029="","",G2029^2)</f>
        <v>4.70983985566609E-005</v>
      </c>
      <c r="I2029" s="25" t="n">
        <f aca="false">IF(G2029="","",C2029/C2028-1)</f>
        <v>0.00688643046370796</v>
      </c>
      <c r="J2029" s="17" t="n">
        <f aca="false">AVERAGE(C1830:C2029)</f>
        <v>8585.7759</v>
      </c>
      <c r="K2029" s="17" t="n">
        <f aca="false">MAX(K2028,C2029)</f>
        <v>19650.01</v>
      </c>
      <c r="L2029" s="25" t="n">
        <f aca="false">C2029/K2029-1</f>
        <v>-0.510837399064937</v>
      </c>
      <c r="M2029" s="25" t="n">
        <f aca="false">IF(COUNT(G2000:G2029)&lt;20,"",_xlfn.STDEV.S(G2000:G2029)*SQRT($R$3))</f>
        <v>0.262539174548509</v>
      </c>
      <c r="N2029" s="25" t="n">
        <f aca="false">IF(A2029-7&lt;$R$2,"",C2029/INDEX(Clean_Data!$C$2:$C$4314,MATCH(A2029-7,Clean_Data!$A$2:$A$4314,1))-1)</f>
        <v>0.052693543140826</v>
      </c>
      <c r="O2029" s="25" t="n">
        <f aca="false">IF(A2029-30&lt;$R$2,"",C2029/INDEX(Clean_Data!$C$2:$C$4314,MATCH(A2029-30,Clean_Data!$A$2:$A$4314,1))-1)</f>
        <v>-0.0012147044704035</v>
      </c>
    </row>
    <row r="2030" customFormat="false" ht="15" hidden="false" customHeight="false" outlineLevel="0" collapsed="false">
      <c r="A2030" s="16" t="n">
        <v>44036</v>
      </c>
      <c r="B2030" s="23" t="n">
        <f aca="false">YEAR(A2030)</f>
        <v>2020</v>
      </c>
      <c r="C2030" s="17" t="n">
        <v>9553.41</v>
      </c>
      <c r="D2030" s="23" t="n">
        <f aca="false">A2030-A2029</f>
        <v>1</v>
      </c>
      <c r="E2030" s="24" t="n">
        <f aca="false">LN(C2030)</f>
        <v>9.16465343780397</v>
      </c>
      <c r="F2030" s="25" t="n">
        <f aca="false">LN(C2030/C2029)</f>
        <v>-0.0061193608699011</v>
      </c>
      <c r="G2030" s="25" t="n">
        <f aca="false">IF(AND(D2030=1,A2030&gt;=$R$2),F2030,"")</f>
        <v>-0.0061193608699011</v>
      </c>
      <c r="H2030" s="27" t="n">
        <f aca="false">IF(G2030="","",G2030^2)</f>
        <v>3.74465774560767E-005</v>
      </c>
      <c r="I2030" s="25" t="n">
        <f aca="false">IF(G2030="","",C2030/C2029-1)</f>
        <v>-0.0061006757143377</v>
      </c>
      <c r="J2030" s="17" t="n">
        <f aca="false">AVERAGE(C1831:C2030)</f>
        <v>8594.67555</v>
      </c>
      <c r="K2030" s="17" t="n">
        <f aca="false">MAX(K2029,C2030)</f>
        <v>19650.01</v>
      </c>
      <c r="L2030" s="25" t="n">
        <f aca="false">C2030/K2030-1</f>
        <v>-0.513821621464824</v>
      </c>
      <c r="M2030" s="25" t="n">
        <f aca="false">IF(COUNT(G2001:G2030)&lt;20,"",_xlfn.STDEV.S(G2001:G2030)*SQRT($R$3))</f>
        <v>0.22979908821815</v>
      </c>
      <c r="N2030" s="25" t="n">
        <f aca="false">IF(A2030-7&lt;$R$2,"",C2030/INDEX(Clean_Data!$C$2:$C$4314,MATCH(A2030-7,Clean_Data!$A$2:$A$4314,1))-1)</f>
        <v>0.0443567473613442</v>
      </c>
      <c r="O2030" s="25" t="n">
        <f aca="false">IF(A2030-30&lt;$R$2,"",C2030/INDEX(Clean_Data!$C$2:$C$4314,MATCH(A2030-30,Clean_Data!$A$2:$A$4314,1))-1)</f>
        <v>0.029007658254435</v>
      </c>
    </row>
    <row r="2031" customFormat="false" ht="15" hidden="false" customHeight="false" outlineLevel="0" collapsed="false">
      <c r="A2031" s="16" t="n">
        <v>44037</v>
      </c>
      <c r="B2031" s="23" t="n">
        <f aca="false">YEAR(A2031)</f>
        <v>2020</v>
      </c>
      <c r="C2031" s="17" t="n">
        <v>9709.02</v>
      </c>
      <c r="D2031" s="23" t="n">
        <f aca="false">A2031-A2030</f>
        <v>1</v>
      </c>
      <c r="E2031" s="24" t="n">
        <f aca="false">LN(C2031)</f>
        <v>9.1808106293124</v>
      </c>
      <c r="F2031" s="25" t="n">
        <f aca="false">LN(C2031/C2030)</f>
        <v>0.0161571915084313</v>
      </c>
      <c r="G2031" s="25" t="n">
        <f aca="false">IF(AND(D2031=1,A2031&gt;=$R$2),F2031,"")</f>
        <v>0.0161571915084313</v>
      </c>
      <c r="H2031" s="27" t="n">
        <f aca="false">IF(G2031="","",G2031^2)</f>
        <v>0.000261054837440126</v>
      </c>
      <c r="I2031" s="25" t="n">
        <f aca="false">IF(G2031="","",C2031/C2030-1)</f>
        <v>0.0162884247614203</v>
      </c>
      <c r="J2031" s="17" t="n">
        <f aca="false">AVERAGE(C1832:C2031)</f>
        <v>8602.3709</v>
      </c>
      <c r="K2031" s="17" t="n">
        <f aca="false">MAX(K2030,C2031)</f>
        <v>19650.01</v>
      </c>
      <c r="L2031" s="25" t="n">
        <f aca="false">C2031/K2031-1</f>
        <v>-0.505902541525424</v>
      </c>
      <c r="M2031" s="25" t="n">
        <f aca="false">IF(COUNT(G2002:G2031)&lt;20,"",_xlfn.STDEV.S(G2002:G2031)*SQRT($R$3))</f>
        <v>0.234498503037707</v>
      </c>
      <c r="N2031" s="25" t="n">
        <f aca="false">IF(A2031-7&lt;$R$2,"",C2031/INDEX(Clean_Data!$C$2:$C$4314,MATCH(A2031-7,Clean_Data!$A$2:$A$4314,1))-1)</f>
        <v>0.0582499509515402</v>
      </c>
      <c r="O2031" s="25" t="n">
        <f aca="false">IF(A2031-30&lt;$R$2,"",C2031/INDEX(Clean_Data!$C$2:$C$4314,MATCH(A2031-30,Clean_Data!$A$2:$A$4314,1))-1)</f>
        <v>0.0515745967654591</v>
      </c>
    </row>
    <row r="2032" customFormat="false" ht="15" hidden="false" customHeight="false" outlineLevel="0" collapsed="false">
      <c r="A2032" s="16" t="n">
        <v>44038</v>
      </c>
      <c r="B2032" s="23" t="n">
        <f aca="false">YEAR(A2032)</f>
        <v>2020</v>
      </c>
      <c r="C2032" s="17" t="n">
        <v>9944.58</v>
      </c>
      <c r="D2032" s="23" t="n">
        <f aca="false">A2032-A2031</f>
        <v>1</v>
      </c>
      <c r="E2032" s="24" t="n">
        <f aca="false">LN(C2032)</f>
        <v>9.20478295811874</v>
      </c>
      <c r="F2032" s="25" t="n">
        <f aca="false">LN(C2032/C2031)</f>
        <v>0.0239723288063336</v>
      </c>
      <c r="G2032" s="25" t="n">
        <f aca="false">IF(AND(D2032=1,A2032&gt;=$R$2),F2032,"")</f>
        <v>0.0239723288063336</v>
      </c>
      <c r="H2032" s="27" t="n">
        <f aca="false">IF(G2032="","",G2032^2)</f>
        <v>0.00057467254839897</v>
      </c>
      <c r="I2032" s="25" t="n">
        <f aca="false">IF(G2032="","",C2032/C2031-1)</f>
        <v>0.0242619749470079</v>
      </c>
      <c r="J2032" s="17" t="n">
        <f aca="false">AVERAGE(C1833:C2032)</f>
        <v>8611.9184</v>
      </c>
      <c r="K2032" s="17" t="n">
        <f aca="false">MAX(K2031,C2032)</f>
        <v>19650.01</v>
      </c>
      <c r="L2032" s="25" t="n">
        <f aca="false">C2032/K2032-1</f>
        <v>-0.493914761366534</v>
      </c>
      <c r="M2032" s="25" t="n">
        <f aca="false">IF(COUNT(G2003:G2032)&lt;20,"",_xlfn.STDEV.S(G2003:G2032)*SQRT($R$3))</f>
        <v>0.244085563277063</v>
      </c>
      <c r="N2032" s="25" t="n">
        <f aca="false">IF(A2032-7&lt;$R$2,"",C2032/INDEX(Clean_Data!$C$2:$C$4314,MATCH(A2032-7,Clean_Data!$A$2:$A$4314,1))-1)</f>
        <v>0.0783878478069686</v>
      </c>
      <c r="O2032" s="25" t="n">
        <f aca="false">IF(A2032-30&lt;$R$2,"",C2032/INDEX(Clean_Data!$C$2:$C$4314,MATCH(A2032-30,Clean_Data!$A$2:$A$4314,1))-1)</f>
        <v>0.0859824269811145</v>
      </c>
    </row>
    <row r="2033" customFormat="false" ht="15" hidden="false" customHeight="false" outlineLevel="0" collapsed="false">
      <c r="A2033" s="16" t="n">
        <v>44039</v>
      </c>
      <c r="B2033" s="23" t="n">
        <f aca="false">YEAR(A2033)</f>
        <v>2020</v>
      </c>
      <c r="C2033" s="17" t="n">
        <v>11108.44</v>
      </c>
      <c r="D2033" s="23" t="n">
        <f aca="false">A2033-A2032</f>
        <v>1</v>
      </c>
      <c r="E2033" s="24" t="n">
        <f aca="false">LN(C2033)</f>
        <v>9.3154604587333</v>
      </c>
      <c r="F2033" s="25" t="n">
        <f aca="false">LN(C2033/C2032)</f>
        <v>0.110677500614559</v>
      </c>
      <c r="G2033" s="25" t="n">
        <f aca="false">IF(AND(D2033=1,A2033&gt;=$R$2),F2033,"")</f>
        <v>0.110677500614559</v>
      </c>
      <c r="H2033" s="27" t="n">
        <f aca="false">IF(G2033="","",G2033^2)</f>
        <v>0.0122495091422857</v>
      </c>
      <c r="I2033" s="25" t="n">
        <f aca="false">IF(G2033="","",C2033/C2032-1)</f>
        <v>0.117034605785262</v>
      </c>
      <c r="J2033" s="17" t="n">
        <f aca="false">AVERAGE(C1834:C2033)</f>
        <v>8628.3917</v>
      </c>
      <c r="K2033" s="17" t="n">
        <f aca="false">MAX(K2032,C2033)</f>
        <v>19650.01</v>
      </c>
      <c r="L2033" s="25" t="n">
        <f aca="false">C2033/K2033-1</f>
        <v>-0.434685274969326</v>
      </c>
      <c r="M2033" s="25" t="n">
        <f aca="false">IF(COUNT(G2004:G2033)&lt;20,"",_xlfn.STDEV.S(G2004:G2033)*SQRT($R$3))</f>
        <v>0.440828673665225</v>
      </c>
      <c r="N2033" s="25" t="n">
        <f aca="false">IF(A2033-7&lt;$R$2,"",C2033/INDEX(Clean_Data!$C$2:$C$4314,MATCH(A2033-7,Clean_Data!$A$2:$A$4314,1))-1)</f>
        <v>0.212562205754094</v>
      </c>
      <c r="O2033" s="25" t="n">
        <f aca="false">IF(A2033-30&lt;$R$2,"",C2033/INDEX(Clean_Data!$C$2:$C$4314,MATCH(A2033-30,Clean_Data!$A$2:$A$4314,1))-1)</f>
        <v>0.234101079406837</v>
      </c>
    </row>
    <row r="2034" customFormat="false" ht="15" hidden="false" customHeight="false" outlineLevel="0" collapsed="false">
      <c r="A2034" s="16" t="n">
        <v>44040</v>
      </c>
      <c r="B2034" s="23" t="n">
        <f aca="false">YEAR(A2034)</f>
        <v>2020</v>
      </c>
      <c r="C2034" s="17" t="n">
        <v>10952.85</v>
      </c>
      <c r="D2034" s="23" t="n">
        <f aca="false">A2034-A2033</f>
        <v>1</v>
      </c>
      <c r="E2034" s="24" t="n">
        <f aca="false">LN(C2034)</f>
        <v>9.30135497535186</v>
      </c>
      <c r="F2034" s="25" t="n">
        <f aca="false">LN(C2034/C2033)</f>
        <v>-0.0141054833814419</v>
      </c>
      <c r="G2034" s="25" t="n">
        <f aca="false">IF(AND(D2034=1,A2034&gt;=$R$2),F2034,"")</f>
        <v>-0.0141054833814419</v>
      </c>
      <c r="H2034" s="27" t="n">
        <f aca="false">IF(G2034="","",G2034^2)</f>
        <v>0.000198964661424132</v>
      </c>
      <c r="I2034" s="25" t="n">
        <f aca="false">IF(G2034="","",C2034/C2033-1)</f>
        <v>-0.014006467154704</v>
      </c>
      <c r="J2034" s="17" t="n">
        <f aca="false">AVERAGE(C1835:C2034)</f>
        <v>8642.2365</v>
      </c>
      <c r="K2034" s="17" t="n">
        <f aca="false">MAX(K2033,C2034)</f>
        <v>19650.01</v>
      </c>
      <c r="L2034" s="25" t="n">
        <f aca="false">C2034/K2034-1</f>
        <v>-0.442603337097538</v>
      </c>
      <c r="M2034" s="25" t="n">
        <f aca="false">IF(COUNT(G2005:G2034)&lt;20,"",_xlfn.STDEV.S(G2005:G2034)*SQRT($R$3))</f>
        <v>0.446221355044052</v>
      </c>
      <c r="N2034" s="25" t="n">
        <f aca="false">IF(A2034-7&lt;$R$2,"",C2034/INDEX(Clean_Data!$C$2:$C$4314,MATCH(A2034-7,Clean_Data!$A$2:$A$4314,1))-1)</f>
        <v>0.165612212863095</v>
      </c>
      <c r="O2034" s="25" t="n">
        <f aca="false">IF(A2034-30&lt;$R$2,"",C2034/INDEX(Clean_Data!$C$2:$C$4314,MATCH(A2034-30,Clean_Data!$A$2:$A$4314,1))-1)</f>
        <v>0.20063337484215</v>
      </c>
    </row>
    <row r="2035" customFormat="false" ht="15" hidden="false" customHeight="false" outlineLevel="0" collapsed="false">
      <c r="A2035" s="16" t="n">
        <v>44041</v>
      </c>
      <c r="B2035" s="23" t="n">
        <f aca="false">YEAR(A2035)</f>
        <v>2020</v>
      </c>
      <c r="C2035" s="17" t="n">
        <v>11100.39</v>
      </c>
      <c r="D2035" s="23" t="n">
        <f aca="false">A2035-A2034</f>
        <v>1</v>
      </c>
      <c r="E2035" s="24" t="n">
        <f aca="false">LN(C2035)</f>
        <v>9.31473552181834</v>
      </c>
      <c r="F2035" s="25" t="n">
        <f aca="false">LN(C2035/C2034)</f>
        <v>0.0133805464664808</v>
      </c>
      <c r="G2035" s="25" t="n">
        <f aca="false">IF(AND(D2035=1,A2035&gt;=$R$2),F2035,"")</f>
        <v>0.0133805464664808</v>
      </c>
      <c r="H2035" s="27" t="n">
        <f aca="false">IF(G2035="","",G2035^2)</f>
        <v>0.000179039023741652</v>
      </c>
      <c r="I2035" s="25" t="n">
        <f aca="false">IF(G2035="","",C2035/C2034-1)</f>
        <v>0.0134704665908871</v>
      </c>
      <c r="J2035" s="17" t="n">
        <f aca="false">AVERAGE(C1836:C2035)</f>
        <v>8657.724</v>
      </c>
      <c r="K2035" s="17" t="n">
        <f aca="false">MAX(K2034,C2035)</f>
        <v>19650.01</v>
      </c>
      <c r="L2035" s="25" t="n">
        <f aca="false">C2035/K2035-1</f>
        <v>-0.435094943972039</v>
      </c>
      <c r="M2035" s="25" t="n">
        <f aca="false">IF(COUNT(G2006:G2035)&lt;20,"",_xlfn.STDEV.S(G2006:G2035)*SQRT($R$3))</f>
        <v>0.446925973176814</v>
      </c>
      <c r="N2035" s="25" t="n">
        <f aca="false">IF(A2035-7&lt;$R$2,"",C2035/INDEX(Clean_Data!$C$2:$C$4314,MATCH(A2035-7,Clean_Data!$A$2:$A$4314,1))-1)</f>
        <v>0.162793791527826</v>
      </c>
      <c r="O2035" s="25" t="n">
        <f aca="false">IF(A2035-30&lt;$R$2,"",C2035/INDEX(Clean_Data!$C$2:$C$4314,MATCH(A2035-30,Clean_Data!$A$2:$A$4314,1))-1)</f>
        <v>0.207739050489335</v>
      </c>
    </row>
    <row r="2036" customFormat="false" ht="15" hidden="false" customHeight="false" outlineLevel="0" collapsed="false">
      <c r="A2036" s="16" t="n">
        <v>44042</v>
      </c>
      <c r="B2036" s="23" t="n">
        <f aca="false">YEAR(A2036)</f>
        <v>2020</v>
      </c>
      <c r="C2036" s="17" t="n">
        <v>11139.67</v>
      </c>
      <c r="D2036" s="23" t="n">
        <f aca="false">A2036-A2035</f>
        <v>1</v>
      </c>
      <c r="E2036" s="24" t="n">
        <f aca="false">LN(C2036)</f>
        <v>9.31826789006225</v>
      </c>
      <c r="F2036" s="25" t="n">
        <f aca="false">LN(C2036/C2035)</f>
        <v>0.00353236824391824</v>
      </c>
      <c r="G2036" s="25" t="n">
        <f aca="false">IF(AND(D2036=1,A2036&gt;=$R$2),F2036,"")</f>
        <v>0.00353236824391824</v>
      </c>
      <c r="H2036" s="27" t="n">
        <f aca="false">IF(G2036="","",G2036^2)</f>
        <v>1.2477625410642E-005</v>
      </c>
      <c r="I2036" s="25" t="n">
        <f aca="false">IF(G2036="","",C2036/C2035-1)</f>
        <v>0.00353861440904324</v>
      </c>
      <c r="J2036" s="17" t="n">
        <f aca="false">AVERAGE(C1837:C2036)</f>
        <v>8672.45905</v>
      </c>
      <c r="K2036" s="17" t="n">
        <f aca="false">MAX(K2035,C2036)</f>
        <v>19650.01</v>
      </c>
      <c r="L2036" s="25" t="n">
        <f aca="false">C2036/K2036-1</f>
        <v>-0.433095962801037</v>
      </c>
      <c r="M2036" s="25" t="n">
        <f aca="false">IF(COUNT(G2007:G2036)&lt;20,"",_xlfn.STDEV.S(G2007:G2036)*SQRT($R$3))</f>
        <v>0.444592860512678</v>
      </c>
      <c r="N2036" s="25" t="n">
        <f aca="false">IF(A2036-7&lt;$R$2,"",C2036/INDEX(Clean_Data!$C$2:$C$4314,MATCH(A2036-7,Clean_Data!$A$2:$A$4314,1))-1)</f>
        <v>0.158927596090324</v>
      </c>
      <c r="O2036" s="25" t="n">
        <f aca="false">IF(A2036-30&lt;$R$2,"",C2036/INDEX(Clean_Data!$C$2:$C$4314,MATCH(A2036-30,Clean_Data!$A$2:$A$4314,1))-1)</f>
        <v>0.220188028439767</v>
      </c>
    </row>
    <row r="2037" customFormat="false" ht="15" hidden="false" customHeight="false" outlineLevel="0" collapsed="false">
      <c r="A2037" s="16" t="n">
        <v>44043</v>
      </c>
      <c r="B2037" s="23" t="n">
        <f aca="false">YEAR(A2037)</f>
        <v>2020</v>
      </c>
      <c r="C2037" s="17" t="n">
        <v>11372.76</v>
      </c>
      <c r="D2037" s="23" t="n">
        <f aca="false">A2037-A2036</f>
        <v>1</v>
      </c>
      <c r="E2037" s="24" t="n">
        <f aca="false">LN(C2037)</f>
        <v>9.33897630135033</v>
      </c>
      <c r="F2037" s="25" t="n">
        <f aca="false">LN(C2037/C2036)</f>
        <v>0.0207084112880786</v>
      </c>
      <c r="G2037" s="25" t="n">
        <f aca="false">IF(AND(D2037=1,A2037&gt;=$R$2),F2037,"")</f>
        <v>0.0207084112880786</v>
      </c>
      <c r="H2037" s="27" t="n">
        <f aca="false">IF(G2037="","",G2037^2)</f>
        <v>0.000428838298076221</v>
      </c>
      <c r="I2037" s="25" t="n">
        <f aca="false">IF(G2037="","",C2037/C2036-1)</f>
        <v>0.0209243182248666</v>
      </c>
      <c r="J2037" s="17" t="n">
        <f aca="false">AVERAGE(C1838:C2037)</f>
        <v>8688.77475</v>
      </c>
      <c r="K2037" s="17" t="n">
        <f aca="false">MAX(K2036,C2037)</f>
        <v>19650.01</v>
      </c>
      <c r="L2037" s="25" t="n">
        <f aca="false">C2037/K2037-1</f>
        <v>-0.421233882323724</v>
      </c>
      <c r="M2037" s="25" t="n">
        <f aca="false">IF(COUNT(G2008:G2037)&lt;20,"",_xlfn.STDEV.S(G2008:G2037)*SQRT($R$3))</f>
        <v>0.446956422857491</v>
      </c>
      <c r="N2037" s="25" t="n">
        <f aca="false">IF(A2037-7&lt;$R$2,"",C2037/INDEX(Clean_Data!$C$2:$C$4314,MATCH(A2037-7,Clean_Data!$A$2:$A$4314,1))-1)</f>
        <v>0.190439853413598</v>
      </c>
      <c r="O2037" s="25" t="n">
        <f aca="false">IF(A2037-30&lt;$R$2,"",C2037/INDEX(Clean_Data!$C$2:$C$4314,MATCH(A2037-30,Clean_Data!$A$2:$A$4314,1))-1)</f>
        <v>0.230939410699539</v>
      </c>
    </row>
    <row r="2038" customFormat="false" ht="15" hidden="false" customHeight="false" outlineLevel="0" collapsed="false">
      <c r="A2038" s="16" t="n">
        <v>44044</v>
      </c>
      <c r="B2038" s="23" t="n">
        <f aca="false">YEAR(A2038)</f>
        <v>2020</v>
      </c>
      <c r="C2038" s="17" t="n">
        <v>11805.82</v>
      </c>
      <c r="D2038" s="23" t="n">
        <f aca="false">A2038-A2037</f>
        <v>1</v>
      </c>
      <c r="E2038" s="24" t="n">
        <f aca="false">LN(C2038)</f>
        <v>9.37634790919957</v>
      </c>
      <c r="F2038" s="25" t="n">
        <f aca="false">LN(C2038/C2037)</f>
        <v>0.0373716078492344</v>
      </c>
      <c r="G2038" s="25" t="n">
        <f aca="false">IF(AND(D2038=1,A2038&gt;=$R$2),F2038,"")</f>
        <v>0.0373716078492344</v>
      </c>
      <c r="H2038" s="27" t="n">
        <f aca="false">IF(G2038="","",G2038^2)</f>
        <v>0.00139663707323696</v>
      </c>
      <c r="I2038" s="25" t="n">
        <f aca="false">IF(G2038="","",C2038/C2037-1)</f>
        <v>0.0380787073674287</v>
      </c>
      <c r="J2038" s="17" t="n">
        <f aca="false">AVERAGE(C1839:C2038)</f>
        <v>8704.01795</v>
      </c>
      <c r="K2038" s="17" t="n">
        <f aca="false">MAX(K2037,C2038)</f>
        <v>19650.01</v>
      </c>
      <c r="L2038" s="25" t="n">
        <f aca="false">C2038/K2038-1</f>
        <v>-0.399195216694546</v>
      </c>
      <c r="M2038" s="25" t="n">
        <f aca="false">IF(COUNT(G2009:G2038)&lt;20,"",_xlfn.STDEV.S(G2009:G2038)*SQRT($R$3))</f>
        <v>0.450951316112314</v>
      </c>
      <c r="N2038" s="25" t="n">
        <f aca="false">IF(A2038-7&lt;$R$2,"",C2038/INDEX(Clean_Data!$C$2:$C$4314,MATCH(A2038-7,Clean_Data!$A$2:$A$4314,1))-1)</f>
        <v>0.215964124082554</v>
      </c>
      <c r="O2038" s="25" t="n">
        <f aca="false">IF(A2038-30&lt;$R$2,"",C2038/INDEX(Clean_Data!$C$2:$C$4314,MATCH(A2038-30,Clean_Data!$A$2:$A$4314,1))-1)</f>
        <v>0.29897871385283</v>
      </c>
    </row>
    <row r="2039" customFormat="false" ht="15" hidden="false" customHeight="false" outlineLevel="0" collapsed="false">
      <c r="A2039" s="16" t="n">
        <v>44045</v>
      </c>
      <c r="B2039" s="23" t="n">
        <f aca="false">YEAR(A2039)</f>
        <v>2020</v>
      </c>
      <c r="C2039" s="17" t="n">
        <v>11050.03</v>
      </c>
      <c r="D2039" s="23" t="n">
        <f aca="false">A2039-A2038</f>
        <v>1</v>
      </c>
      <c r="E2039" s="24" t="n">
        <f aca="false">LN(C2039)</f>
        <v>9.31018842187434</v>
      </c>
      <c r="F2039" s="25" t="n">
        <f aca="false">LN(C2039/C2038)</f>
        <v>-0.0661594873252274</v>
      </c>
      <c r="G2039" s="25" t="n">
        <f aca="false">IF(AND(D2039=1,A2039&gt;=$R$2),F2039,"")</f>
        <v>-0.0661594873252274</v>
      </c>
      <c r="H2039" s="27" t="n">
        <f aca="false">IF(G2039="","",G2039^2)</f>
        <v>0.00437707776313692</v>
      </c>
      <c r="I2039" s="25" t="n">
        <f aca="false">IF(G2039="","",C2039/C2038-1)</f>
        <v>-0.0640184248108136</v>
      </c>
      <c r="J2039" s="17" t="n">
        <f aca="false">AVERAGE(C1840:C2039)</f>
        <v>8715.1088</v>
      </c>
      <c r="K2039" s="17" t="n">
        <f aca="false">MAX(K2038,C2039)</f>
        <v>19650.01</v>
      </c>
      <c r="L2039" s="25" t="n">
        <f aca="false">C2039/K2039-1</f>
        <v>-0.437657792540564</v>
      </c>
      <c r="M2039" s="25" t="n">
        <f aca="false">IF(COUNT(G2010:G2039)&lt;20,"",_xlfn.STDEV.S(G2010:G2039)*SQRT($R$3))</f>
        <v>0.519809983597915</v>
      </c>
      <c r="N2039" s="25" t="n">
        <f aca="false">IF(A2039-7&lt;$R$2,"",C2039/INDEX(Clean_Data!$C$2:$C$4314,MATCH(A2039-7,Clean_Data!$A$2:$A$4314,1))-1)</f>
        <v>0.111161054564396</v>
      </c>
      <c r="O2039" s="25" t="n">
        <f aca="false">IF(A2039-30&lt;$R$2,"",C2039/INDEX(Clean_Data!$C$2:$C$4314,MATCH(A2039-30,Clean_Data!$A$2:$A$4314,1))-1)</f>
        <v>0.220991044248374</v>
      </c>
    </row>
    <row r="2040" customFormat="false" ht="15" hidden="false" customHeight="false" outlineLevel="0" collapsed="false">
      <c r="A2040" s="16" t="n">
        <v>44046</v>
      </c>
      <c r="B2040" s="23" t="n">
        <f aca="false">YEAR(A2040)</f>
        <v>2020</v>
      </c>
      <c r="C2040" s="17" t="n">
        <v>11235.44</v>
      </c>
      <c r="D2040" s="23" t="n">
        <f aca="false">A2040-A2039</f>
        <v>1</v>
      </c>
      <c r="E2040" s="24" t="n">
        <f aca="false">LN(C2040)</f>
        <v>9.32682834718145</v>
      </c>
      <c r="F2040" s="25" t="n">
        <f aca="false">LN(C2040/C2039)</f>
        <v>0.0166399253071093</v>
      </c>
      <c r="G2040" s="25" t="n">
        <f aca="false">IF(AND(D2040=1,A2040&gt;=$R$2),F2040,"")</f>
        <v>0.0166399253071093</v>
      </c>
      <c r="H2040" s="27" t="n">
        <f aca="false">IF(G2040="","",G2040^2)</f>
        <v>0.000276887114226175</v>
      </c>
      <c r="I2040" s="25" t="n">
        <f aca="false">IF(G2040="","",C2040/C2039-1)</f>
        <v>0.0167791399661359</v>
      </c>
      <c r="J2040" s="17" t="n">
        <f aca="false">AVERAGE(C1841:C2040)</f>
        <v>8727.6499</v>
      </c>
      <c r="K2040" s="17" t="n">
        <f aca="false">MAX(K2039,C2040)</f>
        <v>19650.01</v>
      </c>
      <c r="L2040" s="25" t="n">
        <f aca="false">C2040/K2040-1</f>
        <v>-0.428222173932736</v>
      </c>
      <c r="M2040" s="25" t="n">
        <f aca="false">IF(COUNT(G2011:G2040)&lt;20,"",_xlfn.STDEV.S(G2011:G2040)*SQRT($R$3))</f>
        <v>0.520884437587531</v>
      </c>
      <c r="N2040" s="25" t="n">
        <f aca="false">IF(A2040-7&lt;$R$2,"",C2040/INDEX(Clean_Data!$C$2:$C$4314,MATCH(A2040-7,Clean_Data!$A$2:$A$4314,1))-1)</f>
        <v>0.0114327484327232</v>
      </c>
      <c r="O2040" s="25" t="n">
        <f aca="false">IF(A2040-30&lt;$R$2,"",C2040/INDEX(Clean_Data!$C$2:$C$4314,MATCH(A2040-30,Clean_Data!$A$2:$A$4314,1))-1)</f>
        <v>0.229499836948553</v>
      </c>
    </row>
    <row r="2041" customFormat="false" ht="15" hidden="false" customHeight="false" outlineLevel="0" collapsed="false">
      <c r="A2041" s="16" t="n">
        <v>44047</v>
      </c>
      <c r="B2041" s="23" t="n">
        <f aca="false">YEAR(A2041)</f>
        <v>2020</v>
      </c>
      <c r="C2041" s="17" t="n">
        <v>11198.04</v>
      </c>
      <c r="D2041" s="23" t="n">
        <f aca="false">A2041-A2040</f>
        <v>1</v>
      </c>
      <c r="E2041" s="24" t="n">
        <f aca="false">LN(C2041)</f>
        <v>9.3234940419689</v>
      </c>
      <c r="F2041" s="25" t="n">
        <f aca="false">LN(C2041/C2040)</f>
        <v>-0.00333430521255016</v>
      </c>
      <c r="G2041" s="25" t="n">
        <f aca="false">IF(AND(D2041=1,A2041&gt;=$R$2),F2041,"")</f>
        <v>-0.00333430521255016</v>
      </c>
      <c r="H2041" s="27" t="n">
        <f aca="false">IF(G2041="","",G2041^2)</f>
        <v>1.11175912504392E-005</v>
      </c>
      <c r="I2041" s="25" t="n">
        <f aca="false">IF(G2041="","",C2041/C2040-1)</f>
        <v>-0.00332875259001875</v>
      </c>
      <c r="J2041" s="17" t="n">
        <f aca="false">AVERAGE(C1842:C2041)</f>
        <v>8739.26105</v>
      </c>
      <c r="K2041" s="17" t="n">
        <f aca="false">MAX(K2040,C2041)</f>
        <v>19650.01</v>
      </c>
      <c r="L2041" s="25" t="n">
        <f aca="false">C2041/K2041-1</f>
        <v>-0.430125480852173</v>
      </c>
      <c r="M2041" s="25" t="n">
        <f aca="false">IF(COUNT(G2012:G2041)&lt;20,"",_xlfn.STDEV.S(G2012:G2041)*SQRT($R$3))</f>
        <v>0.520304644242299</v>
      </c>
      <c r="N2041" s="25" t="n">
        <f aca="false">IF(A2041-7&lt;$R$2,"",C2041/INDEX(Clean_Data!$C$2:$C$4314,MATCH(A2041-7,Clean_Data!$A$2:$A$4314,1))-1)</f>
        <v>0.0223859543406511</v>
      </c>
      <c r="O2041" s="25" t="n">
        <f aca="false">IF(A2041-30&lt;$R$2,"",C2041/INDEX(Clean_Data!$C$2:$C$4314,MATCH(A2041-30,Clean_Data!$A$2:$A$4314,1))-1)</f>
        <v>0.232108198034444</v>
      </c>
    </row>
    <row r="2042" customFormat="false" ht="15" hidden="false" customHeight="false" outlineLevel="0" collapsed="false">
      <c r="A2042" s="16" t="n">
        <v>44048</v>
      </c>
      <c r="B2042" s="23" t="n">
        <f aca="false">YEAR(A2042)</f>
        <v>2020</v>
      </c>
      <c r="C2042" s="17" t="n">
        <v>11737.59</v>
      </c>
      <c r="D2042" s="23" t="n">
        <f aca="false">A2042-A2041</f>
        <v>1</v>
      </c>
      <c r="E2042" s="24" t="n">
        <f aca="false">LN(C2042)</f>
        <v>9.37055179121875</v>
      </c>
      <c r="F2042" s="25" t="n">
        <f aca="false">LN(C2042/C2041)</f>
        <v>0.0470577492498515</v>
      </c>
      <c r="G2042" s="25" t="n">
        <f aca="false">IF(AND(D2042=1,A2042&gt;=$R$2),F2042,"")</f>
        <v>0.0470577492498515</v>
      </c>
      <c r="H2042" s="27" t="n">
        <f aca="false">IF(G2042="","",G2042^2)</f>
        <v>0.0022144317644619</v>
      </c>
      <c r="I2042" s="25" t="n">
        <f aca="false">IF(G2042="","",C2042/C2041-1)</f>
        <v>0.0481825390871973</v>
      </c>
      <c r="J2042" s="17" t="n">
        <f aca="false">AVERAGE(C1843:C2042)</f>
        <v>8753.444</v>
      </c>
      <c r="K2042" s="17" t="n">
        <f aca="false">MAX(K2041,C2042)</f>
        <v>19650.01</v>
      </c>
      <c r="L2042" s="25" t="n">
        <f aca="false">C2042/K2042-1</f>
        <v>-0.402667479558535</v>
      </c>
      <c r="M2042" s="25" t="n">
        <f aca="false">IF(COUNT(G2013:G2042)&lt;20,"",_xlfn.STDEV.S(G2013:G2042)*SQRT($R$3))</f>
        <v>0.534805776832083</v>
      </c>
      <c r="N2042" s="25" t="n">
        <f aca="false">IF(A2042-7&lt;$R$2,"",C2042/INDEX(Clean_Data!$C$2:$C$4314,MATCH(A2042-7,Clean_Data!$A$2:$A$4314,1))-1)</f>
        <v>0.0574033885295924</v>
      </c>
      <c r="O2042" s="25" t="n">
        <f aca="false">IF(A2042-30&lt;$R$2,"",C2042/INDEX(Clean_Data!$C$2:$C$4314,MATCH(A2042-30,Clean_Data!$A$2:$A$4314,1))-1)</f>
        <v>0.257820394805228</v>
      </c>
    </row>
    <row r="2043" customFormat="false" ht="15" hidden="false" customHeight="false" outlineLevel="0" collapsed="false">
      <c r="A2043" s="16" t="n">
        <v>44049</v>
      </c>
      <c r="B2043" s="23" t="n">
        <f aca="false">YEAR(A2043)</f>
        <v>2020</v>
      </c>
      <c r="C2043" s="17" t="n">
        <v>11766.62</v>
      </c>
      <c r="D2043" s="23" t="n">
        <f aca="false">A2043-A2042</f>
        <v>1</v>
      </c>
      <c r="E2043" s="24" t="n">
        <f aca="false">LN(C2043)</f>
        <v>9.37302198823975</v>
      </c>
      <c r="F2043" s="25" t="n">
        <f aca="false">LN(C2043/C2042)</f>
        <v>0.00247019702099732</v>
      </c>
      <c r="G2043" s="25" t="n">
        <f aca="false">IF(AND(D2043=1,A2043&gt;=$R$2),F2043,"")</f>
        <v>0.00247019702099732</v>
      </c>
      <c r="H2043" s="27" t="n">
        <f aca="false">IF(G2043="","",G2043^2)</f>
        <v>6.10187332254402E-006</v>
      </c>
      <c r="I2043" s="25" t="n">
        <f aca="false">IF(G2043="","",C2043/C2042-1)</f>
        <v>0.00247325047134894</v>
      </c>
      <c r="J2043" s="17" t="n">
        <f aca="false">AVERAGE(C1844:C2043)</f>
        <v>8768.72505</v>
      </c>
      <c r="K2043" s="17" t="n">
        <f aca="false">MAX(K2042,C2043)</f>
        <v>19650.01</v>
      </c>
      <c r="L2043" s="25" t="n">
        <f aca="false">C2043/K2043-1</f>
        <v>-0.401190126620801</v>
      </c>
      <c r="M2043" s="25" t="n">
        <f aca="false">IF(COUNT(G2014:G2043)&lt;20,"",_xlfn.STDEV.S(G2014:G2043)*SQRT($R$3))</f>
        <v>0.532439792621397</v>
      </c>
      <c r="N2043" s="25" t="n">
        <f aca="false">IF(A2043-7&lt;$R$2,"",C2043/INDEX(Clean_Data!$C$2:$C$4314,MATCH(A2043-7,Clean_Data!$A$2:$A$4314,1))-1)</f>
        <v>0.0562808413534692</v>
      </c>
      <c r="O2043" s="25" t="n">
        <f aca="false">IF(A2043-30&lt;$R$2,"",C2043/INDEX(Clean_Data!$C$2:$C$4314,MATCH(A2043-30,Clean_Data!$A$2:$A$4314,1))-1)</f>
        <v>0.270204975193122</v>
      </c>
    </row>
    <row r="2044" customFormat="false" ht="15" hidden="false" customHeight="false" outlineLevel="0" collapsed="false">
      <c r="A2044" s="16" t="n">
        <v>44050</v>
      </c>
      <c r="B2044" s="23" t="n">
        <f aca="false">YEAR(A2044)</f>
        <v>2020</v>
      </c>
      <c r="C2044" s="17" t="n">
        <v>11598.96</v>
      </c>
      <c r="D2044" s="23" t="n">
        <f aca="false">A2044-A2043</f>
        <v>1</v>
      </c>
      <c r="E2044" s="24" t="n">
        <f aca="false">LN(C2044)</f>
        <v>9.35867071790278</v>
      </c>
      <c r="F2044" s="25" t="n">
        <f aca="false">LN(C2044/C2043)</f>
        <v>-0.0143512703369712</v>
      </c>
      <c r="G2044" s="25" t="n">
        <f aca="false">IF(AND(D2044=1,A2044&gt;=$R$2),F2044,"")</f>
        <v>-0.0143512703369712</v>
      </c>
      <c r="H2044" s="27" t="n">
        <f aca="false">IF(G2044="","",G2044^2)</f>
        <v>0.00020595896028483</v>
      </c>
      <c r="I2044" s="25" t="n">
        <f aca="false">IF(G2044="","",C2044/C2043-1)</f>
        <v>-0.0142487817232138</v>
      </c>
      <c r="J2044" s="17" t="n">
        <f aca="false">AVERAGE(C1845:C2044)</f>
        <v>8783.5515</v>
      </c>
      <c r="K2044" s="17" t="n">
        <f aca="false">MAX(K2043,C2044)</f>
        <v>19650.01</v>
      </c>
      <c r="L2044" s="25" t="n">
        <f aca="false">C2044/K2044-1</f>
        <v>-0.409722437800286</v>
      </c>
      <c r="M2044" s="25" t="n">
        <f aca="false">IF(COUNT(G2015:G2044)&lt;20,"",_xlfn.STDEV.S(G2015:G2044)*SQRT($R$3))</f>
        <v>0.536593888957908</v>
      </c>
      <c r="N2044" s="25" t="n">
        <f aca="false">IF(A2044-7&lt;$R$2,"",C2044/INDEX(Clean_Data!$C$2:$C$4314,MATCH(A2044-7,Clean_Data!$A$2:$A$4314,1))-1)</f>
        <v>0.0198896310130521</v>
      </c>
      <c r="O2044" s="25" t="n">
        <f aca="false">IF(A2044-30&lt;$R$2,"",C2044/INDEX(Clean_Data!$C$2:$C$4314,MATCH(A2044-30,Clean_Data!$A$2:$A$4314,1))-1)</f>
        <v>0.229222944867587</v>
      </c>
    </row>
    <row r="2045" customFormat="false" ht="15" hidden="false" customHeight="false" outlineLevel="0" collapsed="false">
      <c r="A2045" s="16" t="n">
        <v>44051</v>
      </c>
      <c r="B2045" s="23" t="n">
        <f aca="false">YEAR(A2045)</f>
        <v>2020</v>
      </c>
      <c r="C2045" s="17" t="n">
        <v>11780.14</v>
      </c>
      <c r="D2045" s="23" t="n">
        <f aca="false">A2045-A2044</f>
        <v>1</v>
      </c>
      <c r="E2045" s="24" t="n">
        <f aca="false">LN(C2045)</f>
        <v>9.37417034168504</v>
      </c>
      <c r="F2045" s="25" t="n">
        <f aca="false">LN(C2045/C2044)</f>
        <v>0.0154996237822648</v>
      </c>
      <c r="G2045" s="25" t="n">
        <f aca="false">IF(AND(D2045=1,A2045&gt;=$R$2),F2045,"")</f>
        <v>0.0154996237822648</v>
      </c>
      <c r="H2045" s="27" t="n">
        <f aca="false">IF(G2045="","",G2045^2)</f>
        <v>0.000240238337391749</v>
      </c>
      <c r="I2045" s="25" t="n">
        <f aca="false">IF(G2045="","",C2045/C2044-1)</f>
        <v>0.015620365963845</v>
      </c>
      <c r="J2045" s="17" t="n">
        <f aca="false">AVERAGE(C1846:C2045)</f>
        <v>8798.8022</v>
      </c>
      <c r="K2045" s="17" t="n">
        <f aca="false">MAX(K2044,C2045)</f>
        <v>19650.01</v>
      </c>
      <c r="L2045" s="25" t="n">
        <f aca="false">C2045/K2045-1</f>
        <v>-0.40050208625848</v>
      </c>
      <c r="M2045" s="25" t="n">
        <f aca="false">IF(COUNT(G2016:G2045)&lt;20,"",_xlfn.STDEV.S(G2016:G2045)*SQRT($R$3))</f>
        <v>0.527033510909536</v>
      </c>
      <c r="N2045" s="25" t="n">
        <f aca="false">IF(A2045-7&lt;$R$2,"",C2045/INDEX(Clean_Data!$C$2:$C$4314,MATCH(A2045-7,Clean_Data!$A$2:$A$4314,1))-1)</f>
        <v>-0.00217519833438085</v>
      </c>
      <c r="O2045" s="25" t="n">
        <f aca="false">IF(A2045-30&lt;$R$2,"",C2045/INDEX(Clean_Data!$C$2:$C$4314,MATCH(A2045-30,Clean_Data!$A$2:$A$4314,1))-1)</f>
        <v>0.276221821617077</v>
      </c>
    </row>
    <row r="2046" customFormat="false" ht="15" hidden="false" customHeight="false" outlineLevel="0" collapsed="false">
      <c r="A2046" s="16" t="n">
        <v>44052</v>
      </c>
      <c r="B2046" s="23" t="n">
        <f aca="false">YEAR(A2046)</f>
        <v>2020</v>
      </c>
      <c r="C2046" s="17" t="n">
        <v>11692.76</v>
      </c>
      <c r="D2046" s="23" t="n">
        <f aca="false">A2046-A2045</f>
        <v>1</v>
      </c>
      <c r="E2046" s="24" t="n">
        <f aca="false">LN(C2046)</f>
        <v>9.36672512582919</v>
      </c>
      <c r="F2046" s="25" t="n">
        <f aca="false">LN(C2046/C2045)</f>
        <v>-0.00744521585585358</v>
      </c>
      <c r="G2046" s="25" t="n">
        <f aca="false">IF(AND(D2046=1,A2046&gt;=$R$2),F2046,"")</f>
        <v>-0.00744521585585358</v>
      </c>
      <c r="H2046" s="27" t="n">
        <f aca="false">IF(G2046="","",G2046^2)</f>
        <v>5.54312391402536E-005</v>
      </c>
      <c r="I2046" s="25" t="n">
        <f aca="false">IF(G2046="","",C2046/C2045-1)</f>
        <v>-0.00741756889137135</v>
      </c>
      <c r="J2046" s="17" t="n">
        <f aca="false">AVERAGE(C1847:C2046)</f>
        <v>8813.941</v>
      </c>
      <c r="K2046" s="17" t="n">
        <f aca="false">MAX(K2045,C2046)</f>
        <v>19650.01</v>
      </c>
      <c r="L2046" s="25" t="n">
        <f aca="false">C2046/K2046-1</f>
        <v>-0.404948903333891</v>
      </c>
      <c r="M2046" s="25" t="n">
        <f aca="false">IF(COUNT(G2017:G2046)&lt;20,"",_xlfn.STDEV.S(G2017:G2046)*SQRT($R$3))</f>
        <v>0.529828070674212</v>
      </c>
      <c r="N2046" s="25" t="n">
        <f aca="false">IF(A2046-7&lt;$R$2,"",C2046/INDEX(Clean_Data!$C$2:$C$4314,MATCH(A2046-7,Clean_Data!$A$2:$A$4314,1))-1)</f>
        <v>0.0581654529444715</v>
      </c>
      <c r="O2046" s="25" t="n">
        <f aca="false">IF(A2046-30&lt;$R$2,"",C2046/INDEX(Clean_Data!$C$2:$C$4314,MATCH(A2046-30,Clean_Data!$A$2:$A$4314,1))-1)</f>
        <v>0.257534824094229</v>
      </c>
    </row>
    <row r="2047" customFormat="false" ht="15" hidden="false" customHeight="false" outlineLevel="0" collapsed="false">
      <c r="A2047" s="16" t="n">
        <v>44053</v>
      </c>
      <c r="B2047" s="23" t="n">
        <f aca="false">YEAR(A2047)</f>
        <v>2020</v>
      </c>
      <c r="C2047" s="17" t="n">
        <v>11896.19</v>
      </c>
      <c r="D2047" s="23" t="n">
        <f aca="false">A2047-A2046</f>
        <v>1</v>
      </c>
      <c r="E2047" s="24" t="n">
        <f aca="false">LN(C2047)</f>
        <v>9.38397345976766</v>
      </c>
      <c r="F2047" s="25" t="n">
        <f aca="false">LN(C2047/C2046)</f>
        <v>0.0172483339384674</v>
      </c>
      <c r="G2047" s="25" t="n">
        <f aca="false">IF(AND(D2047=1,A2047&gt;=$R$2),F2047,"")</f>
        <v>0.0172483339384674</v>
      </c>
      <c r="H2047" s="27" t="n">
        <f aca="false">IF(G2047="","",G2047^2)</f>
        <v>0.000297505023652887</v>
      </c>
      <c r="I2047" s="25" t="n">
        <f aca="false">IF(G2047="","",C2047/C2046-1)</f>
        <v>0.0173979453952702</v>
      </c>
      <c r="J2047" s="17" t="n">
        <f aca="false">AVERAGE(C1848:C2047)</f>
        <v>8831.4888</v>
      </c>
      <c r="K2047" s="17" t="n">
        <f aca="false">MAX(K2046,C2047)</f>
        <v>19650.01</v>
      </c>
      <c r="L2047" s="25" t="n">
        <f aca="false">C2047/K2047-1</f>
        <v>-0.394596236846699</v>
      </c>
      <c r="M2047" s="25" t="n">
        <f aca="false">IF(COUNT(G2018:G2047)&lt;20,"",_xlfn.STDEV.S(G2018:G2047)*SQRT($R$3))</f>
        <v>0.528211654194536</v>
      </c>
      <c r="N2047" s="25" t="n">
        <f aca="false">IF(A2047-7&lt;$R$2,"",C2047/INDEX(Clean_Data!$C$2:$C$4314,MATCH(A2047-7,Clean_Data!$A$2:$A$4314,1))-1)</f>
        <v>0.0588094458249966</v>
      </c>
      <c r="O2047" s="25" t="n">
        <f aca="false">IF(A2047-30&lt;$R$2,"",C2047/INDEX(Clean_Data!$C$2:$C$4314,MATCH(A2047-30,Clean_Data!$A$2:$A$4314,1))-1)</f>
        <v>0.288163508391987</v>
      </c>
    </row>
    <row r="2048" customFormat="false" ht="15" hidden="false" customHeight="false" outlineLevel="0" collapsed="false">
      <c r="A2048" s="16" t="n">
        <v>44054</v>
      </c>
      <c r="B2048" s="23" t="n">
        <f aca="false">YEAR(A2048)</f>
        <v>2020</v>
      </c>
      <c r="C2048" s="17" t="n">
        <v>11387.01</v>
      </c>
      <c r="D2048" s="23" t="n">
        <f aca="false">A2048-A2047</f>
        <v>1</v>
      </c>
      <c r="E2048" s="24" t="n">
        <f aca="false">LN(C2048)</f>
        <v>9.34022851100465</v>
      </c>
      <c r="F2048" s="25" t="n">
        <f aca="false">LN(C2048/C2047)</f>
        <v>-0.0437449487630041</v>
      </c>
      <c r="G2048" s="25" t="n">
        <f aca="false">IF(AND(D2048=1,A2048&gt;=$R$2),F2048,"")</f>
        <v>-0.0437449487630041</v>
      </c>
      <c r="H2048" s="27" t="n">
        <f aca="false">IF(G2048="","",G2048^2)</f>
        <v>0.00191362054227785</v>
      </c>
      <c r="I2048" s="25" t="n">
        <f aca="false">IF(G2048="","",C2048/C2047-1)</f>
        <v>-0.0428019391082355</v>
      </c>
      <c r="J2048" s="17" t="n">
        <f aca="false">AVERAGE(C1849:C2048)</f>
        <v>8846.29905</v>
      </c>
      <c r="K2048" s="17" t="n">
        <f aca="false">MAX(K2047,C2048)</f>
        <v>19650.01</v>
      </c>
      <c r="L2048" s="25" t="n">
        <f aca="false">C2048/K2048-1</f>
        <v>-0.420508691853083</v>
      </c>
      <c r="M2048" s="25" t="n">
        <f aca="false">IF(COUNT(G2019:G2048)&lt;20,"",_xlfn.STDEV.S(G2019:G2048)*SQRT($R$3))</f>
        <v>0.558694061037731</v>
      </c>
      <c r="N2048" s="25" t="n">
        <f aca="false">IF(A2048-7&lt;$R$2,"",C2048/INDEX(Clean_Data!$C$2:$C$4314,MATCH(A2048-7,Clean_Data!$A$2:$A$4314,1))-1)</f>
        <v>0.0168752746016267</v>
      </c>
      <c r="O2048" s="25" t="n">
        <f aca="false">IF(A2048-30&lt;$R$2,"",C2048/INDEX(Clean_Data!$C$2:$C$4314,MATCH(A2048-30,Clean_Data!$A$2:$A$4314,1))-1)</f>
        <v>0.222599441472143</v>
      </c>
    </row>
    <row r="2049" customFormat="false" ht="15" hidden="false" customHeight="false" outlineLevel="0" collapsed="false">
      <c r="A2049" s="16" t="n">
        <v>44055</v>
      </c>
      <c r="B2049" s="23" t="n">
        <f aca="false">YEAR(A2049)</f>
        <v>2020</v>
      </c>
      <c r="C2049" s="17" t="n">
        <v>11563.16</v>
      </c>
      <c r="D2049" s="23" t="n">
        <f aca="false">A2049-A2048</f>
        <v>1</v>
      </c>
      <c r="E2049" s="24" t="n">
        <f aca="false">LN(C2049)</f>
        <v>9.3555794612727</v>
      </c>
      <c r="F2049" s="25" t="n">
        <f aca="false">LN(C2049/C2048)</f>
        <v>0.0153509502680471</v>
      </c>
      <c r="G2049" s="25" t="n">
        <f aca="false">IF(AND(D2049=1,A2049&gt;=$R$2),F2049,"")</f>
        <v>0.0153509502680471</v>
      </c>
      <c r="H2049" s="27" t="n">
        <f aca="false">IF(G2049="","",G2049^2)</f>
        <v>0.000235651674132054</v>
      </c>
      <c r="I2049" s="25" t="n">
        <f aca="false">IF(G2049="","",C2049/C2048-1)</f>
        <v>0.0154693813389115</v>
      </c>
      <c r="J2049" s="17" t="n">
        <f aca="false">AVERAGE(C1850:C2049)</f>
        <v>8862.59465</v>
      </c>
      <c r="K2049" s="17" t="n">
        <f aca="false">MAX(K2048,C2049)</f>
        <v>19650.01</v>
      </c>
      <c r="L2049" s="25" t="n">
        <f aca="false">C2049/K2049-1</f>
        <v>-0.411544319824774</v>
      </c>
      <c r="M2049" s="25" t="n">
        <f aca="false">IF(COUNT(G2020:G2049)&lt;20,"",_xlfn.STDEV.S(G2020:G2049)*SQRT($R$3))</f>
        <v>0.556526783041943</v>
      </c>
      <c r="N2049" s="25" t="n">
        <f aca="false">IF(A2049-7&lt;$R$2,"",C2049/INDEX(Clean_Data!$C$2:$C$4314,MATCH(A2049-7,Clean_Data!$A$2:$A$4314,1))-1)</f>
        <v>-0.0148608019193037</v>
      </c>
      <c r="O2049" s="25" t="n">
        <f aca="false">IF(A2049-30&lt;$R$2,"",C2049/INDEX(Clean_Data!$C$2:$C$4314,MATCH(A2049-30,Clean_Data!$A$2:$A$4314,1))-1)</f>
        <v>0.252761063212476</v>
      </c>
    </row>
    <row r="2050" customFormat="false" ht="15" hidden="false" customHeight="false" outlineLevel="0" collapsed="false">
      <c r="A2050" s="16" t="n">
        <v>44056</v>
      </c>
      <c r="B2050" s="23" t="n">
        <f aca="false">YEAR(A2050)</f>
        <v>2020</v>
      </c>
      <c r="C2050" s="17" t="n">
        <v>11824.99</v>
      </c>
      <c r="D2050" s="23" t="n">
        <f aca="false">A2050-A2049</f>
        <v>1</v>
      </c>
      <c r="E2050" s="24" t="n">
        <f aca="false">LN(C2050)</f>
        <v>9.37797036769381</v>
      </c>
      <c r="F2050" s="25" t="n">
        <f aca="false">LN(C2050/C2049)</f>
        <v>0.0223909064211155</v>
      </c>
      <c r="G2050" s="25" t="n">
        <f aca="false">IF(AND(D2050=1,A2050&gt;=$R$2),F2050,"")</f>
        <v>0.0223909064211155</v>
      </c>
      <c r="H2050" s="27" t="n">
        <f aca="false">IF(G2050="","",G2050^2)</f>
        <v>0.00050135269035915</v>
      </c>
      <c r="I2050" s="25" t="n">
        <f aca="false">IF(G2050="","",C2050/C2049-1)</f>
        <v>0.0226434642433384</v>
      </c>
      <c r="J2050" s="17" t="n">
        <f aca="false">AVERAGE(C1851:C2050)</f>
        <v>8878.555</v>
      </c>
      <c r="K2050" s="17" t="n">
        <f aca="false">MAX(K2049,C2050)</f>
        <v>19650.01</v>
      </c>
      <c r="L2050" s="25" t="n">
        <f aca="false">C2050/K2050-1</f>
        <v>-0.398219644671937</v>
      </c>
      <c r="M2050" s="25" t="n">
        <f aca="false">IF(COUNT(G2021:G2050)&lt;20,"",_xlfn.STDEV.S(G2021:G2050)*SQRT($R$3))</f>
        <v>0.558660119951988</v>
      </c>
      <c r="N2050" s="25" t="n">
        <f aca="false">IF(A2050-7&lt;$R$2,"",C2050/INDEX(Clean_Data!$C$2:$C$4314,MATCH(A2050-7,Clean_Data!$A$2:$A$4314,1))-1)</f>
        <v>0.00496064290339948</v>
      </c>
      <c r="O2050" s="25" t="n">
        <f aca="false">IF(A2050-30&lt;$R$2,"",C2050/INDEX(Clean_Data!$C$2:$C$4314,MATCH(A2050-30,Clean_Data!$A$2:$A$4314,1))-1)</f>
        <v>0.277225722969776</v>
      </c>
    </row>
    <row r="2051" customFormat="false" ht="15" hidden="false" customHeight="false" outlineLevel="0" collapsed="false">
      <c r="A2051" s="16" t="n">
        <v>44057</v>
      </c>
      <c r="B2051" s="23" t="n">
        <f aca="false">YEAR(A2051)</f>
        <v>2020</v>
      </c>
      <c r="C2051" s="17" t="n">
        <v>11785.29</v>
      </c>
      <c r="D2051" s="23" t="n">
        <f aca="false">A2051-A2050</f>
        <v>1</v>
      </c>
      <c r="E2051" s="24" t="n">
        <f aca="false">LN(C2051)</f>
        <v>9.37460742261944</v>
      </c>
      <c r="F2051" s="25" t="n">
        <f aca="false">LN(C2051/C2050)</f>
        <v>-0.00336294507437065</v>
      </c>
      <c r="G2051" s="25" t="n">
        <f aca="false">IF(AND(D2051=1,A2051&gt;=$R$2),F2051,"")</f>
        <v>-0.00336294507437065</v>
      </c>
      <c r="H2051" s="27" t="n">
        <f aca="false">IF(G2051="","",G2051^2)</f>
        <v>1.13093995732338E-005</v>
      </c>
      <c r="I2051" s="25" t="n">
        <f aca="false">IF(G2051="","",C2051/C2050-1)</f>
        <v>-0.00335729670807328</v>
      </c>
      <c r="J2051" s="17" t="n">
        <f aca="false">AVERAGE(C1852:C2051)</f>
        <v>8892.96525</v>
      </c>
      <c r="K2051" s="17" t="n">
        <f aca="false">MAX(K2050,C2051)</f>
        <v>19650.01</v>
      </c>
      <c r="L2051" s="25" t="n">
        <f aca="false">C2051/K2051-1</f>
        <v>-0.400239999877863</v>
      </c>
      <c r="M2051" s="25" t="n">
        <f aca="false">IF(COUNT(G2022:G2051)&lt;20,"",_xlfn.STDEV.S(G2022:G2051)*SQRT($R$3))</f>
        <v>0.557589300268478</v>
      </c>
      <c r="N2051" s="25" t="n">
        <f aca="false">IF(A2051-7&lt;$R$2,"",C2051/INDEX(Clean_Data!$C$2:$C$4314,MATCH(A2051-7,Clean_Data!$A$2:$A$4314,1))-1)</f>
        <v>0.0160643712884605</v>
      </c>
      <c r="O2051" s="25" t="n">
        <f aca="false">IF(A2051-30&lt;$R$2,"",C2051/INDEX(Clean_Data!$C$2:$C$4314,MATCH(A2051-30,Clean_Data!$A$2:$A$4314,1))-1)</f>
        <v>0.281774667709318</v>
      </c>
    </row>
    <row r="2052" customFormat="false" ht="15" hidden="false" customHeight="false" outlineLevel="0" collapsed="false">
      <c r="A2052" s="16" t="n">
        <v>44058</v>
      </c>
      <c r="B2052" s="23" t="n">
        <f aca="false">YEAR(A2052)</f>
        <v>2020</v>
      </c>
      <c r="C2052" s="17" t="n">
        <v>11854.27</v>
      </c>
      <c r="D2052" s="23" t="n">
        <f aca="false">A2052-A2051</f>
        <v>1</v>
      </c>
      <c r="E2052" s="24" t="n">
        <f aca="false">LN(C2052)</f>
        <v>9.38044341921004</v>
      </c>
      <c r="F2052" s="25" t="n">
        <f aca="false">LN(C2052/C2051)</f>
        <v>0.00583599659059195</v>
      </c>
      <c r="G2052" s="25" t="n">
        <f aca="false">IF(AND(D2052=1,A2052&gt;=$R$2),F2052,"")</f>
        <v>0.00583599659059195</v>
      </c>
      <c r="H2052" s="27" t="n">
        <f aca="false">IF(G2052="","",G2052^2)</f>
        <v>3.40588562054008E-005</v>
      </c>
      <c r="I2052" s="25" t="n">
        <f aca="false">IF(G2052="","",C2052/C2051-1)</f>
        <v>0.00585305919497947</v>
      </c>
      <c r="J2052" s="17" t="n">
        <f aca="false">AVERAGE(C1853:C2052)</f>
        <v>8905.1484</v>
      </c>
      <c r="K2052" s="17" t="n">
        <f aca="false">MAX(K2051,C2052)</f>
        <v>19650.01</v>
      </c>
      <c r="L2052" s="25" t="n">
        <f aca="false">C2052/K2052-1</f>
        <v>-0.396729569094367</v>
      </c>
      <c r="M2052" s="25" t="n">
        <f aca="false">IF(COUNT(G2023:G2052)&lt;20,"",_xlfn.STDEV.S(G2023:G2052)*SQRT($R$3))</f>
        <v>0.554975795145736</v>
      </c>
      <c r="N2052" s="25" t="n">
        <f aca="false">IF(A2052-7&lt;$R$2,"",C2052/INDEX(Clean_Data!$C$2:$C$4314,MATCH(A2052-7,Clean_Data!$A$2:$A$4314,1))-1)</f>
        <v>0.00629279448291786</v>
      </c>
      <c r="O2052" s="25" t="n">
        <f aca="false">IF(A2052-30&lt;$R$2,"",C2052/INDEX(Clean_Data!$C$2:$C$4314,MATCH(A2052-30,Clean_Data!$A$2:$A$4314,1))-1)</f>
        <v>0.298257238325643</v>
      </c>
    </row>
    <row r="2053" customFormat="false" ht="15" hidden="false" customHeight="false" outlineLevel="0" collapsed="false">
      <c r="A2053" s="16" t="n">
        <v>44059</v>
      </c>
      <c r="B2053" s="23" t="n">
        <f aca="false">YEAR(A2053)</f>
        <v>2020</v>
      </c>
      <c r="C2053" s="17" t="n">
        <v>11924</v>
      </c>
      <c r="D2053" s="23" t="n">
        <f aca="false">A2053-A2052</f>
        <v>1</v>
      </c>
      <c r="E2053" s="24" t="n">
        <f aca="false">LN(C2053)</f>
        <v>9.38630845479796</v>
      </c>
      <c r="F2053" s="25" t="n">
        <f aca="false">LN(C2053/C2052)</f>
        <v>0.00586503558792663</v>
      </c>
      <c r="G2053" s="25" t="n">
        <f aca="false">IF(AND(D2053=1,A2053&gt;=$R$2),F2053,"")</f>
        <v>0.00586503558792663</v>
      </c>
      <c r="H2053" s="27" t="n">
        <f aca="false">IF(G2053="","",G2053^2)</f>
        <v>3.43986424476459E-005</v>
      </c>
      <c r="I2053" s="25" t="n">
        <f aca="false">IF(G2053="","",C2053/C2052-1)</f>
        <v>0.00588226858338814</v>
      </c>
      <c r="J2053" s="17" t="n">
        <f aca="false">AVERAGE(C1854:C2053)</f>
        <v>8918.4184</v>
      </c>
      <c r="K2053" s="17" t="n">
        <f aca="false">MAX(K2052,C2053)</f>
        <v>19650.01</v>
      </c>
      <c r="L2053" s="25" t="n">
        <f aca="false">C2053/K2053-1</f>
        <v>-0.393180970391364</v>
      </c>
      <c r="M2053" s="25" t="n">
        <f aca="false">IF(COUNT(G2024:G2053)&lt;20,"",_xlfn.STDEV.S(G2024:G2053)*SQRT($R$3))</f>
        <v>0.55452560153416</v>
      </c>
      <c r="N2053" s="25" t="n">
        <f aca="false">IF(A2053-7&lt;$R$2,"",C2053/INDEX(Clean_Data!$C$2:$C$4314,MATCH(A2053-7,Clean_Data!$A$2:$A$4314,1))-1)</f>
        <v>0.0197763402310489</v>
      </c>
      <c r="O2053" s="25" t="n">
        <f aca="false">IF(A2053-30&lt;$R$2,"",C2053/INDEX(Clean_Data!$C$2:$C$4314,MATCH(A2053-30,Clean_Data!$A$2:$A$4314,1))-1)</f>
        <v>0.303504178668838</v>
      </c>
    </row>
    <row r="2054" customFormat="false" ht="15" hidden="false" customHeight="false" outlineLevel="0" collapsed="false">
      <c r="A2054" s="16" t="n">
        <v>44060</v>
      </c>
      <c r="B2054" s="23" t="n">
        <f aca="false">YEAR(A2054)</f>
        <v>2020</v>
      </c>
      <c r="C2054" s="17" t="n">
        <v>12325.1</v>
      </c>
      <c r="D2054" s="23" t="n">
        <f aca="false">A2054-A2053</f>
        <v>1</v>
      </c>
      <c r="E2054" s="24" t="n">
        <f aca="false">LN(C2054)</f>
        <v>9.41939311246824</v>
      </c>
      <c r="F2054" s="25" t="n">
        <f aca="false">LN(C2054/C2053)</f>
        <v>0.0330846576702776</v>
      </c>
      <c r="G2054" s="25" t="n">
        <f aca="false">IF(AND(D2054=1,A2054&gt;=$R$2),F2054,"")</f>
        <v>0.0330846576702776</v>
      </c>
      <c r="H2054" s="27" t="n">
        <f aca="false">IF(G2054="","",G2054^2)</f>
        <v>0.00109459457315946</v>
      </c>
      <c r="I2054" s="25" t="n">
        <f aca="false">IF(G2054="","",C2054/C2053-1)</f>
        <v>0.0336380409258639</v>
      </c>
      <c r="J2054" s="17" t="n">
        <f aca="false">AVERAGE(C1855:C2054)</f>
        <v>8932.57585</v>
      </c>
      <c r="K2054" s="17" t="n">
        <f aca="false">MAX(K2053,C2054)</f>
        <v>19650.01</v>
      </c>
      <c r="L2054" s="25" t="n">
        <f aca="false">C2054/K2054-1</f>
        <v>-0.372768767038795</v>
      </c>
      <c r="M2054" s="25" t="n">
        <f aca="false">IF(COUNT(G2025:G2054)&lt;20,"",_xlfn.STDEV.S(G2025:G2054)*SQRT($R$3))</f>
        <v>0.560429695444063</v>
      </c>
      <c r="N2054" s="25" t="n">
        <f aca="false">IF(A2054-7&lt;$R$2,"",C2054/INDEX(Clean_Data!$C$2:$C$4314,MATCH(A2054-7,Clean_Data!$A$2:$A$4314,1))-1)</f>
        <v>0.0360544006106156</v>
      </c>
      <c r="O2054" s="25" t="n">
        <f aca="false">IF(A2054-30&lt;$R$2,"",C2054/INDEX(Clean_Data!$C$2:$C$4314,MATCH(A2054-30,Clean_Data!$A$2:$A$4314,1))-1)</f>
        <v>0.343393717437273</v>
      </c>
    </row>
    <row r="2055" customFormat="false" ht="15" hidden="false" customHeight="false" outlineLevel="0" collapsed="false">
      <c r="A2055" s="16" t="n">
        <v>44061</v>
      </c>
      <c r="B2055" s="23" t="n">
        <f aca="false">YEAR(A2055)</f>
        <v>2020</v>
      </c>
      <c r="C2055" s="17" t="n">
        <v>11983.52</v>
      </c>
      <c r="D2055" s="23" t="n">
        <f aca="false">A2055-A2054</f>
        <v>1</v>
      </c>
      <c r="E2055" s="24" t="n">
        <f aca="false">LN(C2055)</f>
        <v>9.3912876515503</v>
      </c>
      <c r="F2055" s="25" t="n">
        <f aca="false">LN(C2055/C2054)</f>
        <v>-0.0281054609179373</v>
      </c>
      <c r="G2055" s="25" t="n">
        <f aca="false">IF(AND(D2055=1,A2055&gt;=$R$2),F2055,"")</f>
        <v>-0.0281054609179373</v>
      </c>
      <c r="H2055" s="27" t="n">
        <f aca="false">IF(G2055="","",G2055^2)</f>
        <v>0.000789916933409699</v>
      </c>
      <c r="I2055" s="25" t="n">
        <f aca="false">IF(G2055="","",C2055/C2054-1)</f>
        <v>-0.0277141767612433</v>
      </c>
      <c r="J2055" s="17" t="n">
        <f aca="false">AVERAGE(C1856:C2055)</f>
        <v>8945.77705</v>
      </c>
      <c r="K2055" s="17" t="n">
        <f aca="false">MAX(K2054,C2055)</f>
        <v>19650.01</v>
      </c>
      <c r="L2055" s="25" t="n">
        <f aca="false">C2055/K2055-1</f>
        <v>-0.390151964299255</v>
      </c>
      <c r="M2055" s="25" t="n">
        <f aca="false">IF(COUNT(G2026:G2055)&lt;20,"",_xlfn.STDEV.S(G2026:G2055)*SQRT($R$3))</f>
        <v>0.575725956511014</v>
      </c>
      <c r="N2055" s="25" t="n">
        <f aca="false">IF(A2055-7&lt;$R$2,"",C2055/INDEX(Clean_Data!$C$2:$C$4314,MATCH(A2055-7,Clean_Data!$A$2:$A$4314,1))-1)</f>
        <v>0.0523851300736542</v>
      </c>
      <c r="O2055" s="25" t="n">
        <f aca="false">IF(A2055-30&lt;$R$2,"",C2055/INDEX(Clean_Data!$C$2:$C$4314,MATCH(A2055-30,Clean_Data!$A$2:$A$4314,1))-1)</f>
        <v>0.299490007818507</v>
      </c>
    </row>
    <row r="2056" customFormat="false" ht="15" hidden="false" customHeight="false" outlineLevel="0" collapsed="false">
      <c r="A2056" s="16" t="n">
        <v>44062</v>
      </c>
      <c r="B2056" s="23" t="n">
        <f aca="false">YEAR(A2056)</f>
        <v>2020</v>
      </c>
      <c r="C2056" s="17" t="n">
        <v>11764.8</v>
      </c>
      <c r="D2056" s="23" t="n">
        <f aca="false">A2056-A2055</f>
        <v>1</v>
      </c>
      <c r="E2056" s="24" t="n">
        <f aca="false">LN(C2056)</f>
        <v>9.37286730144196</v>
      </c>
      <c r="F2056" s="25" t="n">
        <f aca="false">LN(C2056/C2055)</f>
        <v>-0.0184203501083446</v>
      </c>
      <c r="G2056" s="25" t="n">
        <f aca="false">IF(AND(D2056=1,A2056&gt;=$R$2),F2056,"")</f>
        <v>-0.0184203501083446</v>
      </c>
      <c r="H2056" s="27" t="n">
        <f aca="false">IF(G2056="","",G2056^2)</f>
        <v>0.000339309298113991</v>
      </c>
      <c r="I2056" s="25" t="n">
        <f aca="false">IF(G2056="","",C2056/C2055-1)</f>
        <v>-0.0182517323791341</v>
      </c>
      <c r="J2056" s="17" t="n">
        <f aca="false">AVERAGE(C1857:C2056)</f>
        <v>8957.72575</v>
      </c>
      <c r="K2056" s="17" t="n">
        <f aca="false">MAX(K2055,C2056)</f>
        <v>19650.01</v>
      </c>
      <c r="L2056" s="25" t="n">
        <f aca="false">C2056/K2056-1</f>
        <v>-0.401282747438805</v>
      </c>
      <c r="M2056" s="25" t="n">
        <f aca="false">IF(COUNT(G2027:G2056)&lt;20,"",_xlfn.STDEV.S(G2027:G2056)*SQRT($R$3))</f>
        <v>0.581141822026212</v>
      </c>
      <c r="N2056" s="25" t="n">
        <f aca="false">IF(A2056-7&lt;$R$2,"",C2056/INDEX(Clean_Data!$C$2:$C$4314,MATCH(A2056-7,Clean_Data!$A$2:$A$4314,1))-1)</f>
        <v>0.0174381397472663</v>
      </c>
      <c r="O2056" s="25" t="n">
        <f aca="false">IF(A2056-30&lt;$R$2,"",C2056/INDEX(Clean_Data!$C$2:$C$4314,MATCH(A2056-30,Clean_Data!$A$2:$A$4314,1))-1)</f>
        <v>0.284208389139768</v>
      </c>
    </row>
    <row r="2057" customFormat="false" ht="15" hidden="false" customHeight="false" outlineLevel="0" collapsed="false">
      <c r="A2057" s="16" t="n">
        <v>44063</v>
      </c>
      <c r="B2057" s="23" t="n">
        <f aca="false">YEAR(A2057)</f>
        <v>2020</v>
      </c>
      <c r="C2057" s="17" t="n">
        <v>11856.24</v>
      </c>
      <c r="D2057" s="23" t="n">
        <f aca="false">A2057-A2056</f>
        <v>1</v>
      </c>
      <c r="E2057" s="24" t="n">
        <f aca="false">LN(C2057)</f>
        <v>9.38060959024596</v>
      </c>
      <c r="F2057" s="25" t="n">
        <f aca="false">LN(C2057/C2056)</f>
        <v>0.00774228880400509</v>
      </c>
      <c r="G2057" s="25" t="n">
        <f aca="false">IF(AND(D2057=1,A2057&gt;=$R$2),F2057,"")</f>
        <v>0.00774228880400509</v>
      </c>
      <c r="H2057" s="27" t="n">
        <f aca="false">IF(G2057="","",G2057^2)</f>
        <v>5.99430359246225E-005</v>
      </c>
      <c r="I2057" s="25" t="n">
        <f aca="false">IF(G2057="","",C2057/C2056-1)</f>
        <v>0.00777233782129749</v>
      </c>
      <c r="J2057" s="17" t="n">
        <f aca="false">AVERAGE(C1858:C2057)</f>
        <v>8970.43665</v>
      </c>
      <c r="K2057" s="17" t="n">
        <f aca="false">MAX(K2056,C2057)</f>
        <v>19650.01</v>
      </c>
      <c r="L2057" s="25" t="n">
        <f aca="false">C2057/K2057-1</f>
        <v>-0.396629314692461</v>
      </c>
      <c r="M2057" s="25" t="n">
        <f aca="false">IF(COUNT(G2028:G2057)&lt;20,"",_xlfn.STDEV.S(G2028:G2057)*SQRT($R$3))</f>
        <v>0.577877799323758</v>
      </c>
      <c r="N2057" s="25" t="n">
        <f aca="false">IF(A2057-7&lt;$R$2,"",C2057/INDEX(Clean_Data!$C$2:$C$4314,MATCH(A2057-7,Clean_Data!$A$2:$A$4314,1))-1)</f>
        <v>0.00264270836592684</v>
      </c>
      <c r="O2057" s="25" t="n">
        <f aca="false">IF(A2057-30&lt;$R$2,"",C2057/INDEX(Clean_Data!$C$2:$C$4314,MATCH(A2057-30,Clean_Data!$A$2:$A$4314,1))-1)</f>
        <v>0.261751794522516</v>
      </c>
    </row>
    <row r="2058" customFormat="false" ht="15" hidden="false" customHeight="false" outlineLevel="0" collapsed="false">
      <c r="A2058" s="16" t="n">
        <v>44064</v>
      </c>
      <c r="B2058" s="23" t="n">
        <f aca="false">YEAR(A2058)</f>
        <v>2020</v>
      </c>
      <c r="C2058" s="17" t="n">
        <v>11526.32</v>
      </c>
      <c r="D2058" s="23" t="n">
        <f aca="false">A2058-A2057</f>
        <v>1</v>
      </c>
      <c r="E2058" s="24" t="n">
        <f aca="false">LN(C2058)</f>
        <v>9.35238839492893</v>
      </c>
      <c r="F2058" s="25" t="n">
        <f aca="false">LN(C2058/C2057)</f>
        <v>-0.0282211953170285</v>
      </c>
      <c r="G2058" s="25" t="n">
        <f aca="false">IF(AND(D2058=1,A2058&gt;=$R$2),F2058,"")</f>
        <v>-0.0282211953170285</v>
      </c>
      <c r="H2058" s="27" t="n">
        <f aca="false">IF(G2058="","",G2058^2)</f>
        <v>0.000796435865121874</v>
      </c>
      <c r="I2058" s="25" t="n">
        <f aca="false">IF(G2058="","",C2058/C2057-1)</f>
        <v>-0.0278266971653746</v>
      </c>
      <c r="J2058" s="17" t="n">
        <f aca="false">AVERAGE(C1859:C2058)</f>
        <v>8981.6568</v>
      </c>
      <c r="K2058" s="17" t="n">
        <f aca="false">MAX(K2057,C2058)</f>
        <v>19650.01</v>
      </c>
      <c r="L2058" s="25" t="n">
        <f aca="false">C2058/K2058-1</f>
        <v>-0.413419128030978</v>
      </c>
      <c r="M2058" s="25" t="n">
        <f aca="false">IF(COUNT(G2029:G2058)&lt;20,"",_xlfn.STDEV.S(G2029:G2058)*SQRT($R$3))</f>
        <v>0.59042310626524</v>
      </c>
      <c r="N2058" s="25" t="n">
        <f aca="false">IF(A2058-7&lt;$R$2,"",C2058/INDEX(Clean_Data!$C$2:$C$4314,MATCH(A2058-7,Clean_Data!$A$2:$A$4314,1))-1)</f>
        <v>-0.0219740031853269</v>
      </c>
      <c r="O2058" s="25" t="n">
        <f aca="false">IF(A2058-30&lt;$R$2,"",C2058/INDEX(Clean_Data!$C$2:$C$4314,MATCH(A2058-30,Clean_Data!$A$2:$A$4314,1))-1)</f>
        <v>0.207411031068549</v>
      </c>
    </row>
    <row r="2059" customFormat="false" ht="15" hidden="false" customHeight="false" outlineLevel="0" collapsed="false">
      <c r="A2059" s="16" t="n">
        <v>44065</v>
      </c>
      <c r="B2059" s="23" t="n">
        <f aca="false">YEAR(A2059)</f>
        <v>2020</v>
      </c>
      <c r="C2059" s="17" t="n">
        <v>11675.78</v>
      </c>
      <c r="D2059" s="23" t="n">
        <f aca="false">A2059-A2058</f>
        <v>1</v>
      </c>
      <c r="E2059" s="24" t="n">
        <f aca="false">LN(C2059)</f>
        <v>9.36527188972729</v>
      </c>
      <c r="F2059" s="25" t="n">
        <f aca="false">LN(C2059/C2058)</f>
        <v>0.0128834947983554</v>
      </c>
      <c r="G2059" s="25" t="n">
        <f aca="false">IF(AND(D2059=1,A2059&gt;=$R$2),F2059,"")</f>
        <v>0.0128834947983554</v>
      </c>
      <c r="H2059" s="27" t="n">
        <f aca="false">IF(G2059="","",G2059^2)</f>
        <v>0.00016598443821925</v>
      </c>
      <c r="I2059" s="25" t="n">
        <f aca="false">IF(G2059="","",C2059/C2058-1)</f>
        <v>0.0129668445783218</v>
      </c>
      <c r="J2059" s="17" t="n">
        <f aca="false">AVERAGE(C1860:C2059)</f>
        <v>8994.24285</v>
      </c>
      <c r="K2059" s="17" t="n">
        <f aca="false">MAX(K2058,C2059)</f>
        <v>19650.01</v>
      </c>
      <c r="L2059" s="25" t="n">
        <f aca="false">C2059/K2059-1</f>
        <v>-0.405813025031539</v>
      </c>
      <c r="M2059" s="25" t="n">
        <f aca="false">IF(COUNT(G2030:G2059)&lt;20,"",_xlfn.STDEV.S(G2030:G2059)*SQRT($R$3))</f>
        <v>0.590870883626639</v>
      </c>
      <c r="N2059" s="25" t="n">
        <f aca="false">IF(A2059-7&lt;$R$2,"",C2059/INDEX(Clean_Data!$C$2:$C$4314,MATCH(A2059-7,Clean_Data!$A$2:$A$4314,1))-1)</f>
        <v>-0.015057021647052</v>
      </c>
      <c r="O2059" s="25" t="n">
        <f aca="false">IF(A2059-30&lt;$R$2,"",C2059/INDEX(Clean_Data!$C$2:$C$4314,MATCH(A2059-30,Clean_Data!$A$2:$A$4314,1))-1)</f>
        <v>0.214702378784963</v>
      </c>
    </row>
    <row r="2060" customFormat="false" ht="15" hidden="false" customHeight="false" outlineLevel="0" collapsed="false">
      <c r="A2060" s="16" t="n">
        <v>44066</v>
      </c>
      <c r="B2060" s="23" t="n">
        <f aca="false">YEAR(A2060)</f>
        <v>2020</v>
      </c>
      <c r="C2060" s="17" t="n">
        <v>11650.03</v>
      </c>
      <c r="D2060" s="23" t="n">
        <f aca="false">A2060-A2059</f>
        <v>1</v>
      </c>
      <c r="E2060" s="24" t="n">
        <f aca="false">LN(C2060)</f>
        <v>9.36306403409783</v>
      </c>
      <c r="F2060" s="25" t="n">
        <f aca="false">LN(C2060/C2059)</f>
        <v>-0.0022078556294624</v>
      </c>
      <c r="G2060" s="25" t="n">
        <f aca="false">IF(AND(D2060=1,A2060&gt;=$R$2),F2060,"")</f>
        <v>-0.0022078556294624</v>
      </c>
      <c r="H2060" s="27" t="n">
        <f aca="false">IF(G2060="","",G2060^2)</f>
        <v>4.8746264805488E-006</v>
      </c>
      <c r="I2060" s="25" t="n">
        <f aca="false">IF(G2060="","",C2060/C2059-1)</f>
        <v>-0.00220542010897773</v>
      </c>
      <c r="J2060" s="17" t="n">
        <f aca="false">AVERAGE(C1861:C2060)</f>
        <v>9004.3758</v>
      </c>
      <c r="K2060" s="17" t="n">
        <f aca="false">MAX(K2059,C2060)</f>
        <v>19650.01</v>
      </c>
      <c r="L2060" s="25" t="n">
        <f aca="false">C2060/K2060-1</f>
        <v>-0.407123456934628</v>
      </c>
      <c r="M2060" s="25" t="n">
        <f aca="false">IF(COUNT(G2031:G2060)&lt;20,"",_xlfn.STDEV.S(G2031:G2060)*SQRT($R$3))</f>
        <v>0.589977682394331</v>
      </c>
      <c r="N2060" s="25" t="n">
        <f aca="false">IF(A2060-7&lt;$R$2,"",C2060/INDEX(Clean_Data!$C$2:$C$4314,MATCH(A2060-7,Clean_Data!$A$2:$A$4314,1))-1)</f>
        <v>-0.0229763502180476</v>
      </c>
      <c r="O2060" s="25" t="n">
        <f aca="false">IF(A2060-30&lt;$R$2,"",C2060/INDEX(Clean_Data!$C$2:$C$4314,MATCH(A2060-30,Clean_Data!$A$2:$A$4314,1))-1)</f>
        <v>0.219462998028976</v>
      </c>
    </row>
    <row r="2061" customFormat="false" ht="15" hidden="false" customHeight="false" outlineLevel="0" collapsed="false">
      <c r="A2061" s="16" t="n">
        <v>44067</v>
      </c>
      <c r="B2061" s="23" t="n">
        <f aca="false">YEAR(A2061)</f>
        <v>2020</v>
      </c>
      <c r="C2061" s="17" t="n">
        <v>11762.34</v>
      </c>
      <c r="D2061" s="23" t="n">
        <f aca="false">A2061-A2060</f>
        <v>1</v>
      </c>
      <c r="E2061" s="24" t="n">
        <f aca="false">LN(C2061)</f>
        <v>9.37265818125064</v>
      </c>
      <c r="F2061" s="25" t="n">
        <f aca="false">LN(C2061/C2060)</f>
        <v>0.00959414715281414</v>
      </c>
      <c r="G2061" s="25" t="n">
        <f aca="false">IF(AND(D2061=1,A2061&gt;=$R$2),F2061,"")</f>
        <v>0.00959414715281414</v>
      </c>
      <c r="H2061" s="27" t="n">
        <f aca="false">IF(G2061="","",G2061^2)</f>
        <v>9.20476595898517E-005</v>
      </c>
      <c r="I2061" s="25" t="n">
        <f aca="false">IF(G2061="","",C2061/C2060-1)</f>
        <v>0.00964031852278491</v>
      </c>
      <c r="J2061" s="17" t="n">
        <f aca="false">AVERAGE(C1862:C2061)</f>
        <v>9014.3577</v>
      </c>
      <c r="K2061" s="17" t="n">
        <f aca="false">MAX(K2060,C2061)</f>
        <v>19650.01</v>
      </c>
      <c r="L2061" s="25" t="n">
        <f aca="false">C2061/K2061-1</f>
        <v>-0.40140793821479</v>
      </c>
      <c r="M2061" s="25" t="n">
        <f aca="false">IF(COUNT(G2032:G2061)&lt;20,"",_xlfn.STDEV.S(G2032:G2061)*SQRT($R$3))</f>
        <v>0.589084940446442</v>
      </c>
      <c r="N2061" s="25" t="n">
        <f aca="false">IF(A2061-7&lt;$R$2,"",C2061/INDEX(Clean_Data!$C$2:$C$4314,MATCH(A2061-7,Clean_Data!$A$2:$A$4314,1))-1)</f>
        <v>-0.0456596701040966</v>
      </c>
      <c r="O2061" s="25" t="n">
        <f aca="false">IF(A2061-30&lt;$R$2,"",C2061/INDEX(Clean_Data!$C$2:$C$4314,MATCH(A2061-30,Clean_Data!$A$2:$A$4314,1))-1)</f>
        <v>0.211485814222239</v>
      </c>
    </row>
    <row r="2062" customFormat="false" ht="15" hidden="false" customHeight="false" outlineLevel="0" collapsed="false">
      <c r="A2062" s="16" t="n">
        <v>44068</v>
      </c>
      <c r="B2062" s="23" t="n">
        <f aca="false">YEAR(A2062)</f>
        <v>2020</v>
      </c>
      <c r="C2062" s="17" t="n">
        <v>11324.86</v>
      </c>
      <c r="D2062" s="23" t="n">
        <f aca="false">A2062-A2061</f>
        <v>1</v>
      </c>
      <c r="E2062" s="24" t="n">
        <f aca="false">LN(C2062)</f>
        <v>9.33475558824392</v>
      </c>
      <c r="F2062" s="25" t="n">
        <f aca="false">LN(C2062/C2061)</f>
        <v>-0.0379025930067221</v>
      </c>
      <c r="G2062" s="25" t="n">
        <f aca="false">IF(AND(D2062=1,A2062&gt;=$R$2),F2062,"")</f>
        <v>-0.0379025930067221</v>
      </c>
      <c r="H2062" s="27" t="n">
        <f aca="false">IF(G2062="","",G2062^2)</f>
        <v>0.00143660655663322</v>
      </c>
      <c r="I2062" s="25" t="n">
        <f aca="false">IF(G2062="","",C2062/C2061-1)</f>
        <v>-0.0371932795685211</v>
      </c>
      <c r="J2062" s="17" t="n">
        <f aca="false">AVERAGE(C1863:C2062)</f>
        <v>9021.9571</v>
      </c>
      <c r="K2062" s="17" t="n">
        <f aca="false">MAX(K2061,C2062)</f>
        <v>19650.01</v>
      </c>
      <c r="L2062" s="25" t="n">
        <f aca="false">C2062/K2062-1</f>
        <v>-0.423671540116265</v>
      </c>
      <c r="M2062" s="25" t="n">
        <f aca="false">IF(COUNT(G2033:G2062)&lt;20,"",_xlfn.STDEV.S(G2033:G2062)*SQRT($R$3))</f>
        <v>0.605164178562418</v>
      </c>
      <c r="N2062" s="25" t="n">
        <f aca="false">IF(A2062-7&lt;$R$2,"",C2062/INDEX(Clean_Data!$C$2:$C$4314,MATCH(A2062-7,Clean_Data!$A$2:$A$4314,1))-1)</f>
        <v>-0.0549638169753127</v>
      </c>
      <c r="O2062" s="25" t="n">
        <f aca="false">IF(A2062-30&lt;$R$2,"",C2062/INDEX(Clean_Data!$C$2:$C$4314,MATCH(A2062-30,Clean_Data!$A$2:$A$4314,1))-1)</f>
        <v>0.13879721416088</v>
      </c>
    </row>
    <row r="2063" customFormat="false" ht="15" hidden="false" customHeight="false" outlineLevel="0" collapsed="false">
      <c r="A2063" s="16" t="n">
        <v>44069</v>
      </c>
      <c r="B2063" s="23" t="n">
        <f aca="false">YEAR(A2063)</f>
        <v>2020</v>
      </c>
      <c r="C2063" s="17" t="n">
        <v>11460.01</v>
      </c>
      <c r="D2063" s="23" t="n">
        <f aca="false">A2063-A2062</f>
        <v>1</v>
      </c>
      <c r="E2063" s="24" t="n">
        <f aca="false">LN(C2063)</f>
        <v>9.3466188628687</v>
      </c>
      <c r="F2063" s="25" t="n">
        <f aca="false">LN(C2063/C2062)</f>
        <v>0.0118632746247797</v>
      </c>
      <c r="G2063" s="25" t="n">
        <f aca="false">IF(AND(D2063=1,A2063&gt;=$R$2),F2063,"")</f>
        <v>0.0118632746247797</v>
      </c>
      <c r="H2063" s="27" t="n">
        <f aca="false">IF(G2063="","",G2063^2)</f>
        <v>0.000140737284822942</v>
      </c>
      <c r="I2063" s="25" t="n">
        <f aca="false">IF(G2063="","",C2063/C2062-1)</f>
        <v>0.0119339223619541</v>
      </c>
      <c r="J2063" s="17" t="n">
        <f aca="false">AVERAGE(C1864:C2063)</f>
        <v>9029.7015</v>
      </c>
      <c r="K2063" s="17" t="n">
        <f aca="false">MAX(K2062,C2063)</f>
        <v>19650.01</v>
      </c>
      <c r="L2063" s="25" t="n">
        <f aca="false">C2063/K2063-1</f>
        <v>-0.416793681021027</v>
      </c>
      <c r="M2063" s="25" t="n">
        <f aca="false">IF(COUNT(G2034:G2063)&lt;20,"",_xlfn.STDEV.S(G2034:G2063)*SQRT($R$3))</f>
        <v>0.469574393273889</v>
      </c>
      <c r="N2063" s="25" t="n">
        <f aca="false">IF(A2063-7&lt;$R$2,"",C2063/INDEX(Clean_Data!$C$2:$C$4314,MATCH(A2063-7,Clean_Data!$A$2:$A$4314,1))-1)</f>
        <v>-0.0259069427444579</v>
      </c>
      <c r="O2063" s="25" t="n">
        <f aca="false">IF(A2063-30&lt;$R$2,"",C2063/INDEX(Clean_Data!$C$2:$C$4314,MATCH(A2063-30,Clean_Data!$A$2:$A$4314,1))-1)</f>
        <v>0.0316489083975788</v>
      </c>
    </row>
    <row r="2064" customFormat="false" ht="15" hidden="false" customHeight="false" outlineLevel="0" collapsed="false">
      <c r="A2064" s="16" t="n">
        <v>44070</v>
      </c>
      <c r="B2064" s="23" t="n">
        <f aca="false">YEAR(A2064)</f>
        <v>2020</v>
      </c>
      <c r="C2064" s="17" t="n">
        <v>11341.73</v>
      </c>
      <c r="D2064" s="23" t="n">
        <f aca="false">A2064-A2063</f>
        <v>1</v>
      </c>
      <c r="E2064" s="24" t="n">
        <f aca="false">LN(C2064)</f>
        <v>9.33624412296528</v>
      </c>
      <c r="F2064" s="25" t="n">
        <f aca="false">LN(C2064/C2063)</f>
        <v>-0.0103747399034164</v>
      </c>
      <c r="G2064" s="25" t="n">
        <f aca="false">IF(AND(D2064=1,A2064&gt;=$R$2),F2064,"")</f>
        <v>-0.0103747399034164</v>
      </c>
      <c r="H2064" s="27" t="n">
        <f aca="false">IF(G2064="","",G2064^2)</f>
        <v>0.00010763522806354</v>
      </c>
      <c r="I2064" s="25" t="n">
        <f aca="false">IF(G2064="","",C2064/C2063-1)</f>
        <v>-0.0103211079222445</v>
      </c>
      <c r="J2064" s="17" t="n">
        <f aca="false">AVERAGE(C1865:C2064)</f>
        <v>9035.5361</v>
      </c>
      <c r="K2064" s="17" t="n">
        <f aca="false">MAX(K2063,C2064)</f>
        <v>19650.01</v>
      </c>
      <c r="L2064" s="25" t="n">
        <f aca="false">C2064/K2064-1</f>
        <v>-0.422813016380144</v>
      </c>
      <c r="M2064" s="25" t="n">
        <f aca="false">IF(COUNT(G2035:G2064)&lt;20,"",_xlfn.STDEV.S(G2035:G2064)*SQRT($R$3))</f>
        <v>0.468238445929233</v>
      </c>
      <c r="N2064" s="25" t="n">
        <f aca="false">IF(A2064-7&lt;$R$2,"",C2064/INDEX(Clean_Data!$C$2:$C$4314,MATCH(A2064-7,Clean_Data!$A$2:$A$4314,1))-1)</f>
        <v>-0.0433957139868963</v>
      </c>
      <c r="O2064" s="25" t="n">
        <f aca="false">IF(A2064-30&lt;$R$2,"",C2064/INDEX(Clean_Data!$C$2:$C$4314,MATCH(A2064-30,Clean_Data!$A$2:$A$4314,1))-1)</f>
        <v>0.0355049142460637</v>
      </c>
    </row>
    <row r="2065" customFormat="false" ht="15" hidden="false" customHeight="false" outlineLevel="0" collapsed="false">
      <c r="A2065" s="16" t="n">
        <v>44071</v>
      </c>
      <c r="B2065" s="23" t="n">
        <f aca="false">YEAR(A2065)</f>
        <v>2020</v>
      </c>
      <c r="C2065" s="17" t="n">
        <v>11540</v>
      </c>
      <c r="D2065" s="23" t="n">
        <f aca="false">A2065-A2064</f>
        <v>1</v>
      </c>
      <c r="E2065" s="24" t="n">
        <f aca="false">LN(C2065)</f>
        <v>9.35357454006209</v>
      </c>
      <c r="F2065" s="25" t="n">
        <f aca="false">LN(C2065/C2064)</f>
        <v>0.0173304170968079</v>
      </c>
      <c r="G2065" s="25" t="n">
        <f aca="false">IF(AND(D2065=1,A2065&gt;=$R$2),F2065,"")</f>
        <v>0.0173304170968079</v>
      </c>
      <c r="H2065" s="27" t="n">
        <f aca="false">IF(G2065="","",G2065^2)</f>
        <v>0.000300343356749332</v>
      </c>
      <c r="I2065" s="25" t="n">
        <f aca="false">IF(G2065="","",C2065/C2064-1)</f>
        <v>0.0174814600594442</v>
      </c>
      <c r="J2065" s="17" t="n">
        <f aca="false">AVERAGE(C1866:C2065)</f>
        <v>9043.9636</v>
      </c>
      <c r="K2065" s="17" t="n">
        <f aca="false">MAX(K2064,C2065)</f>
        <v>19650.01</v>
      </c>
      <c r="L2065" s="25" t="n">
        <f aca="false">C2065/K2065-1</f>
        <v>-0.412722945179163</v>
      </c>
      <c r="M2065" s="25" t="n">
        <f aca="false">IF(COUNT(G2036:G2065)&lt;20,"",_xlfn.STDEV.S(G2036:G2065)*SQRT($R$3))</f>
        <v>0.469735911497654</v>
      </c>
      <c r="N2065" s="25" t="n">
        <f aca="false">IF(A2065-7&lt;$R$2,"",C2065/INDEX(Clean_Data!$C$2:$C$4314,MATCH(A2065-7,Clean_Data!$A$2:$A$4314,1))-1)</f>
        <v>0.00118684888151632</v>
      </c>
      <c r="O2065" s="25" t="n">
        <f aca="false">IF(A2065-30&lt;$R$2,"",C2065/INDEX(Clean_Data!$C$2:$C$4314,MATCH(A2065-30,Clean_Data!$A$2:$A$4314,1))-1)</f>
        <v>0.039603113043776</v>
      </c>
    </row>
    <row r="2066" customFormat="false" ht="15" hidden="false" customHeight="false" outlineLevel="0" collapsed="false">
      <c r="A2066" s="16" t="n">
        <v>44072</v>
      </c>
      <c r="B2066" s="23" t="n">
        <f aca="false">YEAR(A2066)</f>
        <v>2020</v>
      </c>
      <c r="C2066" s="17" t="n">
        <v>11468.56</v>
      </c>
      <c r="D2066" s="23" t="n">
        <f aca="false">A2066-A2065</f>
        <v>1</v>
      </c>
      <c r="E2066" s="24" t="n">
        <f aca="false">LN(C2066)</f>
        <v>9.34736465734226</v>
      </c>
      <c r="F2066" s="25" t="n">
        <f aca="false">LN(C2066/C2065)</f>
        <v>-0.00620988271983323</v>
      </c>
      <c r="G2066" s="25" t="n">
        <f aca="false">IF(AND(D2066=1,A2066&gt;=$R$2),F2066,"")</f>
        <v>-0.00620988271983323</v>
      </c>
      <c r="H2066" s="27" t="n">
        <f aca="false">IF(G2066="","",G2066^2)</f>
        <v>3.85626433940833E-005</v>
      </c>
      <c r="I2066" s="25" t="n">
        <f aca="false">IF(G2066="","",C2066/C2065-1)</f>
        <v>-0.00619064124783364</v>
      </c>
      <c r="J2066" s="17" t="n">
        <f aca="false">AVERAGE(C1867:C2066)</f>
        <v>9049.90645</v>
      </c>
      <c r="K2066" s="17" t="n">
        <f aca="false">MAX(K2065,C2066)</f>
        <v>19650.01</v>
      </c>
      <c r="L2066" s="25" t="n">
        <f aca="false">C2066/K2066-1</f>
        <v>-0.416358566738643</v>
      </c>
      <c r="M2066" s="25" t="n">
        <f aca="false">IF(COUNT(G2037:G2066)&lt;20,"",_xlfn.STDEV.S(G2037:G2066)*SQRT($R$3))</f>
        <v>0.470380494519405</v>
      </c>
      <c r="N2066" s="25" t="n">
        <f aca="false">IF(A2066-7&lt;$R$2,"",C2066/INDEX(Clean_Data!$C$2:$C$4314,MATCH(A2066-7,Clean_Data!$A$2:$A$4314,1))-1)</f>
        <v>-0.0177478506789269</v>
      </c>
      <c r="O2066" s="25" t="n">
        <f aca="false">IF(A2066-30&lt;$R$2,"",C2066/INDEX(Clean_Data!$C$2:$C$4314,MATCH(A2066-30,Clean_Data!$A$2:$A$4314,1))-1)</f>
        <v>0.0295242139129794</v>
      </c>
    </row>
    <row r="2067" customFormat="false" ht="15" hidden="false" customHeight="false" outlineLevel="0" collapsed="false">
      <c r="A2067" s="16" t="n">
        <v>44073</v>
      </c>
      <c r="B2067" s="23" t="n">
        <f aca="false">YEAR(A2067)</f>
        <v>2020</v>
      </c>
      <c r="C2067" s="17" t="n">
        <v>11724.99</v>
      </c>
      <c r="D2067" s="23" t="n">
        <f aca="false">A2067-A2066</f>
        <v>1</v>
      </c>
      <c r="E2067" s="24" t="n">
        <f aca="false">LN(C2067)</f>
        <v>9.36947774043565</v>
      </c>
      <c r="F2067" s="25" t="n">
        <f aca="false">LN(C2067/C2066)</f>
        <v>0.0221130830933942</v>
      </c>
      <c r="G2067" s="25" t="n">
        <f aca="false">IF(AND(D2067=1,A2067&gt;=$R$2),F2067,"")</f>
        <v>0.0221130830933942</v>
      </c>
      <c r="H2067" s="27" t="n">
        <f aca="false">IF(G2067="","",G2067^2)</f>
        <v>0.000488988443895356</v>
      </c>
      <c r="I2067" s="25" t="n">
        <f aca="false">IF(G2067="","",C2067/C2066-1)</f>
        <v>0.0223593894961529</v>
      </c>
      <c r="J2067" s="17" t="n">
        <f aca="false">AVERAGE(C1868:C2067)</f>
        <v>9056.81135</v>
      </c>
      <c r="K2067" s="17" t="n">
        <f aca="false">MAX(K2066,C2067)</f>
        <v>19650.01</v>
      </c>
      <c r="L2067" s="25" t="n">
        <f aca="false">C2067/K2067-1</f>
        <v>-0.403308700606259</v>
      </c>
      <c r="M2067" s="25" t="n">
        <f aca="false">IF(COUNT(G2038:G2067)&lt;20,"",_xlfn.STDEV.S(G2038:G2067)*SQRT($R$3))</f>
        <v>0.471147269553885</v>
      </c>
      <c r="N2067" s="25" t="n">
        <f aca="false">IF(A2067-7&lt;$R$2,"",C2067/INDEX(Clean_Data!$C$2:$C$4314,MATCH(A2067-7,Clean_Data!$A$2:$A$4314,1))-1)</f>
        <v>0.00643431819488871</v>
      </c>
      <c r="O2067" s="25" t="n">
        <f aca="false">IF(A2067-30&lt;$R$2,"",C2067/INDEX(Clean_Data!$C$2:$C$4314,MATCH(A2067-30,Clean_Data!$A$2:$A$4314,1))-1)</f>
        <v>0.0309713737034809</v>
      </c>
    </row>
    <row r="2068" customFormat="false" ht="15" hidden="false" customHeight="false" outlineLevel="0" collapsed="false">
      <c r="A2068" s="16" t="n">
        <v>44074</v>
      </c>
      <c r="B2068" s="23" t="n">
        <f aca="false">YEAR(A2068)</f>
        <v>2020</v>
      </c>
      <c r="C2068" s="17" t="n">
        <v>11665.93</v>
      </c>
      <c r="D2068" s="23" t="n">
        <f aca="false">A2068-A2067</f>
        <v>1</v>
      </c>
      <c r="E2068" s="24" t="n">
        <f aca="false">LN(C2068)</f>
        <v>9.3644279069527</v>
      </c>
      <c r="F2068" s="25" t="n">
        <f aca="false">LN(C2068/C2067)</f>
        <v>-0.0050498334829475</v>
      </c>
      <c r="G2068" s="25" t="n">
        <f aca="false">IF(AND(D2068=1,A2068&gt;=$R$2),F2068,"")</f>
        <v>-0.0050498334829475</v>
      </c>
      <c r="H2068" s="27" t="n">
        <f aca="false">IF(G2068="","",G2068^2)</f>
        <v>2.55008182054977E-005</v>
      </c>
      <c r="I2068" s="25" t="n">
        <f aca="false">IF(G2068="","",C2068/C2067-1)</f>
        <v>-0.00503710450925754</v>
      </c>
      <c r="J2068" s="17" t="n">
        <f aca="false">AVERAGE(C1869:C2068)</f>
        <v>9063.94315</v>
      </c>
      <c r="K2068" s="17" t="n">
        <f aca="false">MAX(K2067,C2068)</f>
        <v>19650.01</v>
      </c>
      <c r="L2068" s="25" t="n">
        <f aca="false">C2068/K2068-1</f>
        <v>-0.40631429704107</v>
      </c>
      <c r="M2068" s="25" t="n">
        <f aca="false">IF(COUNT(G2039:G2068)&lt;20,"",_xlfn.STDEV.S(G2039:G2068)*SQRT($R$3))</f>
        <v>0.452827835014837</v>
      </c>
      <c r="N2068" s="25" t="n">
        <f aca="false">IF(A2068-7&lt;$R$2,"",C2068/INDEX(Clean_Data!$C$2:$C$4314,MATCH(A2068-7,Clean_Data!$A$2:$A$4314,1))-1)</f>
        <v>-0.00819649831581126</v>
      </c>
      <c r="O2068" s="25" t="n">
        <f aca="false">IF(A2068-30&lt;$R$2,"",C2068/INDEX(Clean_Data!$C$2:$C$4314,MATCH(A2068-30,Clean_Data!$A$2:$A$4314,1))-1)</f>
        <v>-0.0118492404593666</v>
      </c>
    </row>
    <row r="2069" customFormat="false" ht="15" hidden="false" customHeight="false" outlineLevel="0" collapsed="false">
      <c r="A2069" s="16" t="n">
        <v>44075</v>
      </c>
      <c r="B2069" s="23" t="n">
        <f aca="false">YEAR(A2069)</f>
        <v>2020</v>
      </c>
      <c r="C2069" s="17" t="n">
        <v>11911.74</v>
      </c>
      <c r="D2069" s="23" t="n">
        <f aca="false">A2069-A2068</f>
        <v>1</v>
      </c>
      <c r="E2069" s="24" t="n">
        <f aca="false">LN(C2069)</f>
        <v>9.38527974739629</v>
      </c>
      <c r="F2069" s="25" t="n">
        <f aca="false">LN(C2069/C2068)</f>
        <v>0.0208518404435857</v>
      </c>
      <c r="G2069" s="25" t="n">
        <f aca="false">IF(AND(D2069=1,A2069&gt;=$R$2),F2069,"")</f>
        <v>0.0208518404435857</v>
      </c>
      <c r="H2069" s="27" t="n">
        <f aca="false">IF(G2069="","",G2069^2)</f>
        <v>0.000434799249884756</v>
      </c>
      <c r="I2069" s="25" t="n">
        <f aca="false">IF(G2069="","",C2069/C2068-1)</f>
        <v>0.0210707590393564</v>
      </c>
      <c r="J2069" s="17" t="n">
        <f aca="false">AVERAGE(C1870:C2069)</f>
        <v>9071.60185</v>
      </c>
      <c r="K2069" s="17" t="n">
        <f aca="false">MAX(K2068,C2069)</f>
        <v>19650.01</v>
      </c>
      <c r="L2069" s="25" t="n">
        <f aca="false">C2069/K2069-1</f>
        <v>-0.393804888648912</v>
      </c>
      <c r="M2069" s="25" t="n">
        <f aca="false">IF(COUNT(G2040:G2069)&lt;20,"",_xlfn.STDEV.S(G2040:G2069)*SQRT($R$3))</f>
        <v>0.391316574699064</v>
      </c>
      <c r="N2069" s="25" t="n">
        <f aca="false">IF(A2069-7&lt;$R$2,"",C2069/INDEX(Clean_Data!$C$2:$C$4314,MATCH(A2069-7,Clean_Data!$A$2:$A$4314,1))-1)</f>
        <v>0.0518222741826389</v>
      </c>
      <c r="O2069" s="25" t="n">
        <f aca="false">IF(A2069-30&lt;$R$2,"",C2069/INDEX(Clean_Data!$C$2:$C$4314,MATCH(A2069-30,Clean_Data!$A$2:$A$4314,1))-1)</f>
        <v>0.0779825937124152</v>
      </c>
    </row>
    <row r="2070" customFormat="false" ht="15" hidden="false" customHeight="false" outlineLevel="0" collapsed="false">
      <c r="A2070" s="16" t="n">
        <v>44076</v>
      </c>
      <c r="B2070" s="23" t="n">
        <f aca="false">YEAR(A2070)</f>
        <v>2020</v>
      </c>
      <c r="C2070" s="17" t="n">
        <v>11390.12</v>
      </c>
      <c r="D2070" s="23" t="n">
        <f aca="false">A2070-A2069</f>
        <v>1</v>
      </c>
      <c r="E2070" s="24" t="n">
        <f aca="false">LN(C2070)</f>
        <v>9.34050159194324</v>
      </c>
      <c r="F2070" s="25" t="n">
        <f aca="false">LN(C2070/C2069)</f>
        <v>-0.044778155453054</v>
      </c>
      <c r="G2070" s="25" t="n">
        <f aca="false">IF(AND(D2070=1,A2070&gt;=$R$2),F2070,"")</f>
        <v>-0.044778155453054</v>
      </c>
      <c r="H2070" s="27" t="n">
        <f aca="false">IF(G2070="","",G2070^2)</f>
        <v>0.00200508320577787</v>
      </c>
      <c r="I2070" s="25" t="n">
        <f aca="false">IF(G2070="","",C2070/C2069-1)</f>
        <v>-0.0437904118122121</v>
      </c>
      <c r="J2070" s="17" t="n">
        <f aca="false">AVERAGE(C1871:C2070)</f>
        <v>9079.04575</v>
      </c>
      <c r="K2070" s="17" t="n">
        <f aca="false">MAX(K2069,C2070)</f>
        <v>19650.01</v>
      </c>
      <c r="L2070" s="25" t="n">
        <f aca="false">C2070/K2070-1</f>
        <v>-0.420350422213526</v>
      </c>
      <c r="M2070" s="25" t="n">
        <f aca="false">IF(COUNT(G2041:G2070)&lt;20,"",_xlfn.STDEV.S(G2041:G2070)*SQRT($R$3))</f>
        <v>0.420912489073717</v>
      </c>
      <c r="N2070" s="25" t="n">
        <f aca="false">IF(A2070-7&lt;$R$2,"",C2070/INDEX(Clean_Data!$C$2:$C$4314,MATCH(A2070-7,Clean_Data!$A$2:$A$4314,1))-1)</f>
        <v>-0.00609859851780226</v>
      </c>
      <c r="O2070" s="25" t="n">
        <f aca="false">IF(A2070-30&lt;$R$2,"",C2070/INDEX(Clean_Data!$C$2:$C$4314,MATCH(A2070-30,Clean_Data!$A$2:$A$4314,1))-1)</f>
        <v>0.0137671510862059</v>
      </c>
    </row>
    <row r="2071" customFormat="false" ht="15" hidden="false" customHeight="false" outlineLevel="0" collapsed="false">
      <c r="A2071" s="16" t="n">
        <v>44077</v>
      </c>
      <c r="B2071" s="23" t="n">
        <f aca="false">YEAR(A2071)</f>
        <v>2020</v>
      </c>
      <c r="C2071" s="17" t="n">
        <v>10225.82</v>
      </c>
      <c r="D2071" s="23" t="n">
        <f aca="false">A2071-A2070</f>
        <v>1</v>
      </c>
      <c r="E2071" s="24" t="n">
        <f aca="false">LN(C2071)</f>
        <v>9.23267117329453</v>
      </c>
      <c r="F2071" s="25" t="n">
        <f aca="false">LN(C2071/C2070)</f>
        <v>-0.107830418648707</v>
      </c>
      <c r="G2071" s="25" t="n">
        <f aca="false">IF(AND(D2071=1,A2071&gt;=$R$2),F2071,"")</f>
        <v>-0.107830418648707</v>
      </c>
      <c r="H2071" s="27" t="n">
        <f aca="false">IF(G2071="","",G2071^2)</f>
        <v>0.0116273991859553</v>
      </c>
      <c r="I2071" s="25" t="n">
        <f aca="false">IF(G2071="","",C2071/C2070-1)</f>
        <v>-0.102220169761162</v>
      </c>
      <c r="J2071" s="17" t="n">
        <f aca="false">AVERAGE(C1872:C2071)</f>
        <v>9080.59965</v>
      </c>
      <c r="K2071" s="17" t="n">
        <f aca="false">MAX(K2070,C2071)</f>
        <v>19650.01</v>
      </c>
      <c r="L2071" s="25" t="n">
        <f aca="false">C2071/K2071-1</f>
        <v>-0.479602300456845</v>
      </c>
      <c r="M2071" s="25" t="n">
        <f aca="false">IF(COUNT(G2042:G2071)&lt;20,"",_xlfn.STDEV.S(G2042:G2071)*SQRT($R$3))</f>
        <v>0.565676570587098</v>
      </c>
      <c r="N2071" s="25" t="n">
        <f aca="false">IF(A2071-7&lt;$R$2,"",C2071/INDEX(Clean_Data!$C$2:$C$4314,MATCH(A2071-7,Clean_Data!$A$2:$A$4314,1))-1)</f>
        <v>-0.0983897518279839</v>
      </c>
      <c r="O2071" s="25" t="n">
        <f aca="false">IF(A2071-30&lt;$R$2,"",C2071/INDEX(Clean_Data!$C$2:$C$4314,MATCH(A2071-30,Clean_Data!$A$2:$A$4314,1))-1)</f>
        <v>-0.0868205507392366</v>
      </c>
    </row>
    <row r="2072" customFormat="false" ht="15" hidden="false" customHeight="false" outlineLevel="0" collapsed="false">
      <c r="A2072" s="16" t="n">
        <v>44079</v>
      </c>
      <c r="B2072" s="23" t="n">
        <f aca="false">YEAR(A2072)</f>
        <v>2020</v>
      </c>
      <c r="C2072" s="17" t="n">
        <v>10152.97</v>
      </c>
      <c r="D2072" s="23" t="n">
        <f aca="false">A2072-A2071</f>
        <v>2</v>
      </c>
      <c r="E2072" s="24" t="n">
        <f aca="false">LN(C2072)</f>
        <v>9.22552155250517</v>
      </c>
      <c r="F2072" s="25" t="n">
        <f aca="false">LN(C2072/C2071)</f>
        <v>-0.00714962078935931</v>
      </c>
      <c r="G2072" s="25" t="str">
        <f aca="false">IF(AND(D2072=1,A2072&gt;=$R$2),F2072,"")</f>
        <v/>
      </c>
      <c r="H2072" s="27" t="str">
        <f aca="false">IF(G2072="","",G2072^2)</f>
        <v/>
      </c>
      <c r="I2072" s="25" t="str">
        <f aca="false">IF(G2072="","",C2072/C2071-1)</f>
        <v/>
      </c>
      <c r="J2072" s="17" t="n">
        <f aca="false">AVERAGE(C1873:C2072)</f>
        <v>9082.80475</v>
      </c>
      <c r="K2072" s="17" t="n">
        <f aca="false">MAX(K2071,C2072)</f>
        <v>19650.01</v>
      </c>
      <c r="L2072" s="25" t="n">
        <f aca="false">C2072/K2072-1</f>
        <v>-0.483309677704999</v>
      </c>
      <c r="M2072" s="25" t="n">
        <f aca="false">IF(COUNT(G2043:G2072)&lt;20,"",_xlfn.STDEV.S(G2043:G2072)*SQRT($R$3))</f>
        <v>0.545518266831541</v>
      </c>
      <c r="N2072" s="25" t="n">
        <f aca="false">IF(A2072-7&lt;$R$2,"",C2072/INDEX(Clean_Data!$C$2:$C$4314,MATCH(A2072-7,Clean_Data!$A$2:$A$4314,1))-1)</f>
        <v>-0.114712745104878</v>
      </c>
      <c r="O2072" s="25" t="n">
        <f aca="false">IF(A2072-30&lt;$R$2,"",C2072/INDEX(Clean_Data!$C$2:$C$4314,MATCH(A2072-30,Clean_Data!$A$2:$A$4314,1))-1)</f>
        <v>-0.137137937657543</v>
      </c>
    </row>
    <row r="2073" customFormat="false" ht="15" hidden="false" customHeight="false" outlineLevel="0" collapsed="false">
      <c r="A2073" s="16" t="n">
        <v>44080</v>
      </c>
      <c r="B2073" s="23" t="n">
        <f aca="false">YEAR(A2073)</f>
        <v>2020</v>
      </c>
      <c r="C2073" s="17" t="n">
        <v>10255.2</v>
      </c>
      <c r="D2073" s="23" t="n">
        <f aca="false">A2073-A2072</f>
        <v>1</v>
      </c>
      <c r="E2073" s="24" t="n">
        <f aca="false">LN(C2073)</f>
        <v>9.23554017299793</v>
      </c>
      <c r="F2073" s="25" t="n">
        <f aca="false">LN(C2073/C2072)</f>
        <v>0.0100186204927549</v>
      </c>
      <c r="G2073" s="25" t="n">
        <f aca="false">IF(AND(D2073=1,A2073&gt;=$R$2),F2073,"")</f>
        <v>0.0100186204927549</v>
      </c>
      <c r="H2073" s="27" t="n">
        <f aca="false">IF(G2073="","",G2073^2)</f>
        <v>0.000100372756577849</v>
      </c>
      <c r="I2073" s="25" t="n">
        <f aca="false">IF(G2073="","",C2073/C2072-1)</f>
        <v>0.0100689748910912</v>
      </c>
      <c r="J2073" s="17" t="n">
        <f aca="false">AVERAGE(C1874:C2073)</f>
        <v>9083.1232</v>
      </c>
      <c r="K2073" s="17" t="n">
        <f aca="false">MAX(K2072,C2073)</f>
        <v>19650.01</v>
      </c>
      <c r="L2073" s="25" t="n">
        <f aca="false">C2073/K2073-1</f>
        <v>-0.478107135823341</v>
      </c>
      <c r="M2073" s="25" t="n">
        <f aca="false">IF(COUNT(G2044:G2073)&lt;20,"",_xlfn.STDEV.S(G2044:G2073)*SQRT($R$3))</f>
        <v>0.547475235206368</v>
      </c>
      <c r="N2073" s="25" t="n">
        <f aca="false">IF(A2073-7&lt;$R$2,"",C2073/INDEX(Clean_Data!$C$2:$C$4314,MATCH(A2073-7,Clean_Data!$A$2:$A$4314,1))-1)</f>
        <v>-0.125355330793459</v>
      </c>
      <c r="O2073" s="25" t="n">
        <f aca="false">IF(A2073-30&lt;$R$2,"",C2073/INDEX(Clean_Data!$C$2:$C$4314,MATCH(A2073-30,Clean_Data!$A$2:$A$4314,1))-1)</f>
        <v>-0.115851766020402</v>
      </c>
    </row>
    <row r="2074" customFormat="false" ht="15" hidden="false" customHeight="false" outlineLevel="0" collapsed="false">
      <c r="A2074" s="16" t="n">
        <v>44081</v>
      </c>
      <c r="B2074" s="23" t="n">
        <f aca="false">YEAR(A2074)</f>
        <v>2020</v>
      </c>
      <c r="C2074" s="17" t="n">
        <v>10389.85</v>
      </c>
      <c r="D2074" s="23" t="n">
        <f aca="false">A2074-A2073</f>
        <v>1</v>
      </c>
      <c r="E2074" s="24" t="n">
        <f aca="false">LN(C2074)</f>
        <v>9.24858464703044</v>
      </c>
      <c r="F2074" s="25" t="n">
        <f aca="false">LN(C2074/C2073)</f>
        <v>0.0130444740325201</v>
      </c>
      <c r="G2074" s="25" t="n">
        <f aca="false">IF(AND(D2074=1,A2074&gt;=$R$2),F2074,"")</f>
        <v>0.0130444740325201</v>
      </c>
      <c r="H2074" s="27" t="n">
        <f aca="false">IF(G2074="","",G2074^2)</f>
        <v>0.000170158302785092</v>
      </c>
      <c r="I2074" s="25" t="n">
        <f aca="false">IF(G2074="","",C2074/C2073-1)</f>
        <v>0.013129924331071</v>
      </c>
      <c r="J2074" s="17" t="n">
        <f aca="false">AVERAGE(C1875:C2074)</f>
        <v>9087.11475</v>
      </c>
      <c r="K2074" s="17" t="n">
        <f aca="false">MAX(K2073,C2074)</f>
        <v>19650.01</v>
      </c>
      <c r="L2074" s="25" t="n">
        <f aca="false">C2074/K2074-1</f>
        <v>-0.471254722007775</v>
      </c>
      <c r="M2074" s="25" t="n">
        <f aca="false">IF(COUNT(G2045:G2074)&lt;20,"",_xlfn.STDEV.S(G2045:G2074)*SQRT($R$3))</f>
        <v>0.549668130446481</v>
      </c>
      <c r="N2074" s="25" t="n">
        <f aca="false">IF(A2074-7&lt;$R$2,"",C2074/INDEX(Clean_Data!$C$2:$C$4314,MATCH(A2074-7,Clean_Data!$A$2:$A$4314,1))-1)</f>
        <v>-0.109385192607876</v>
      </c>
      <c r="O2074" s="25" t="n">
        <f aca="false">IF(A2074-30&lt;$R$2,"",C2074/INDEX(Clean_Data!$C$2:$C$4314,MATCH(A2074-30,Clean_Data!$A$2:$A$4314,1))-1)</f>
        <v>-0.118019819798406</v>
      </c>
    </row>
    <row r="2075" customFormat="false" ht="15" hidden="false" customHeight="false" outlineLevel="0" collapsed="false">
      <c r="A2075" s="16" t="n">
        <v>44082</v>
      </c>
      <c r="B2075" s="23" t="n">
        <f aca="false">YEAR(A2075)</f>
        <v>2020</v>
      </c>
      <c r="C2075" s="17" t="n">
        <v>10123.21</v>
      </c>
      <c r="D2075" s="23" t="n">
        <f aca="false">A2075-A2074</f>
        <v>1</v>
      </c>
      <c r="E2075" s="24" t="n">
        <f aca="false">LN(C2075)</f>
        <v>9.22258608622207</v>
      </c>
      <c r="F2075" s="25" t="n">
        <f aca="false">LN(C2075/C2074)</f>
        <v>-0.0259985608083782</v>
      </c>
      <c r="G2075" s="25" t="n">
        <f aca="false">IF(AND(D2075=1,A2075&gt;=$R$2),F2075,"")</f>
        <v>-0.0259985608083782</v>
      </c>
      <c r="H2075" s="27" t="n">
        <f aca="false">IF(G2075="","",G2075^2)</f>
        <v>0.000675925164106937</v>
      </c>
      <c r="I2075" s="25" t="n">
        <f aca="false">IF(G2075="","",C2075/C2074-1)</f>
        <v>-0.0256635081353438</v>
      </c>
      <c r="J2075" s="17" t="n">
        <f aca="false">AVERAGE(C1876:C2075)</f>
        <v>9089.68055</v>
      </c>
      <c r="K2075" s="17" t="n">
        <f aca="false">MAX(K2074,C2075)</f>
        <v>19650.01</v>
      </c>
      <c r="L2075" s="25" t="n">
        <f aca="false">C2075/K2075-1</f>
        <v>-0.484824180751053</v>
      </c>
      <c r="M2075" s="25" t="n">
        <f aca="false">IF(COUNT(G2046:G2075)&lt;20,"",_xlfn.STDEV.S(G2046:G2075)*SQRT($R$3))</f>
        <v>0.550636129009071</v>
      </c>
      <c r="N2075" s="25" t="n">
        <f aca="false">IF(A2075-7&lt;$R$2,"",C2075/INDEX(Clean_Data!$C$2:$C$4314,MATCH(A2075-7,Clean_Data!$A$2:$A$4314,1))-1)</f>
        <v>-0.150148508949994</v>
      </c>
      <c r="O2075" s="25" t="n">
        <f aca="false">IF(A2075-30&lt;$R$2,"",C2075/INDEX(Clean_Data!$C$2:$C$4314,MATCH(A2075-30,Clean_Data!$A$2:$A$4314,1))-1)</f>
        <v>-0.134232636263808</v>
      </c>
    </row>
    <row r="2076" customFormat="false" ht="15" hidden="false" customHeight="false" outlineLevel="0" collapsed="false">
      <c r="A2076" s="16" t="n">
        <v>44083</v>
      </c>
      <c r="B2076" s="23" t="n">
        <f aca="false">YEAR(A2076)</f>
        <v>2020</v>
      </c>
      <c r="C2076" s="17" t="n">
        <v>10235</v>
      </c>
      <c r="D2076" s="23" t="n">
        <f aca="false">A2076-A2075</f>
        <v>1</v>
      </c>
      <c r="E2076" s="24" t="n">
        <f aca="false">LN(C2076)</f>
        <v>9.23356849809539</v>
      </c>
      <c r="F2076" s="25" t="n">
        <f aca="false">LN(C2076/C2075)</f>
        <v>0.010982411873323</v>
      </c>
      <c r="G2076" s="25" t="n">
        <f aca="false">IF(AND(D2076=1,A2076&gt;=$R$2),F2076,"")</f>
        <v>0.010982411873323</v>
      </c>
      <c r="H2076" s="27" t="n">
        <f aca="false">IF(G2076="","",G2076^2)</f>
        <v>0.000120613370555305</v>
      </c>
      <c r="I2076" s="25" t="n">
        <f aca="false">IF(G2076="","",C2076/C2075-1)</f>
        <v>0.011042939937036</v>
      </c>
      <c r="J2076" s="17" t="n">
        <f aca="false">AVERAGE(C1877:C2076)</f>
        <v>9092.3705</v>
      </c>
      <c r="K2076" s="17" t="n">
        <f aca="false">MAX(K2075,C2076)</f>
        <v>19650.01</v>
      </c>
      <c r="L2076" s="25" t="n">
        <f aca="false">C2076/K2076-1</f>
        <v>-0.479135125122074</v>
      </c>
      <c r="M2076" s="25" t="n">
        <f aca="false">IF(COUNT(G2047:G2076)&lt;20,"",_xlfn.STDEV.S(G2047:G2076)*SQRT($R$3))</f>
        <v>0.553434735348094</v>
      </c>
      <c r="N2076" s="25" t="n">
        <f aca="false">IF(A2076-7&lt;$R$2,"",C2076/INDEX(Clean_Data!$C$2:$C$4314,MATCH(A2076-7,Clean_Data!$A$2:$A$4314,1))-1)</f>
        <v>-0.101414208103163</v>
      </c>
      <c r="O2076" s="25" t="n">
        <f aca="false">IF(A2076-30&lt;$R$2,"",C2076/INDEX(Clean_Data!$C$2:$C$4314,MATCH(A2076-30,Clean_Data!$A$2:$A$4314,1))-1)</f>
        <v>-0.139640506750481</v>
      </c>
    </row>
    <row r="2077" customFormat="false" ht="15" hidden="false" customHeight="false" outlineLevel="0" collapsed="false">
      <c r="A2077" s="16" t="n">
        <v>44084</v>
      </c>
      <c r="B2077" s="23" t="n">
        <f aca="false">YEAR(A2077)</f>
        <v>2020</v>
      </c>
      <c r="C2077" s="17" t="n">
        <v>10345.95</v>
      </c>
      <c r="D2077" s="23" t="n">
        <f aca="false">A2077-A2076</f>
        <v>1</v>
      </c>
      <c r="E2077" s="24" t="n">
        <f aca="false">LN(C2077)</f>
        <v>9.24435041776617</v>
      </c>
      <c r="F2077" s="25" t="n">
        <f aca="false">LN(C2077/C2076)</f>
        <v>0.010781919670775</v>
      </c>
      <c r="G2077" s="25" t="n">
        <f aca="false">IF(AND(D2077=1,A2077&gt;=$R$2),F2077,"")</f>
        <v>0.010781919670775</v>
      </c>
      <c r="H2077" s="27" t="n">
        <f aca="false">IF(G2077="","",G2077^2)</f>
        <v>0.000116249791787045</v>
      </c>
      <c r="I2077" s="25" t="n">
        <f aca="false">IF(G2077="","",C2077/C2076-1)</f>
        <v>0.0108402540302883</v>
      </c>
      <c r="J2077" s="17" t="n">
        <f aca="false">AVERAGE(C1878:C2077)</f>
        <v>9095.75895</v>
      </c>
      <c r="K2077" s="17" t="n">
        <f aca="false">MAX(K2076,C2077)</f>
        <v>19650.01</v>
      </c>
      <c r="L2077" s="25" t="n">
        <f aca="false">C2077/K2077-1</f>
        <v>-0.473488817562943</v>
      </c>
      <c r="M2077" s="25" t="n">
        <f aca="false">IF(COUNT(G2048:G2077)&lt;20,"",_xlfn.STDEV.S(G2048:G2077)*SQRT($R$3))</f>
        <v>0.550614102213868</v>
      </c>
      <c r="N2077" s="25" t="n">
        <f aca="false">IF(A2077-7&lt;$R$2,"",C2077/INDEX(Clean_Data!$C$2:$C$4314,MATCH(A2077-7,Clean_Data!$A$2:$A$4314,1))-1)</f>
        <v>0.0117477131418313</v>
      </c>
      <c r="O2077" s="25" t="n">
        <f aca="false">IF(A2077-30&lt;$R$2,"",C2077/INDEX(Clean_Data!$C$2:$C$4314,MATCH(A2077-30,Clean_Data!$A$2:$A$4314,1))-1)</f>
        <v>-0.09142522927441</v>
      </c>
    </row>
    <row r="2078" customFormat="false" ht="15" hidden="false" customHeight="false" outlineLevel="0" collapsed="false">
      <c r="A2078" s="16" t="n">
        <v>44085</v>
      </c>
      <c r="B2078" s="23" t="n">
        <f aca="false">YEAR(A2078)</f>
        <v>2020</v>
      </c>
      <c r="C2078" s="17" t="n">
        <v>10399.99</v>
      </c>
      <c r="D2078" s="23" t="n">
        <f aca="false">A2078-A2077</f>
        <v>1</v>
      </c>
      <c r="E2078" s="24" t="n">
        <f aca="false">LN(C2078)</f>
        <v>9.24956012359054</v>
      </c>
      <c r="F2078" s="25" t="n">
        <f aca="false">LN(C2078/C2077)</f>
        <v>0.00520970582437533</v>
      </c>
      <c r="G2078" s="25" t="n">
        <f aca="false">IF(AND(D2078=1,A2078&gt;=$R$2),F2078,"")</f>
        <v>0.00520970582437533</v>
      </c>
      <c r="H2078" s="27" t="n">
        <f aca="false">IF(G2078="","",G2078^2)</f>
        <v>2.71410347765302E-005</v>
      </c>
      <c r="I2078" s="25" t="n">
        <f aca="false">IF(G2078="","",C2078/C2077-1)</f>
        <v>0.00522329993862325</v>
      </c>
      <c r="J2078" s="17" t="n">
        <f aca="false">AVERAGE(C1879:C2078)</f>
        <v>9097.9381</v>
      </c>
      <c r="K2078" s="17" t="n">
        <f aca="false">MAX(K2077,C2078)</f>
        <v>19650.01</v>
      </c>
      <c r="L2078" s="25" t="n">
        <f aca="false">C2078/K2078-1</f>
        <v>-0.470738691736035</v>
      </c>
      <c r="M2078" s="25" t="n">
        <f aca="false">IF(COUNT(G2049:G2078)&lt;20,"",_xlfn.STDEV.S(G2049:G2078)*SQRT($R$3))</f>
        <v>0.532294367092562</v>
      </c>
      <c r="N2078" s="25" t="n">
        <f aca="false">IF(A2078-7&lt;$R$2,"",C2078/INDEX(Clean_Data!$C$2:$C$4314,MATCH(A2078-7,Clean_Data!$A$2:$A$4314,1))-1)</f>
        <v>0.0170323749097872</v>
      </c>
      <c r="O2078" s="25" t="n">
        <f aca="false">IF(A2078-30&lt;$R$2,"",C2078/INDEX(Clean_Data!$C$2:$C$4314,MATCH(A2078-30,Clean_Data!$A$2:$A$4314,1))-1)</f>
        <v>-0.100592744543879</v>
      </c>
    </row>
    <row r="2079" customFormat="false" ht="15" hidden="false" customHeight="false" outlineLevel="0" collapsed="false">
      <c r="A2079" s="16" t="n">
        <v>44086</v>
      </c>
      <c r="B2079" s="23" t="n">
        <f aca="false">YEAR(A2079)</f>
        <v>2020</v>
      </c>
      <c r="C2079" s="17" t="n">
        <v>10444.01</v>
      </c>
      <c r="D2079" s="23" t="n">
        <f aca="false">A2079-A2078</f>
        <v>1</v>
      </c>
      <c r="E2079" s="24" t="n">
        <f aca="false">LN(C2079)</f>
        <v>9.25378388730611</v>
      </c>
      <c r="F2079" s="25" t="n">
        <f aca="false">LN(C2079/C2078)</f>
        <v>0.00422376371557357</v>
      </c>
      <c r="G2079" s="25" t="n">
        <f aca="false">IF(AND(D2079=1,A2079&gt;=$R$2),F2079,"")</f>
        <v>0.00422376371557357</v>
      </c>
      <c r="H2079" s="27" t="n">
        <f aca="false">IF(G2079="","",G2079^2)</f>
        <v>1.78401799249958E-005</v>
      </c>
      <c r="I2079" s="25" t="n">
        <f aca="false">IF(G2079="","",C2079/C2078-1)</f>
        <v>0.00423269637759272</v>
      </c>
      <c r="J2079" s="17" t="n">
        <f aca="false">AVERAGE(C1880:C2079)</f>
        <v>9101.81775</v>
      </c>
      <c r="K2079" s="17" t="n">
        <f aca="false">MAX(K2078,C2079)</f>
        <v>19650.01</v>
      </c>
      <c r="L2079" s="25" t="n">
        <f aca="false">C2079/K2079-1</f>
        <v>-0.468498489313746</v>
      </c>
      <c r="M2079" s="25" t="n">
        <f aca="false">IF(COUNT(G2050:G2079)&lt;20,"",_xlfn.STDEV.S(G2050:G2079)*SQRT($R$3))</f>
        <v>0.528778620015631</v>
      </c>
      <c r="N2079" s="25" t="n">
        <f aca="false">IF(A2079-7&lt;$R$2,"",C2079/INDEX(Clean_Data!$C$2:$C$4314,MATCH(A2079-7,Clean_Data!$A$2:$A$4314,1))-1)</f>
        <v>0.0286655037885466</v>
      </c>
      <c r="O2079" s="25" t="n">
        <f aca="false">IF(A2079-30&lt;$R$2,"",C2079/INDEX(Clean_Data!$C$2:$C$4314,MATCH(A2079-30,Clean_Data!$A$2:$A$4314,1))-1)</f>
        <v>-0.11678487677368</v>
      </c>
    </row>
    <row r="2080" customFormat="false" ht="15" hidden="false" customHeight="false" outlineLevel="0" collapsed="false">
      <c r="A2080" s="16" t="n">
        <v>44087</v>
      </c>
      <c r="B2080" s="23" t="n">
        <f aca="false">YEAR(A2080)</f>
        <v>2020</v>
      </c>
      <c r="C2080" s="17" t="n">
        <v>10336.28</v>
      </c>
      <c r="D2080" s="23" t="n">
        <f aca="false">A2080-A2079</f>
        <v>1</v>
      </c>
      <c r="E2080" s="24" t="n">
        <f aca="false">LN(C2080)</f>
        <v>9.24341531543874</v>
      </c>
      <c r="F2080" s="25" t="n">
        <f aca="false">LN(C2080/C2079)</f>
        <v>-0.0103685718673705</v>
      </c>
      <c r="G2080" s="25" t="n">
        <f aca="false">IF(AND(D2080=1,A2080&gt;=$R$2),F2080,"")</f>
        <v>-0.0103685718673705</v>
      </c>
      <c r="H2080" s="27" t="n">
        <f aca="false">IF(G2080="","",G2080^2)</f>
        <v>0.000107507282568826</v>
      </c>
      <c r="I2080" s="25" t="n">
        <f aca="false">IF(G2080="","",C2080/C2079-1)</f>
        <v>-0.0103150035283383</v>
      </c>
      <c r="J2080" s="17" t="n">
        <f aca="false">AVERAGE(C1881:C2080)</f>
        <v>9106.9941</v>
      </c>
      <c r="K2080" s="17" t="n">
        <f aca="false">MAX(K2079,C2080)</f>
        <v>19650.01</v>
      </c>
      <c r="L2080" s="25" t="n">
        <f aca="false">C2080/K2080-1</f>
        <v>-0.473980929271792</v>
      </c>
      <c r="M2080" s="25" t="n">
        <f aca="false">IF(COUNT(G2051:G2080)&lt;20,"",_xlfn.STDEV.S(G2051:G2080)*SQRT($R$3))</f>
        <v>0.520771472709903</v>
      </c>
      <c r="N2080" s="25" t="n">
        <f aca="false">IF(A2080-7&lt;$R$2,"",C2080/INDEX(Clean_Data!$C$2:$C$4314,MATCH(A2080-7,Clean_Data!$A$2:$A$4314,1))-1)</f>
        <v>0.00790623293548642</v>
      </c>
      <c r="O2080" s="25" t="n">
        <f aca="false">IF(A2080-30&lt;$R$2,"",C2080/INDEX(Clean_Data!$C$2:$C$4314,MATCH(A2080-30,Clean_Data!$A$2:$A$4314,1))-1)</f>
        <v>-0.122950729256556</v>
      </c>
    </row>
    <row r="2081" customFormat="false" ht="15" hidden="false" customHeight="false" outlineLevel="0" collapsed="false">
      <c r="A2081" s="16" t="n">
        <v>44088</v>
      </c>
      <c r="B2081" s="23" t="n">
        <f aca="false">YEAR(A2081)</f>
        <v>2020</v>
      </c>
      <c r="C2081" s="17" t="n">
        <v>10679.33</v>
      </c>
      <c r="D2081" s="23" t="n">
        <f aca="false">A2081-A2080</f>
        <v>1</v>
      </c>
      <c r="E2081" s="24" t="n">
        <f aca="false">LN(C2081)</f>
        <v>9.27606537646392</v>
      </c>
      <c r="F2081" s="25" t="n">
        <f aca="false">LN(C2081/C2080)</f>
        <v>0.0326500610251807</v>
      </c>
      <c r="G2081" s="25" t="n">
        <f aca="false">IF(AND(D2081=1,A2081&gt;=$R$2),F2081,"")</f>
        <v>0.0326500610251807</v>
      </c>
      <c r="H2081" s="27" t="n">
        <f aca="false">IF(G2081="","",G2081^2)</f>
        <v>0.00106602648494802</v>
      </c>
      <c r="I2081" s="25" t="n">
        <f aca="false">IF(G2081="","",C2081/C2080-1)</f>
        <v>0.0331889229006954</v>
      </c>
      <c r="J2081" s="17" t="n">
        <f aca="false">AVERAGE(C1882:C2081)</f>
        <v>9116.5107</v>
      </c>
      <c r="K2081" s="17" t="n">
        <f aca="false">MAX(K2080,C2081)</f>
        <v>19650.01</v>
      </c>
      <c r="L2081" s="25" t="n">
        <f aca="false">C2081/K2081-1</f>
        <v>-0.456522922889098</v>
      </c>
      <c r="M2081" s="25" t="n">
        <f aca="false">IF(COUNT(G2052:G2081)&lt;20,"",_xlfn.STDEV.S(G2052:G2081)*SQRT($R$3))</f>
        <v>0.537116227322802</v>
      </c>
      <c r="N2081" s="25" t="n">
        <f aca="false">IF(A2081-7&lt;$R$2,"",C2081/INDEX(Clean_Data!$C$2:$C$4314,MATCH(A2081-7,Clean_Data!$A$2:$A$4314,1))-1)</f>
        <v>0.027861807437066</v>
      </c>
      <c r="O2081" s="25" t="n">
        <f aca="false">IF(A2081-30&lt;$R$2,"",C2081/INDEX(Clean_Data!$C$2:$C$4314,MATCH(A2081-30,Clean_Data!$A$2:$A$4314,1))-1)</f>
        <v>-0.0991153398733116</v>
      </c>
    </row>
    <row r="2082" customFormat="false" ht="15" hidden="false" customHeight="false" outlineLevel="0" collapsed="false">
      <c r="A2082" s="16" t="n">
        <v>44089</v>
      </c>
      <c r="B2082" s="23" t="n">
        <f aca="false">YEAR(A2082)</f>
        <v>2020</v>
      </c>
      <c r="C2082" s="17" t="n">
        <v>10789.8</v>
      </c>
      <c r="D2082" s="23" t="n">
        <f aca="false">A2082-A2081</f>
        <v>1</v>
      </c>
      <c r="E2082" s="24" t="n">
        <f aca="false">LN(C2082)</f>
        <v>9.28635652239921</v>
      </c>
      <c r="F2082" s="25" t="n">
        <f aca="false">LN(C2082/C2081)</f>
        <v>0.0102911459352821</v>
      </c>
      <c r="G2082" s="25" t="n">
        <f aca="false">IF(AND(D2082=1,A2082&gt;=$R$2),F2082,"")</f>
        <v>0.0102911459352821</v>
      </c>
      <c r="H2082" s="27" t="n">
        <f aca="false">IF(G2082="","",G2082^2)</f>
        <v>0.000105907684661274</v>
      </c>
      <c r="I2082" s="25" t="n">
        <f aca="false">IF(G2082="","",C2082/C2081-1)</f>
        <v>0.0103442818978343</v>
      </c>
      <c r="J2082" s="17" t="n">
        <f aca="false">AVERAGE(C1883:C2082)</f>
        <v>9126.37615</v>
      </c>
      <c r="K2082" s="17" t="n">
        <f aca="false">MAX(K2081,C2082)</f>
        <v>19650.01</v>
      </c>
      <c r="L2082" s="25" t="n">
        <f aca="false">C2082/K2082-1</f>
        <v>-0.450901042798451</v>
      </c>
      <c r="M2082" s="25" t="n">
        <f aca="false">IF(COUNT(G2053:G2082)&lt;20,"",_xlfn.STDEV.S(G2053:G2082)*SQRT($R$3))</f>
        <v>0.538319207844541</v>
      </c>
      <c r="N2082" s="25" t="n">
        <f aca="false">IF(A2082-7&lt;$R$2,"",C2082/INDEX(Clean_Data!$C$2:$C$4314,MATCH(A2082-7,Clean_Data!$A$2:$A$4314,1))-1)</f>
        <v>0.0658476906040673</v>
      </c>
      <c r="O2082" s="25" t="n">
        <f aca="false">IF(A2082-30&lt;$R$2,"",C2082/INDEX(Clean_Data!$C$2:$C$4314,MATCH(A2082-30,Clean_Data!$A$2:$A$4314,1))-1)</f>
        <v>-0.0951190875545119</v>
      </c>
    </row>
    <row r="2083" customFormat="false" ht="15" hidden="false" customHeight="false" outlineLevel="0" collapsed="false">
      <c r="A2083" s="16" t="n">
        <v>44090</v>
      </c>
      <c r="B2083" s="23" t="n">
        <f aca="false">YEAR(A2083)</f>
        <v>2020</v>
      </c>
      <c r="C2083" s="17" t="n">
        <v>10953.38</v>
      </c>
      <c r="D2083" s="23" t="n">
        <f aca="false">A2083-A2082</f>
        <v>1</v>
      </c>
      <c r="E2083" s="24" t="n">
        <f aca="false">LN(C2083)</f>
        <v>9.30140336341316</v>
      </c>
      <c r="F2083" s="25" t="n">
        <f aca="false">LN(C2083/C2082)</f>
        <v>0.0150468410139542</v>
      </c>
      <c r="G2083" s="25" t="n">
        <f aca="false">IF(AND(D2083=1,A2083&gt;=$R$2),F2083,"")</f>
        <v>0.0150468410139542</v>
      </c>
      <c r="H2083" s="27" t="n">
        <f aca="false">IF(G2083="","",G2083^2)</f>
        <v>0.000226407424499215</v>
      </c>
      <c r="I2083" s="25" t="n">
        <f aca="false">IF(G2083="","",C2083/C2082-1)</f>
        <v>0.0151606146545811</v>
      </c>
      <c r="J2083" s="17" t="n">
        <f aca="false">AVERAGE(C1884:C2083)</f>
        <v>9137.57725</v>
      </c>
      <c r="K2083" s="17" t="n">
        <f aca="false">MAX(K2082,C2083)</f>
        <v>19650.01</v>
      </c>
      <c r="L2083" s="25" t="n">
        <f aca="false">C2083/K2083-1</f>
        <v>-0.442576365101086</v>
      </c>
      <c r="M2083" s="25" t="n">
        <f aca="false">IF(COUNT(G2054:G2083)&lt;20,"",_xlfn.STDEV.S(G2054:G2083)*SQRT($R$3))</f>
        <v>0.541267286820865</v>
      </c>
      <c r="N2083" s="25" t="n">
        <f aca="false">IF(A2083-7&lt;$R$2,"",C2083/INDEX(Clean_Data!$C$2:$C$4314,MATCH(A2083-7,Clean_Data!$A$2:$A$4314,1))-1)</f>
        <v>0.0701885686370298</v>
      </c>
      <c r="O2083" s="25" t="n">
        <f aca="false">IF(A2083-30&lt;$R$2,"",C2083/INDEX(Clean_Data!$C$2:$C$4314,MATCH(A2083-30,Clean_Data!$A$2:$A$4314,1))-1)</f>
        <v>-0.111294837364403</v>
      </c>
    </row>
    <row r="2084" customFormat="false" ht="15" hidden="false" customHeight="false" outlineLevel="0" collapsed="false">
      <c r="A2084" s="16" t="n">
        <v>44091</v>
      </c>
      <c r="B2084" s="23" t="n">
        <f aca="false">YEAR(A2084)</f>
        <v>2020</v>
      </c>
      <c r="C2084" s="17" t="n">
        <v>10947.83</v>
      </c>
      <c r="D2084" s="23" t="n">
        <f aca="false">A2084-A2083</f>
        <v>1</v>
      </c>
      <c r="E2084" s="24" t="n">
        <f aca="false">LN(C2084)</f>
        <v>9.3008965420897</v>
      </c>
      <c r="F2084" s="25" t="n">
        <f aca="false">LN(C2084/C2083)</f>
        <v>-0.000506821323461201</v>
      </c>
      <c r="G2084" s="25" t="n">
        <f aca="false">IF(AND(D2084=1,A2084&gt;=$R$2),F2084,"")</f>
        <v>-0.000506821323461201</v>
      </c>
      <c r="H2084" s="27" t="n">
        <f aca="false">IF(G2084="","",G2084^2)</f>
        <v>2.56867853914963E-007</v>
      </c>
      <c r="I2084" s="25" t="n">
        <f aca="false">IF(G2084="","",C2084/C2083-1)</f>
        <v>-0.000506692911229179</v>
      </c>
      <c r="J2084" s="17" t="n">
        <f aca="false">AVERAGE(C1885:C2084)</f>
        <v>9149.556</v>
      </c>
      <c r="K2084" s="17" t="n">
        <f aca="false">MAX(K2083,C2084)</f>
        <v>19650.01</v>
      </c>
      <c r="L2084" s="25" t="n">
        <f aca="false">C2084/K2084-1</f>
        <v>-0.442858807705441</v>
      </c>
      <c r="M2084" s="25" t="n">
        <f aca="false">IF(COUNT(G2055:G2084)&lt;20,"",_xlfn.STDEV.S(G2055:G2084)*SQRT($R$3))</f>
        <v>0.525213697281799</v>
      </c>
      <c r="N2084" s="25" t="n">
        <f aca="false">IF(A2084-7&lt;$R$2,"",C2084/INDEX(Clean_Data!$C$2:$C$4314,MATCH(A2084-7,Clean_Data!$A$2:$A$4314,1))-1)</f>
        <v>0.0581754213001222</v>
      </c>
      <c r="O2084" s="25" t="n">
        <f aca="false">IF(A2084-30&lt;$R$2,"",C2084/INDEX(Clean_Data!$C$2:$C$4314,MATCH(A2084-30,Clean_Data!$A$2:$A$4314,1))-1)</f>
        <v>-0.0864261919703059</v>
      </c>
    </row>
    <row r="2085" customFormat="false" ht="15" hidden="false" customHeight="false" outlineLevel="0" collapsed="false">
      <c r="A2085" s="16" t="n">
        <v>44092</v>
      </c>
      <c r="B2085" s="23" t="n">
        <f aca="false">YEAR(A2085)</f>
        <v>2020</v>
      </c>
      <c r="C2085" s="17" t="n">
        <v>10942.2</v>
      </c>
      <c r="D2085" s="23" t="n">
        <f aca="false">A2085-A2084</f>
        <v>1</v>
      </c>
      <c r="E2085" s="24" t="n">
        <f aca="false">LN(C2085)</f>
        <v>9.30038215265084</v>
      </c>
      <c r="F2085" s="25" t="n">
        <f aca="false">LN(C2085/C2084)</f>
        <v>-0.000514389438857723</v>
      </c>
      <c r="G2085" s="25" t="n">
        <f aca="false">IF(AND(D2085=1,A2085&gt;=$R$2),F2085,"")</f>
        <v>-0.000514389438857723</v>
      </c>
      <c r="H2085" s="27" t="n">
        <f aca="false">IF(G2085="","",G2085^2)</f>
        <v>2.64596494808363E-007</v>
      </c>
      <c r="I2085" s="25" t="n">
        <f aca="false">IF(G2085="","",C2085/C2084-1)</f>
        <v>-0.000514257163291676</v>
      </c>
      <c r="J2085" s="17" t="n">
        <f aca="false">AVERAGE(C1886:C2085)</f>
        <v>9161.8155</v>
      </c>
      <c r="K2085" s="17" t="n">
        <f aca="false">MAX(K2084,C2085)</f>
        <v>19650.01</v>
      </c>
      <c r="L2085" s="25" t="n">
        <f aca="false">C2085/K2085-1</f>
        <v>-0.443145321554544</v>
      </c>
      <c r="M2085" s="25" t="n">
        <f aca="false">IF(COUNT(G2056:G2085)&lt;20,"",_xlfn.STDEV.S(G2056:G2085)*SQRT($R$3))</f>
        <v>0.517663488205472</v>
      </c>
      <c r="N2085" s="25" t="n">
        <f aca="false">IF(A2085-7&lt;$R$2,"",C2085/INDEX(Clean_Data!$C$2:$C$4314,MATCH(A2085-7,Clean_Data!$A$2:$A$4314,1))-1)</f>
        <v>0.0521356270534876</v>
      </c>
      <c r="O2085" s="25" t="n">
        <f aca="false">IF(A2085-30&lt;$R$2,"",C2085/INDEX(Clean_Data!$C$2:$C$4314,MATCH(A2085-30,Clean_Data!$A$2:$A$4314,1))-1)</f>
        <v>-0.0699204406364747</v>
      </c>
    </row>
    <row r="2086" customFormat="false" ht="15" hidden="false" customHeight="false" outlineLevel="0" collapsed="false">
      <c r="A2086" s="16" t="n">
        <v>44093</v>
      </c>
      <c r="B2086" s="23" t="n">
        <f aca="false">YEAR(A2086)</f>
        <v>2020</v>
      </c>
      <c r="C2086" s="17" t="n">
        <v>11075.33</v>
      </c>
      <c r="D2086" s="23" t="n">
        <f aca="false">A2086-A2085</f>
        <v>1</v>
      </c>
      <c r="E2086" s="24" t="n">
        <f aca="false">LN(C2086)</f>
        <v>9.31247539130915</v>
      </c>
      <c r="F2086" s="25" t="n">
        <f aca="false">LN(C2086/C2085)</f>
        <v>0.0120932386583069</v>
      </c>
      <c r="G2086" s="25" t="n">
        <f aca="false">IF(AND(D2086=1,A2086&gt;=$R$2),F2086,"")</f>
        <v>0.0120932386583069</v>
      </c>
      <c r="H2086" s="27" t="n">
        <f aca="false">IF(G2086="","",G2086^2)</f>
        <v>0.00014624642124677</v>
      </c>
      <c r="I2086" s="25" t="n">
        <f aca="false">IF(G2086="","",C2086/C2085-1)</f>
        <v>0.0121666575277366</v>
      </c>
      <c r="J2086" s="17" t="n">
        <f aca="false">AVERAGE(C1887:C2086)</f>
        <v>9172.57455</v>
      </c>
      <c r="K2086" s="17" t="n">
        <f aca="false">MAX(K2085,C2086)</f>
        <v>19650.01</v>
      </c>
      <c r="L2086" s="25" t="n">
        <f aca="false">C2086/K2086-1</f>
        <v>-0.43637026138918</v>
      </c>
      <c r="M2086" s="25" t="n">
        <f aca="false">IF(COUNT(G2057:G2086)&lt;20,"",_xlfn.STDEV.S(G2057:G2086)*SQRT($R$3))</f>
        <v>0.517047244301411</v>
      </c>
      <c r="N2086" s="25" t="n">
        <f aca="false">IF(A2086-7&lt;$R$2,"",C2086/INDEX(Clean_Data!$C$2:$C$4314,MATCH(A2086-7,Clean_Data!$A$2:$A$4314,1))-1)</f>
        <v>0.0604480462963939</v>
      </c>
      <c r="O2086" s="25" t="n">
        <f aca="false">IF(A2086-30&lt;$R$2,"",C2086/INDEX(Clean_Data!$C$2:$C$4314,MATCH(A2086-30,Clean_Data!$A$2:$A$4314,1))-1)</f>
        <v>-0.0658648947727104</v>
      </c>
    </row>
    <row r="2087" customFormat="false" ht="15" hidden="false" customHeight="false" outlineLevel="0" collapsed="false">
      <c r="A2087" s="16" t="n">
        <v>44094</v>
      </c>
      <c r="B2087" s="23" t="n">
        <f aca="false">YEAR(A2087)</f>
        <v>2020</v>
      </c>
      <c r="C2087" s="17" t="n">
        <v>10911.59</v>
      </c>
      <c r="D2087" s="23" t="n">
        <f aca="false">A2087-A2086</f>
        <v>1</v>
      </c>
      <c r="E2087" s="24" t="n">
        <f aca="false">LN(C2087)</f>
        <v>9.29758080606357</v>
      </c>
      <c r="F2087" s="25" t="n">
        <f aca="false">LN(C2087/C2086)</f>
        <v>-0.0148945852455828</v>
      </c>
      <c r="G2087" s="25" t="n">
        <f aca="false">IF(AND(D2087=1,A2087&gt;=$R$2),F2087,"")</f>
        <v>-0.0148945852455828</v>
      </c>
      <c r="H2087" s="27" t="n">
        <f aca="false">IF(G2087="","",G2087^2)</f>
        <v>0.000221848669637933</v>
      </c>
      <c r="I2087" s="25" t="n">
        <f aca="false">IF(G2087="","",C2087/C2086-1)</f>
        <v>-0.0147842095901432</v>
      </c>
      <c r="J2087" s="17" t="n">
        <f aca="false">AVERAGE(C1888:C2087)</f>
        <v>9183.28415</v>
      </c>
      <c r="K2087" s="17" t="n">
        <f aca="false">MAX(K2086,C2087)</f>
        <v>19650.01</v>
      </c>
      <c r="L2087" s="25" t="n">
        <f aca="false">C2087/K2087-1</f>
        <v>-0.44470308157604</v>
      </c>
      <c r="M2087" s="25" t="n">
        <f aca="false">IF(COUNT(G2058:G2087)&lt;20,"",_xlfn.STDEV.S(G2058:G2087)*SQRT($R$3))</f>
        <v>0.517817091789183</v>
      </c>
      <c r="N2087" s="25" t="n">
        <f aca="false">IF(A2087-7&lt;$R$2,"",C2087/INDEX(Clean_Data!$C$2:$C$4314,MATCH(A2087-7,Clean_Data!$A$2:$A$4314,1))-1)</f>
        <v>0.0556592894155343</v>
      </c>
      <c r="O2087" s="25" t="n">
        <f aca="false">IF(A2087-30&lt;$R$2,"",C2087/INDEX(Clean_Data!$C$2:$C$4314,MATCH(A2087-30,Clean_Data!$A$2:$A$4314,1))-1)</f>
        <v>-0.0533327202437551</v>
      </c>
    </row>
    <row r="2088" customFormat="false" ht="15" hidden="false" customHeight="false" outlineLevel="0" collapsed="false">
      <c r="A2088" s="16" t="n">
        <v>44095</v>
      </c>
      <c r="B2088" s="23" t="n">
        <f aca="false">YEAR(A2088)</f>
        <v>2020</v>
      </c>
      <c r="C2088" s="17" t="n">
        <v>10425.85</v>
      </c>
      <c r="D2088" s="23" t="n">
        <f aca="false">A2088-A2087</f>
        <v>1</v>
      </c>
      <c r="E2088" s="24" t="n">
        <f aca="false">LN(C2088)</f>
        <v>9.25204357811541</v>
      </c>
      <c r="F2088" s="25" t="n">
        <f aca="false">LN(C2088/C2087)</f>
        <v>-0.0455372279481601</v>
      </c>
      <c r="G2088" s="25" t="n">
        <f aca="false">IF(AND(D2088=1,A2088&gt;=$R$2),F2088,"")</f>
        <v>-0.0455372279481601</v>
      </c>
      <c r="H2088" s="27" t="n">
        <f aca="false">IF(G2088="","",G2088^2)</f>
        <v>0.00207363912920269</v>
      </c>
      <c r="I2088" s="25" t="n">
        <f aca="false">IF(G2088="","",C2088/C2087-1)</f>
        <v>-0.0445159688001473</v>
      </c>
      <c r="J2088" s="17" t="n">
        <f aca="false">AVERAGE(C1889:C2088)</f>
        <v>9191.5884</v>
      </c>
      <c r="K2088" s="17" t="n">
        <f aca="false">MAX(K2087,C2088)</f>
        <v>19650.01</v>
      </c>
      <c r="L2088" s="25" t="n">
        <f aca="false">C2088/K2088-1</f>
        <v>-0.469422661871419</v>
      </c>
      <c r="M2088" s="25" t="n">
        <f aca="false">IF(COUNT(G2059:G2088)&lt;20,"",_xlfn.STDEV.S(G2059:G2088)*SQRT($R$3))</f>
        <v>0.532416919240494</v>
      </c>
      <c r="N2088" s="25" t="n">
        <f aca="false">IF(A2088-7&lt;$R$2,"",C2088/INDEX(Clean_Data!$C$2:$C$4314,MATCH(A2088-7,Clean_Data!$A$2:$A$4314,1))-1)</f>
        <v>-0.0237355714262973</v>
      </c>
      <c r="O2088" s="25" t="n">
        <f aca="false">IF(A2088-30&lt;$R$2,"",C2088/INDEX(Clean_Data!$C$2:$C$4314,MATCH(A2088-30,Clean_Data!$A$2:$A$4314,1))-1)</f>
        <v>-0.107053233274351</v>
      </c>
    </row>
    <row r="2089" customFormat="false" ht="15" hidden="false" customHeight="false" outlineLevel="0" collapsed="false">
      <c r="A2089" s="16" t="n">
        <v>44096</v>
      </c>
      <c r="B2089" s="23" t="n">
        <f aca="false">YEAR(A2089)</f>
        <v>2020</v>
      </c>
      <c r="C2089" s="17" t="n">
        <v>10529.01</v>
      </c>
      <c r="D2089" s="23" t="n">
        <f aca="false">A2089-A2088</f>
        <v>1</v>
      </c>
      <c r="E2089" s="24" t="n">
        <f aca="false">LN(C2089)</f>
        <v>9.26188958361412</v>
      </c>
      <c r="F2089" s="25" t="n">
        <f aca="false">LN(C2089/C2088)</f>
        <v>0.00984600549871448</v>
      </c>
      <c r="G2089" s="25" t="n">
        <f aca="false">IF(AND(D2089=1,A2089&gt;=$R$2),F2089,"")</f>
        <v>0.00984600549871448</v>
      </c>
      <c r="H2089" s="27" t="n">
        <f aca="false">IF(G2089="","",G2089^2)</f>
        <v>9.69438242807158E-005</v>
      </c>
      <c r="I2089" s="25" t="n">
        <f aca="false">IF(G2089="","",C2089/C2088-1)</f>
        <v>0.00989463688811942</v>
      </c>
      <c r="J2089" s="17" t="n">
        <f aca="false">AVERAGE(C1890:C2089)</f>
        <v>9198.96565</v>
      </c>
      <c r="K2089" s="17" t="n">
        <f aca="false">MAX(K2088,C2089)</f>
        <v>19650.01</v>
      </c>
      <c r="L2089" s="25" t="n">
        <f aca="false">C2089/K2089-1</f>
        <v>-0.464172791769572</v>
      </c>
      <c r="M2089" s="25" t="n">
        <f aca="false">IF(COUNT(G2060:G2089)&lt;20,"",_xlfn.STDEV.S(G2060:G2089)*SQRT($R$3))</f>
        <v>0.531327716474401</v>
      </c>
      <c r="N2089" s="25" t="n">
        <f aca="false">IF(A2089-7&lt;$R$2,"",C2089/INDEX(Clean_Data!$C$2:$C$4314,MATCH(A2089-7,Clean_Data!$A$2:$A$4314,1))-1)</f>
        <v>-0.0241700494911861</v>
      </c>
      <c r="O2089" s="25" t="n">
        <f aca="false">IF(A2089-30&lt;$R$2,"",C2089/INDEX(Clean_Data!$C$2:$C$4314,MATCH(A2089-30,Clean_Data!$A$2:$A$4314,1))-1)</f>
        <v>-0.0962246449150775</v>
      </c>
    </row>
    <row r="2090" customFormat="false" ht="15" hidden="false" customHeight="false" outlineLevel="0" collapsed="false">
      <c r="A2090" s="16" t="n">
        <v>44097</v>
      </c>
      <c r="B2090" s="23" t="n">
        <f aca="false">YEAR(A2090)</f>
        <v>2020</v>
      </c>
      <c r="C2090" s="17" t="n">
        <v>10230.11</v>
      </c>
      <c r="D2090" s="23" t="n">
        <f aca="false">A2090-A2089</f>
        <v>1</v>
      </c>
      <c r="E2090" s="24" t="n">
        <f aca="false">LN(C2090)</f>
        <v>9.23309061157604</v>
      </c>
      <c r="F2090" s="25" t="n">
        <f aca="false">LN(C2090/C2089)</f>
        <v>-0.0287989720380856</v>
      </c>
      <c r="G2090" s="25" t="n">
        <f aca="false">IF(AND(D2090=1,A2090&gt;=$R$2),F2090,"")</f>
        <v>-0.0287989720380856</v>
      </c>
      <c r="H2090" s="27" t="n">
        <f aca="false">IF(G2090="","",G2090^2)</f>
        <v>0.000829380790450434</v>
      </c>
      <c r="I2090" s="25" t="n">
        <f aca="false">IF(G2090="","",C2090/C2089-1)</f>
        <v>-0.0283882340314996</v>
      </c>
      <c r="J2090" s="17" t="n">
        <f aca="false">AVERAGE(C1891:C2090)</f>
        <v>9204.3013</v>
      </c>
      <c r="K2090" s="17" t="n">
        <f aca="false">MAX(K2089,C2090)</f>
        <v>19650.01</v>
      </c>
      <c r="L2090" s="25" t="n">
        <f aca="false">C2090/K2090-1</f>
        <v>-0.479383979957262</v>
      </c>
      <c r="M2090" s="25" t="n">
        <f aca="false">IF(COUNT(G2061:G2090)&lt;20,"",_xlfn.STDEV.S(G2061:G2090)*SQRT($R$3))</f>
        <v>0.538923749768579</v>
      </c>
      <c r="N2090" s="25" t="n">
        <f aca="false">IF(A2090-7&lt;$R$2,"",C2090/INDEX(Clean_Data!$C$2:$C$4314,MATCH(A2090-7,Clean_Data!$A$2:$A$4314,1))-1)</f>
        <v>-0.0660316724152726</v>
      </c>
      <c r="O2090" s="25" t="n">
        <f aca="false">IF(A2090-30&lt;$R$2,"",C2090/INDEX(Clean_Data!$C$2:$C$4314,MATCH(A2090-30,Clean_Data!$A$2:$A$4314,1))-1)</f>
        <v>-0.130265746441609</v>
      </c>
    </row>
    <row r="2091" customFormat="false" ht="15" hidden="false" customHeight="false" outlineLevel="0" collapsed="false">
      <c r="A2091" s="16" t="n">
        <v>44098</v>
      </c>
      <c r="B2091" s="23" t="n">
        <f aca="false">YEAR(A2091)</f>
        <v>2020</v>
      </c>
      <c r="C2091" s="17" t="n">
        <v>10741</v>
      </c>
      <c r="D2091" s="23" t="n">
        <f aca="false">A2091-A2090</f>
        <v>1</v>
      </c>
      <c r="E2091" s="24" t="n">
        <f aca="false">LN(C2091)</f>
        <v>9.28182347359805</v>
      </c>
      <c r="F2091" s="25" t="n">
        <f aca="false">LN(C2091/C2090)</f>
        <v>0.0487328620220124</v>
      </c>
      <c r="G2091" s="25" t="n">
        <f aca="false">IF(AND(D2091=1,A2091&gt;=$R$2),F2091,"")</f>
        <v>0.0487328620220124</v>
      </c>
      <c r="H2091" s="27" t="n">
        <f aca="false">IF(G2091="","",G2091^2)</f>
        <v>0.0023748918408565</v>
      </c>
      <c r="I2091" s="25" t="n">
        <f aca="false">IF(G2091="","",C2091/C2090-1)</f>
        <v>0.0499398344690329</v>
      </c>
      <c r="J2091" s="17" t="n">
        <f aca="false">AVERAGE(C1892:C2091)</f>
        <v>9213.5779</v>
      </c>
      <c r="K2091" s="17" t="n">
        <f aca="false">MAX(K2090,C2091)</f>
        <v>19650.01</v>
      </c>
      <c r="L2091" s="25" t="n">
        <f aca="false">C2091/K2091-1</f>
        <v>-0.453384502094401</v>
      </c>
      <c r="M2091" s="25" t="n">
        <f aca="false">IF(COUNT(G2062:G2091)&lt;20,"",_xlfn.STDEV.S(G2062:G2091)*SQRT($R$3))</f>
        <v>0.569061027198257</v>
      </c>
      <c r="N2091" s="25" t="n">
        <f aca="false">IF(A2091-7&lt;$R$2,"",C2091/INDEX(Clean_Data!$C$2:$C$4314,MATCH(A2091-7,Clean_Data!$A$2:$A$4314,1))-1)</f>
        <v>-0.0188923284340367</v>
      </c>
      <c r="O2091" s="25" t="n">
        <f aca="false">IF(A2091-30&lt;$R$2,"",C2091/INDEX(Clean_Data!$C$2:$C$4314,MATCH(A2091-30,Clean_Data!$A$2:$A$4314,1))-1)</f>
        <v>-0.05155560421939</v>
      </c>
    </row>
    <row r="2092" customFormat="false" ht="15" hidden="false" customHeight="false" outlineLevel="0" collapsed="false">
      <c r="A2092" s="16" t="n">
        <v>44099</v>
      </c>
      <c r="B2092" s="23" t="n">
        <f aca="false">YEAR(A2092)</f>
        <v>2020</v>
      </c>
      <c r="C2092" s="17" t="n">
        <v>10693.3</v>
      </c>
      <c r="D2092" s="23" t="n">
        <f aca="false">A2092-A2091</f>
        <v>1</v>
      </c>
      <c r="E2092" s="24" t="n">
        <f aca="false">LN(C2092)</f>
        <v>9.2773726561005</v>
      </c>
      <c r="F2092" s="25" t="n">
        <f aca="false">LN(C2092/C2091)</f>
        <v>-0.00445081749754701</v>
      </c>
      <c r="G2092" s="25" t="n">
        <f aca="false">IF(AND(D2092=1,A2092&gt;=$R$2),F2092,"")</f>
        <v>-0.00445081749754701</v>
      </c>
      <c r="H2092" s="27" t="n">
        <f aca="false">IF(G2092="","",G2092^2)</f>
        <v>1.98097763964706E-005</v>
      </c>
      <c r="I2092" s="25" t="n">
        <f aca="false">IF(G2092="","",C2092/C2091-1)</f>
        <v>-0.00444092728796208</v>
      </c>
      <c r="J2092" s="17" t="n">
        <f aca="false">AVERAGE(C1893:C2092)</f>
        <v>9226.7044</v>
      </c>
      <c r="K2092" s="17" t="n">
        <f aca="false">MAX(K2091,C2092)</f>
        <v>19650.01</v>
      </c>
      <c r="L2092" s="25" t="n">
        <f aca="false">C2092/K2092-1</f>
        <v>-0.455811981775073</v>
      </c>
      <c r="M2092" s="25" t="n">
        <f aca="false">IF(COUNT(G2063:G2092)&lt;20,"",_xlfn.STDEV.S(G2063:G2092)*SQRT($R$3))</f>
        <v>0.554414286912733</v>
      </c>
      <c r="N2092" s="25" t="n">
        <f aca="false">IF(A2092-7&lt;$R$2,"",C2092/INDEX(Clean_Data!$C$2:$C$4314,MATCH(A2092-7,Clean_Data!$A$2:$A$4314,1))-1)</f>
        <v>-0.0227467968050302</v>
      </c>
      <c r="O2092" s="25" t="n">
        <f aca="false">IF(A2092-30&lt;$R$2,"",C2092/INDEX(Clean_Data!$C$2:$C$4314,MATCH(A2092-30,Clean_Data!$A$2:$A$4314,1))-1)</f>
        <v>-0.0669030829816031</v>
      </c>
    </row>
    <row r="2093" customFormat="false" ht="15" hidden="false" customHeight="false" outlineLevel="0" collapsed="false">
      <c r="A2093" s="16" t="n">
        <v>44100</v>
      </c>
      <c r="B2093" s="23" t="n">
        <f aca="false">YEAR(A2093)</f>
        <v>2020</v>
      </c>
      <c r="C2093" s="17" t="n">
        <v>10730.23</v>
      </c>
      <c r="D2093" s="23" t="n">
        <f aca="false">A2093-A2092</f>
        <v>1</v>
      </c>
      <c r="E2093" s="24" t="n">
        <f aca="false">LN(C2093)</f>
        <v>9.28082027062334</v>
      </c>
      <c r="F2093" s="25" t="n">
        <f aca="false">LN(C2093/C2092)</f>
        <v>0.00344761452284461</v>
      </c>
      <c r="G2093" s="25" t="n">
        <f aca="false">IF(AND(D2093=1,A2093&gt;=$R$2),F2093,"")</f>
        <v>0.00344761452284461</v>
      </c>
      <c r="H2093" s="27" t="n">
        <f aca="false">IF(G2093="","",G2093^2)</f>
        <v>1.18860458981291E-005</v>
      </c>
      <c r="I2093" s="25" t="n">
        <f aca="false">IF(G2093="","",C2093/C2092-1)</f>
        <v>0.00345356438143507</v>
      </c>
      <c r="J2093" s="17" t="n">
        <f aca="false">AVERAGE(C1894:C2093)</f>
        <v>9240.6304</v>
      </c>
      <c r="K2093" s="17" t="n">
        <f aca="false">MAX(K2092,C2093)</f>
        <v>19650.01</v>
      </c>
      <c r="L2093" s="25" t="n">
        <f aca="false">C2093/K2093-1</f>
        <v>-0.453932593418528</v>
      </c>
      <c r="M2093" s="25" t="n">
        <f aca="false">IF(COUNT(G2064:G2093)&lt;20,"",_xlfn.STDEV.S(G2064:G2093)*SQRT($R$3))</f>
        <v>0.552524789178584</v>
      </c>
      <c r="N2093" s="25" t="n">
        <f aca="false">IF(A2093-7&lt;$R$2,"",C2093/INDEX(Clean_Data!$C$2:$C$4314,MATCH(A2093-7,Clean_Data!$A$2:$A$4314,1))-1)</f>
        <v>-0.0311593424304287</v>
      </c>
      <c r="O2093" s="25" t="n">
        <f aca="false">IF(A2093-30&lt;$R$2,"",C2093/INDEX(Clean_Data!$C$2:$C$4314,MATCH(A2093-30,Clean_Data!$A$2:$A$4314,1))-1)</f>
        <v>-0.0539159369866855</v>
      </c>
    </row>
    <row r="2094" customFormat="false" ht="15" hidden="false" customHeight="false" outlineLevel="0" collapsed="false">
      <c r="A2094" s="16" t="n">
        <v>44101</v>
      </c>
      <c r="B2094" s="23" t="n">
        <f aca="false">YEAR(A2094)</f>
        <v>2020</v>
      </c>
      <c r="C2094" s="17" t="n">
        <v>10792.18</v>
      </c>
      <c r="D2094" s="23" t="n">
        <f aca="false">A2094-A2093</f>
        <v>1</v>
      </c>
      <c r="E2094" s="24" t="n">
        <f aca="false">LN(C2094)</f>
        <v>9.28657707677</v>
      </c>
      <c r="F2094" s="25" t="n">
        <f aca="false">LN(C2094/C2093)</f>
        <v>0.0057568061466512</v>
      </c>
      <c r="G2094" s="25" t="n">
        <f aca="false">IF(AND(D2094=1,A2094&gt;=$R$2),F2094,"")</f>
        <v>0.0057568061466512</v>
      </c>
      <c r="H2094" s="27" t="n">
        <f aca="false">IF(G2094="","",G2094^2)</f>
        <v>3.31408170101211E-005</v>
      </c>
      <c r="I2094" s="25" t="n">
        <f aca="false">IF(G2094="","",C2094/C2093-1)</f>
        <v>0.00577340839851526</v>
      </c>
      <c r="J2094" s="17" t="n">
        <f aca="false">AVERAGE(C1895:C2094)</f>
        <v>9255.15625</v>
      </c>
      <c r="K2094" s="17" t="n">
        <f aca="false">MAX(K2093,C2094)</f>
        <v>19650.01</v>
      </c>
      <c r="L2094" s="25" t="n">
        <f aca="false">C2094/K2094-1</f>
        <v>-0.450779923267215</v>
      </c>
      <c r="M2094" s="25" t="n">
        <f aca="false">IF(COUNT(G2065:G2094)&lt;20,"",_xlfn.STDEV.S(G2065:G2094)*SQRT($R$3))</f>
        <v>0.552309820252661</v>
      </c>
      <c r="N2094" s="25" t="n">
        <f aca="false">IF(A2094-7&lt;$R$2,"",C2094/INDEX(Clean_Data!$C$2:$C$4314,MATCH(A2094-7,Clean_Data!$A$2:$A$4314,1))-1)</f>
        <v>-0.0109434097138914</v>
      </c>
      <c r="O2094" s="25" t="n">
        <f aca="false">IF(A2094-30&lt;$R$2,"",C2094/INDEX(Clean_Data!$C$2:$C$4314,MATCH(A2094-30,Clean_Data!$A$2:$A$4314,1))-1)</f>
        <v>-0.0648024263431543</v>
      </c>
    </row>
    <row r="2095" customFormat="false" ht="15" hidden="false" customHeight="false" outlineLevel="0" collapsed="false">
      <c r="A2095" s="16" t="n">
        <v>44102</v>
      </c>
      <c r="B2095" s="23" t="n">
        <f aca="false">YEAR(A2095)</f>
        <v>2020</v>
      </c>
      <c r="C2095" s="17" t="n">
        <v>10681.01</v>
      </c>
      <c r="D2095" s="23" t="n">
        <f aca="false">A2095-A2094</f>
        <v>1</v>
      </c>
      <c r="E2095" s="24" t="n">
        <f aca="false">LN(C2095)</f>
        <v>9.27622267733118</v>
      </c>
      <c r="F2095" s="25" t="n">
        <f aca="false">LN(C2095/C2094)</f>
        <v>-0.0103543994388138</v>
      </c>
      <c r="G2095" s="25" t="n">
        <f aca="false">IF(AND(D2095=1,A2095&gt;=$R$2),F2095,"")</f>
        <v>-0.0103543994388138</v>
      </c>
      <c r="H2095" s="27" t="n">
        <f aca="false">IF(G2095="","",G2095^2)</f>
        <v>0.000107213587738508</v>
      </c>
      <c r="I2095" s="25" t="n">
        <f aca="false">IF(G2095="","",C2095/C2094-1)</f>
        <v>-0.0103009771890388</v>
      </c>
      <c r="J2095" s="17" t="n">
        <f aca="false">AVERAGE(C1896:C2095)</f>
        <v>9268.7762</v>
      </c>
      <c r="K2095" s="17" t="n">
        <f aca="false">MAX(K2094,C2095)</f>
        <v>19650.01</v>
      </c>
      <c r="L2095" s="25" t="n">
        <f aca="false">C2095/K2095-1</f>
        <v>-0.456437426749401</v>
      </c>
      <c r="M2095" s="25" t="n">
        <f aca="false">IF(COUNT(G2066:G2095)&lt;20,"",_xlfn.STDEV.S(G2066:G2095)*SQRT($R$3))</f>
        <v>0.548749314187987</v>
      </c>
      <c r="N2095" s="25" t="n">
        <f aca="false">IF(A2095-7&lt;$R$2,"",C2095/INDEX(Clean_Data!$C$2:$C$4314,MATCH(A2095-7,Clean_Data!$A$2:$A$4314,1))-1)</f>
        <v>0.024473783912103</v>
      </c>
      <c r="O2095" s="25" t="n">
        <f aca="false">IF(A2095-30&lt;$R$2,"",C2095/INDEX(Clean_Data!$C$2:$C$4314,MATCH(A2095-30,Clean_Data!$A$2:$A$4314,1))-1)</f>
        <v>-0.0686703474542575</v>
      </c>
    </row>
    <row r="2096" customFormat="false" ht="15" hidden="false" customHeight="false" outlineLevel="0" collapsed="false">
      <c r="A2096" s="16" t="n">
        <v>44103</v>
      </c>
      <c r="B2096" s="23" t="n">
        <f aca="false">YEAR(A2096)</f>
        <v>2020</v>
      </c>
      <c r="C2096" s="17" t="n">
        <v>10845.9</v>
      </c>
      <c r="D2096" s="23" t="n">
        <f aca="false">A2096-A2095</f>
        <v>1</v>
      </c>
      <c r="E2096" s="24" t="n">
        <f aca="false">LN(C2096)</f>
        <v>9.29154240736957</v>
      </c>
      <c r="F2096" s="25" t="n">
        <f aca="false">LN(C2096/C2095)</f>
        <v>0.0153197300383834</v>
      </c>
      <c r="G2096" s="25" t="n">
        <f aca="false">IF(AND(D2096=1,A2096&gt;=$R$2),F2096,"")</f>
        <v>0.0153197300383834</v>
      </c>
      <c r="H2096" s="27" t="n">
        <f aca="false">IF(G2096="","",G2096^2)</f>
        <v>0.000234694128448946</v>
      </c>
      <c r="I2096" s="25" t="n">
        <f aca="false">IF(G2096="","",C2096/C2095-1)</f>
        <v>0.0154376786464949</v>
      </c>
      <c r="J2096" s="17" t="n">
        <f aca="false">AVERAGE(C1897:C2096)</f>
        <v>9298.1057</v>
      </c>
      <c r="K2096" s="17" t="n">
        <f aca="false">MAX(K2095,C2096)</f>
        <v>19650.01</v>
      </c>
      <c r="L2096" s="25" t="n">
        <f aca="false">C2096/K2096-1</f>
        <v>-0.448046082419296</v>
      </c>
      <c r="M2096" s="25" t="n">
        <f aca="false">IF(COUNT(G2067:G2096)&lt;20,"",_xlfn.STDEV.S(G2067:G2096)*SQRT($R$3))</f>
        <v>0.552116800635182</v>
      </c>
      <c r="N2096" s="25" t="n">
        <f aca="false">IF(A2096-7&lt;$R$2,"",C2096/INDEX(Clean_Data!$C$2:$C$4314,MATCH(A2096-7,Clean_Data!$A$2:$A$4314,1))-1)</f>
        <v>0.0300968467120839</v>
      </c>
      <c r="O2096" s="25" t="n">
        <f aca="false">IF(A2096-30&lt;$R$2,"",C2096/INDEX(Clean_Data!$C$2:$C$4314,MATCH(A2096-30,Clean_Data!$A$2:$A$4314,1))-1)</f>
        <v>-0.0749757569089611</v>
      </c>
    </row>
    <row r="2097" customFormat="false" ht="15" hidden="false" customHeight="false" outlineLevel="0" collapsed="false">
      <c r="A2097" s="16" t="n">
        <v>44104</v>
      </c>
      <c r="B2097" s="23" t="n">
        <f aca="false">YEAR(A2097)</f>
        <v>2020</v>
      </c>
      <c r="C2097" s="17" t="n">
        <v>10783.24</v>
      </c>
      <c r="D2097" s="23" t="n">
        <f aca="false">A2097-A2096</f>
        <v>1</v>
      </c>
      <c r="E2097" s="24" t="n">
        <f aca="false">LN(C2097)</f>
        <v>9.28574835589118</v>
      </c>
      <c r="F2097" s="25" t="n">
        <f aca="false">LN(C2097/C2096)</f>
        <v>-0.00579405147838915</v>
      </c>
      <c r="G2097" s="25" t="n">
        <f aca="false">IF(AND(D2097=1,A2097&gt;=$R$2),F2097,"")</f>
        <v>-0.00579405147838915</v>
      </c>
      <c r="H2097" s="27" t="n">
        <f aca="false">IF(G2097="","",G2097^2)</f>
        <v>3.35710325342235E-005</v>
      </c>
      <c r="I2097" s="25" t="n">
        <f aca="false">IF(G2097="","",C2097/C2096-1)</f>
        <v>-0.00577729833393259</v>
      </c>
      <c r="J2097" s="17" t="n">
        <f aca="false">AVERAGE(C1898:C2097)</f>
        <v>9324.05805</v>
      </c>
      <c r="K2097" s="17" t="n">
        <f aca="false">MAX(K2096,C2097)</f>
        <v>19650.01</v>
      </c>
      <c r="L2097" s="25" t="n">
        <f aca="false">C2097/K2097-1</f>
        <v>-0.451234884867743</v>
      </c>
      <c r="M2097" s="25" t="n">
        <f aca="false">IF(COUNT(G2068:G2097)&lt;20,"",_xlfn.STDEV.S(G2068:G2097)*SQRT($R$3))</f>
        <v>0.545275202310183</v>
      </c>
      <c r="N2097" s="25" t="n">
        <f aca="false">IF(A2097-7&lt;$R$2,"",C2097/INDEX(Clean_Data!$C$2:$C$4314,MATCH(A2097-7,Clean_Data!$A$2:$A$4314,1))-1)</f>
        <v>0.0540688223293786</v>
      </c>
      <c r="O2097" s="25" t="n">
        <f aca="false">IF(A2097-30&lt;$R$2,"",C2097/INDEX(Clean_Data!$C$2:$C$4314,MATCH(A2097-30,Clean_Data!$A$2:$A$4314,1))-1)</f>
        <v>-0.0756639204932654</v>
      </c>
    </row>
    <row r="2098" customFormat="false" ht="15" hidden="false" customHeight="false" outlineLevel="0" collapsed="false">
      <c r="A2098" s="16" t="n">
        <v>44105</v>
      </c>
      <c r="B2098" s="23" t="n">
        <f aca="false">YEAR(A2098)</f>
        <v>2020</v>
      </c>
      <c r="C2098" s="17" t="n">
        <v>10598.64</v>
      </c>
      <c r="D2098" s="23" t="n">
        <f aca="false">A2098-A2097</f>
        <v>1</v>
      </c>
      <c r="E2098" s="24" t="n">
        <f aca="false">LN(C2098)</f>
        <v>9.26848096998197</v>
      </c>
      <c r="F2098" s="25" t="n">
        <f aca="false">LN(C2098/C2097)</f>
        <v>-0.0172673859092015</v>
      </c>
      <c r="G2098" s="25" t="n">
        <f aca="false">IF(AND(D2098=1,A2098&gt;=$R$2),F2098,"")</f>
        <v>-0.0172673859092015</v>
      </c>
      <c r="H2098" s="27" t="n">
        <f aca="false">IF(G2098="","",G2098^2)</f>
        <v>0.000298162616137291</v>
      </c>
      <c r="I2098" s="25" t="n">
        <f aca="false">IF(G2098="","",C2098/C2097-1)</f>
        <v>-0.0171191589911752</v>
      </c>
      <c r="J2098" s="17" t="n">
        <f aca="false">AVERAGE(C1899:C2098)</f>
        <v>9351.13815</v>
      </c>
      <c r="K2098" s="17" t="n">
        <f aca="false">MAX(K2097,C2098)</f>
        <v>19650.01</v>
      </c>
      <c r="L2098" s="25" t="n">
        <f aca="false">C2098/K2098-1</f>
        <v>-0.460629282122503</v>
      </c>
      <c r="M2098" s="25" t="n">
        <f aca="false">IF(COUNT(G2069:G2098)&lt;20,"",_xlfn.STDEV.S(G2069:G2098)*SQRT($R$3))</f>
        <v>0.547696226439186</v>
      </c>
      <c r="N2098" s="25" t="n">
        <f aca="false">IF(A2098-7&lt;$R$2,"",C2098/INDEX(Clean_Data!$C$2:$C$4314,MATCH(A2098-7,Clean_Data!$A$2:$A$4314,1))-1)</f>
        <v>-0.0132538869751421</v>
      </c>
      <c r="O2098" s="25" t="n">
        <f aca="false">IF(A2098-30&lt;$R$2,"",C2098/INDEX(Clean_Data!$C$2:$C$4314,MATCH(A2098-30,Clean_Data!$A$2:$A$4314,1))-1)</f>
        <v>-0.110235784192738</v>
      </c>
    </row>
    <row r="2099" customFormat="false" ht="15" hidden="false" customHeight="false" outlineLevel="0" collapsed="false">
      <c r="A2099" s="16" t="n">
        <v>44106</v>
      </c>
      <c r="B2099" s="23" t="n">
        <f aca="false">YEAR(A2099)</f>
        <v>2020</v>
      </c>
      <c r="C2099" s="17" t="n">
        <v>10577.92</v>
      </c>
      <c r="D2099" s="23" t="n">
        <f aca="false">A2099-A2098</f>
        <v>1</v>
      </c>
      <c r="E2099" s="24" t="n">
        <f aca="false">LN(C2099)</f>
        <v>9.266524088731</v>
      </c>
      <c r="F2099" s="25" t="n">
        <f aca="false">LN(C2099/C2098)</f>
        <v>-0.00195688125097456</v>
      </c>
      <c r="G2099" s="25" t="n">
        <f aca="false">IF(AND(D2099=1,A2099&gt;=$R$2),F2099,"")</f>
        <v>-0.00195688125097456</v>
      </c>
      <c r="H2099" s="27" t="n">
        <f aca="false">IF(G2099="","",G2099^2)</f>
        <v>3.82938423041578E-006</v>
      </c>
      <c r="I2099" s="25" t="n">
        <f aca="false">IF(G2099="","",C2099/C2098-1)</f>
        <v>-0.00195496780719029</v>
      </c>
      <c r="J2099" s="17" t="n">
        <f aca="false">AVERAGE(C1900:C2099)</f>
        <v>9377.39215</v>
      </c>
      <c r="K2099" s="17" t="n">
        <f aca="false">MAX(K2098,C2099)</f>
        <v>19650.01</v>
      </c>
      <c r="L2099" s="25" t="n">
        <f aca="false">C2099/K2099-1</f>
        <v>-0.461683734512094</v>
      </c>
      <c r="M2099" s="25" t="n">
        <f aca="false">IF(COUNT(G2070:G2099)&lt;20,"",_xlfn.STDEV.S(G2070:G2099)*SQRT($R$3))</f>
        <v>0.540646356845034</v>
      </c>
      <c r="N2099" s="25" t="n">
        <f aca="false">IF(A2099-7&lt;$R$2,"",C2099/INDEX(Clean_Data!$C$2:$C$4314,MATCH(A2099-7,Clean_Data!$A$2:$A$4314,1))-1)</f>
        <v>-0.0107899338838338</v>
      </c>
      <c r="O2099" s="25" t="n">
        <f aca="false">IF(A2099-30&lt;$R$2,"",C2099/INDEX(Clean_Data!$C$2:$C$4314,MATCH(A2099-30,Clean_Data!$A$2:$A$4314,1))-1)</f>
        <v>-0.071307413793709</v>
      </c>
    </row>
    <row r="2100" customFormat="false" ht="15" hidden="false" customHeight="false" outlineLevel="0" collapsed="false">
      <c r="A2100" s="16" t="n">
        <v>44107</v>
      </c>
      <c r="B2100" s="23" t="n">
        <f aca="false">YEAR(A2100)</f>
        <v>2020</v>
      </c>
      <c r="C2100" s="17" t="n">
        <v>10545.21</v>
      </c>
      <c r="D2100" s="23" t="n">
        <f aca="false">A2100-A2099</f>
        <v>1</v>
      </c>
      <c r="E2100" s="24" t="n">
        <f aca="false">LN(C2100)</f>
        <v>9.26342700736607</v>
      </c>
      <c r="F2100" s="25" t="n">
        <f aca="false">LN(C2100/C2099)</f>
        <v>-0.0030970813649258</v>
      </c>
      <c r="G2100" s="25" t="n">
        <f aca="false">IF(AND(D2100=1,A2100&gt;=$R$2),F2100,"")</f>
        <v>-0.0030970813649258</v>
      </c>
      <c r="H2100" s="27" t="n">
        <f aca="false">IF(G2100="","",G2100^2)</f>
        <v>9.59191298097063E-006</v>
      </c>
      <c r="I2100" s="25" t="n">
        <f aca="false">IF(G2100="","",C2100/C2099-1)</f>
        <v>-0.00309229035575997</v>
      </c>
      <c r="J2100" s="17" t="n">
        <f aca="false">AVERAGE(C1901:C2100)</f>
        <v>9404.7472</v>
      </c>
      <c r="K2100" s="17" t="n">
        <f aca="false">MAX(K2099,C2100)</f>
        <v>19650.01</v>
      </c>
      <c r="L2100" s="25" t="n">
        <f aca="false">C2100/K2100-1</f>
        <v>-0.463348364708211</v>
      </c>
      <c r="M2100" s="25" t="n">
        <f aca="false">IF(COUNT(G2071:G2100)&lt;20,"",_xlfn.STDEV.S(G2071:G2100)*SQRT($R$3))</f>
        <v>0.519313955841225</v>
      </c>
      <c r="N2100" s="25" t="n">
        <f aca="false">IF(A2100-7&lt;$R$2,"",C2100/INDEX(Clean_Data!$C$2:$C$4314,MATCH(A2100-7,Clean_Data!$A$2:$A$4314,1))-1)</f>
        <v>-0.0172428736383098</v>
      </c>
      <c r="O2100" s="25" t="n">
        <f aca="false">IF(A2100-30&lt;$R$2,"",C2100/INDEX(Clean_Data!$C$2:$C$4314,MATCH(A2100-30,Clean_Data!$A$2:$A$4314,1))-1)</f>
        <v>0.0312336810153122</v>
      </c>
    </row>
    <row r="2101" customFormat="false" ht="15" hidden="false" customHeight="false" outlineLevel="0" collapsed="false">
      <c r="A2101" s="16" t="n">
        <v>44108</v>
      </c>
      <c r="B2101" s="23" t="n">
        <f aca="false">YEAR(A2101)</f>
        <v>2020</v>
      </c>
      <c r="C2101" s="17" t="n">
        <v>10662.36</v>
      </c>
      <c r="D2101" s="23" t="n">
        <f aca="false">A2101-A2100</f>
        <v>1</v>
      </c>
      <c r="E2101" s="24" t="n">
        <f aca="false">LN(C2101)</f>
        <v>9.27447506158478</v>
      </c>
      <c r="F2101" s="25" t="n">
        <f aca="false">LN(C2101/C2100)</f>
        <v>0.0110480542187027</v>
      </c>
      <c r="G2101" s="25" t="n">
        <f aca="false">IF(AND(D2101=1,A2101&gt;=$R$2),F2101,"")</f>
        <v>0.0110480542187027</v>
      </c>
      <c r="H2101" s="27" t="n">
        <f aca="false">IF(G2101="","",G2101^2)</f>
        <v>0.000122059502019395</v>
      </c>
      <c r="I2101" s="25" t="n">
        <f aca="false">IF(G2101="","",C2101/C2100-1)</f>
        <v>0.0111093093451911</v>
      </c>
      <c r="J2101" s="17" t="n">
        <f aca="false">AVERAGE(C1902:C2101)</f>
        <v>9431.25015</v>
      </c>
      <c r="K2101" s="17" t="n">
        <f aca="false">MAX(K2100,C2101)</f>
        <v>19650.01</v>
      </c>
      <c r="L2101" s="25" t="n">
        <f aca="false">C2101/K2101-1</f>
        <v>-0.457386535681152</v>
      </c>
      <c r="M2101" s="25" t="n">
        <f aca="false">IF(COUNT(G2072:G2101)&lt;20,"",_xlfn.STDEV.S(G2072:G2101)*SQRT($R$3))</f>
        <v>0.347602229962922</v>
      </c>
      <c r="N2101" s="25" t="n">
        <f aca="false">IF(A2101-7&lt;$R$2,"",C2101/INDEX(Clean_Data!$C$2:$C$4314,MATCH(A2101-7,Clean_Data!$A$2:$A$4314,1))-1)</f>
        <v>-0.0120290803155618</v>
      </c>
      <c r="O2101" s="25" t="n">
        <f aca="false">IF(A2101-30&lt;$R$2,"",C2101/INDEX(Clean_Data!$C$2:$C$4314,MATCH(A2101-30,Clean_Data!$A$2:$A$4314,1))-1)</f>
        <v>0.0426899749848912</v>
      </c>
    </row>
    <row r="2102" customFormat="false" ht="15" hidden="false" customHeight="false" outlineLevel="0" collapsed="false">
      <c r="A2102" s="16" t="n">
        <v>44109</v>
      </c>
      <c r="B2102" s="23" t="n">
        <f aca="false">YEAR(A2102)</f>
        <v>2020</v>
      </c>
      <c r="C2102" s="17" t="n">
        <v>10800</v>
      </c>
      <c r="D2102" s="23" t="n">
        <f aca="false">A2102-A2101</f>
        <v>1</v>
      </c>
      <c r="E2102" s="24" t="n">
        <f aca="false">LN(C2102)</f>
        <v>9.28730141311231</v>
      </c>
      <c r="F2102" s="25" t="n">
        <f aca="false">LN(C2102/C2101)</f>
        <v>0.012826351527534</v>
      </c>
      <c r="G2102" s="25" t="n">
        <f aca="false">IF(AND(D2102=1,A2102&gt;=$R$2),F2102,"")</f>
        <v>0.012826351527534</v>
      </c>
      <c r="H2102" s="27" t="n">
        <f aca="false">IF(G2102="","",G2102^2)</f>
        <v>0.000164515293507875</v>
      </c>
      <c r="I2102" s="25" t="n">
        <f aca="false">IF(G2102="","",C2102/C2101-1)</f>
        <v>0.0129089619934049</v>
      </c>
      <c r="J2102" s="17" t="n">
        <f aca="false">AVERAGE(C1903:C2102)</f>
        <v>9458.1166</v>
      </c>
      <c r="K2102" s="17" t="n">
        <f aca="false">MAX(K2101,C2102)</f>
        <v>19650.01</v>
      </c>
      <c r="L2102" s="25" t="n">
        <f aca="false">C2102/K2102-1</f>
        <v>-0.450381959093151</v>
      </c>
      <c r="M2102" s="25" t="n">
        <f aca="false">IF(COUNT(G2073:G2102)&lt;20,"",_xlfn.STDEV.S(G2073:G2102)*SQRT($R$3))</f>
        <v>0.34375902728395</v>
      </c>
      <c r="N2102" s="25" t="n">
        <f aca="false">IF(A2102-7&lt;$R$2,"",C2102/INDEX(Clean_Data!$C$2:$C$4314,MATCH(A2102-7,Clean_Data!$A$2:$A$4314,1))-1)</f>
        <v>0.0111403322344985</v>
      </c>
      <c r="O2102" s="25" t="n">
        <f aca="false">IF(A2102-30&lt;$R$2,"",C2102/INDEX(Clean_Data!$C$2:$C$4314,MATCH(A2102-30,Clean_Data!$A$2:$A$4314,1))-1)</f>
        <v>0.0637281504820757</v>
      </c>
    </row>
    <row r="2103" customFormat="false" ht="15" hidden="false" customHeight="false" outlineLevel="0" collapsed="false">
      <c r="A2103" s="16" t="n">
        <v>44110</v>
      </c>
      <c r="B2103" s="23" t="n">
        <f aca="false">YEAR(A2103)</f>
        <v>2020</v>
      </c>
      <c r="C2103" s="17" t="n">
        <v>10594.15</v>
      </c>
      <c r="D2103" s="23" t="n">
        <f aca="false">A2103-A2102</f>
        <v>1</v>
      </c>
      <c r="E2103" s="24" t="n">
        <f aca="false">LN(C2103)</f>
        <v>9.26805724096214</v>
      </c>
      <c r="F2103" s="25" t="n">
        <f aca="false">LN(C2103/C2102)</f>
        <v>-0.0192441721501756</v>
      </c>
      <c r="G2103" s="25" t="n">
        <f aca="false">IF(AND(D2103=1,A2103&gt;=$R$2),F2103,"")</f>
        <v>-0.0192441721501756</v>
      </c>
      <c r="H2103" s="27" t="n">
        <f aca="false">IF(G2103="","",G2103^2)</f>
        <v>0.000370338161745592</v>
      </c>
      <c r="I2103" s="25" t="n">
        <f aca="false">IF(G2103="","",C2103/C2102-1)</f>
        <v>-0.0190601851851853</v>
      </c>
      <c r="J2103" s="17" t="n">
        <f aca="false">AVERAGE(C1904:C2103)</f>
        <v>9479.9874</v>
      </c>
      <c r="K2103" s="17" t="n">
        <f aca="false">MAX(K2102,C2103)</f>
        <v>19650.01</v>
      </c>
      <c r="L2103" s="25" t="n">
        <f aca="false">C2103/K2103-1</f>
        <v>-0.460857780733954</v>
      </c>
      <c r="M2103" s="25" t="n">
        <f aca="false">IF(COUNT(G2074:G2103)&lt;20,"",_xlfn.STDEV.S(G2074:G2103)*SQRT($R$3))</f>
        <v>0.350322401530705</v>
      </c>
      <c r="N2103" s="25" t="n">
        <f aca="false">IF(A2103-7&lt;$R$2,"",C2103/INDEX(Clean_Data!$C$2:$C$4314,MATCH(A2103-7,Clean_Data!$A$2:$A$4314,1))-1)</f>
        <v>-0.0232115361565199</v>
      </c>
      <c r="O2103" s="25" t="n">
        <f aca="false">IF(A2103-30&lt;$R$2,"",C2103/INDEX(Clean_Data!$C$2:$C$4314,MATCH(A2103-30,Clean_Data!$A$2:$A$4314,1))-1)</f>
        <v>0.0330515250799592</v>
      </c>
    </row>
    <row r="2104" customFormat="false" ht="15" hidden="false" customHeight="false" outlineLevel="0" collapsed="false">
      <c r="A2104" s="16" t="n">
        <v>44111</v>
      </c>
      <c r="B2104" s="23" t="n">
        <f aca="false">YEAR(A2104)</f>
        <v>2020</v>
      </c>
      <c r="C2104" s="17" t="n">
        <v>10671.23</v>
      </c>
      <c r="D2104" s="23" t="n">
        <f aca="false">A2104-A2103</f>
        <v>1</v>
      </c>
      <c r="E2104" s="24" t="n">
        <f aca="false">LN(C2104)</f>
        <v>9.27530661412808</v>
      </c>
      <c r="F2104" s="25" t="n">
        <f aca="false">LN(C2104/C2103)</f>
        <v>0.00724937316594233</v>
      </c>
      <c r="G2104" s="25" t="n">
        <f aca="false">IF(AND(D2104=1,A2104&gt;=$R$2),F2104,"")</f>
        <v>0.00724937316594233</v>
      </c>
      <c r="H2104" s="27" t="n">
        <f aca="false">IF(G2104="","",G2104^2)</f>
        <v>5.25534112990847E-005</v>
      </c>
      <c r="I2104" s="25" t="n">
        <f aca="false">IF(G2104="","",C2104/C2103-1)</f>
        <v>0.00727571348338474</v>
      </c>
      <c r="J2104" s="17" t="n">
        <f aca="false">AVERAGE(C1905:C2104)</f>
        <v>9502.26655</v>
      </c>
      <c r="K2104" s="17" t="n">
        <f aca="false">MAX(K2103,C2104)</f>
        <v>19650.01</v>
      </c>
      <c r="L2104" s="25" t="n">
        <f aca="false">C2104/K2104-1</f>
        <v>-0.456935136419778</v>
      </c>
      <c r="M2104" s="25" t="n">
        <f aca="false">IF(COUNT(G2075:G2104)&lt;20,"",_xlfn.STDEV.S(G2075:G2104)*SQRT($R$3))</f>
        <v>0.348410120515554</v>
      </c>
      <c r="N2104" s="25" t="n">
        <f aca="false">IF(A2104-7&lt;$R$2,"",C2104/INDEX(Clean_Data!$C$2:$C$4314,MATCH(A2104-7,Clean_Data!$A$2:$A$4314,1))-1)</f>
        <v>-0.0103874160270939</v>
      </c>
      <c r="O2104" s="25" t="n">
        <f aca="false">IF(A2104-30&lt;$R$2,"",C2104/INDEX(Clean_Data!$C$2:$C$4314,MATCH(A2104-30,Clean_Data!$A$2:$A$4314,1))-1)</f>
        <v>0.0270822004167528</v>
      </c>
    </row>
    <row r="2105" customFormat="false" ht="15" hidden="false" customHeight="false" outlineLevel="0" collapsed="false">
      <c r="A2105" s="16" t="n">
        <v>44112</v>
      </c>
      <c r="B2105" s="23" t="n">
        <f aca="false">YEAR(A2105)</f>
        <v>2020</v>
      </c>
      <c r="C2105" s="17" t="n">
        <v>10926.71</v>
      </c>
      <c r="D2105" s="23" t="n">
        <f aca="false">A2105-A2104</f>
        <v>1</v>
      </c>
      <c r="E2105" s="24" t="n">
        <f aca="false">LN(C2105)</f>
        <v>9.29896552945467</v>
      </c>
      <c r="F2105" s="25" t="n">
        <f aca="false">LN(C2105/C2104)</f>
        <v>0.0236589153265941</v>
      </c>
      <c r="G2105" s="25" t="n">
        <f aca="false">IF(AND(D2105=1,A2105&gt;=$R$2),F2105,"")</f>
        <v>0.0236589153265941</v>
      </c>
      <c r="H2105" s="27" t="n">
        <f aca="false">IF(G2105="","",G2105^2)</f>
        <v>0.000559744274430947</v>
      </c>
      <c r="I2105" s="25" t="n">
        <f aca="false">IF(G2105="","",C2105/C2104-1)</f>
        <v>0.0239410077376272</v>
      </c>
      <c r="J2105" s="17" t="n">
        <f aca="false">AVERAGE(C1906:C2105)</f>
        <v>9526.0565</v>
      </c>
      <c r="K2105" s="17" t="n">
        <f aca="false">MAX(K2104,C2105)</f>
        <v>19650.01</v>
      </c>
      <c r="L2105" s="25" t="n">
        <f aca="false">C2105/K2105-1</f>
        <v>-0.44393361631877</v>
      </c>
      <c r="M2105" s="25" t="n">
        <f aca="false">IF(COUNT(G2076:G2105)&lt;20,"",_xlfn.STDEV.S(G2076:G2105)*SQRT($R$3))</f>
        <v>0.343190022914211</v>
      </c>
      <c r="N2105" s="25" t="n">
        <f aca="false">IF(A2105-7&lt;$R$2,"",C2105/INDEX(Clean_Data!$C$2:$C$4314,MATCH(A2105-7,Clean_Data!$A$2:$A$4314,1))-1)</f>
        <v>0.0309539714529412</v>
      </c>
      <c r="O2105" s="25" t="n">
        <f aca="false">IF(A2105-30&lt;$R$2,"",C2105/INDEX(Clean_Data!$C$2:$C$4314,MATCH(A2105-30,Clean_Data!$A$2:$A$4314,1))-1)</f>
        <v>0.0793720568870941</v>
      </c>
    </row>
    <row r="2106" customFormat="false" ht="15" hidden="false" customHeight="false" outlineLevel="0" collapsed="false">
      <c r="A2106" s="16" t="n">
        <v>44113</v>
      </c>
      <c r="B2106" s="23" t="n">
        <f aca="false">YEAR(A2106)</f>
        <v>2020</v>
      </c>
      <c r="C2106" s="17" t="n">
        <v>11059.3</v>
      </c>
      <c r="D2106" s="23" t="n">
        <f aca="false">A2106-A2105</f>
        <v>1</v>
      </c>
      <c r="E2106" s="24" t="n">
        <f aca="false">LN(C2106)</f>
        <v>9.31102698193412</v>
      </c>
      <c r="F2106" s="25" t="n">
        <f aca="false">LN(C2106/C2105)</f>
        <v>0.0120614524794447</v>
      </c>
      <c r="G2106" s="25" t="n">
        <f aca="false">IF(AND(D2106=1,A2106&gt;=$R$2),F2106,"")</f>
        <v>0.0120614524794447</v>
      </c>
      <c r="H2106" s="27" t="n">
        <f aca="false">IF(G2106="","",G2106^2)</f>
        <v>0.000145478635913903</v>
      </c>
      <c r="I2106" s="25" t="n">
        <f aca="false">IF(G2106="","",C2106/C2105-1)</f>
        <v>0.0121344851286436</v>
      </c>
      <c r="J2106" s="17" t="n">
        <f aca="false">AVERAGE(C1907:C2106)</f>
        <v>9552.39455</v>
      </c>
      <c r="K2106" s="17" t="n">
        <f aca="false">MAX(K2105,C2106)</f>
        <v>19650.01</v>
      </c>
      <c r="L2106" s="25" t="n">
        <f aca="false">C2106/K2106-1</f>
        <v>-0.437186037055452</v>
      </c>
      <c r="M2106" s="25" t="n">
        <f aca="false">IF(COUNT(G2077:G2106)&lt;20,"",_xlfn.STDEV.S(G2077:G2106)*SQRT($R$3))</f>
        <v>0.343544332841335</v>
      </c>
      <c r="N2106" s="25" t="n">
        <f aca="false">IF(A2106-7&lt;$R$2,"",C2106/INDEX(Clean_Data!$C$2:$C$4314,MATCH(A2106-7,Clean_Data!$A$2:$A$4314,1))-1)</f>
        <v>0.045508001573088</v>
      </c>
      <c r="O2106" s="25" t="n">
        <f aca="false">IF(A2106-30&lt;$R$2,"",C2106/INDEX(Clean_Data!$C$2:$C$4314,MATCH(A2106-30,Clean_Data!$A$2:$A$4314,1))-1)</f>
        <v>0.0805373717635562</v>
      </c>
    </row>
    <row r="2107" customFormat="false" ht="15" hidden="false" customHeight="false" outlineLevel="0" collapsed="false">
      <c r="A2107" s="16" t="n">
        <v>44114</v>
      </c>
      <c r="B2107" s="23" t="n">
        <f aca="false">YEAR(A2107)</f>
        <v>2020</v>
      </c>
      <c r="C2107" s="17" t="n">
        <v>11303.56</v>
      </c>
      <c r="D2107" s="23" t="n">
        <f aca="false">A2107-A2106</f>
        <v>1</v>
      </c>
      <c r="E2107" s="24" t="n">
        <f aca="false">LN(C2107)</f>
        <v>9.3328729993322</v>
      </c>
      <c r="F2107" s="25" t="n">
        <f aca="false">LN(C2107/C2106)</f>
        <v>0.0218460173980845</v>
      </c>
      <c r="G2107" s="25" t="n">
        <f aca="false">IF(AND(D2107=1,A2107&gt;=$R$2),F2107,"")</f>
        <v>0.0218460173980845</v>
      </c>
      <c r="H2107" s="27" t="n">
        <f aca="false">IF(G2107="","",G2107^2)</f>
        <v>0.000477248476157411</v>
      </c>
      <c r="I2107" s="25" t="n">
        <f aca="false">IF(G2107="","",C2107/C2106-1)</f>
        <v>0.0220863888311196</v>
      </c>
      <c r="J2107" s="17" t="n">
        <f aca="false">AVERAGE(C1908:C2107)</f>
        <v>9575.99545</v>
      </c>
      <c r="K2107" s="17" t="n">
        <f aca="false">MAX(K2106,C2107)</f>
        <v>19650.01</v>
      </c>
      <c r="L2107" s="25" t="n">
        <f aca="false">C2107/K2107-1</f>
        <v>-0.424755509030275</v>
      </c>
      <c r="M2107" s="25" t="n">
        <f aca="false">IF(COUNT(G2078:G2107)&lt;20,"",_xlfn.STDEV.S(G2078:G2107)*SQRT($R$3))</f>
        <v>0.348992630564392</v>
      </c>
      <c r="N2107" s="25" t="n">
        <f aca="false">IF(A2107-7&lt;$R$2,"",C2107/INDEX(Clean_Data!$C$2:$C$4314,MATCH(A2107-7,Clean_Data!$A$2:$A$4314,1))-1)</f>
        <v>0.0719141676647501</v>
      </c>
      <c r="O2107" s="25" t="n">
        <f aca="false">IF(A2107-30&lt;$R$2,"",C2107/INDEX(Clean_Data!$C$2:$C$4314,MATCH(A2107-30,Clean_Data!$A$2:$A$4314,1))-1)</f>
        <v>0.0925589240234099</v>
      </c>
    </row>
    <row r="2108" customFormat="false" ht="15" hidden="false" customHeight="false" outlineLevel="0" collapsed="false">
      <c r="A2108" s="16" t="n">
        <v>44115</v>
      </c>
      <c r="B2108" s="23" t="n">
        <f aca="false">YEAR(A2108)</f>
        <v>2020</v>
      </c>
      <c r="C2108" s="17" t="n">
        <v>11370.45</v>
      </c>
      <c r="D2108" s="23" t="n">
        <f aca="false">A2108-A2107</f>
        <v>1</v>
      </c>
      <c r="E2108" s="24" t="n">
        <f aca="false">LN(C2108)</f>
        <v>9.33877316379781</v>
      </c>
      <c r="F2108" s="25" t="n">
        <f aca="false">LN(C2108/C2107)</f>
        <v>0.00590016446561047</v>
      </c>
      <c r="G2108" s="25" t="n">
        <f aca="false">IF(AND(D2108=1,A2108&gt;=$R$2),F2108,"")</f>
        <v>0.00590016446561047</v>
      </c>
      <c r="H2108" s="27" t="n">
        <f aca="false">IF(G2108="","",G2108^2)</f>
        <v>3.48119407212525E-005</v>
      </c>
      <c r="I2108" s="25" t="n">
        <f aca="false">IF(G2108="","",C2108/C2107-1)</f>
        <v>0.00591760471922131</v>
      </c>
      <c r="J2108" s="17" t="n">
        <f aca="false">AVERAGE(C1909:C2108)</f>
        <v>9599.13665</v>
      </c>
      <c r="K2108" s="17" t="n">
        <f aca="false">MAX(K2107,C2108)</f>
        <v>19650.01</v>
      </c>
      <c r="L2108" s="25" t="n">
        <f aca="false">C2108/K2108-1</f>
        <v>-0.421351439515807</v>
      </c>
      <c r="M2108" s="25" t="n">
        <f aca="false">IF(COUNT(G2079:G2108)&lt;20,"",_xlfn.STDEV.S(G2079:G2108)*SQRT($R$3))</f>
        <v>0.349057184713121</v>
      </c>
      <c r="N2108" s="25" t="n">
        <f aca="false">IF(A2108-7&lt;$R$2,"",C2108/INDEX(Clean_Data!$C$2:$C$4314,MATCH(A2108-7,Clean_Data!$A$2:$A$4314,1))-1)</f>
        <v>0.0664102506386954</v>
      </c>
      <c r="O2108" s="25" t="n">
        <f aca="false">IF(A2108-30&lt;$R$2,"",C2108/INDEX(Clean_Data!$C$2:$C$4314,MATCH(A2108-30,Clean_Data!$A$2:$A$4314,1))-1)</f>
        <v>0.0933135512630301</v>
      </c>
    </row>
    <row r="2109" customFormat="false" ht="15" hidden="false" customHeight="false" outlineLevel="0" collapsed="false">
      <c r="A2109" s="16" t="n">
        <v>44116</v>
      </c>
      <c r="B2109" s="23" t="n">
        <f aca="false">YEAR(A2109)</f>
        <v>2020</v>
      </c>
      <c r="C2109" s="17" t="n">
        <v>11534.83</v>
      </c>
      <c r="D2109" s="23" t="n">
        <f aca="false">A2109-A2108</f>
        <v>1</v>
      </c>
      <c r="E2109" s="24" t="n">
        <f aca="false">LN(C2109)</f>
        <v>9.35312643274459</v>
      </c>
      <c r="F2109" s="25" t="n">
        <f aca="false">LN(C2109/C2108)</f>
        <v>0.0143532689467811</v>
      </c>
      <c r="G2109" s="25" t="n">
        <f aca="false">IF(AND(D2109=1,A2109&gt;=$R$2),F2109,"")</f>
        <v>0.0143532689467811</v>
      </c>
      <c r="H2109" s="27" t="n">
        <f aca="false">IF(G2109="","",G2109^2)</f>
        <v>0.00020601632945863</v>
      </c>
      <c r="I2109" s="25" t="n">
        <f aca="false">IF(G2109="","",C2109/C2108-1)</f>
        <v>0.0144567717196769</v>
      </c>
      <c r="J2109" s="17" t="n">
        <f aca="false">AVERAGE(C1910:C2109)</f>
        <v>9623.04665</v>
      </c>
      <c r="K2109" s="17" t="n">
        <f aca="false">MAX(K2108,C2109)</f>
        <v>19650.01</v>
      </c>
      <c r="L2109" s="25" t="n">
        <f aca="false">C2109/K2109-1</f>
        <v>-0.412986049370967</v>
      </c>
      <c r="M2109" s="25" t="n">
        <f aca="false">IF(COUNT(G2080:G2109)&lt;20,"",_xlfn.STDEV.S(G2080:G2109)*SQRT($R$3))</f>
        <v>0.351294792002263</v>
      </c>
      <c r="N2109" s="25" t="n">
        <f aca="false">IF(A2109-7&lt;$R$2,"",C2109/INDEX(Clean_Data!$C$2:$C$4314,MATCH(A2109-7,Clean_Data!$A$2:$A$4314,1))-1)</f>
        <v>0.0680398148148149</v>
      </c>
      <c r="O2109" s="25" t="n">
        <f aca="false">IF(A2109-30&lt;$R$2,"",C2109/INDEX(Clean_Data!$C$2:$C$4314,MATCH(A2109-30,Clean_Data!$A$2:$A$4314,1))-1)</f>
        <v>0.104444557215093</v>
      </c>
    </row>
    <row r="2110" customFormat="false" ht="15" hidden="false" customHeight="false" outlineLevel="0" collapsed="false">
      <c r="A2110" s="16" t="n">
        <v>44117</v>
      </c>
      <c r="B2110" s="23" t="n">
        <f aca="false">YEAR(A2110)</f>
        <v>2020</v>
      </c>
      <c r="C2110" s="17" t="n">
        <v>11434.36</v>
      </c>
      <c r="D2110" s="23" t="n">
        <f aca="false">A2110-A2109</f>
        <v>1</v>
      </c>
      <c r="E2110" s="24" t="n">
        <f aca="false">LN(C2110)</f>
        <v>9.34437813637288</v>
      </c>
      <c r="F2110" s="25" t="n">
        <f aca="false">LN(C2110/C2109)</f>
        <v>-0.00874829637171566</v>
      </c>
      <c r="G2110" s="25" t="n">
        <f aca="false">IF(AND(D2110=1,A2110&gt;=$R$2),F2110,"")</f>
        <v>-0.00874829637171566</v>
      </c>
      <c r="H2110" s="27" t="n">
        <f aca="false">IF(G2110="","",G2110^2)</f>
        <v>7.65326894073735E-005</v>
      </c>
      <c r="I2110" s="25" t="n">
        <f aca="false">IF(G2110="","",C2110/C2109-1)</f>
        <v>-0.00871014137182768</v>
      </c>
      <c r="J2110" s="17" t="n">
        <f aca="false">AVERAGE(C1911:C2110)</f>
        <v>9646.35745</v>
      </c>
      <c r="K2110" s="17" t="n">
        <f aca="false">MAX(K2109,C2110)</f>
        <v>19650.01</v>
      </c>
      <c r="L2110" s="25" t="n">
        <f aca="false">C2110/K2110-1</f>
        <v>-0.418099023868181</v>
      </c>
      <c r="M2110" s="25" t="n">
        <f aca="false">IF(COUNT(G2081:G2110)&lt;20,"",_xlfn.STDEV.S(G2081:G2110)*SQRT($R$3))</f>
        <v>0.350545313076545</v>
      </c>
      <c r="N2110" s="25" t="n">
        <f aca="false">IF(A2110-7&lt;$R$2,"",C2110/INDEX(Clean_Data!$C$2:$C$4314,MATCH(A2110-7,Clean_Data!$A$2:$A$4314,1))-1)</f>
        <v>0.0793088638541082</v>
      </c>
      <c r="O2110" s="25" t="n">
        <f aca="false">IF(A2110-30&lt;$R$2,"",C2110/INDEX(Clean_Data!$C$2:$C$4314,MATCH(A2110-30,Clean_Data!$A$2:$A$4314,1))-1)</f>
        <v>0.106235512195877</v>
      </c>
    </row>
    <row r="2111" customFormat="false" ht="15" hidden="false" customHeight="false" outlineLevel="0" collapsed="false">
      <c r="A2111" s="16" t="n">
        <v>44118</v>
      </c>
      <c r="B2111" s="23" t="n">
        <f aca="false">YEAR(A2111)</f>
        <v>2020</v>
      </c>
      <c r="C2111" s="17" t="n">
        <v>11426.87</v>
      </c>
      <c r="D2111" s="23" t="n">
        <f aca="false">A2111-A2110</f>
        <v>1</v>
      </c>
      <c r="E2111" s="24" t="n">
        <f aca="false">LN(C2111)</f>
        <v>9.34372287851772</v>
      </c>
      <c r="F2111" s="25" t="n">
        <f aca="false">LN(C2111/C2110)</f>
        <v>-0.000655257855154207</v>
      </c>
      <c r="G2111" s="25" t="n">
        <f aca="false">IF(AND(D2111=1,A2111&gt;=$R$2),F2111,"")</f>
        <v>-0.000655257855154207</v>
      </c>
      <c r="H2111" s="27" t="n">
        <f aca="false">IF(G2111="","",G2111^2)</f>
        <v>4.29362856741291E-007</v>
      </c>
      <c r="I2111" s="25" t="n">
        <f aca="false">IF(G2111="","",C2111/C2110-1)</f>
        <v>-0.00065504322060872</v>
      </c>
      <c r="J2111" s="17" t="n">
        <f aca="false">AVERAGE(C1912:C2111)</f>
        <v>9671.8895</v>
      </c>
      <c r="K2111" s="17" t="n">
        <f aca="false">MAX(K2110,C2111)</f>
        <v>19650.01</v>
      </c>
      <c r="L2111" s="25" t="n">
        <f aca="false">C2111/K2111-1</f>
        <v>-0.418480194157662</v>
      </c>
      <c r="M2111" s="25" t="n">
        <f aca="false">IF(COUNT(G2082:G2111)&lt;20,"",_xlfn.STDEV.S(G2082:G2111)*SQRT($R$3))</f>
        <v>0.334404409582979</v>
      </c>
      <c r="N2111" s="25" t="n">
        <f aca="false">IF(A2111-7&lt;$R$2,"",C2111/INDEX(Clean_Data!$C$2:$C$4314,MATCH(A2111-7,Clean_Data!$A$2:$A$4314,1))-1)</f>
        <v>0.0708109561878061</v>
      </c>
      <c r="O2111" s="25" t="n">
        <f aca="false">IF(A2111-30&lt;$R$2,"",C2111/INDEX(Clean_Data!$C$2:$C$4314,MATCH(A2111-30,Clean_Data!$A$2:$A$4314,1))-1)</f>
        <v>0.0699987733312859</v>
      </c>
    </row>
    <row r="2112" customFormat="false" ht="15" hidden="false" customHeight="false" outlineLevel="0" collapsed="false">
      <c r="A2112" s="16" t="n">
        <v>44119</v>
      </c>
      <c r="B2112" s="23" t="n">
        <f aca="false">YEAR(A2112)</f>
        <v>2020</v>
      </c>
      <c r="C2112" s="17" t="n">
        <v>11509.25</v>
      </c>
      <c r="D2112" s="23" t="n">
        <f aca="false">A2112-A2111</f>
        <v>1</v>
      </c>
      <c r="E2112" s="24" t="n">
        <f aca="false">LN(C2112)</f>
        <v>9.35090633886308</v>
      </c>
      <c r="F2112" s="25" t="n">
        <f aca="false">LN(C2112/C2111)</f>
        <v>0.00718346034535291</v>
      </c>
      <c r="G2112" s="25" t="n">
        <f aca="false">IF(AND(D2112=1,A2112&gt;=$R$2),F2112,"")</f>
        <v>0.00718346034535291</v>
      </c>
      <c r="H2112" s="27" t="n">
        <f aca="false">IF(G2112="","",G2112^2)</f>
        <v>5.16021025332578E-005</v>
      </c>
      <c r="I2112" s="25" t="n">
        <f aca="false">IF(G2112="","",C2112/C2111-1)</f>
        <v>0.00720932328800439</v>
      </c>
      <c r="J2112" s="17" t="n">
        <f aca="false">AVERAGE(C1913:C2112)</f>
        <v>9698.0867</v>
      </c>
      <c r="K2112" s="17" t="n">
        <f aca="false">MAX(K2111,C2112)</f>
        <v>19650.01</v>
      </c>
      <c r="L2112" s="25" t="n">
        <f aca="false">C2112/K2112-1</f>
        <v>-0.414287829878967</v>
      </c>
      <c r="M2112" s="25" t="n">
        <f aca="false">IF(COUNT(G2083:G2112)&lt;20,"",_xlfn.STDEV.S(G2083:G2112)*SQRT($R$3))</f>
        <v>0.333639295711224</v>
      </c>
      <c r="N2112" s="25" t="n">
        <f aca="false">IF(A2112-7&lt;$R$2,"",C2112/INDEX(Clean_Data!$C$2:$C$4314,MATCH(A2112-7,Clean_Data!$A$2:$A$4314,1))-1)</f>
        <v>0.0533133944252204</v>
      </c>
      <c r="O2112" s="25" t="n">
        <f aca="false">IF(A2112-30&lt;$R$2,"",C2112/INDEX(Clean_Data!$C$2:$C$4314,MATCH(A2112-30,Clean_Data!$A$2:$A$4314,1))-1)</f>
        <v>0.0666787150827635</v>
      </c>
    </row>
    <row r="2113" customFormat="false" ht="15" hidden="false" customHeight="false" outlineLevel="0" collapsed="false">
      <c r="A2113" s="16" t="n">
        <v>44120</v>
      </c>
      <c r="B2113" s="23" t="n">
        <f aca="false">YEAR(A2113)</f>
        <v>2020</v>
      </c>
      <c r="C2113" s="17" t="n">
        <v>11329.33</v>
      </c>
      <c r="D2113" s="23" t="n">
        <f aca="false">A2113-A2112</f>
        <v>1</v>
      </c>
      <c r="E2113" s="24" t="n">
        <f aca="false">LN(C2113)</f>
        <v>9.33515021723379</v>
      </c>
      <c r="F2113" s="25" t="n">
        <f aca="false">LN(C2113/C2112)</f>
        <v>-0.0157561216292865</v>
      </c>
      <c r="G2113" s="25" t="n">
        <f aca="false">IF(AND(D2113=1,A2113&gt;=$R$2),F2113,"")</f>
        <v>-0.0157561216292865</v>
      </c>
      <c r="H2113" s="27" t="n">
        <f aca="false">IF(G2113="","",G2113^2)</f>
        <v>0.000248255368796869</v>
      </c>
      <c r="I2113" s="25" t="n">
        <f aca="false">IF(G2113="","",C2113/C2112-1)</f>
        <v>-0.015632643308643</v>
      </c>
      <c r="J2113" s="17" t="n">
        <f aca="false">AVERAGE(C1914:C2113)</f>
        <v>9725.2456</v>
      </c>
      <c r="K2113" s="17" t="n">
        <f aca="false">MAX(K2112,C2113)</f>
        <v>19650.01</v>
      </c>
      <c r="L2113" s="25" t="n">
        <f aca="false">C2113/K2113-1</f>
        <v>-0.423444059316</v>
      </c>
      <c r="M2113" s="25" t="n">
        <f aca="false">IF(COUNT(G2084:G2113)&lt;20,"",_xlfn.STDEV.S(G2084:G2113)*SQRT($R$3))</f>
        <v>0.335947106436548</v>
      </c>
      <c r="N2113" s="25" t="n">
        <f aca="false">IF(A2113-7&lt;$R$2,"",C2113/INDEX(Clean_Data!$C$2:$C$4314,MATCH(A2113-7,Clean_Data!$A$2:$A$4314,1))-1)</f>
        <v>0.0244165543931352</v>
      </c>
      <c r="O2113" s="25" t="n">
        <f aca="false">IF(A2113-30&lt;$R$2,"",C2113/INDEX(Clean_Data!$C$2:$C$4314,MATCH(A2113-30,Clean_Data!$A$2:$A$4314,1))-1)</f>
        <v>0.0343227387345277</v>
      </c>
    </row>
    <row r="2114" customFormat="false" ht="15" hidden="false" customHeight="false" outlineLevel="0" collapsed="false">
      <c r="A2114" s="16" t="n">
        <v>44121</v>
      </c>
      <c r="B2114" s="23" t="n">
        <f aca="false">YEAR(A2114)</f>
        <v>2020</v>
      </c>
      <c r="C2114" s="17" t="n">
        <v>11365.96</v>
      </c>
      <c r="D2114" s="23" t="n">
        <f aca="false">A2114-A2113</f>
        <v>1</v>
      </c>
      <c r="E2114" s="24" t="n">
        <f aca="false">LN(C2114)</f>
        <v>9.33837820258288</v>
      </c>
      <c r="F2114" s="25" t="n">
        <f aca="false">LN(C2114/C2113)</f>
        <v>0.00322798534909288</v>
      </c>
      <c r="G2114" s="25" t="n">
        <f aca="false">IF(AND(D2114=1,A2114&gt;=$R$2),F2114,"")</f>
        <v>0.00322798534909288</v>
      </c>
      <c r="H2114" s="27" t="n">
        <f aca="false">IF(G2114="","",G2114^2)</f>
        <v>1.04198894139583E-005</v>
      </c>
      <c r="I2114" s="25" t="n">
        <f aca="false">IF(G2114="","",C2114/C2113-1)</f>
        <v>0.00323320090420176</v>
      </c>
      <c r="J2114" s="17" t="n">
        <f aca="false">AVERAGE(C1915:C2114)</f>
        <v>9750.0691</v>
      </c>
      <c r="K2114" s="17" t="n">
        <f aca="false">MAX(K2113,C2114)</f>
        <v>19650.01</v>
      </c>
      <c r="L2114" s="25" t="n">
        <f aca="false">C2114/K2114-1</f>
        <v>-0.421579938127258</v>
      </c>
      <c r="M2114" s="25" t="n">
        <f aca="false">IF(COUNT(G2085:G2114)&lt;20,"",_xlfn.STDEV.S(G2085:G2114)*SQRT($R$3))</f>
        <v>0.335971373986735</v>
      </c>
      <c r="N2114" s="25" t="n">
        <f aca="false">IF(A2114-7&lt;$R$2,"",C2114/INDEX(Clean_Data!$C$2:$C$4314,MATCH(A2114-7,Clean_Data!$A$2:$A$4314,1))-1)</f>
        <v>0.00552038472835115</v>
      </c>
      <c r="O2114" s="25" t="n">
        <f aca="false">IF(A2114-30&lt;$R$2,"",C2114/INDEX(Clean_Data!$C$2:$C$4314,MATCH(A2114-30,Clean_Data!$A$2:$A$4314,1))-1)</f>
        <v>0.0381929569604205</v>
      </c>
    </row>
    <row r="2115" customFormat="false" ht="15" hidden="false" customHeight="false" outlineLevel="0" collapsed="false">
      <c r="A2115" s="16" t="n">
        <v>44122</v>
      </c>
      <c r="B2115" s="23" t="n">
        <f aca="false">YEAR(A2115)</f>
        <v>2020</v>
      </c>
      <c r="C2115" s="17" t="n">
        <v>11516.56</v>
      </c>
      <c r="D2115" s="23" t="n">
        <f aca="false">A2115-A2114</f>
        <v>1</v>
      </c>
      <c r="E2115" s="24" t="n">
        <f aca="false">LN(C2115)</f>
        <v>9.3515412785456</v>
      </c>
      <c r="F2115" s="25" t="n">
        <f aca="false">LN(C2115/C2114)</f>
        <v>0.0131630759627137</v>
      </c>
      <c r="G2115" s="25" t="n">
        <f aca="false">IF(AND(D2115=1,A2115&gt;=$R$2),F2115,"")</f>
        <v>0.0131630759627137</v>
      </c>
      <c r="H2115" s="27" t="n">
        <f aca="false">IF(G2115="","",G2115^2)</f>
        <v>0.000173266568800172</v>
      </c>
      <c r="I2115" s="25" t="n">
        <f aca="false">IF(G2115="","",C2115/C2114-1)</f>
        <v>0.0132500906214696</v>
      </c>
      <c r="J2115" s="17" t="n">
        <f aca="false">AVERAGE(C1916:C2115)</f>
        <v>9775.47825</v>
      </c>
      <c r="K2115" s="17" t="n">
        <f aca="false">MAX(K2114,C2115)</f>
        <v>19650.01</v>
      </c>
      <c r="L2115" s="25" t="n">
        <f aca="false">C2115/K2115-1</f>
        <v>-0.413915819890168</v>
      </c>
      <c r="M2115" s="25" t="n">
        <f aca="false">IF(COUNT(G2086:G2115)&lt;20,"",_xlfn.STDEV.S(G2086:G2115)*SQRT($R$3))</f>
        <v>0.338445800728552</v>
      </c>
      <c r="N2115" s="25" t="n">
        <f aca="false">IF(A2115-7&lt;$R$2,"",C2115/INDEX(Clean_Data!$C$2:$C$4314,MATCH(A2115-7,Clean_Data!$A$2:$A$4314,1))-1)</f>
        <v>0.0128499751548969</v>
      </c>
      <c r="O2115" s="25" t="n">
        <f aca="false">IF(A2115-30&lt;$R$2,"",C2115/INDEX(Clean_Data!$C$2:$C$4314,MATCH(A2115-30,Clean_Data!$A$2:$A$4314,1))-1)</f>
        <v>0.052490358428835</v>
      </c>
    </row>
    <row r="2116" customFormat="false" ht="15" hidden="false" customHeight="false" outlineLevel="0" collapsed="false">
      <c r="A2116" s="16" t="n">
        <v>44123</v>
      </c>
      <c r="B2116" s="23" t="n">
        <f aca="false">YEAR(A2116)</f>
        <v>2020</v>
      </c>
      <c r="C2116" s="17" t="n">
        <v>11765.09</v>
      </c>
      <c r="D2116" s="23" t="n">
        <f aca="false">A2116-A2115</f>
        <v>1</v>
      </c>
      <c r="E2116" s="24" t="n">
        <f aca="false">LN(C2116)</f>
        <v>9.37289195094096</v>
      </c>
      <c r="F2116" s="25" t="n">
        <f aca="false">LN(C2116/C2115)</f>
        <v>0.0213506723953624</v>
      </c>
      <c r="G2116" s="25" t="n">
        <f aca="false">IF(AND(D2116=1,A2116&gt;=$R$2),F2116,"")</f>
        <v>0.0213506723953624</v>
      </c>
      <c r="H2116" s="27" t="n">
        <f aca="false">IF(G2116="","",G2116^2)</f>
        <v>0.000455851211734088</v>
      </c>
      <c r="I2116" s="25" t="n">
        <f aca="false">IF(G2116="","",C2116/C2115-1)</f>
        <v>0.0215802288183278</v>
      </c>
      <c r="J2116" s="17" t="n">
        <f aca="false">AVERAGE(C1917:C2116)</f>
        <v>9800.70675</v>
      </c>
      <c r="K2116" s="17" t="n">
        <f aca="false">MAX(K2115,C2116)</f>
        <v>19650.01</v>
      </c>
      <c r="L2116" s="25" t="n">
        <f aca="false">C2116/K2116-1</f>
        <v>-0.401267989176596</v>
      </c>
      <c r="M2116" s="25" t="n">
        <f aca="false">IF(COUNT(G2087:G2116)&lt;20,"",_xlfn.STDEV.S(G2087:G2116)*SQRT($R$3))</f>
        <v>0.343524329534569</v>
      </c>
      <c r="N2116" s="25" t="n">
        <f aca="false">IF(A2116-7&lt;$R$2,"",C2116/INDEX(Clean_Data!$C$2:$C$4314,MATCH(A2116-7,Clean_Data!$A$2:$A$4314,1))-1)</f>
        <v>0.0199621494204942</v>
      </c>
      <c r="O2116" s="25" t="n">
        <f aca="false">IF(A2116-30&lt;$R$2,"",C2116/INDEX(Clean_Data!$C$2:$C$4314,MATCH(A2116-30,Clean_Data!$A$2:$A$4314,1))-1)</f>
        <v>0.0622789569249855</v>
      </c>
    </row>
    <row r="2117" customFormat="false" ht="15" hidden="false" customHeight="false" outlineLevel="0" collapsed="false">
      <c r="A2117" s="16" t="n">
        <v>44124</v>
      </c>
      <c r="B2117" s="23" t="n">
        <f aca="false">YEAR(A2117)</f>
        <v>2020</v>
      </c>
      <c r="C2117" s="17" t="n">
        <v>11917.34</v>
      </c>
      <c r="D2117" s="23" t="n">
        <f aca="false">A2117-A2116</f>
        <v>1</v>
      </c>
      <c r="E2117" s="24" t="n">
        <f aca="false">LN(C2117)</f>
        <v>9.38574976135429</v>
      </c>
      <c r="F2117" s="25" t="n">
        <f aca="false">LN(C2117/C2116)</f>
        <v>0.012857810413327</v>
      </c>
      <c r="G2117" s="25" t="n">
        <f aca="false">IF(AND(D2117=1,A2117&gt;=$R$2),F2117,"")</f>
        <v>0.012857810413327</v>
      </c>
      <c r="H2117" s="27" t="n">
        <f aca="false">IF(G2117="","",G2117^2)</f>
        <v>0.000165323288625061</v>
      </c>
      <c r="I2117" s="25" t="n">
        <f aca="false">IF(G2117="","",C2117/C2116-1)</f>
        <v>0.0129408274819827</v>
      </c>
      <c r="J2117" s="17" t="n">
        <f aca="false">AVERAGE(C1918:C2117)</f>
        <v>9826.34425</v>
      </c>
      <c r="K2117" s="17" t="n">
        <f aca="false">MAX(K2116,C2117)</f>
        <v>19650.01</v>
      </c>
      <c r="L2117" s="25" t="n">
        <f aca="false">C2117/K2117-1</f>
        <v>-0.39351990151659</v>
      </c>
      <c r="M2117" s="25" t="n">
        <f aca="false">IF(COUNT(G2088:G2117)&lt;20,"",_xlfn.STDEV.S(G2088:G2117)*SQRT($R$3))</f>
        <v>0.339952212924131</v>
      </c>
      <c r="N2117" s="25" t="n">
        <f aca="false">IF(A2117-7&lt;$R$2,"",C2117/INDEX(Clean_Data!$C$2:$C$4314,MATCH(A2117-7,Clean_Data!$A$2:$A$4314,1))-1)</f>
        <v>0.0422393557663043</v>
      </c>
      <c r="O2117" s="25" t="n">
        <f aca="false">IF(A2117-30&lt;$R$2,"",C2117/INDEX(Clean_Data!$C$2:$C$4314,MATCH(A2117-30,Clean_Data!$A$2:$A$4314,1))-1)</f>
        <v>0.0921726347855811</v>
      </c>
    </row>
    <row r="2118" customFormat="false" ht="15" hidden="false" customHeight="false" outlineLevel="0" collapsed="false">
      <c r="A2118" s="16" t="n">
        <v>44125</v>
      </c>
      <c r="B2118" s="23" t="n">
        <f aca="false">YEAR(A2118)</f>
        <v>2020</v>
      </c>
      <c r="C2118" s="17" t="n">
        <v>12836.37</v>
      </c>
      <c r="D2118" s="23" t="n">
        <f aca="false">A2118-A2117</f>
        <v>1</v>
      </c>
      <c r="E2118" s="24" t="n">
        <f aca="false">LN(C2118)</f>
        <v>9.46003782699349</v>
      </c>
      <c r="F2118" s="25" t="n">
        <f aca="false">LN(C2118/C2117)</f>
        <v>0.0742880656392084</v>
      </c>
      <c r="G2118" s="25" t="n">
        <f aca="false">IF(AND(D2118=1,A2118&gt;=$R$2),F2118,"")</f>
        <v>0.0742880656392084</v>
      </c>
      <c r="H2118" s="27" t="n">
        <f aca="false">IF(G2118="","",G2118^2)</f>
        <v>0.00551871669641534</v>
      </c>
      <c r="I2118" s="25" t="n">
        <f aca="false">IF(G2118="","",C2118/C2117-1)</f>
        <v>0.0771170412189297</v>
      </c>
      <c r="J2118" s="17" t="n">
        <f aca="false">AVERAGE(C1919:C2118)</f>
        <v>9856.88615</v>
      </c>
      <c r="K2118" s="17" t="n">
        <f aca="false">MAX(K2117,C2118)</f>
        <v>19650.01</v>
      </c>
      <c r="L2118" s="25" t="n">
        <f aca="false">C2118/K2118-1</f>
        <v>-0.346749950763384</v>
      </c>
      <c r="M2118" s="25" t="n">
        <f aca="false">IF(COUNT(G2089:G2118)&lt;20,"",_xlfn.STDEV.S(G2089:G2118)*SQRT($R$3))</f>
        <v>0.379525214371481</v>
      </c>
      <c r="N2118" s="25" t="n">
        <f aca="false">IF(A2118-7&lt;$R$2,"",C2118/INDEX(Clean_Data!$C$2:$C$4314,MATCH(A2118-7,Clean_Data!$A$2:$A$4314,1))-1)</f>
        <v>0.123349613673736</v>
      </c>
      <c r="O2118" s="25" t="n">
        <f aca="false">IF(A2118-30&lt;$R$2,"",C2118/INDEX(Clean_Data!$C$2:$C$4314,MATCH(A2118-30,Clean_Data!$A$2:$A$4314,1))-1)</f>
        <v>0.231206088712191</v>
      </c>
    </row>
    <row r="2119" customFormat="false" ht="15" hidden="false" customHeight="false" outlineLevel="0" collapsed="false">
      <c r="A2119" s="16" t="n">
        <v>44126</v>
      </c>
      <c r="B2119" s="23" t="n">
        <f aca="false">YEAR(A2119)</f>
        <v>2020</v>
      </c>
      <c r="C2119" s="17" t="n">
        <v>12977.02</v>
      </c>
      <c r="D2119" s="23" t="n">
        <f aca="false">A2119-A2118</f>
        <v>1</v>
      </c>
      <c r="E2119" s="24" t="n">
        <f aca="false">LN(C2119)</f>
        <v>9.4709353799243</v>
      </c>
      <c r="F2119" s="25" t="n">
        <f aca="false">LN(C2119/C2118)</f>
        <v>0.0108975529308055</v>
      </c>
      <c r="G2119" s="25" t="n">
        <f aca="false">IF(AND(D2119=1,A2119&gt;=$R$2),F2119,"")</f>
        <v>0.0108975529308055</v>
      </c>
      <c r="H2119" s="27" t="n">
        <f aca="false">IF(G2119="","",G2119^2)</f>
        <v>0.000118756659879707</v>
      </c>
      <c r="I2119" s="25" t="n">
        <f aca="false">IF(G2119="","",C2119/C2118-1)</f>
        <v>0.0109571475424906</v>
      </c>
      <c r="J2119" s="17" t="n">
        <f aca="false">AVERAGE(C1920:C2119)</f>
        <v>9887.28825</v>
      </c>
      <c r="K2119" s="17" t="n">
        <f aca="false">MAX(K2118,C2119)</f>
        <v>19650.01</v>
      </c>
      <c r="L2119" s="25" t="n">
        <f aca="false">C2119/K2119-1</f>
        <v>-0.339592193591759</v>
      </c>
      <c r="M2119" s="25" t="n">
        <f aca="false">IF(COUNT(G2090:G2119)&lt;20,"",_xlfn.STDEV.S(G2090:G2119)*SQRT($R$3))</f>
        <v>0.379644498351738</v>
      </c>
      <c r="N2119" s="25" t="n">
        <f aca="false">IF(A2119-7&lt;$R$2,"",C2119/INDEX(Clean_Data!$C$2:$C$4314,MATCH(A2119-7,Clean_Data!$A$2:$A$4314,1))-1)</f>
        <v>0.127529595759932</v>
      </c>
      <c r="O2119" s="25" t="n">
        <f aca="false">IF(A2119-30&lt;$R$2,"",C2119/INDEX(Clean_Data!$C$2:$C$4314,MATCH(A2119-30,Clean_Data!$A$2:$A$4314,1))-1)</f>
        <v>0.232501441256111</v>
      </c>
    </row>
    <row r="2120" customFormat="false" ht="15" hidden="false" customHeight="false" outlineLevel="0" collapsed="false">
      <c r="A2120" s="16" t="n">
        <v>44127</v>
      </c>
      <c r="B2120" s="23" t="n">
        <f aca="false">YEAR(A2120)</f>
        <v>2020</v>
      </c>
      <c r="C2120" s="17" t="n">
        <v>12943.03</v>
      </c>
      <c r="D2120" s="23" t="n">
        <f aca="false">A2120-A2119</f>
        <v>1</v>
      </c>
      <c r="E2120" s="24" t="n">
        <f aca="false">LN(C2120)</f>
        <v>9.46831269829496</v>
      </c>
      <c r="F2120" s="25" t="n">
        <f aca="false">LN(C2120/C2119)</f>
        <v>-0.00262268162933584</v>
      </c>
      <c r="G2120" s="25" t="n">
        <f aca="false">IF(AND(D2120=1,A2120&gt;=$R$2),F2120,"")</f>
        <v>-0.00262268162933584</v>
      </c>
      <c r="H2120" s="27" t="n">
        <f aca="false">IF(G2120="","",G2120^2)</f>
        <v>6.87845892885568E-006</v>
      </c>
      <c r="I2120" s="25" t="n">
        <f aca="false">IF(G2120="","",C2120/C2119-1)</f>
        <v>-0.00261924540456904</v>
      </c>
      <c r="J2120" s="17" t="n">
        <f aca="false">AVERAGE(C1921:C2120)</f>
        <v>9918.10465</v>
      </c>
      <c r="K2120" s="17" t="n">
        <f aca="false">MAX(K2119,C2120)</f>
        <v>19650.01</v>
      </c>
      <c r="L2120" s="25" t="n">
        <f aca="false">C2120/K2120-1</f>
        <v>-0.341321963703835</v>
      </c>
      <c r="M2120" s="25" t="n">
        <f aca="false">IF(COUNT(G2091:G2120)&lt;20,"",_xlfn.STDEV.S(G2091:G2120)*SQRT($R$3))</f>
        <v>0.359024800893177</v>
      </c>
      <c r="N2120" s="25" t="n">
        <f aca="false">IF(A2120-7&lt;$R$2,"",C2120/INDEX(Clean_Data!$C$2:$C$4314,MATCH(A2120-7,Clean_Data!$A$2:$A$4314,1))-1)</f>
        <v>0.14243560740132</v>
      </c>
      <c r="O2120" s="25" t="n">
        <f aca="false">IF(A2120-30&lt;$R$2,"",C2120/INDEX(Clean_Data!$C$2:$C$4314,MATCH(A2120-30,Clean_Data!$A$2:$A$4314,1))-1)</f>
        <v>0.265189719367631</v>
      </c>
    </row>
    <row r="2121" customFormat="false" ht="15" hidden="false" customHeight="false" outlineLevel="0" collapsed="false">
      <c r="A2121" s="16" t="n">
        <v>44128</v>
      </c>
      <c r="B2121" s="23" t="n">
        <f aca="false">YEAR(A2121)</f>
        <v>2020</v>
      </c>
      <c r="C2121" s="17" t="n">
        <v>13120.87</v>
      </c>
      <c r="D2121" s="23" t="n">
        <f aca="false">A2121-A2120</f>
        <v>1</v>
      </c>
      <c r="E2121" s="24" t="n">
        <f aca="false">LN(C2121)</f>
        <v>9.48195937127522</v>
      </c>
      <c r="F2121" s="25" t="n">
        <f aca="false">LN(C2121/C2120)</f>
        <v>0.013646672980251</v>
      </c>
      <c r="G2121" s="25" t="n">
        <f aca="false">IF(AND(D2121=1,A2121&gt;=$R$2),F2121,"")</f>
        <v>0.013646672980251</v>
      </c>
      <c r="H2121" s="27" t="n">
        <f aca="false">IF(G2121="","",G2121^2)</f>
        <v>0.000186231683429913</v>
      </c>
      <c r="I2121" s="25" t="n">
        <f aca="false">IF(G2121="","",C2121/C2120-1)</f>
        <v>0.0137402138448262</v>
      </c>
      <c r="J2121" s="17" t="n">
        <f aca="false">AVERAGE(C1922:C2121)</f>
        <v>9947.10865</v>
      </c>
      <c r="K2121" s="17" t="n">
        <f aca="false">MAX(K2120,C2121)</f>
        <v>19650.01</v>
      </c>
      <c r="L2121" s="25" t="n">
        <f aca="false">C2121/K2121-1</f>
        <v>-0.332271586630236</v>
      </c>
      <c r="M2121" s="25" t="n">
        <f aca="false">IF(COUNT(G2092:G2121)&lt;20,"",_xlfn.STDEV.S(G2092:G2121)*SQRT($R$3))</f>
        <v>0.328268757489171</v>
      </c>
      <c r="N2121" s="25" t="n">
        <f aca="false">IF(A2121-7&lt;$R$2,"",C2121/INDEX(Clean_Data!$C$2:$C$4314,MATCH(A2121-7,Clean_Data!$A$2:$A$4314,1))-1)</f>
        <v>0.154400508184087</v>
      </c>
      <c r="O2121" s="25" t="n">
        <f aca="false">IF(A2121-30&lt;$R$2,"",C2121/INDEX(Clean_Data!$C$2:$C$4314,MATCH(A2121-30,Clean_Data!$A$2:$A$4314,1))-1)</f>
        <v>0.221568755236943</v>
      </c>
    </row>
    <row r="2122" customFormat="false" ht="15" hidden="false" customHeight="false" outlineLevel="0" collapsed="false">
      <c r="A2122" s="16" t="n">
        <v>44129</v>
      </c>
      <c r="B2122" s="23" t="n">
        <f aca="false">YEAR(A2122)</f>
        <v>2020</v>
      </c>
      <c r="C2122" s="17" t="n">
        <v>13050.32</v>
      </c>
      <c r="D2122" s="23" t="n">
        <f aca="false">A2122-A2121</f>
        <v>1</v>
      </c>
      <c r="E2122" s="24" t="n">
        <f aca="false">LN(C2122)</f>
        <v>9.476567933523</v>
      </c>
      <c r="F2122" s="25" t="n">
        <f aca="false">LN(C2122/C2121)</f>
        <v>-0.0053914377522145</v>
      </c>
      <c r="G2122" s="25" t="n">
        <f aca="false">IF(AND(D2122=1,A2122&gt;=$R$2),F2122,"")</f>
        <v>-0.0053914377522145</v>
      </c>
      <c r="H2122" s="27" t="n">
        <f aca="false">IF(G2122="","",G2122^2)</f>
        <v>2.90676010360037E-005</v>
      </c>
      <c r="I2122" s="25" t="n">
        <f aca="false">IF(G2122="","",C2122/C2121-1)</f>
        <v>-0.00537693003588946</v>
      </c>
      <c r="J2122" s="17" t="n">
        <f aca="false">AVERAGE(C1923:C2122)</f>
        <v>9976.33735</v>
      </c>
      <c r="K2122" s="17" t="n">
        <f aca="false">MAX(K2121,C2122)</f>
        <v>19650.01</v>
      </c>
      <c r="L2122" s="25" t="n">
        <f aca="false">C2122/K2122-1</f>
        <v>-0.3358619155919</v>
      </c>
      <c r="M2122" s="25" t="n">
        <f aca="false">IF(COUNT(G2093:G2122)&lt;20,"",_xlfn.STDEV.S(G2093:G2122)*SQRT($R$3))</f>
        <v>0.328685998055747</v>
      </c>
      <c r="N2122" s="25" t="n">
        <f aca="false">IF(A2122-7&lt;$R$2,"",C2122/INDEX(Clean_Data!$C$2:$C$4314,MATCH(A2122-7,Clean_Data!$A$2:$A$4314,1))-1)</f>
        <v>0.133178657515786</v>
      </c>
      <c r="O2122" s="25" t="n">
        <f aca="false">IF(A2122-30&lt;$R$2,"",C2122/INDEX(Clean_Data!$C$2:$C$4314,MATCH(A2122-30,Clean_Data!$A$2:$A$4314,1))-1)</f>
        <v>0.220420263155434</v>
      </c>
    </row>
    <row r="2123" customFormat="false" ht="15" hidden="false" customHeight="false" outlineLevel="0" collapsed="false">
      <c r="A2123" s="16" t="n">
        <v>44130</v>
      </c>
      <c r="B2123" s="23" t="n">
        <f aca="false">YEAR(A2123)</f>
        <v>2020</v>
      </c>
      <c r="C2123" s="17" t="n">
        <v>13072.95</v>
      </c>
      <c r="D2123" s="23" t="n">
        <f aca="false">A2123-A2122</f>
        <v>1</v>
      </c>
      <c r="E2123" s="24" t="n">
        <f aca="false">LN(C2123)</f>
        <v>9.47830048887773</v>
      </c>
      <c r="F2123" s="25" t="n">
        <f aca="false">LN(C2123/C2122)</f>
        <v>0.0017325553547315</v>
      </c>
      <c r="G2123" s="25" t="n">
        <f aca="false">IF(AND(D2123=1,A2123&gt;=$R$2),F2123,"")</f>
        <v>0.0017325553547315</v>
      </c>
      <c r="H2123" s="27" t="n">
        <f aca="false">IF(G2123="","",G2123^2)</f>
        <v>3.0017480572088E-006</v>
      </c>
      <c r="I2123" s="25" t="n">
        <f aca="false">IF(G2123="","",C2123/C2122-1)</f>
        <v>0.00173405709591812</v>
      </c>
      <c r="J2123" s="17" t="n">
        <f aca="false">AVERAGE(C1924:C2123)</f>
        <v>10004.98385</v>
      </c>
      <c r="K2123" s="17" t="n">
        <f aca="false">MAX(K2122,C2123)</f>
        <v>19650.01</v>
      </c>
      <c r="L2123" s="25" t="n">
        <f aca="false">C2123/K2123-1</f>
        <v>-0.334710262233963</v>
      </c>
      <c r="M2123" s="25" t="n">
        <f aca="false">IF(COUNT(G2094:G2123)&lt;20,"",_xlfn.STDEV.S(G2094:G2123)*SQRT($R$3))</f>
        <v>0.328949978161741</v>
      </c>
      <c r="N2123" s="25" t="n">
        <f aca="false">IF(A2123-7&lt;$R$2,"",C2123/INDEX(Clean_Data!$C$2:$C$4314,MATCH(A2123-7,Clean_Data!$A$2:$A$4314,1))-1)</f>
        <v>0.111164470480039</v>
      </c>
      <c r="O2123" s="25" t="n">
        <f aca="false">IF(A2123-30&lt;$R$2,"",C2123/INDEX(Clean_Data!$C$2:$C$4314,MATCH(A2123-30,Clean_Data!$A$2:$A$4314,1))-1)</f>
        <v>0.21832896405762</v>
      </c>
    </row>
    <row r="2124" customFormat="false" ht="15" hidden="false" customHeight="false" outlineLevel="0" collapsed="false">
      <c r="A2124" s="16" t="n">
        <v>44131</v>
      </c>
      <c r="B2124" s="23" t="n">
        <f aca="false">YEAR(A2124)</f>
        <v>2020</v>
      </c>
      <c r="C2124" s="17" t="n">
        <v>13698.18</v>
      </c>
      <c r="D2124" s="23" t="n">
        <f aca="false">A2124-A2123</f>
        <v>1</v>
      </c>
      <c r="E2124" s="24" t="n">
        <f aca="false">LN(C2124)</f>
        <v>9.52501825627598</v>
      </c>
      <c r="F2124" s="25" t="n">
        <f aca="false">LN(C2124/C2123)</f>
        <v>0.0467177673982502</v>
      </c>
      <c r="G2124" s="25" t="n">
        <f aca="false">IF(AND(D2124=1,A2124&gt;=$R$2),F2124,"")</f>
        <v>0.0467177673982502</v>
      </c>
      <c r="H2124" s="27" t="n">
        <f aca="false">IF(G2124="","",G2124^2)</f>
        <v>0.00218254979067701</v>
      </c>
      <c r="I2124" s="25" t="n">
        <f aca="false">IF(G2124="","",C2124/C2123-1)</f>
        <v>0.0478262366183608</v>
      </c>
      <c r="J2124" s="17" t="n">
        <f aca="false">AVERAGE(C1925:C2124)</f>
        <v>10037.0013</v>
      </c>
      <c r="K2124" s="17" t="n">
        <f aca="false">MAX(K2123,C2124)</f>
        <v>19650.01</v>
      </c>
      <c r="L2124" s="25" t="n">
        <f aca="false">C2124/K2124-1</f>
        <v>-0.302891957815798</v>
      </c>
      <c r="M2124" s="25" t="n">
        <f aca="false">IF(COUNT(G2095:G2124)&lt;20,"",_xlfn.STDEV.S(G2095:G2124)*SQRT($R$3))</f>
        <v>0.35744899600148</v>
      </c>
      <c r="N2124" s="25" t="n">
        <f aca="false">IF(A2124-7&lt;$R$2,"",C2124/INDEX(Clean_Data!$C$2:$C$4314,MATCH(A2124-7,Clean_Data!$A$2:$A$4314,1))-1)</f>
        <v>0.149432675412466</v>
      </c>
      <c r="O2124" s="25" t="n">
        <f aca="false">IF(A2124-30&lt;$R$2,"",C2124/INDEX(Clean_Data!$C$2:$C$4314,MATCH(A2124-30,Clean_Data!$A$2:$A$4314,1))-1)</f>
        <v>0.269269044808371</v>
      </c>
    </row>
    <row r="2125" customFormat="false" ht="15" hidden="false" customHeight="false" outlineLevel="0" collapsed="false">
      <c r="A2125" s="16" t="n">
        <v>44132</v>
      </c>
      <c r="B2125" s="23" t="n">
        <f aca="false">YEAR(A2125)</f>
        <v>2020</v>
      </c>
      <c r="C2125" s="17" t="n">
        <v>13280</v>
      </c>
      <c r="D2125" s="23" t="n">
        <f aca="false">A2125-A2124</f>
        <v>1</v>
      </c>
      <c r="E2125" s="24" t="n">
        <f aca="false">LN(C2125)</f>
        <v>9.49401442303043</v>
      </c>
      <c r="F2125" s="25" t="n">
        <f aca="false">LN(C2125/C2124)</f>
        <v>-0.0310038332455566</v>
      </c>
      <c r="G2125" s="25" t="n">
        <f aca="false">IF(AND(D2125=1,A2125&gt;=$R$2),F2125,"")</f>
        <v>-0.0310038332455566</v>
      </c>
      <c r="H2125" s="27" t="n">
        <f aca="false">IF(G2125="","",G2125^2)</f>
        <v>0.000961237675918279</v>
      </c>
      <c r="I2125" s="25" t="n">
        <f aca="false">IF(G2125="","",C2125/C2124-1)</f>
        <v>-0.0305281431547841</v>
      </c>
      <c r="J2125" s="17" t="n">
        <f aca="false">AVERAGE(C1926:C2125)</f>
        <v>10068.9386</v>
      </c>
      <c r="K2125" s="17" t="n">
        <f aca="false">MAX(K2124,C2125)</f>
        <v>19650.01</v>
      </c>
      <c r="L2125" s="25" t="n">
        <f aca="false">C2125/K2125-1</f>
        <v>-0.324173371921948</v>
      </c>
      <c r="M2125" s="25" t="n">
        <f aca="false">IF(COUNT(G2096:G2125)&lt;20,"",_xlfn.STDEV.S(G2096:G2125)*SQRT($R$3))</f>
        <v>0.377453542580438</v>
      </c>
      <c r="N2125" s="25" t="n">
        <f aca="false">IF(A2125-7&lt;$R$2,"",C2125/INDEX(Clean_Data!$C$2:$C$4314,MATCH(A2125-7,Clean_Data!$A$2:$A$4314,1))-1)</f>
        <v>0.0345603936315329</v>
      </c>
      <c r="O2125" s="25" t="n">
        <f aca="false">IF(A2125-30&lt;$R$2,"",C2125/INDEX(Clean_Data!$C$2:$C$4314,MATCH(A2125-30,Clean_Data!$A$2:$A$4314,1))-1)</f>
        <v>0.243328112229087</v>
      </c>
    </row>
    <row r="2126" customFormat="false" ht="15" hidden="false" customHeight="false" outlineLevel="0" collapsed="false">
      <c r="A2126" s="16" t="n">
        <v>44133</v>
      </c>
      <c r="B2126" s="23" t="n">
        <f aca="false">YEAR(A2126)</f>
        <v>2020</v>
      </c>
      <c r="C2126" s="17" t="n">
        <v>13460</v>
      </c>
      <c r="D2126" s="23" t="n">
        <f aca="false">A2126-A2125</f>
        <v>1</v>
      </c>
      <c r="E2126" s="24" t="n">
        <f aca="false">LN(C2126)</f>
        <v>9.50747760319872</v>
      </c>
      <c r="F2126" s="25" t="n">
        <f aca="false">LN(C2126/C2125)</f>
        <v>0.0134631801682939</v>
      </c>
      <c r="G2126" s="25" t="n">
        <f aca="false">IF(AND(D2126=1,A2126&gt;=$R$2),F2126,"")</f>
        <v>0.0134631801682939</v>
      </c>
      <c r="H2126" s="27" t="n">
        <f aca="false">IF(G2126="","",G2126^2)</f>
        <v>0.000181257220243942</v>
      </c>
      <c r="I2126" s="25" t="n">
        <f aca="false">IF(G2126="","",C2126/C2125-1)</f>
        <v>0.0135542168674698</v>
      </c>
      <c r="J2126" s="17" t="n">
        <f aca="false">AVERAGE(C1927:C2126)</f>
        <v>10101.78145</v>
      </c>
      <c r="K2126" s="17" t="n">
        <f aca="false">MAX(K2125,C2126)</f>
        <v>19650.01</v>
      </c>
      <c r="L2126" s="25" t="n">
        <f aca="false">C2126/K2126-1</f>
        <v>-0.315013071240167</v>
      </c>
      <c r="M2126" s="25" t="n">
        <f aca="false">IF(COUNT(G2097:G2126)&lt;20,"",_xlfn.STDEV.S(G2097:G2126)*SQRT($R$3))</f>
        <v>0.37700986405312</v>
      </c>
      <c r="N2126" s="25" t="n">
        <f aca="false">IF(A2126-7&lt;$R$2,"",C2126/INDEX(Clean_Data!$C$2:$C$4314,MATCH(A2126-7,Clean_Data!$A$2:$A$4314,1))-1)</f>
        <v>0.037218097837562</v>
      </c>
      <c r="O2126" s="25" t="n">
        <f aca="false">IF(A2126-30&lt;$R$2,"",C2126/INDEX(Clean_Data!$C$2:$C$4314,MATCH(A2126-30,Clean_Data!$A$2:$A$4314,1))-1)</f>
        <v>0.241021952996063</v>
      </c>
    </row>
    <row r="2127" customFormat="false" ht="15" hidden="false" customHeight="false" outlineLevel="0" collapsed="false">
      <c r="A2127" s="16" t="n">
        <v>44134</v>
      </c>
      <c r="B2127" s="23" t="n">
        <f aca="false">YEAR(A2127)</f>
        <v>2020</v>
      </c>
      <c r="C2127" s="17" t="n">
        <v>13582.97</v>
      </c>
      <c r="D2127" s="23" t="n">
        <f aca="false">A2127-A2126</f>
        <v>1</v>
      </c>
      <c r="E2127" s="24" t="n">
        <f aca="false">LN(C2127)</f>
        <v>9.5165720811769</v>
      </c>
      <c r="F2127" s="25" t="n">
        <f aca="false">LN(C2127/C2126)</f>
        <v>0.0090944779781759</v>
      </c>
      <c r="G2127" s="25" t="n">
        <f aca="false">IF(AND(D2127=1,A2127&gt;=$R$2),F2127,"")</f>
        <v>0.0090944779781759</v>
      </c>
      <c r="H2127" s="27" t="n">
        <f aca="false">IF(G2127="","",G2127^2)</f>
        <v>8.27095296955263E-005</v>
      </c>
      <c r="I2127" s="25" t="n">
        <f aca="false">IF(G2127="","",C2127/C2126-1)</f>
        <v>0.00913595839524506</v>
      </c>
      <c r="J2127" s="17" t="n">
        <f aca="false">AVERAGE(C1928:C2127)</f>
        <v>10135.39145</v>
      </c>
      <c r="K2127" s="17" t="n">
        <f aca="false">MAX(K2126,C2127)</f>
        <v>19650.01</v>
      </c>
      <c r="L2127" s="25" t="n">
        <f aca="false">C2127/K2127-1</f>
        <v>-0.308755059157731</v>
      </c>
      <c r="M2127" s="25" t="n">
        <f aca="false">IF(COUNT(G2098:G2127)&lt;20,"",_xlfn.STDEV.S(G2098:G2127)*SQRT($R$3))</f>
        <v>0.374118026930691</v>
      </c>
      <c r="N2127" s="25" t="n">
        <f aca="false">IF(A2127-7&lt;$R$2,"",C2127/INDEX(Clean_Data!$C$2:$C$4314,MATCH(A2127-7,Clean_Data!$A$2:$A$4314,1))-1)</f>
        <v>0.049442827529566</v>
      </c>
      <c r="O2127" s="25" t="n">
        <f aca="false">IF(A2127-30&lt;$R$2,"",C2127/INDEX(Clean_Data!$C$2:$C$4314,MATCH(A2127-30,Clean_Data!$A$2:$A$4314,1))-1)</f>
        <v>0.259637177694274</v>
      </c>
    </row>
    <row r="2128" customFormat="false" ht="15" hidden="false" customHeight="false" outlineLevel="0" collapsed="false">
      <c r="A2128" s="16" t="n">
        <v>44135</v>
      </c>
      <c r="B2128" s="23" t="n">
        <f aca="false">YEAR(A2128)</f>
        <v>2020</v>
      </c>
      <c r="C2128" s="17" t="n">
        <v>13745.02</v>
      </c>
      <c r="D2128" s="23" t="n">
        <f aca="false">A2128-A2127</f>
        <v>1</v>
      </c>
      <c r="E2128" s="24" t="n">
        <f aca="false">LN(C2128)</f>
        <v>9.52843185567286</v>
      </c>
      <c r="F2128" s="25" t="n">
        <f aca="false">LN(C2128/C2127)</f>
        <v>0.0118597744959653</v>
      </c>
      <c r="G2128" s="25" t="n">
        <f aca="false">IF(AND(D2128=1,A2128&gt;=$R$2),F2128,"")</f>
        <v>0.0118597744959653</v>
      </c>
      <c r="H2128" s="27" t="n">
        <f aca="false">IF(G2128="","",G2128^2)</f>
        <v>0.000140654251095148</v>
      </c>
      <c r="I2128" s="25" t="n">
        <f aca="false">IF(G2128="","",C2128/C2127-1)</f>
        <v>0.0119303804690727</v>
      </c>
      <c r="J2128" s="17" t="n">
        <f aca="false">AVERAGE(C1929:C2128)</f>
        <v>10169.76155</v>
      </c>
      <c r="K2128" s="17" t="n">
        <f aca="false">MAX(K2127,C2128)</f>
        <v>19650.01</v>
      </c>
      <c r="L2128" s="25" t="n">
        <f aca="false">C2128/K2128-1</f>
        <v>-0.300508244016161</v>
      </c>
      <c r="M2128" s="25" t="n">
        <f aca="false">IF(COUNT(G2099:G2128)&lt;20,"",_xlfn.STDEV.S(G2099:G2128)*SQRT($R$3))</f>
        <v>0.36329683705689</v>
      </c>
      <c r="N2128" s="25" t="n">
        <f aca="false">IF(A2128-7&lt;$R$2,"",C2128/INDEX(Clean_Data!$C$2:$C$4314,MATCH(A2128-7,Clean_Data!$A$2:$A$4314,1))-1)</f>
        <v>0.047569254172932</v>
      </c>
      <c r="O2128" s="25" t="n">
        <f aca="false">IF(A2128-30&lt;$R$2,"",C2128/INDEX(Clean_Data!$C$2:$C$4314,MATCH(A2128-30,Clean_Data!$A$2:$A$4314,1))-1)</f>
        <v>0.296866390404807</v>
      </c>
    </row>
    <row r="2129" customFormat="false" ht="15" hidden="false" customHeight="false" outlineLevel="0" collapsed="false">
      <c r="A2129" s="16" t="n">
        <v>44136</v>
      </c>
      <c r="B2129" s="23" t="n">
        <f aca="false">YEAR(A2129)</f>
        <v>2020</v>
      </c>
      <c r="C2129" s="17" t="n">
        <v>13784.52</v>
      </c>
      <c r="D2129" s="23" t="n">
        <f aca="false">A2129-A2128</f>
        <v>1</v>
      </c>
      <c r="E2129" s="24" t="n">
        <f aca="false">LN(C2129)</f>
        <v>9.53130150239463</v>
      </c>
      <c r="F2129" s="25" t="n">
        <f aca="false">LN(C2129/C2128)</f>
        <v>0.00286964672177241</v>
      </c>
      <c r="G2129" s="25" t="n">
        <f aca="false">IF(AND(D2129=1,A2129&gt;=$R$2),F2129,"")</f>
        <v>0.00286964672177241</v>
      </c>
      <c r="H2129" s="27" t="n">
        <f aca="false">IF(G2129="","",G2129^2)</f>
        <v>8.23487230777916E-006</v>
      </c>
      <c r="I2129" s="25" t="n">
        <f aca="false">IF(G2129="","",C2129/C2128-1)</f>
        <v>0.00287376809928253</v>
      </c>
      <c r="J2129" s="17" t="n">
        <f aca="false">AVERAGE(C1930:C2129)</f>
        <v>10204.35555</v>
      </c>
      <c r="K2129" s="17" t="n">
        <f aca="false">MAX(K2128,C2129)</f>
        <v>19650.01</v>
      </c>
      <c r="L2129" s="25" t="n">
        <f aca="false">C2129/K2129-1</f>
        <v>-0.298498066922103</v>
      </c>
      <c r="M2129" s="25" t="n">
        <f aca="false">IF(COUNT(G2100:G2129)&lt;20,"",_xlfn.STDEV.S(G2100:G2129)*SQRT($R$3))</f>
        <v>0.361908145775634</v>
      </c>
      <c r="N2129" s="25" t="n">
        <f aca="false">IF(A2129-7&lt;$R$2,"",C2129/INDEX(Clean_Data!$C$2:$C$4314,MATCH(A2129-7,Clean_Data!$A$2:$A$4314,1))-1)</f>
        <v>0.0562591568635866</v>
      </c>
      <c r="O2129" s="25" t="n">
        <f aca="false">IF(A2129-30&lt;$R$2,"",C2129/INDEX(Clean_Data!$C$2:$C$4314,MATCH(A2129-30,Clean_Data!$A$2:$A$4314,1))-1)</f>
        <v>0.3031408821394</v>
      </c>
    </row>
    <row r="2130" customFormat="false" ht="15" hidden="false" customHeight="false" outlineLevel="0" collapsed="false">
      <c r="A2130" s="16" t="n">
        <v>44137</v>
      </c>
      <c r="B2130" s="23" t="n">
        <f aca="false">YEAR(A2130)</f>
        <v>2020</v>
      </c>
      <c r="C2130" s="17" t="n">
        <v>13573.93</v>
      </c>
      <c r="D2130" s="23" t="n">
        <f aca="false">A2130-A2129</f>
        <v>1</v>
      </c>
      <c r="E2130" s="24" t="n">
        <f aca="false">LN(C2130)</f>
        <v>9.51590632033277</v>
      </c>
      <c r="F2130" s="25" t="n">
        <f aca="false">LN(C2130/C2129)</f>
        <v>-0.0153951820618624</v>
      </c>
      <c r="G2130" s="25" t="n">
        <f aca="false">IF(AND(D2130=1,A2130&gt;=$R$2),F2130,"")</f>
        <v>-0.0153951820618624</v>
      </c>
      <c r="H2130" s="27" t="n">
        <f aca="false">IF(G2130="","",G2130^2)</f>
        <v>0.000237011630717889</v>
      </c>
      <c r="I2130" s="25" t="n">
        <f aca="false">IF(G2130="","",C2130/C2129-1)</f>
        <v>-0.0152772820526214</v>
      </c>
      <c r="J2130" s="17" t="n">
        <f aca="false">AVERAGE(C1931:C2130)</f>
        <v>10239.3414</v>
      </c>
      <c r="K2130" s="17" t="n">
        <f aca="false">MAX(K2129,C2130)</f>
        <v>19650.01</v>
      </c>
      <c r="L2130" s="25" t="n">
        <f aca="false">C2130/K2130-1</f>
        <v>-0.309215109814193</v>
      </c>
      <c r="M2130" s="25" t="n">
        <f aca="false">IF(COUNT(G2101:G2130)&lt;20,"",_xlfn.STDEV.S(G2101:G2130)*SQRT($R$3))</f>
        <v>0.369470795198459</v>
      </c>
      <c r="N2130" s="25" t="n">
        <f aca="false">IF(A2130-7&lt;$R$2,"",C2130/INDEX(Clean_Data!$C$2:$C$4314,MATCH(A2130-7,Clean_Data!$A$2:$A$4314,1))-1)</f>
        <v>0.0383218783824615</v>
      </c>
      <c r="O2130" s="25" t="n">
        <f aca="false">IF(A2130-30&lt;$R$2,"",C2130/INDEX(Clean_Data!$C$2:$C$4314,MATCH(A2130-30,Clean_Data!$A$2:$A$4314,1))-1)</f>
        <v>0.287212867263905</v>
      </c>
    </row>
    <row r="2131" customFormat="false" ht="15" hidden="false" customHeight="false" outlineLevel="0" collapsed="false">
      <c r="A2131" s="16" t="n">
        <v>44138</v>
      </c>
      <c r="B2131" s="23" t="n">
        <f aca="false">YEAR(A2131)</f>
        <v>2020</v>
      </c>
      <c r="C2131" s="17" t="n">
        <v>14050.59</v>
      </c>
      <c r="D2131" s="23" t="n">
        <f aca="false">A2131-A2130</f>
        <v>1</v>
      </c>
      <c r="E2131" s="24" t="n">
        <f aca="false">LN(C2131)</f>
        <v>9.55041966676278</v>
      </c>
      <c r="F2131" s="25" t="n">
        <f aca="false">LN(C2131/C2130)</f>
        <v>0.0345133464300076</v>
      </c>
      <c r="G2131" s="25" t="n">
        <f aca="false">IF(AND(D2131=1,A2131&gt;=$R$2),F2131,"")</f>
        <v>0.0345133464300076</v>
      </c>
      <c r="H2131" s="27" t="n">
        <f aca="false">IF(G2131="","",G2131^2)</f>
        <v>0.00119117108179772</v>
      </c>
      <c r="I2131" s="25" t="n">
        <f aca="false">IF(G2131="","",C2131/C2130-1)</f>
        <v>0.0351158433850771</v>
      </c>
      <c r="J2131" s="17" t="n">
        <f aca="false">AVERAGE(C1932:C2131)</f>
        <v>10273.9779</v>
      </c>
      <c r="K2131" s="17" t="n">
        <f aca="false">MAX(K2130,C2131)</f>
        <v>19650.01</v>
      </c>
      <c r="L2131" s="25" t="n">
        <f aca="false">C2131/K2131-1</f>
        <v>-0.284957615797651</v>
      </c>
      <c r="M2131" s="25" t="n">
        <f aca="false">IF(COUNT(G2102:G2131)&lt;20,"",_xlfn.STDEV.S(G2102:G2131)*SQRT($R$3))</f>
        <v>0.380476790258414</v>
      </c>
      <c r="N2131" s="25" t="n">
        <f aca="false">IF(A2131-7&lt;$R$2,"",C2131/INDEX(Clean_Data!$C$2:$C$4314,MATCH(A2131-7,Clean_Data!$A$2:$A$4314,1))-1)</f>
        <v>0.0257267753818391</v>
      </c>
      <c r="O2131" s="25" t="n">
        <f aca="false">IF(A2131-30&lt;$R$2,"",C2131/INDEX(Clean_Data!$C$2:$C$4314,MATCH(A2131-30,Clean_Data!$A$2:$A$4314,1))-1)</f>
        <v>0.317774864101381</v>
      </c>
    </row>
    <row r="2132" customFormat="false" ht="15" hidden="false" customHeight="false" outlineLevel="0" collapsed="false">
      <c r="A2132" s="16" t="n">
        <v>44139</v>
      </c>
      <c r="B2132" s="23" t="n">
        <f aca="false">YEAR(A2132)</f>
        <v>2020</v>
      </c>
      <c r="C2132" s="17" t="n">
        <v>14160</v>
      </c>
      <c r="D2132" s="23" t="n">
        <f aca="false">A2132-A2131</f>
        <v>1</v>
      </c>
      <c r="E2132" s="24" t="n">
        <f aca="false">LN(C2132)</f>
        <v>9.55817636724771</v>
      </c>
      <c r="F2132" s="25" t="n">
        <f aca="false">LN(C2132/C2131)</f>
        <v>0.0077567004849331</v>
      </c>
      <c r="G2132" s="25" t="n">
        <f aca="false">IF(AND(D2132=1,A2132&gt;=$R$2),F2132,"")</f>
        <v>0.0077567004849331</v>
      </c>
      <c r="H2132" s="27" t="n">
        <f aca="false">IF(G2132="","",G2132^2)</f>
        <v>6.01664024129614E-005</v>
      </c>
      <c r="I2132" s="25" t="n">
        <f aca="false">IF(G2132="","",C2132/C2131-1)</f>
        <v>0.00778686161933417</v>
      </c>
      <c r="J2132" s="17" t="n">
        <f aca="false">AVERAGE(C1933:C2132)</f>
        <v>10309.5018</v>
      </c>
      <c r="K2132" s="17" t="n">
        <f aca="false">MAX(K2131,C2132)</f>
        <v>19650.01</v>
      </c>
      <c r="L2132" s="25" t="n">
        <f aca="false">C2132/K2132-1</f>
        <v>-0.279389679699908</v>
      </c>
      <c r="M2132" s="25" t="n">
        <f aca="false">IF(COUNT(G2103:G2132)&lt;20,"",_xlfn.STDEV.S(G2103:G2132)*SQRT($R$3))</f>
        <v>0.380279205389483</v>
      </c>
      <c r="N2132" s="25" t="n">
        <f aca="false">IF(A2132-7&lt;$R$2,"",C2132/INDEX(Clean_Data!$C$2:$C$4314,MATCH(A2132-7,Clean_Data!$A$2:$A$4314,1))-1)</f>
        <v>0.0662650602409638</v>
      </c>
      <c r="O2132" s="25" t="n">
        <f aca="false">IF(A2132-30&lt;$R$2,"",C2132/INDEX(Clean_Data!$C$2:$C$4314,MATCH(A2132-30,Clean_Data!$A$2:$A$4314,1))-1)</f>
        <v>0.311111111111111</v>
      </c>
    </row>
    <row r="2133" customFormat="false" ht="15" hidden="false" customHeight="false" outlineLevel="0" collapsed="false">
      <c r="A2133" s="16" t="n">
        <v>44140</v>
      </c>
      <c r="B2133" s="23" t="n">
        <f aca="false">YEAR(A2133)</f>
        <v>2020</v>
      </c>
      <c r="C2133" s="17" t="n">
        <v>15636.6</v>
      </c>
      <c r="D2133" s="23" t="n">
        <f aca="false">A2133-A2132</f>
        <v>1</v>
      </c>
      <c r="E2133" s="24" t="n">
        <f aca="false">LN(C2133)</f>
        <v>9.65736959916204</v>
      </c>
      <c r="F2133" s="25" t="n">
        <f aca="false">LN(C2133/C2132)</f>
        <v>0.0991932319143288</v>
      </c>
      <c r="G2133" s="25" t="n">
        <f aca="false">IF(AND(D2133=1,A2133&gt;=$R$2),F2133,"")</f>
        <v>0.0991932319143288</v>
      </c>
      <c r="H2133" s="27" t="n">
        <f aca="false">IF(G2133="","",G2133^2)</f>
        <v>0.00983929725760982</v>
      </c>
      <c r="I2133" s="25" t="n">
        <f aca="false">IF(G2133="","",C2133/C2132-1)</f>
        <v>0.104279661016949</v>
      </c>
      <c r="J2133" s="17" t="n">
        <f aca="false">AVERAGE(C1934:C2133)</f>
        <v>10351.32715</v>
      </c>
      <c r="K2133" s="17" t="n">
        <f aca="false">MAX(K2132,C2133)</f>
        <v>19650.01</v>
      </c>
      <c r="L2133" s="25" t="n">
        <f aca="false">C2133/K2133-1</f>
        <v>-0.2042446797737</v>
      </c>
      <c r="M2133" s="25" t="n">
        <f aca="false">IF(COUNT(G2104:G2133)&lt;20,"",_xlfn.STDEV.S(G2104:G2133)*SQRT($R$3))</f>
        <v>0.480610378722765</v>
      </c>
      <c r="N2133" s="25" t="n">
        <f aca="false">IF(A2133-7&lt;$R$2,"",C2133/INDEX(Clean_Data!$C$2:$C$4314,MATCH(A2133-7,Clean_Data!$A$2:$A$4314,1))-1)</f>
        <v>0.161708766716196</v>
      </c>
      <c r="O2133" s="25" t="n">
        <f aca="false">IF(A2133-30&lt;$R$2,"",C2133/INDEX(Clean_Data!$C$2:$C$4314,MATCH(A2133-30,Clean_Data!$A$2:$A$4314,1))-1)</f>
        <v>0.475965509266907</v>
      </c>
    </row>
    <row r="2134" customFormat="false" ht="15" hidden="false" customHeight="false" outlineLevel="0" collapsed="false">
      <c r="A2134" s="16" t="n">
        <v>44141</v>
      </c>
      <c r="B2134" s="23" t="n">
        <f aca="false">YEAR(A2134)</f>
        <v>2020</v>
      </c>
      <c r="C2134" s="17" t="n">
        <v>15596.33</v>
      </c>
      <c r="D2134" s="23" t="n">
        <f aca="false">A2134-A2133</f>
        <v>1</v>
      </c>
      <c r="E2134" s="24" t="n">
        <f aca="false">LN(C2134)</f>
        <v>9.65479090915024</v>
      </c>
      <c r="F2134" s="25" t="n">
        <f aca="false">LN(C2134/C2133)</f>
        <v>-0.00257869001179768</v>
      </c>
      <c r="G2134" s="25" t="n">
        <f aca="false">IF(AND(D2134=1,A2134&gt;=$R$2),F2134,"")</f>
        <v>-0.00257869001179768</v>
      </c>
      <c r="H2134" s="27" t="n">
        <f aca="false">IF(G2134="","",G2134^2)</f>
        <v>6.64964217694511E-006</v>
      </c>
      <c r="I2134" s="25" t="n">
        <f aca="false">IF(G2134="","",C2134/C2133-1)</f>
        <v>-0.00257536804676206</v>
      </c>
      <c r="J2134" s="17" t="n">
        <f aca="false">AVERAGE(C1935:C2134)</f>
        <v>10393.68225</v>
      </c>
      <c r="K2134" s="17" t="n">
        <f aca="false">MAX(K2133,C2134)</f>
        <v>19650.01</v>
      </c>
      <c r="L2134" s="25" t="n">
        <f aca="false">C2134/K2134-1</f>
        <v>-0.206294042598452</v>
      </c>
      <c r="M2134" s="25" t="n">
        <f aca="false">IF(COUNT(G2105:G2134)&lt;20,"",_xlfn.STDEV.S(G2105:G2134)*SQRT($R$3))</f>
        <v>0.483299634130626</v>
      </c>
      <c r="N2134" s="25" t="n">
        <f aca="false">IF(A2134-7&lt;$R$2,"",C2134/INDEX(Clean_Data!$C$2:$C$4314,MATCH(A2134-7,Clean_Data!$A$2:$A$4314,1))-1)</f>
        <v>0.148226786925098</v>
      </c>
      <c r="O2134" s="25" t="n">
        <f aca="false">IF(A2134-30&lt;$R$2,"",C2134/INDEX(Clean_Data!$C$2:$C$4314,MATCH(A2134-30,Clean_Data!$A$2:$A$4314,1))-1)</f>
        <v>0.4615306764075</v>
      </c>
    </row>
    <row r="2135" customFormat="false" ht="15" hidden="false" customHeight="false" outlineLevel="0" collapsed="false">
      <c r="A2135" s="16" t="n">
        <v>44142</v>
      </c>
      <c r="B2135" s="23" t="n">
        <f aca="false">YEAR(A2135)</f>
        <v>2020</v>
      </c>
      <c r="C2135" s="17" t="n">
        <v>14814.62</v>
      </c>
      <c r="D2135" s="23" t="n">
        <f aca="false">A2135-A2134</f>
        <v>1</v>
      </c>
      <c r="E2135" s="24" t="n">
        <f aca="false">LN(C2135)</f>
        <v>9.60336980999933</v>
      </c>
      <c r="F2135" s="25" t="n">
        <f aca="false">LN(C2135/C2134)</f>
        <v>-0.0514210991509138</v>
      </c>
      <c r="G2135" s="25" t="n">
        <f aca="false">IF(AND(D2135=1,A2135&gt;=$R$2),F2135,"")</f>
        <v>-0.0514210991509138</v>
      </c>
      <c r="H2135" s="27" t="n">
        <f aca="false">IF(G2135="","",G2135^2)</f>
        <v>0.00264412943788811</v>
      </c>
      <c r="I2135" s="25" t="n">
        <f aca="false">IF(G2135="","",C2135/C2134-1)</f>
        <v>-0.0501214067668483</v>
      </c>
      <c r="J2135" s="17" t="n">
        <f aca="false">AVERAGE(C1936:C2135)</f>
        <v>10433.5925</v>
      </c>
      <c r="K2135" s="17" t="n">
        <f aca="false">MAX(K2134,C2135)</f>
        <v>19650.01</v>
      </c>
      <c r="L2135" s="25" t="n">
        <f aca="false">C2135/K2135-1</f>
        <v>-0.246075701742645</v>
      </c>
      <c r="M2135" s="25" t="n">
        <f aca="false">IF(COUNT(G2106:G2135)&lt;20,"",_xlfn.STDEV.S(G2106:G2135)*SQRT($R$3))</f>
        <v>0.530428981760364</v>
      </c>
      <c r="N2135" s="25" t="n">
        <f aca="false">IF(A2135-7&lt;$R$2,"",C2135/INDEX(Clean_Data!$C$2:$C$4314,MATCH(A2135-7,Clean_Data!$A$2:$A$4314,1))-1)</f>
        <v>0.0778172749112043</v>
      </c>
      <c r="O2135" s="25" t="n">
        <f aca="false">IF(A2135-30&lt;$R$2,"",C2135/INDEX(Clean_Data!$C$2:$C$4314,MATCH(A2135-30,Clean_Data!$A$2:$A$4314,1))-1)</f>
        <v>0.355817075771207</v>
      </c>
    </row>
    <row r="2136" customFormat="false" ht="15" hidden="false" customHeight="false" outlineLevel="0" collapsed="false">
      <c r="A2136" s="16" t="n">
        <v>44143</v>
      </c>
      <c r="B2136" s="23" t="n">
        <f aca="false">YEAR(A2136)</f>
        <v>2020</v>
      </c>
      <c r="C2136" s="17" t="n">
        <v>15487.88</v>
      </c>
      <c r="D2136" s="23" t="n">
        <f aca="false">A2136-A2135</f>
        <v>1</v>
      </c>
      <c r="E2136" s="24" t="n">
        <f aca="false">LN(C2136)</f>
        <v>9.64781306155246</v>
      </c>
      <c r="F2136" s="25" t="n">
        <f aca="false">LN(C2136/C2135)</f>
        <v>0.0444432515531306</v>
      </c>
      <c r="G2136" s="25" t="n">
        <f aca="false">IF(AND(D2136=1,A2136&gt;=$R$2),F2136,"")</f>
        <v>0.0444432515531306</v>
      </c>
      <c r="H2136" s="27" t="n">
        <f aca="false">IF(G2136="","",G2136^2)</f>
        <v>0.00197520260861484</v>
      </c>
      <c r="I2136" s="25" t="n">
        <f aca="false">IF(G2136="","",C2136/C2135-1)</f>
        <v>0.045445647610266</v>
      </c>
      <c r="J2136" s="17" t="n">
        <f aca="false">AVERAGE(C1937:C2136)</f>
        <v>10476.8069</v>
      </c>
      <c r="K2136" s="17" t="n">
        <f aca="false">MAX(K2135,C2136)</f>
        <v>19650.01</v>
      </c>
      <c r="L2136" s="25" t="n">
        <f aca="false">C2136/K2136-1</f>
        <v>-0.211813123759225</v>
      </c>
      <c r="M2136" s="25" t="n">
        <f aca="false">IF(COUNT(G2107:G2136)&lt;20,"",_xlfn.STDEV.S(G2107:G2136)*SQRT($R$3))</f>
        <v>0.543758511126522</v>
      </c>
      <c r="N2136" s="25" t="n">
        <f aca="false">IF(A2136-7&lt;$R$2,"",C2136/INDEX(Clean_Data!$C$2:$C$4314,MATCH(A2136-7,Clean_Data!$A$2:$A$4314,1))-1)</f>
        <v>0.123570497920856</v>
      </c>
      <c r="O2136" s="25" t="n">
        <f aca="false">IF(A2136-30&lt;$R$2,"",C2136/INDEX(Clean_Data!$C$2:$C$4314,MATCH(A2136-30,Clean_Data!$A$2:$A$4314,1))-1)</f>
        <v>0.400439449151393</v>
      </c>
    </row>
    <row r="2137" customFormat="false" ht="15" hidden="false" customHeight="false" outlineLevel="0" collapsed="false">
      <c r="A2137" s="16" t="n">
        <v>44144</v>
      </c>
      <c r="B2137" s="23" t="n">
        <f aca="false">YEAR(A2137)</f>
        <v>2020</v>
      </c>
      <c r="C2137" s="17" t="n">
        <v>15334.37</v>
      </c>
      <c r="D2137" s="23" t="n">
        <f aca="false">A2137-A2136</f>
        <v>1</v>
      </c>
      <c r="E2137" s="24" t="n">
        <f aca="false">LN(C2137)</f>
        <v>9.63785199321341</v>
      </c>
      <c r="F2137" s="25" t="n">
        <f aca="false">LN(C2137/C2136)</f>
        <v>-0.00996106833904878</v>
      </c>
      <c r="G2137" s="25" t="n">
        <f aca="false">IF(AND(D2137=1,A2137&gt;=$R$2),F2137,"")</f>
        <v>-0.00996106833904878</v>
      </c>
      <c r="H2137" s="27" t="n">
        <f aca="false">IF(G2137="","",G2137^2)</f>
        <v>9.92228824551999E-005</v>
      </c>
      <c r="I2137" s="25" t="n">
        <f aca="false">IF(G2137="","",C2137/C2136-1)</f>
        <v>-0.00991162121607336</v>
      </c>
      <c r="J2137" s="17" t="n">
        <f aca="false">AVERAGE(C1938:C2137)</f>
        <v>10517.7588</v>
      </c>
      <c r="K2137" s="17" t="n">
        <f aca="false">MAX(K2136,C2137)</f>
        <v>19650.01</v>
      </c>
      <c r="L2137" s="25" t="n">
        <f aca="false">C2137/K2137-1</f>
        <v>-0.219625333524003</v>
      </c>
      <c r="M2137" s="25" t="n">
        <f aca="false">IF(COUNT(G2108:G2137)&lt;20,"",_xlfn.STDEV.S(G2108:G2137)*SQRT($R$3))</f>
        <v>0.547247064103556</v>
      </c>
      <c r="N2137" s="25" t="n">
        <f aca="false">IF(A2137-7&lt;$R$2,"",C2137/INDEX(Clean_Data!$C$2:$C$4314,MATCH(A2137-7,Clean_Data!$A$2:$A$4314,1))-1)</f>
        <v>0.129692727161552</v>
      </c>
      <c r="O2137" s="25" t="n">
        <f aca="false">IF(A2137-30&lt;$R$2,"",C2137/INDEX(Clean_Data!$C$2:$C$4314,MATCH(A2137-30,Clean_Data!$A$2:$A$4314,1))-1)</f>
        <v>0.356596505879564</v>
      </c>
    </row>
    <row r="2138" customFormat="false" ht="15" hidden="false" customHeight="false" outlineLevel="0" collapsed="false">
      <c r="A2138" s="16" t="n">
        <v>44145</v>
      </c>
      <c r="B2138" s="23" t="n">
        <f aca="false">YEAR(A2138)</f>
        <v>2020</v>
      </c>
      <c r="C2138" s="17" t="n">
        <v>15325.25</v>
      </c>
      <c r="D2138" s="23" t="n">
        <f aca="false">A2138-A2137</f>
        <v>1</v>
      </c>
      <c r="E2138" s="24" t="n">
        <f aca="false">LN(C2138)</f>
        <v>9.63725707388506</v>
      </c>
      <c r="F2138" s="25" t="n">
        <f aca="false">LN(C2138/C2137)</f>
        <v>-0.000594919328353506</v>
      </c>
      <c r="G2138" s="25" t="n">
        <f aca="false">IF(AND(D2138=1,A2138&gt;=$R$2),F2138,"")</f>
        <v>-0.000594919328353506</v>
      </c>
      <c r="H2138" s="27" t="n">
        <f aca="false">IF(G2138="","",G2138^2)</f>
        <v>3.53929007248587E-007</v>
      </c>
      <c r="I2138" s="25" t="n">
        <f aca="false">IF(G2138="","",C2138/C2137-1)</f>
        <v>-0.000594742398937864</v>
      </c>
      <c r="J2138" s="17" t="n">
        <f aca="false">AVERAGE(C1939:C2138)</f>
        <v>10556.98975</v>
      </c>
      <c r="K2138" s="17" t="n">
        <f aca="false">MAX(K2137,C2138)</f>
        <v>19650.01</v>
      </c>
      <c r="L2138" s="25" t="n">
        <f aca="false">C2138/K2138-1</f>
        <v>-0.220089455425213</v>
      </c>
      <c r="M2138" s="25" t="n">
        <f aca="false">IF(COUNT(G2109:G2138)&lt;20,"",_xlfn.STDEV.S(G2109:G2138)*SQRT($R$3))</f>
        <v>0.548352130579098</v>
      </c>
      <c r="N2138" s="25" t="n">
        <f aca="false">IF(A2138-7&lt;$R$2,"",C2138/INDEX(Clean_Data!$C$2:$C$4314,MATCH(A2138-7,Clean_Data!$A$2:$A$4314,1))-1)</f>
        <v>0.0907193221067586</v>
      </c>
      <c r="O2138" s="25" t="n">
        <f aca="false">IF(A2138-30&lt;$R$2,"",C2138/INDEX(Clean_Data!$C$2:$C$4314,MATCH(A2138-30,Clean_Data!$A$2:$A$4314,1))-1)</f>
        <v>0.347813850815051</v>
      </c>
    </row>
    <row r="2139" customFormat="false" ht="15" hidden="false" customHeight="false" outlineLevel="0" collapsed="false">
      <c r="A2139" s="16" t="n">
        <v>44146</v>
      </c>
      <c r="B2139" s="23" t="n">
        <f aca="false">YEAR(A2139)</f>
        <v>2020</v>
      </c>
      <c r="C2139" s="17" t="n">
        <v>15723.81</v>
      </c>
      <c r="D2139" s="23" t="n">
        <f aca="false">A2139-A2138</f>
        <v>1</v>
      </c>
      <c r="E2139" s="24" t="n">
        <f aca="false">LN(C2139)</f>
        <v>9.66293140302942</v>
      </c>
      <c r="F2139" s="25" t="n">
        <f aca="false">LN(C2139/C2138)</f>
        <v>0.025674329144361</v>
      </c>
      <c r="G2139" s="25" t="n">
        <f aca="false">IF(AND(D2139=1,A2139&gt;=$R$2),F2139,"")</f>
        <v>0.025674329144361</v>
      </c>
      <c r="H2139" s="27" t="n">
        <f aca="false">IF(G2139="","",G2139^2)</f>
        <v>0.000659171177012982</v>
      </c>
      <c r="I2139" s="25" t="n">
        <f aca="false">IF(G2139="","",C2139/C2138-1)</f>
        <v>0.0260067535603008</v>
      </c>
      <c r="J2139" s="17" t="n">
        <f aca="false">AVERAGE(C1940:C2139)</f>
        <v>10598.0356</v>
      </c>
      <c r="K2139" s="17" t="n">
        <f aca="false">MAX(K2138,C2139)</f>
        <v>19650.01</v>
      </c>
      <c r="L2139" s="25" t="n">
        <f aca="false">C2139/K2139-1</f>
        <v>-0.199806514093377</v>
      </c>
      <c r="M2139" s="25" t="n">
        <f aca="false">IF(COUNT(G2110:G2139)&lt;20,"",_xlfn.STDEV.S(G2110:G2139)*SQRT($R$3))</f>
        <v>0.550912340086896</v>
      </c>
      <c r="N2139" s="25" t="n">
        <f aca="false">IF(A2139-7&lt;$R$2,"",C2139/INDEX(Clean_Data!$C$2:$C$4314,MATCH(A2139-7,Clean_Data!$A$2:$A$4314,1))-1)</f>
        <v>0.110438559322034</v>
      </c>
      <c r="O2139" s="25" t="n">
        <f aca="false">IF(A2139-30&lt;$R$2,"",C2139/INDEX(Clean_Data!$C$2:$C$4314,MATCH(A2139-30,Clean_Data!$A$2:$A$4314,1))-1)</f>
        <v>0.363159231648841</v>
      </c>
    </row>
    <row r="2140" customFormat="false" ht="15" hidden="false" customHeight="false" outlineLevel="0" collapsed="false">
      <c r="A2140" s="16" t="n">
        <v>44147</v>
      </c>
      <c r="B2140" s="23" t="n">
        <f aca="false">YEAR(A2140)</f>
        <v>2020</v>
      </c>
      <c r="C2140" s="17" t="n">
        <v>16319.72</v>
      </c>
      <c r="D2140" s="23" t="n">
        <f aca="false">A2140-A2139</f>
        <v>1</v>
      </c>
      <c r="E2140" s="24" t="n">
        <f aca="false">LN(C2140)</f>
        <v>9.70012947150817</v>
      </c>
      <c r="F2140" s="25" t="n">
        <f aca="false">LN(C2140/C2139)</f>
        <v>0.0371980684787551</v>
      </c>
      <c r="G2140" s="25" t="n">
        <f aca="false">IF(AND(D2140=1,A2140&gt;=$R$2),F2140,"")</f>
        <v>0.0371980684787551</v>
      </c>
      <c r="H2140" s="27" t="n">
        <f aca="false">IF(G2140="","",G2140^2)</f>
        <v>0.00138369629855015</v>
      </c>
      <c r="I2140" s="25" t="n">
        <f aca="false">IF(G2140="","",C2140/C2139-1)</f>
        <v>0.0378985754724841</v>
      </c>
      <c r="J2140" s="17" t="n">
        <f aca="false">AVERAGE(C1941:C2140)</f>
        <v>10641.95575</v>
      </c>
      <c r="K2140" s="17" t="n">
        <f aca="false">MAX(K2139,C2140)</f>
        <v>19650.01</v>
      </c>
      <c r="L2140" s="25" t="n">
        <f aca="false">C2140/K2140-1</f>
        <v>-0.169480320875155</v>
      </c>
      <c r="M2140" s="25" t="n">
        <f aca="false">IF(COUNT(G2111:G2140)&lt;20,"",_xlfn.STDEV.S(G2111:G2140)*SQRT($R$3))</f>
        <v>0.554190529350228</v>
      </c>
      <c r="N2140" s="25" t="n">
        <f aca="false">IF(A2140-7&lt;$R$2,"",C2140/INDEX(Clean_Data!$C$2:$C$4314,MATCH(A2140-7,Clean_Data!$A$2:$A$4314,1))-1)</f>
        <v>0.0436872465881328</v>
      </c>
      <c r="O2140" s="25" t="n">
        <f aca="false">IF(A2140-30&lt;$R$2,"",C2140/INDEX(Clean_Data!$C$2:$C$4314,MATCH(A2140-30,Clean_Data!$A$2:$A$4314,1))-1)</f>
        <v>0.427252596559842</v>
      </c>
    </row>
    <row r="2141" customFormat="false" ht="15" hidden="false" customHeight="false" outlineLevel="0" collapsed="false">
      <c r="A2141" s="16" t="n">
        <v>44148</v>
      </c>
      <c r="B2141" s="23" t="n">
        <f aca="false">YEAR(A2141)</f>
        <v>2020</v>
      </c>
      <c r="C2141" s="17" t="n">
        <v>16339.59</v>
      </c>
      <c r="D2141" s="23" t="n">
        <f aca="false">A2141-A2140</f>
        <v>1</v>
      </c>
      <c r="E2141" s="24" t="n">
        <f aca="false">LN(C2141)</f>
        <v>9.70134627629992</v>
      </c>
      <c r="F2141" s="25" t="n">
        <f aca="false">LN(C2141/C2140)</f>
        <v>0.00121680479175161</v>
      </c>
      <c r="G2141" s="25" t="n">
        <f aca="false">IF(AND(D2141=1,A2141&gt;=$R$2),F2141,"")</f>
        <v>0.00121680479175161</v>
      </c>
      <c r="H2141" s="27" t="n">
        <f aca="false">IF(G2141="","",G2141^2)</f>
        <v>1.48061390122967E-006</v>
      </c>
      <c r="I2141" s="25" t="n">
        <f aca="false">IF(G2141="","",C2141/C2140-1)</f>
        <v>0.00121754539906327</v>
      </c>
      <c r="J2141" s="17" t="n">
        <f aca="false">AVERAGE(C1942:C2141)</f>
        <v>10684.82475</v>
      </c>
      <c r="K2141" s="17" t="n">
        <f aca="false">MAX(K2140,C2141)</f>
        <v>19650.01</v>
      </c>
      <c r="L2141" s="25" t="n">
        <f aca="false">C2141/K2141-1</f>
        <v>-0.168469125461005</v>
      </c>
      <c r="M2141" s="25" t="n">
        <f aca="false">IF(COUNT(G2112:G2141)&lt;20,"",_xlfn.STDEV.S(G2112:G2141)*SQRT($R$3))</f>
        <v>0.553696745140624</v>
      </c>
      <c r="N2141" s="25" t="n">
        <f aca="false">IF(A2141-7&lt;$R$2,"",C2141/INDEX(Clean_Data!$C$2:$C$4314,MATCH(A2141-7,Clean_Data!$A$2:$A$4314,1))-1)</f>
        <v>0.047656083193931</v>
      </c>
      <c r="O2141" s="25" t="n">
        <f aca="false">IF(A2141-30&lt;$R$2,"",C2141/INDEX(Clean_Data!$C$2:$C$4314,MATCH(A2141-30,Clean_Data!$A$2:$A$4314,1))-1)</f>
        <v>0.429927005382926</v>
      </c>
    </row>
    <row r="2142" customFormat="false" ht="15" hidden="false" customHeight="false" outlineLevel="0" collapsed="false">
      <c r="A2142" s="16" t="n">
        <v>44149</v>
      </c>
      <c r="B2142" s="23" t="n">
        <f aca="false">YEAR(A2142)</f>
        <v>2020</v>
      </c>
      <c r="C2142" s="17" t="n">
        <v>16093.3</v>
      </c>
      <c r="D2142" s="23" t="n">
        <f aca="false">A2142-A2141</f>
        <v>1</v>
      </c>
      <c r="E2142" s="24" t="n">
        <f aca="false">LN(C2142)</f>
        <v>9.68615831529018</v>
      </c>
      <c r="F2142" s="25" t="n">
        <f aca="false">LN(C2142/C2141)</f>
        <v>-0.0151879610097464</v>
      </c>
      <c r="G2142" s="25" t="n">
        <f aca="false">IF(AND(D2142=1,A2142&gt;=$R$2),F2142,"")</f>
        <v>-0.0151879610097464</v>
      </c>
      <c r="H2142" s="27" t="n">
        <f aca="false">IF(G2142="","",G2142^2)</f>
        <v>0.000230674159633578</v>
      </c>
      <c r="I2142" s="25" t="n">
        <f aca="false">IF(G2142="","",C2142/C2141-1)</f>
        <v>-0.0150732056312307</v>
      </c>
      <c r="J2142" s="17" t="n">
        <f aca="false">AVERAGE(C1943:C2142)</f>
        <v>10726.42625</v>
      </c>
      <c r="K2142" s="17" t="n">
        <f aca="false">MAX(K2141,C2142)</f>
        <v>19650.01</v>
      </c>
      <c r="L2142" s="25" t="n">
        <f aca="false">C2142/K2142-1</f>
        <v>-0.181002961321648</v>
      </c>
      <c r="M2142" s="25" t="n">
        <f aca="false">IF(COUNT(G2113:G2142)&lt;20,"",_xlfn.STDEV.S(G2113:G2142)*SQRT($R$3))</f>
        <v>0.561548797291566</v>
      </c>
      <c r="N2142" s="25" t="n">
        <f aca="false">IF(A2142-7&lt;$R$2,"",C2142/INDEX(Clean_Data!$C$2:$C$4314,MATCH(A2142-7,Clean_Data!$A$2:$A$4314,1))-1)</f>
        <v>0.0863120350032602</v>
      </c>
      <c r="O2142" s="25" t="n">
        <f aca="false">IF(A2142-30&lt;$R$2,"",C2142/INDEX(Clean_Data!$C$2:$C$4314,MATCH(A2142-30,Clean_Data!$A$2:$A$4314,1))-1)</f>
        <v>0.398292677628864</v>
      </c>
    </row>
    <row r="2143" customFormat="false" ht="15" hidden="false" customHeight="false" outlineLevel="0" collapsed="false">
      <c r="A2143" s="16" t="n">
        <v>44150</v>
      </c>
      <c r="B2143" s="23" t="n">
        <f aca="false">YEAR(A2143)</f>
        <v>2020</v>
      </c>
      <c r="C2143" s="17" t="n">
        <v>15946.64</v>
      </c>
      <c r="D2143" s="23" t="n">
        <f aca="false">A2143-A2142</f>
        <v>1</v>
      </c>
      <c r="E2143" s="24" t="n">
        <f aca="false">LN(C2143)</f>
        <v>9.6770034277142</v>
      </c>
      <c r="F2143" s="25" t="n">
        <f aca="false">LN(C2143/C2142)</f>
        <v>-0.00915488757597464</v>
      </c>
      <c r="G2143" s="25" t="n">
        <f aca="false">IF(AND(D2143=1,A2143&gt;=$R$2),F2143,"")</f>
        <v>-0.00915488757597464</v>
      </c>
      <c r="H2143" s="27" t="n">
        <f aca="false">IF(G2143="","",G2143^2)</f>
        <v>8.38119665287349E-005</v>
      </c>
      <c r="I2143" s="25" t="n">
        <f aca="false">IF(G2143="","",C2143/C2142-1)</f>
        <v>-0.00911310918208197</v>
      </c>
      <c r="J2143" s="17" t="n">
        <f aca="false">AVERAGE(C1944:C2143)</f>
        <v>10767.2875</v>
      </c>
      <c r="K2143" s="17" t="n">
        <f aca="false">MAX(K2142,C2143)</f>
        <v>19650.01</v>
      </c>
      <c r="L2143" s="25" t="n">
        <f aca="false">C2143/K2143-1</f>
        <v>-0.188466570754926</v>
      </c>
      <c r="M2143" s="25" t="n">
        <f aca="false">IF(COUNT(G2114:G2143)&lt;20,"",_xlfn.STDEV.S(G2114:G2143)*SQRT($R$3))</f>
        <v>0.558025180059764</v>
      </c>
      <c r="N2143" s="25" t="n">
        <f aca="false">IF(A2143-7&lt;$R$2,"",C2143/INDEX(Clean_Data!$C$2:$C$4314,MATCH(A2143-7,Clean_Data!$A$2:$A$4314,1))-1)</f>
        <v>0.0296205807379706</v>
      </c>
      <c r="O2143" s="25" t="n">
        <f aca="false">IF(A2143-30&lt;$R$2,"",C2143/INDEX(Clean_Data!$C$2:$C$4314,MATCH(A2143-30,Clean_Data!$A$2:$A$4314,1))-1)</f>
        <v>0.407553668222216</v>
      </c>
    </row>
    <row r="2144" customFormat="false" ht="15" hidden="false" customHeight="false" outlineLevel="0" collapsed="false">
      <c r="A2144" s="16" t="n">
        <v>44151</v>
      </c>
      <c r="B2144" s="23" t="n">
        <f aca="false">YEAR(A2144)</f>
        <v>2020</v>
      </c>
      <c r="C2144" s="17" t="n">
        <v>16714.58</v>
      </c>
      <c r="D2144" s="23" t="n">
        <f aca="false">A2144-A2143</f>
        <v>1</v>
      </c>
      <c r="E2144" s="24" t="n">
        <f aca="false">LN(C2144)</f>
        <v>9.72403667140719</v>
      </c>
      <c r="F2144" s="25" t="n">
        <f aca="false">LN(C2144/C2143)</f>
        <v>0.0470332436929856</v>
      </c>
      <c r="G2144" s="25" t="n">
        <f aca="false">IF(AND(D2144=1,A2144&gt;=$R$2),F2144,"")</f>
        <v>0.0470332436929856</v>
      </c>
      <c r="H2144" s="27" t="n">
        <f aca="false">IF(G2144="","",G2144^2)</f>
        <v>0.00221212601228377</v>
      </c>
      <c r="I2144" s="25" t="n">
        <f aca="false">IF(G2144="","",C2144/C2143-1)</f>
        <v>0.0481568531051058</v>
      </c>
      <c r="J2144" s="17" t="n">
        <f aca="false">AVERAGE(C1945:C2144)</f>
        <v>10806.9149</v>
      </c>
      <c r="K2144" s="17" t="n">
        <f aca="false">MAX(K2143,C2144)</f>
        <v>19650.01</v>
      </c>
      <c r="L2144" s="25" t="n">
        <f aca="false">C2144/K2144-1</f>
        <v>-0.149385674612888</v>
      </c>
      <c r="M2144" s="25" t="n">
        <f aca="false">IF(COUNT(G2115:G2144)&lt;20,"",_xlfn.STDEV.S(G2115:G2144)*SQRT($R$3))</f>
        <v>0.570730208717038</v>
      </c>
      <c r="N2144" s="25" t="n">
        <f aca="false">IF(A2144-7&lt;$R$2,"",C2144/INDEX(Clean_Data!$C$2:$C$4314,MATCH(A2144-7,Clean_Data!$A$2:$A$4314,1))-1)</f>
        <v>0.0900076103550391</v>
      </c>
      <c r="O2144" s="25" t="n">
        <f aca="false">IF(A2144-30&lt;$R$2,"",C2144/INDEX(Clean_Data!$C$2:$C$4314,MATCH(A2144-30,Clean_Data!$A$2:$A$4314,1))-1)</f>
        <v>0.470582335324073</v>
      </c>
    </row>
    <row r="2145" customFormat="false" ht="15" hidden="false" customHeight="false" outlineLevel="0" collapsed="false">
      <c r="A2145" s="16" t="n">
        <v>44152</v>
      </c>
      <c r="B2145" s="23" t="n">
        <f aca="false">YEAR(A2145)</f>
        <v>2020</v>
      </c>
      <c r="C2145" s="17" t="n">
        <v>17660.9</v>
      </c>
      <c r="D2145" s="23" t="n">
        <f aca="false">A2145-A2144</f>
        <v>1</v>
      </c>
      <c r="E2145" s="24" t="n">
        <f aca="false">LN(C2145)</f>
        <v>9.77910843548681</v>
      </c>
      <c r="F2145" s="25" t="n">
        <f aca="false">LN(C2145/C2144)</f>
        <v>0.0550717640796187</v>
      </c>
      <c r="G2145" s="25" t="n">
        <f aca="false">IF(AND(D2145=1,A2145&gt;=$R$2),F2145,"")</f>
        <v>0.0550717640796187</v>
      </c>
      <c r="H2145" s="27" t="n">
        <f aca="false">IF(G2145="","",G2145^2)</f>
        <v>0.00303289919884118</v>
      </c>
      <c r="I2145" s="25" t="n">
        <f aca="false">IF(G2145="","",C2145/C2144-1)</f>
        <v>0.0566164390609873</v>
      </c>
      <c r="J2145" s="17" t="n">
        <f aca="false">AVERAGE(C1946:C2145)</f>
        <v>10851.9579</v>
      </c>
      <c r="K2145" s="17" t="n">
        <f aca="false">MAX(K2144,C2145)</f>
        <v>19650.01</v>
      </c>
      <c r="L2145" s="25" t="n">
        <f aca="false">C2145/K2145-1</f>
        <v>-0.101226920495206</v>
      </c>
      <c r="M2145" s="25" t="n">
        <f aca="false">IF(COUNT(G2116:G2145)&lt;20,"",_xlfn.STDEV.S(G2116:G2145)*SQRT($R$3))</f>
        <v>0.589428924102068</v>
      </c>
      <c r="N2145" s="25" t="n">
        <f aca="false">IF(A2145-7&lt;$R$2,"",C2145/INDEX(Clean_Data!$C$2:$C$4314,MATCH(A2145-7,Clean_Data!$A$2:$A$4314,1))-1)</f>
        <v>0.15240534412163</v>
      </c>
      <c r="O2145" s="25" t="n">
        <f aca="false">IF(A2145-30&lt;$R$2,"",C2145/INDEX(Clean_Data!$C$2:$C$4314,MATCH(A2145-30,Clean_Data!$A$2:$A$4314,1))-1)</f>
        <v>0.533522162868079</v>
      </c>
    </row>
    <row r="2146" customFormat="false" ht="15" hidden="false" customHeight="false" outlineLevel="0" collapsed="false">
      <c r="A2146" s="16" t="n">
        <v>44153</v>
      </c>
      <c r="B2146" s="23" t="n">
        <f aca="false">YEAR(A2146)</f>
        <v>2020</v>
      </c>
      <c r="C2146" s="17" t="n">
        <v>17802.82</v>
      </c>
      <c r="D2146" s="23" t="n">
        <f aca="false">A2146-A2145</f>
        <v>1</v>
      </c>
      <c r="E2146" s="24" t="n">
        <f aca="false">LN(C2146)</f>
        <v>9.78711215069824</v>
      </c>
      <c r="F2146" s="25" t="n">
        <f aca="false">LN(C2146/C2145)</f>
        <v>0.00800371521143509</v>
      </c>
      <c r="G2146" s="25" t="n">
        <f aca="false">IF(AND(D2146=1,A2146&gt;=$R$2),F2146,"")</f>
        <v>0.00800371521143509</v>
      </c>
      <c r="H2146" s="27" t="n">
        <f aca="false">IF(G2146="","",G2146^2)</f>
        <v>6.40594571857575E-005</v>
      </c>
      <c r="I2146" s="25" t="n">
        <f aca="false">IF(G2146="","",C2146/C2145-1)</f>
        <v>0.00803583056356128</v>
      </c>
      <c r="J2146" s="17" t="n">
        <f aca="false">AVERAGE(C1947:C2146)</f>
        <v>10896.9025</v>
      </c>
      <c r="K2146" s="17" t="n">
        <f aca="false">MAX(K2145,C2146)</f>
        <v>19650.01</v>
      </c>
      <c r="L2146" s="25" t="n">
        <f aca="false">C2146/K2146-1</f>
        <v>-0.094004532313215</v>
      </c>
      <c r="M2146" s="25" t="n">
        <f aca="false">IF(COUNT(G2117:G2146)&lt;20,"",_xlfn.STDEV.S(G2117:G2146)*SQRT($R$3))</f>
        <v>0.589244384571645</v>
      </c>
      <c r="N2146" s="25" t="n">
        <f aca="false">IF(A2146-7&lt;$R$2,"",C2146/INDEX(Clean_Data!$C$2:$C$4314,MATCH(A2146-7,Clean_Data!$A$2:$A$4314,1))-1)</f>
        <v>0.132220498721366</v>
      </c>
      <c r="O2146" s="25" t="n">
        <f aca="false">IF(A2146-30&lt;$R$2,"",C2146/INDEX(Clean_Data!$C$2:$C$4314,MATCH(A2146-30,Clean_Data!$A$2:$A$4314,1))-1)</f>
        <v>0.51319029433689</v>
      </c>
    </row>
    <row r="2147" customFormat="false" ht="15" hidden="false" customHeight="false" outlineLevel="0" collapsed="false">
      <c r="A2147" s="16" t="n">
        <v>44154</v>
      </c>
      <c r="B2147" s="23" t="n">
        <f aca="false">YEAR(A2147)</f>
        <v>2020</v>
      </c>
      <c r="C2147" s="17" t="n">
        <v>17804.44</v>
      </c>
      <c r="D2147" s="23" t="n">
        <f aca="false">A2147-A2146</f>
        <v>1</v>
      </c>
      <c r="E2147" s="24" t="n">
        <f aca="false">LN(C2147)</f>
        <v>9.78720314337789</v>
      </c>
      <c r="F2147" s="25" t="n">
        <f aca="false">LN(C2147/C2146)</f>
        <v>9.09926796455626E-005</v>
      </c>
      <c r="G2147" s="25" t="n">
        <f aca="false">IF(AND(D2147=1,A2147&gt;=$R$2),F2147,"")</f>
        <v>9.09926796455626E-005</v>
      </c>
      <c r="H2147" s="27" t="n">
        <f aca="false">IF(G2147="","",G2147^2)</f>
        <v>8.27966774907998E-009</v>
      </c>
      <c r="I2147" s="25" t="n">
        <f aca="false">IF(G2147="","",C2147/C2146-1)</f>
        <v>9.09968196050048E-005</v>
      </c>
      <c r="J2147" s="17" t="n">
        <f aca="false">AVERAGE(C1948:C2147)</f>
        <v>10940.9647</v>
      </c>
      <c r="K2147" s="17" t="n">
        <f aca="false">MAX(K2146,C2147)</f>
        <v>19650.01</v>
      </c>
      <c r="L2147" s="25" t="n">
        <f aca="false">C2147/K2147-1</f>
        <v>-0.093922089607079</v>
      </c>
      <c r="M2147" s="25" t="n">
        <f aca="false">IF(COUNT(G2118:G2147)&lt;20,"",_xlfn.STDEV.S(G2118:G2147)*SQRT($R$3))</f>
        <v>0.591182849463721</v>
      </c>
      <c r="N2147" s="25" t="n">
        <f aca="false">IF(A2147-7&lt;$R$2,"",C2147/INDEX(Clean_Data!$C$2:$C$4314,MATCH(A2147-7,Clean_Data!$A$2:$A$4314,1))-1)</f>
        <v>0.0909770510768566</v>
      </c>
      <c r="O2147" s="25" t="n">
        <f aca="false">IF(A2147-30&lt;$R$2,"",C2147/INDEX(Clean_Data!$C$2:$C$4314,MATCH(A2147-30,Clean_Data!$A$2:$A$4314,1))-1)</f>
        <v>0.49399446520784</v>
      </c>
    </row>
    <row r="2148" customFormat="false" ht="15" hidden="false" customHeight="false" outlineLevel="0" collapsed="false">
      <c r="A2148" s="16" t="n">
        <v>44155</v>
      </c>
      <c r="B2148" s="23" t="n">
        <f aca="false">YEAR(A2148)</f>
        <v>2020</v>
      </c>
      <c r="C2148" s="17" t="n">
        <v>18702.87</v>
      </c>
      <c r="D2148" s="23" t="n">
        <f aca="false">A2148-A2147</f>
        <v>1</v>
      </c>
      <c r="E2148" s="24" t="n">
        <f aca="false">LN(C2148)</f>
        <v>9.83643226700228</v>
      </c>
      <c r="F2148" s="25" t="n">
        <f aca="false">LN(C2148/C2147)</f>
        <v>0.0492291236243927</v>
      </c>
      <c r="G2148" s="25" t="n">
        <f aca="false">IF(AND(D2148=1,A2148&gt;=$R$2),F2148,"")</f>
        <v>0.0492291236243927</v>
      </c>
      <c r="H2148" s="27" t="n">
        <f aca="false">IF(G2148="","",G2148^2)</f>
        <v>0.00242350661282574</v>
      </c>
      <c r="I2148" s="25" t="n">
        <f aca="false">IF(G2148="","",C2148/C2147-1)</f>
        <v>0.0504610086023487</v>
      </c>
      <c r="J2148" s="17" t="n">
        <f aca="false">AVERAGE(C1949:C2148)</f>
        <v>10989.8909</v>
      </c>
      <c r="K2148" s="17" t="n">
        <f aca="false">MAX(K2147,C2148)</f>
        <v>19650.01</v>
      </c>
      <c r="L2148" s="25" t="n">
        <f aca="false">C2148/K2148-1</f>
        <v>-0.0482004843763438</v>
      </c>
      <c r="M2148" s="25" t="n">
        <f aca="false">IF(COUNT(G2119:G2148)&lt;20,"",_xlfn.STDEV.S(G2119:G2148)*SQRT($R$3))</f>
        <v>0.564551063587223</v>
      </c>
      <c r="N2148" s="25" t="n">
        <f aca="false">IF(A2148-7&lt;$R$2,"",C2148/INDEX(Clean_Data!$C$2:$C$4314,MATCH(A2148-7,Clean_Data!$A$2:$A$4314,1))-1)</f>
        <v>0.144635208104977</v>
      </c>
      <c r="O2148" s="25" t="n">
        <f aca="false">IF(A2148-30&lt;$R$2,"",C2148/INDEX(Clean_Data!$C$2:$C$4314,MATCH(A2148-30,Clean_Data!$A$2:$A$4314,1))-1)</f>
        <v>0.457021728105375</v>
      </c>
    </row>
    <row r="2149" customFormat="false" ht="15" hidden="false" customHeight="false" outlineLevel="0" collapsed="false">
      <c r="A2149" s="16" t="n">
        <v>44156</v>
      </c>
      <c r="B2149" s="23" t="n">
        <f aca="false">YEAR(A2149)</f>
        <v>2020</v>
      </c>
      <c r="C2149" s="17" t="n">
        <v>18710.14</v>
      </c>
      <c r="D2149" s="23" t="n">
        <f aca="false">A2149-A2148</f>
        <v>1</v>
      </c>
      <c r="E2149" s="24" t="n">
        <f aca="false">LN(C2149)</f>
        <v>9.83682090186975</v>
      </c>
      <c r="F2149" s="25" t="n">
        <f aca="false">LN(C2149/C2148)</f>
        <v>0.000388634867470151</v>
      </c>
      <c r="G2149" s="25" t="n">
        <f aca="false">IF(AND(D2149=1,A2149&gt;=$R$2),F2149,"")</f>
        <v>0.000388634867470151</v>
      </c>
      <c r="H2149" s="27" t="n">
        <f aca="false">IF(G2149="","",G2149^2)</f>
        <v>1.51037060213542E-007</v>
      </c>
      <c r="I2149" s="25" t="n">
        <f aca="false">IF(G2149="","",C2149/C2148-1)</f>
        <v>0.000388710395784253</v>
      </c>
      <c r="J2149" s="17" t="n">
        <f aca="false">AVERAGE(C1950:C2149)</f>
        <v>11038.94015</v>
      </c>
      <c r="K2149" s="17" t="n">
        <f aca="false">MAX(K2148,C2149)</f>
        <v>19650.01</v>
      </c>
      <c r="L2149" s="25" t="n">
        <f aca="false">C2149/K2149-1</f>
        <v>-0.0478305100099186</v>
      </c>
      <c r="M2149" s="25" t="n">
        <f aca="false">IF(COUNT(G2120:G2149)&lt;20,"",_xlfn.STDEV.S(G2120:G2149)*SQRT($R$3))</f>
        <v>0.566125213121281</v>
      </c>
      <c r="N2149" s="25" t="n">
        <f aca="false">IF(A2149-7&lt;$R$2,"",C2149/INDEX(Clean_Data!$C$2:$C$4314,MATCH(A2149-7,Clean_Data!$A$2:$A$4314,1))-1)</f>
        <v>0.162604313596341</v>
      </c>
      <c r="O2149" s="25" t="n">
        <f aca="false">IF(A2149-30&lt;$R$2,"",C2149/INDEX(Clean_Data!$C$2:$C$4314,MATCH(A2149-30,Clean_Data!$A$2:$A$4314,1))-1)</f>
        <v>0.441790179871804</v>
      </c>
    </row>
    <row r="2150" customFormat="false" ht="15" hidden="false" customHeight="false" outlineLevel="0" collapsed="false">
      <c r="A2150" s="16" t="n">
        <v>44157</v>
      </c>
      <c r="B2150" s="23" t="n">
        <f aca="false">YEAR(A2150)</f>
        <v>2020</v>
      </c>
      <c r="C2150" s="17" t="n">
        <v>18477.48</v>
      </c>
      <c r="D2150" s="23" t="n">
        <f aca="false">A2150-A2149</f>
        <v>1</v>
      </c>
      <c r="E2150" s="24" t="n">
        <f aca="false">LN(C2150)</f>
        <v>9.82430797226095</v>
      </c>
      <c r="F2150" s="25" t="n">
        <f aca="false">LN(C2150/C2149)</f>
        <v>-0.0125129296088048</v>
      </c>
      <c r="G2150" s="25" t="n">
        <f aca="false">IF(AND(D2150=1,A2150&gt;=$R$2),F2150,"")</f>
        <v>-0.0125129296088048</v>
      </c>
      <c r="H2150" s="27" t="n">
        <f aca="false">IF(G2150="","",G2150^2)</f>
        <v>0.000156573407394904</v>
      </c>
      <c r="I2150" s="25" t="n">
        <f aca="false">IF(G2150="","",C2150/C2149-1)</f>
        <v>-0.0124349684181946</v>
      </c>
      <c r="J2150" s="17" t="n">
        <f aca="false">AVERAGE(C1951:C2150)</f>
        <v>11086.1391</v>
      </c>
      <c r="K2150" s="17" t="n">
        <f aca="false">MAX(K2149,C2150)</f>
        <v>19650.01</v>
      </c>
      <c r="L2150" s="25" t="n">
        <f aca="false">C2150/K2150-1</f>
        <v>-0.0596707075467137</v>
      </c>
      <c r="M2150" s="25" t="n">
        <f aca="false">IF(COUNT(G2121:G2150)&lt;20,"",_xlfn.STDEV.S(G2121:G2150)*SQRT($R$3))</f>
        <v>0.57041843377801</v>
      </c>
      <c r="N2150" s="25" t="n">
        <f aca="false">IF(A2150-7&lt;$R$2,"",C2150/INDEX(Clean_Data!$C$2:$C$4314,MATCH(A2150-7,Clean_Data!$A$2:$A$4314,1))-1)</f>
        <v>0.158706787135096</v>
      </c>
      <c r="O2150" s="25" t="n">
        <f aca="false">IF(A2150-30&lt;$R$2,"",C2150/INDEX(Clean_Data!$C$2:$C$4314,MATCH(A2150-30,Clean_Data!$A$2:$A$4314,1))-1)</f>
        <v>0.427600801357951</v>
      </c>
    </row>
    <row r="2151" customFormat="false" ht="15" hidden="false" customHeight="false" outlineLevel="0" collapsed="false">
      <c r="A2151" s="16" t="n">
        <v>44158</v>
      </c>
      <c r="B2151" s="23" t="n">
        <f aca="false">YEAR(A2151)</f>
        <v>2020</v>
      </c>
      <c r="C2151" s="17" t="n">
        <v>18391.21</v>
      </c>
      <c r="D2151" s="23" t="n">
        <f aca="false">A2151-A2150</f>
        <v>1</v>
      </c>
      <c r="E2151" s="24" t="n">
        <f aca="false">LN(C2151)</f>
        <v>9.81962811206247</v>
      </c>
      <c r="F2151" s="25" t="n">
        <f aca="false">LN(C2151/C2150)</f>
        <v>-0.00467986019847953</v>
      </c>
      <c r="G2151" s="25" t="n">
        <f aca="false">IF(AND(D2151=1,A2151&gt;=$R$2),F2151,"")</f>
        <v>-0.00467986019847953</v>
      </c>
      <c r="H2151" s="27" t="n">
        <f aca="false">IF(G2151="","",G2151^2)</f>
        <v>2.19010914773129E-005</v>
      </c>
      <c r="I2151" s="25" t="n">
        <f aca="false">IF(G2151="","",C2151/C2150-1)</f>
        <v>-0.00466892671511487</v>
      </c>
      <c r="J2151" s="17" t="n">
        <f aca="false">AVERAGE(C1952:C2151)</f>
        <v>11132.43395</v>
      </c>
      <c r="K2151" s="17" t="n">
        <f aca="false">MAX(K2150,C2151)</f>
        <v>19650.01</v>
      </c>
      <c r="L2151" s="25" t="n">
        <f aca="false">C2151/K2151-1</f>
        <v>-0.0640610361012539</v>
      </c>
      <c r="M2151" s="25" t="n">
        <f aca="false">IF(COUNT(G2122:G2151)&lt;20,"",_xlfn.STDEV.S(G2122:G2151)*SQRT($R$3))</f>
        <v>0.573273301070718</v>
      </c>
      <c r="N2151" s="25" t="n">
        <f aca="false">IF(A2151-7&lt;$R$2,"",C2151/INDEX(Clean_Data!$C$2:$C$4314,MATCH(A2151-7,Clean_Data!$A$2:$A$4314,1))-1)</f>
        <v>0.100309430449344</v>
      </c>
      <c r="O2151" s="25" t="n">
        <f aca="false">IF(A2151-30&lt;$R$2,"",C2151/INDEX(Clean_Data!$C$2:$C$4314,MATCH(A2151-30,Clean_Data!$A$2:$A$4314,1))-1)</f>
        <v>0.401676108367814</v>
      </c>
    </row>
    <row r="2152" customFormat="false" ht="15" hidden="false" customHeight="false" outlineLevel="0" collapsed="false">
      <c r="A2152" s="16" t="n">
        <v>44159</v>
      </c>
      <c r="B2152" s="23" t="n">
        <f aca="false">YEAR(A2152)</f>
        <v>2020</v>
      </c>
      <c r="C2152" s="17" t="n">
        <v>19185.07</v>
      </c>
      <c r="D2152" s="23" t="n">
        <f aca="false">A2152-A2151</f>
        <v>1</v>
      </c>
      <c r="E2152" s="24" t="n">
        <f aca="false">LN(C2152)</f>
        <v>9.86188765135827</v>
      </c>
      <c r="F2152" s="25" t="n">
        <f aca="false">LN(C2152/C2151)</f>
        <v>0.0422595392957978</v>
      </c>
      <c r="G2152" s="25" t="n">
        <f aca="false">IF(AND(D2152=1,A2152&gt;=$R$2),F2152,"")</f>
        <v>0.0422595392957978</v>
      </c>
      <c r="H2152" s="27" t="n">
        <f aca="false">IF(G2152="","",G2152^2)</f>
        <v>0.00178586866149308</v>
      </c>
      <c r="I2152" s="25" t="n">
        <f aca="false">IF(G2152="","",C2152/C2151-1)</f>
        <v>0.0431651859774316</v>
      </c>
      <c r="J2152" s="17" t="n">
        <f aca="false">AVERAGE(C1953:C2152)</f>
        <v>11178.3215</v>
      </c>
      <c r="K2152" s="17" t="n">
        <f aca="false">MAX(K2151,C2152)</f>
        <v>19650.01</v>
      </c>
      <c r="L2152" s="25" t="n">
        <f aca="false">C2152/K2152-1</f>
        <v>-0.0236610566610398</v>
      </c>
      <c r="M2152" s="25" t="n">
        <f aca="false">IF(COUNT(G2123:G2152)&lt;20,"",_xlfn.STDEV.S(G2123:G2152)*SQRT($R$3))</f>
        <v>0.57991388518004</v>
      </c>
      <c r="N2152" s="25" t="n">
        <f aca="false">IF(A2152-7&lt;$R$2,"",C2152/INDEX(Clean_Data!$C$2:$C$4314,MATCH(A2152-7,Clean_Data!$A$2:$A$4314,1))-1)</f>
        <v>0.0863019438420465</v>
      </c>
      <c r="O2152" s="25" t="n">
        <f aca="false">IF(A2152-30&lt;$R$2,"",C2152/INDEX(Clean_Data!$C$2:$C$4314,MATCH(A2152-30,Clean_Data!$A$2:$A$4314,1))-1)</f>
        <v>0.47008425847029</v>
      </c>
    </row>
    <row r="2153" customFormat="false" ht="15" hidden="false" customHeight="false" outlineLevel="0" collapsed="false">
      <c r="A2153" s="16" t="n">
        <v>44160</v>
      </c>
      <c r="B2153" s="23" t="n">
        <f aca="false">YEAR(A2153)</f>
        <v>2020</v>
      </c>
      <c r="C2153" s="17" t="n">
        <v>18706.15</v>
      </c>
      <c r="D2153" s="23" t="n">
        <f aca="false">A2153-A2152</f>
        <v>1</v>
      </c>
      <c r="E2153" s="24" t="n">
        <f aca="false">LN(C2153)</f>
        <v>9.83660762577984</v>
      </c>
      <c r="F2153" s="25" t="n">
        <f aca="false">LN(C2153/C2152)</f>
        <v>-0.0252800255784264</v>
      </c>
      <c r="G2153" s="25" t="n">
        <f aca="false">IF(AND(D2153=1,A2153&gt;=$R$2),F2153,"")</f>
        <v>-0.0252800255784264</v>
      </c>
      <c r="H2153" s="27" t="n">
        <f aca="false">IF(G2153="","",G2153^2)</f>
        <v>0.000639079693245891</v>
      </c>
      <c r="I2153" s="25" t="n">
        <f aca="false">IF(G2153="","",C2153/C2152-1)</f>
        <v>-0.0249631614583631</v>
      </c>
      <c r="J2153" s="17" t="n">
        <f aca="false">AVERAGE(C1954:C2153)</f>
        <v>11222.9011</v>
      </c>
      <c r="K2153" s="17" t="n">
        <f aca="false">MAX(K2152,C2153)</f>
        <v>19650.01</v>
      </c>
      <c r="L2153" s="25" t="n">
        <f aca="false">C2153/K2153-1</f>
        <v>-0.0480335633416978</v>
      </c>
      <c r="M2153" s="25" t="n">
        <f aca="false">IF(COUNT(G2124:G2153)&lt;20,"",_xlfn.STDEV.S(G2124:G2153)*SQRT($R$3))</f>
        <v>0.593913583920081</v>
      </c>
      <c r="N2153" s="25" t="n">
        <f aca="false">IF(A2153-7&lt;$R$2,"",C2153/INDEX(Clean_Data!$C$2:$C$4314,MATCH(A2153-7,Clean_Data!$A$2:$A$4314,1))-1)</f>
        <v>0.0507408376875125</v>
      </c>
      <c r="O2153" s="25" t="n">
        <f aca="false">IF(A2153-30&lt;$R$2,"",C2153/INDEX(Clean_Data!$C$2:$C$4314,MATCH(A2153-30,Clean_Data!$A$2:$A$4314,1))-1)</f>
        <v>0.430905036736161</v>
      </c>
    </row>
    <row r="2154" customFormat="false" ht="15" hidden="false" customHeight="false" outlineLevel="0" collapsed="false">
      <c r="A2154" s="16" t="n">
        <v>44161</v>
      </c>
      <c r="B2154" s="23" t="n">
        <f aca="false">YEAR(A2154)</f>
        <v>2020</v>
      </c>
      <c r="C2154" s="17" t="n">
        <v>17173</v>
      </c>
      <c r="D2154" s="23" t="n">
        <f aca="false">A2154-A2153</f>
        <v>1</v>
      </c>
      <c r="E2154" s="24" t="n">
        <f aca="false">LN(C2154)</f>
        <v>9.75109366198386</v>
      </c>
      <c r="F2154" s="25" t="n">
        <f aca="false">LN(C2154/C2153)</f>
        <v>-0.0855139637959755</v>
      </c>
      <c r="G2154" s="25" t="n">
        <f aca="false">IF(AND(D2154=1,A2154&gt;=$R$2),F2154,"")</f>
        <v>-0.0855139637959755</v>
      </c>
      <c r="H2154" s="27" t="n">
        <f aca="false">IF(G2154="","",G2154^2)</f>
        <v>0.00731263800409941</v>
      </c>
      <c r="I2154" s="25" t="n">
        <f aca="false">IF(G2154="","",C2154/C2153-1)</f>
        <v>-0.0819596763631213</v>
      </c>
      <c r="J2154" s="17" t="n">
        <f aca="false">AVERAGE(C1955:C2154)</f>
        <v>11260.99155</v>
      </c>
      <c r="K2154" s="17" t="n">
        <f aca="false">MAX(K2153,C2154)</f>
        <v>19650.01</v>
      </c>
      <c r="L2154" s="25" t="n">
        <f aca="false">C2154/K2154-1</f>
        <v>-0.126056424398766</v>
      </c>
      <c r="M2154" s="25" t="n">
        <f aca="false">IF(COUNT(G2125:G2154)&lt;20,"",_xlfn.STDEV.S(G2125:G2154)*SQRT($R$3))</f>
        <v>0.670612565495874</v>
      </c>
      <c r="N2154" s="25" t="n">
        <f aca="false">IF(A2154-7&lt;$R$2,"",C2154/INDEX(Clean_Data!$C$2:$C$4314,MATCH(A2154-7,Clean_Data!$A$2:$A$4314,1))-1)</f>
        <v>-0.0354653108999777</v>
      </c>
      <c r="O2154" s="25" t="n">
        <f aca="false">IF(A2154-30&lt;$R$2,"",C2154/INDEX(Clean_Data!$C$2:$C$4314,MATCH(A2154-30,Clean_Data!$A$2:$A$4314,1))-1)</f>
        <v>0.253670195602628</v>
      </c>
    </row>
    <row r="2155" customFormat="false" ht="15" hidden="false" customHeight="false" outlineLevel="0" collapsed="false">
      <c r="A2155" s="16" t="n">
        <v>44162</v>
      </c>
      <c r="B2155" s="23" t="n">
        <f aca="false">YEAR(A2155)</f>
        <v>2020</v>
      </c>
      <c r="C2155" s="17" t="n">
        <v>17156.99</v>
      </c>
      <c r="D2155" s="23" t="n">
        <f aca="false">A2155-A2154</f>
        <v>1</v>
      </c>
      <c r="E2155" s="24" t="n">
        <f aca="false">LN(C2155)</f>
        <v>9.75016094973078</v>
      </c>
      <c r="F2155" s="25" t="n">
        <f aca="false">LN(C2155/C2154)</f>
        <v>-0.000932712253086016</v>
      </c>
      <c r="G2155" s="25" t="n">
        <f aca="false">IF(AND(D2155=1,A2155&gt;=$R$2),F2155,"")</f>
        <v>-0.000932712253086016</v>
      </c>
      <c r="H2155" s="27" t="n">
        <f aca="false">IF(G2155="","",G2155^2)</f>
        <v>8.69952147056793E-007</v>
      </c>
      <c r="I2155" s="25" t="n">
        <f aca="false">IF(G2155="","",C2155/C2154-1)</f>
        <v>-0.000932277412216798</v>
      </c>
      <c r="J2155" s="17" t="n">
        <f aca="false">AVERAGE(C1956:C2155)</f>
        <v>11302.90705</v>
      </c>
      <c r="K2155" s="17" t="n">
        <f aca="false">MAX(K2154,C2155)</f>
        <v>19650.01</v>
      </c>
      <c r="L2155" s="25" t="n">
        <f aca="false">C2155/K2155-1</f>
        <v>-0.126871182253851</v>
      </c>
      <c r="M2155" s="25" t="n">
        <f aca="false">IF(COUNT(G2126:G2155)&lt;20,"",_xlfn.STDEV.S(G2126:G2155)*SQRT($R$3))</f>
        <v>0.656924723637924</v>
      </c>
      <c r="N2155" s="25" t="n">
        <f aca="false">IF(A2155-7&lt;$R$2,"",C2155/INDEX(Clean_Data!$C$2:$C$4314,MATCH(A2155-7,Clean_Data!$A$2:$A$4314,1))-1)</f>
        <v>-0.0826546941726055</v>
      </c>
      <c r="O2155" s="25" t="n">
        <f aca="false">IF(A2155-30&lt;$R$2,"",C2155/INDEX(Clean_Data!$C$2:$C$4314,MATCH(A2155-30,Clean_Data!$A$2:$A$4314,1))-1)</f>
        <v>0.291942018072289</v>
      </c>
    </row>
    <row r="2156" customFormat="false" ht="15" hidden="false" customHeight="false" outlineLevel="0" collapsed="false">
      <c r="A2156" s="16" t="n">
        <v>44163</v>
      </c>
      <c r="B2156" s="23" t="n">
        <f aca="false">YEAR(A2156)</f>
        <v>2020</v>
      </c>
      <c r="C2156" s="17" t="n">
        <v>17718.3</v>
      </c>
      <c r="D2156" s="23" t="n">
        <f aca="false">A2156-A2155</f>
        <v>1</v>
      </c>
      <c r="E2156" s="24" t="n">
        <f aca="false">LN(C2156)</f>
        <v>9.78235328276226</v>
      </c>
      <c r="F2156" s="25" t="n">
        <f aca="false">LN(C2156/C2155)</f>
        <v>0.0321923330314848</v>
      </c>
      <c r="G2156" s="25" t="n">
        <f aca="false">IF(AND(D2156=1,A2156&gt;=$R$2),F2156,"")</f>
        <v>0.0321923330314848</v>
      </c>
      <c r="H2156" s="27" t="n">
        <f aca="false">IF(G2156="","",G2156^2)</f>
        <v>0.00103634630601003</v>
      </c>
      <c r="I2156" s="25" t="n">
        <f aca="false">IF(G2156="","",C2156/C2155-1)</f>
        <v>0.0327161116256405</v>
      </c>
      <c r="J2156" s="17" t="n">
        <f aca="false">AVERAGE(C1957:C2156)</f>
        <v>11348.7117</v>
      </c>
      <c r="K2156" s="17" t="n">
        <f aca="false">MAX(K2155,C2156)</f>
        <v>19650.01</v>
      </c>
      <c r="L2156" s="25" t="n">
        <f aca="false">C2156/K2156-1</f>
        <v>-0.0983058023889046</v>
      </c>
      <c r="M2156" s="25" t="n">
        <f aca="false">IF(COUNT(G2127:G2156)&lt;20,"",_xlfn.STDEV.S(G2127:G2156)*SQRT($R$3))</f>
        <v>0.661921326904946</v>
      </c>
      <c r="N2156" s="25" t="n">
        <f aca="false">IF(A2156-7&lt;$R$2,"",C2156/INDEX(Clean_Data!$C$2:$C$4314,MATCH(A2156-7,Clean_Data!$A$2:$A$4314,1))-1)</f>
        <v>-0.0530108272840288</v>
      </c>
      <c r="O2156" s="25" t="n">
        <f aca="false">IF(A2156-30&lt;$R$2,"",C2156/INDEX(Clean_Data!$C$2:$C$4314,MATCH(A2156-30,Clean_Data!$A$2:$A$4314,1))-1)</f>
        <v>0.316367013372957</v>
      </c>
    </row>
    <row r="2157" customFormat="false" ht="15" hidden="false" customHeight="false" outlineLevel="0" collapsed="false">
      <c r="A2157" s="16" t="n">
        <v>44164</v>
      </c>
      <c r="B2157" s="23" t="n">
        <f aca="false">YEAR(A2157)</f>
        <v>2020</v>
      </c>
      <c r="C2157" s="17" t="n">
        <v>18238.52</v>
      </c>
      <c r="D2157" s="23" t="n">
        <f aca="false">A2157-A2156</f>
        <v>1</v>
      </c>
      <c r="E2157" s="24" t="n">
        <f aca="false">LN(C2157)</f>
        <v>9.81129111998539</v>
      </c>
      <c r="F2157" s="25" t="n">
        <f aca="false">LN(C2157/C2156)</f>
        <v>0.028937837223128</v>
      </c>
      <c r="G2157" s="25" t="n">
        <f aca="false">IF(AND(D2157=1,A2157&gt;=$R$2),F2157,"")</f>
        <v>0.028937837223128</v>
      </c>
      <c r="H2157" s="27" t="n">
        <f aca="false">IF(G2157="","",G2157^2)</f>
        <v>0.000837398423152252</v>
      </c>
      <c r="I2157" s="25" t="n">
        <f aca="false">IF(G2157="","",C2157/C2156-1)</f>
        <v>0.0293606045726735</v>
      </c>
      <c r="J2157" s="17" t="n">
        <f aca="false">AVERAGE(C1958:C2157)</f>
        <v>11395.8586</v>
      </c>
      <c r="K2157" s="17" t="n">
        <f aca="false">MAX(K2156,C2157)</f>
        <v>19650.01</v>
      </c>
      <c r="L2157" s="25" t="n">
        <f aca="false">C2157/K2157-1</f>
        <v>-0.0718315156073711</v>
      </c>
      <c r="M2157" s="25" t="n">
        <f aca="false">IF(COUNT(G2128:G2157)&lt;20,"",_xlfn.STDEV.S(G2128:G2157)*SQRT($R$3))</f>
        <v>0.665504761588964</v>
      </c>
      <c r="N2157" s="25" t="n">
        <f aca="false">IF(A2157-7&lt;$R$2,"",C2157/INDEX(Clean_Data!$C$2:$C$4314,MATCH(A2157-7,Clean_Data!$A$2:$A$4314,1))-1)</f>
        <v>-0.0129324994533886</v>
      </c>
      <c r="O2157" s="25" t="n">
        <f aca="false">IF(A2157-30&lt;$R$2,"",C2157/INDEX(Clean_Data!$C$2:$C$4314,MATCH(A2157-30,Clean_Data!$A$2:$A$4314,1))-1)</f>
        <v>0.342749045311887</v>
      </c>
    </row>
    <row r="2158" customFormat="false" ht="15" hidden="false" customHeight="false" outlineLevel="0" collapsed="false">
      <c r="A2158" s="16" t="n">
        <v>44165</v>
      </c>
      <c r="B2158" s="23" t="n">
        <f aca="false">YEAR(A2158)</f>
        <v>2020</v>
      </c>
      <c r="C2158" s="17" t="n">
        <v>19727</v>
      </c>
      <c r="D2158" s="23" t="n">
        <f aca="false">A2158-A2157</f>
        <v>1</v>
      </c>
      <c r="E2158" s="24" t="n">
        <f aca="false">LN(C2158)</f>
        <v>9.88974353474387</v>
      </c>
      <c r="F2158" s="25" t="n">
        <f aca="false">LN(C2158/C2157)</f>
        <v>0.0784524147584799</v>
      </c>
      <c r="G2158" s="25" t="n">
        <f aca="false">IF(AND(D2158=1,A2158&gt;=$R$2),F2158,"")</f>
        <v>0.0784524147584799</v>
      </c>
      <c r="H2158" s="27" t="n">
        <f aca="false">IF(G2158="","",G2158^2)</f>
        <v>0.00615478138143656</v>
      </c>
      <c r="I2158" s="25" t="n">
        <f aca="false">IF(G2158="","",C2158/C2157-1)</f>
        <v>0.0816118851748935</v>
      </c>
      <c r="J2158" s="17" t="n">
        <f aca="false">AVERAGE(C1959:C2158)</f>
        <v>11447.8144</v>
      </c>
      <c r="K2158" s="17" t="n">
        <f aca="false">MAX(K2157,C2158)</f>
        <v>19727</v>
      </c>
      <c r="L2158" s="25" t="n">
        <f aca="false">C2158/K2158-1</f>
        <v>0</v>
      </c>
      <c r="M2158" s="25" t="n">
        <f aca="false">IF(COUNT(G2129:G2158)&lt;20,"",_xlfn.STDEV.S(G2129:G2158)*SQRT($R$3))</f>
        <v>0.707292908606238</v>
      </c>
      <c r="N2158" s="25" t="n">
        <f aca="false">IF(A2158-7&lt;$R$2,"",C2158/INDEX(Clean_Data!$C$2:$C$4314,MATCH(A2158-7,Clean_Data!$A$2:$A$4314,1))-1)</f>
        <v>0.0726319801687871</v>
      </c>
      <c r="O2158" s="25" t="n">
        <f aca="false">IF(A2158-30&lt;$R$2,"",C2158/INDEX(Clean_Data!$C$2:$C$4314,MATCH(A2158-30,Clean_Data!$A$2:$A$4314,1))-1)</f>
        <v>0.435210716317619</v>
      </c>
    </row>
    <row r="2159" customFormat="false" ht="15" hidden="false" customHeight="false" outlineLevel="0" collapsed="false">
      <c r="A2159" s="16" t="n">
        <v>44166</v>
      </c>
      <c r="B2159" s="23" t="n">
        <f aca="false">YEAR(A2159)</f>
        <v>2020</v>
      </c>
      <c r="C2159" s="17" t="n">
        <v>18763.35</v>
      </c>
      <c r="D2159" s="23" t="n">
        <f aca="false">A2159-A2158</f>
        <v>1</v>
      </c>
      <c r="E2159" s="24" t="n">
        <f aca="false">LN(C2159)</f>
        <v>9.83966077804681</v>
      </c>
      <c r="F2159" s="25" t="n">
        <f aca="false">LN(C2159/C2158)</f>
        <v>-0.0500827566970615</v>
      </c>
      <c r="G2159" s="25" t="n">
        <f aca="false">IF(AND(D2159=1,A2159&gt;=$R$2),F2159,"")</f>
        <v>-0.0500827566970615</v>
      </c>
      <c r="H2159" s="27" t="n">
        <f aca="false">IF(G2159="","",G2159^2)</f>
        <v>0.00250828251837706</v>
      </c>
      <c r="I2159" s="25" t="n">
        <f aca="false">IF(G2159="","",C2159/C2158-1)</f>
        <v>-0.0488492928473666</v>
      </c>
      <c r="J2159" s="17" t="n">
        <f aca="false">AVERAGE(C1960:C2159)</f>
        <v>11492.55505</v>
      </c>
      <c r="K2159" s="17" t="n">
        <f aca="false">MAX(K2158,C2159)</f>
        <v>19727</v>
      </c>
      <c r="L2159" s="25" t="n">
        <f aca="false">C2159/K2159-1</f>
        <v>-0.0488492928473666</v>
      </c>
      <c r="M2159" s="25" t="n">
        <f aca="false">IF(COUNT(G2130:G2159)&lt;20,"",_xlfn.STDEV.S(G2130:G2159)*SQRT($R$3))</f>
        <v>0.739328452095145</v>
      </c>
      <c r="N2159" s="25" t="n">
        <f aca="false">IF(A2159-7&lt;$R$2,"",C2159/INDEX(Clean_Data!$C$2:$C$4314,MATCH(A2159-7,Clean_Data!$A$2:$A$4314,1))-1)</f>
        <v>-0.0219816763764741</v>
      </c>
      <c r="O2159" s="25" t="n">
        <f aca="false">IF(A2159-30&lt;$R$2,"",C2159/INDEX(Clean_Data!$C$2:$C$4314,MATCH(A2159-30,Clean_Data!$A$2:$A$4314,1))-1)</f>
        <v>0.361189943501841</v>
      </c>
    </row>
    <row r="2160" customFormat="false" ht="15" hidden="false" customHeight="false" outlineLevel="0" collapsed="false">
      <c r="A2160" s="16" t="n">
        <v>44167</v>
      </c>
      <c r="B2160" s="23" t="n">
        <f aca="false">YEAR(A2160)</f>
        <v>2020</v>
      </c>
      <c r="C2160" s="17" t="n">
        <v>19245.61</v>
      </c>
      <c r="D2160" s="23" t="n">
        <f aca="false">A2160-A2159</f>
        <v>1</v>
      </c>
      <c r="E2160" s="24" t="n">
        <f aca="false">LN(C2160)</f>
        <v>9.86503826176008</v>
      </c>
      <c r="F2160" s="25" t="n">
        <f aca="false">LN(C2160/C2159)</f>
        <v>0.0253774837132714</v>
      </c>
      <c r="G2160" s="25" t="n">
        <f aca="false">IF(AND(D2160=1,A2160&gt;=$R$2),F2160,"")</f>
        <v>0.0253774837132714</v>
      </c>
      <c r="H2160" s="27" t="n">
        <f aca="false">IF(G2160="","",G2160^2)</f>
        <v>0.000644016679617356</v>
      </c>
      <c r="I2160" s="25" t="n">
        <f aca="false">IF(G2160="","",C2160/C2159-1)</f>
        <v>0.0257022333431931</v>
      </c>
      <c r="J2160" s="17" t="n">
        <f aca="false">AVERAGE(C1961:C2160)</f>
        <v>11542.1272</v>
      </c>
      <c r="K2160" s="17" t="n">
        <f aca="false">MAX(K2159,C2160)</f>
        <v>19727</v>
      </c>
      <c r="L2160" s="25" t="n">
        <f aca="false">C2160/K2160-1</f>
        <v>-0.0244025954275865</v>
      </c>
      <c r="M2160" s="25" t="n">
        <f aca="false">IF(COUNT(G2131:G2160)&lt;20,"",_xlfn.STDEV.S(G2131:G2160)*SQRT($R$3))</f>
        <v>0.735175022661705</v>
      </c>
      <c r="N2160" s="25" t="n">
        <f aca="false">IF(A2160-7&lt;$R$2,"",C2160/INDEX(Clean_Data!$C$2:$C$4314,MATCH(A2160-7,Clean_Data!$A$2:$A$4314,1))-1)</f>
        <v>0.0288386439753769</v>
      </c>
      <c r="O2160" s="25" t="n">
        <f aca="false">IF(A2160-30&lt;$R$2,"",C2160/INDEX(Clean_Data!$C$2:$C$4314,MATCH(A2160-30,Clean_Data!$A$2:$A$4314,1))-1)</f>
        <v>0.417836249339727</v>
      </c>
    </row>
    <row r="2161" customFormat="false" ht="15" hidden="false" customHeight="false" outlineLevel="0" collapsed="false">
      <c r="A2161" s="16" t="n">
        <v>44168</v>
      </c>
      <c r="B2161" s="23" t="n">
        <f aca="false">YEAR(A2161)</f>
        <v>2020</v>
      </c>
      <c r="C2161" s="17" t="n">
        <v>19430.07</v>
      </c>
      <c r="D2161" s="23" t="n">
        <f aca="false">A2161-A2160</f>
        <v>1</v>
      </c>
      <c r="E2161" s="24" t="n">
        <f aca="false">LN(C2161)</f>
        <v>9.87457714504127</v>
      </c>
      <c r="F2161" s="25" t="n">
        <f aca="false">LN(C2161/C2160)</f>
        <v>0.00953888328119113</v>
      </c>
      <c r="G2161" s="25" t="n">
        <f aca="false">IF(AND(D2161=1,A2161&gt;=$R$2),F2161,"")</f>
        <v>0.00953888328119113</v>
      </c>
      <c r="H2161" s="27" t="n">
        <f aca="false">IF(G2161="","",G2161^2)</f>
        <v>9.09902942521877E-005</v>
      </c>
      <c r="I2161" s="25" t="n">
        <f aca="false">IF(G2161="","",C2161/C2160-1)</f>
        <v>0.00958452343157723</v>
      </c>
      <c r="J2161" s="17" t="n">
        <f aca="false">AVERAGE(C1962:C2161)</f>
        <v>11592.51125</v>
      </c>
      <c r="K2161" s="17" t="n">
        <f aca="false">MAX(K2160,C2161)</f>
        <v>19727</v>
      </c>
      <c r="L2161" s="25" t="n">
        <f aca="false">C2161/K2161-1</f>
        <v>-0.0150519592436762</v>
      </c>
      <c r="M2161" s="25" t="n">
        <f aca="false">IF(COUNT(G2132:G2161)&lt;20,"",_xlfn.STDEV.S(G2132:G2161)*SQRT($R$3))</f>
        <v>0.730540756859375</v>
      </c>
      <c r="N2161" s="25" t="n">
        <f aca="false">IF(A2161-7&lt;$R$2,"",C2161/INDEX(Clean_Data!$C$2:$C$4314,MATCH(A2161-7,Clean_Data!$A$2:$A$4314,1))-1)</f>
        <v>0.131431316601642</v>
      </c>
      <c r="O2161" s="25" t="n">
        <f aca="false">IF(A2161-30&lt;$R$2,"",C2161/INDEX(Clean_Data!$C$2:$C$4314,MATCH(A2161-30,Clean_Data!$A$2:$A$4314,1))-1)</f>
        <v>0.382865061182484</v>
      </c>
    </row>
    <row r="2162" customFormat="false" ht="15" hidden="false" customHeight="false" outlineLevel="0" collapsed="false">
      <c r="A2162" s="16" t="n">
        <v>44169</v>
      </c>
      <c r="B2162" s="23" t="n">
        <f aca="false">YEAR(A2162)</f>
        <v>2020</v>
      </c>
      <c r="C2162" s="17" t="n">
        <v>18692.32</v>
      </c>
      <c r="D2162" s="23" t="n">
        <f aca="false">A2162-A2161</f>
        <v>1</v>
      </c>
      <c r="E2162" s="24" t="n">
        <f aca="false">LN(C2162)</f>
        <v>9.83586802329715</v>
      </c>
      <c r="F2162" s="25" t="n">
        <f aca="false">LN(C2162/C2161)</f>
        <v>-0.0387091217441239</v>
      </c>
      <c r="G2162" s="25" t="n">
        <f aca="false">IF(AND(D2162=1,A2162&gt;=$R$2),F2162,"")</f>
        <v>-0.0387091217441239</v>
      </c>
      <c r="H2162" s="27" t="n">
        <f aca="false">IF(G2162="","",G2162^2)</f>
        <v>0.00149839610620141</v>
      </c>
      <c r="I2162" s="25" t="n">
        <f aca="false">IF(G2162="","",C2162/C2161-1)</f>
        <v>-0.0379694977938834</v>
      </c>
      <c r="J2162" s="17" t="n">
        <f aca="false">AVERAGE(C1963:C2162)</f>
        <v>11637.4712</v>
      </c>
      <c r="K2162" s="17" t="n">
        <f aca="false">MAX(K2161,C2162)</f>
        <v>19727</v>
      </c>
      <c r="L2162" s="25" t="n">
        <f aca="false">C2162/K2162-1</f>
        <v>-0.0524499417042632</v>
      </c>
      <c r="M2162" s="25" t="n">
        <f aca="false">IF(COUNT(G2133:G2162)&lt;20,"",_xlfn.STDEV.S(G2133:G2162)*SQRT($R$3))</f>
        <v>0.750682536521761</v>
      </c>
      <c r="N2162" s="25" t="n">
        <f aca="false">IF(A2162-7&lt;$R$2,"",C2162/INDEX(Clean_Data!$C$2:$C$4314,MATCH(A2162-7,Clean_Data!$A$2:$A$4314,1))-1)</f>
        <v>0.0894871419753698</v>
      </c>
      <c r="O2162" s="25" t="n">
        <f aca="false">IF(A2162-30&lt;$R$2,"",C2162/INDEX(Clean_Data!$C$2:$C$4314,MATCH(A2162-30,Clean_Data!$A$2:$A$4314,1))-1)</f>
        <v>0.320079096045198</v>
      </c>
    </row>
    <row r="2163" customFormat="false" ht="15" hidden="false" customHeight="false" outlineLevel="0" collapsed="false">
      <c r="A2163" s="16" t="n">
        <v>44170</v>
      </c>
      <c r="B2163" s="23" t="n">
        <f aca="false">YEAR(A2163)</f>
        <v>2020</v>
      </c>
      <c r="C2163" s="17" t="n">
        <v>19156.82</v>
      </c>
      <c r="D2163" s="23" t="n">
        <f aca="false">A2163-A2162</f>
        <v>1</v>
      </c>
      <c r="E2163" s="24" t="n">
        <f aca="false">LN(C2163)</f>
        <v>9.86041406697774</v>
      </c>
      <c r="F2163" s="25" t="n">
        <f aca="false">LN(C2163/C2162)</f>
        <v>0.0245460436805901</v>
      </c>
      <c r="G2163" s="25" t="n">
        <f aca="false">IF(AND(D2163=1,A2163&gt;=$R$2),F2163,"")</f>
        <v>0.0245460436805901</v>
      </c>
      <c r="H2163" s="27" t="n">
        <f aca="false">IF(G2163="","",G2163^2)</f>
        <v>0.000602508260369437</v>
      </c>
      <c r="I2163" s="25" t="n">
        <f aca="false">IF(G2163="","",C2163/C2162-1)</f>
        <v>0.0248497778766894</v>
      </c>
      <c r="J2163" s="17" t="n">
        <f aca="false">AVERAGE(C1964:C2163)</f>
        <v>11684.58925</v>
      </c>
      <c r="K2163" s="17" t="n">
        <f aca="false">MAX(K2162,C2163)</f>
        <v>19727</v>
      </c>
      <c r="L2163" s="25" t="n">
        <f aca="false">C2163/K2163-1</f>
        <v>-0.02890353322857</v>
      </c>
      <c r="M2163" s="25" t="n">
        <f aca="false">IF(COUNT(G2134:G2163)&lt;20,"",_xlfn.STDEV.S(G2134:G2163)*SQRT($R$3))</f>
        <v>0.679943810989869</v>
      </c>
      <c r="N2163" s="25" t="n">
        <f aca="false">IF(A2163-7&lt;$R$2,"",C2163/INDEX(Clean_Data!$C$2:$C$4314,MATCH(A2163-7,Clean_Data!$A$2:$A$4314,1))-1)</f>
        <v>0.0811883758599865</v>
      </c>
      <c r="O2163" s="25" t="n">
        <f aca="false">IF(A2163-30&lt;$R$2,"",C2163/INDEX(Clean_Data!$C$2:$C$4314,MATCH(A2163-30,Clean_Data!$A$2:$A$4314,1))-1)</f>
        <v>0.225126945755471</v>
      </c>
    </row>
    <row r="2164" customFormat="false" ht="15" hidden="false" customHeight="false" outlineLevel="0" collapsed="false">
      <c r="A2164" s="16" t="n">
        <v>44171</v>
      </c>
      <c r="B2164" s="23" t="n">
        <f aca="false">YEAR(A2164)</f>
        <v>2020</v>
      </c>
      <c r="C2164" s="17" t="n">
        <v>19397.08</v>
      </c>
      <c r="D2164" s="23" t="n">
        <f aca="false">A2164-A2163</f>
        <v>1</v>
      </c>
      <c r="E2164" s="24" t="n">
        <f aca="false">LN(C2164)</f>
        <v>9.87287781825891</v>
      </c>
      <c r="F2164" s="25" t="n">
        <f aca="false">LN(C2164/C2163)</f>
        <v>0.0124637512811767</v>
      </c>
      <c r="G2164" s="25" t="n">
        <f aca="false">IF(AND(D2164=1,A2164&gt;=$R$2),F2164,"")</f>
        <v>0.0124637512811767</v>
      </c>
      <c r="H2164" s="27" t="n">
        <f aca="false">IF(G2164="","",G2164^2)</f>
        <v>0.000155345095999035</v>
      </c>
      <c r="I2164" s="25" t="n">
        <f aca="false">IF(G2164="","",C2164/C2163-1)</f>
        <v>0.0125417475342986</v>
      </c>
      <c r="J2164" s="17" t="n">
        <f aca="false">AVERAGE(C1965:C2164)</f>
        <v>11732.6551</v>
      </c>
      <c r="K2164" s="17" t="n">
        <f aca="false">MAX(K2163,C2164)</f>
        <v>19727</v>
      </c>
      <c r="L2164" s="25" t="n">
        <f aca="false">C2164/K2164-1</f>
        <v>-0.0167242865108733</v>
      </c>
      <c r="M2164" s="25" t="n">
        <f aca="false">IF(COUNT(G2135:G2164)&lt;20,"",_xlfn.STDEV.S(G2135:G2164)*SQRT($R$3))</f>
        <v>0.679365421504424</v>
      </c>
      <c r="N2164" s="25" t="n">
        <f aca="false">IF(A2164-7&lt;$R$2,"",C2164/INDEX(Clean_Data!$C$2:$C$4314,MATCH(A2164-7,Clean_Data!$A$2:$A$4314,1))-1)</f>
        <v>0.0635226981136627</v>
      </c>
      <c r="O2164" s="25" t="n">
        <f aca="false">IF(A2164-30&lt;$R$2,"",C2164/INDEX(Clean_Data!$C$2:$C$4314,MATCH(A2164-30,Clean_Data!$A$2:$A$4314,1))-1)</f>
        <v>0.243695151359326</v>
      </c>
    </row>
    <row r="2165" customFormat="false" ht="15" hidden="false" customHeight="false" outlineLevel="0" collapsed="false">
      <c r="A2165" s="16" t="n">
        <v>44172</v>
      </c>
      <c r="B2165" s="23" t="n">
        <f aca="false">YEAR(A2165)</f>
        <v>2020</v>
      </c>
      <c r="C2165" s="17" t="n">
        <v>19202.88</v>
      </c>
      <c r="D2165" s="23" t="n">
        <f aca="false">A2165-A2164</f>
        <v>1</v>
      </c>
      <c r="E2165" s="24" t="n">
        <f aca="false">LN(C2165)</f>
        <v>9.862815546767</v>
      </c>
      <c r="F2165" s="25" t="n">
        <f aca="false">LN(C2165/C2164)</f>
        <v>-0.010062271491915</v>
      </c>
      <c r="G2165" s="25" t="n">
        <f aca="false">IF(AND(D2165=1,A2165&gt;=$R$2),F2165,"")</f>
        <v>-0.010062271491915</v>
      </c>
      <c r="H2165" s="27" t="n">
        <f aca="false">IF(G2165="","",G2165^2)</f>
        <v>0.000101249307577005</v>
      </c>
      <c r="I2165" s="25" t="n">
        <f aca="false">IF(G2165="","",C2165/C2164-1)</f>
        <v>-0.0100118162115123</v>
      </c>
      <c r="J2165" s="17" t="n">
        <f aca="false">AVERAGE(C1966:C2165)</f>
        <v>11781.1807</v>
      </c>
      <c r="K2165" s="17" t="n">
        <f aca="false">MAX(K2164,C2165)</f>
        <v>19727</v>
      </c>
      <c r="L2165" s="25" t="n">
        <f aca="false">C2165/K2165-1</f>
        <v>-0.0265686622395701</v>
      </c>
      <c r="M2165" s="25" t="n">
        <f aca="false">IF(COUNT(G2136:G2165)&lt;20,"",_xlfn.STDEV.S(G2136:G2165)*SQRT($R$3))</f>
        <v>0.649034791887911</v>
      </c>
      <c r="N2165" s="25" t="n">
        <f aca="false">IF(A2165-7&lt;$R$2,"",C2165/INDEX(Clean_Data!$C$2:$C$4314,MATCH(A2165-7,Clean_Data!$A$2:$A$4314,1))-1)</f>
        <v>-0.0265686622395701</v>
      </c>
      <c r="O2165" s="25" t="n">
        <f aca="false">IF(A2165-30&lt;$R$2,"",C2165/INDEX(Clean_Data!$C$2:$C$4314,MATCH(A2165-30,Clean_Data!$A$2:$A$4314,1))-1)</f>
        <v>0.296211445180504</v>
      </c>
    </row>
    <row r="2166" customFormat="false" ht="15" hidden="false" customHeight="false" outlineLevel="0" collapsed="false">
      <c r="A2166" s="16" t="n">
        <v>44173</v>
      </c>
      <c r="B2166" s="23" t="n">
        <f aca="false">YEAR(A2166)</f>
        <v>2020</v>
      </c>
      <c r="C2166" s="17" t="n">
        <v>18311.76</v>
      </c>
      <c r="D2166" s="23" t="n">
        <f aca="false">A2166-A2165</f>
        <v>1</v>
      </c>
      <c r="E2166" s="24" t="n">
        <f aca="false">LN(C2166)</f>
        <v>9.81529875538662</v>
      </c>
      <c r="F2166" s="25" t="n">
        <f aca="false">LN(C2166/C2165)</f>
        <v>-0.0475167913803769</v>
      </c>
      <c r="G2166" s="25" t="n">
        <f aca="false">IF(AND(D2166=1,A2166&gt;=$R$2),F2166,"")</f>
        <v>-0.0475167913803769</v>
      </c>
      <c r="H2166" s="27" t="n">
        <f aca="false">IF(G2166="","",G2166^2)</f>
        <v>0.00225784546308626</v>
      </c>
      <c r="I2166" s="25" t="n">
        <f aca="false">IF(G2166="","",C2166/C2165-1)</f>
        <v>-0.0464055391691247</v>
      </c>
      <c r="J2166" s="17" t="n">
        <f aca="false">AVERAGE(C1967:C2166)</f>
        <v>11827.5439</v>
      </c>
      <c r="K2166" s="17" t="n">
        <f aca="false">MAX(K2165,C2166)</f>
        <v>19727</v>
      </c>
      <c r="L2166" s="25" t="n">
        <f aca="false">C2166/K2166-1</f>
        <v>-0.0717412683124652</v>
      </c>
      <c r="M2166" s="25" t="n">
        <f aca="false">IF(COUNT(G2137:G2166)&lt;20,"",_xlfn.STDEV.S(G2137:G2166)*SQRT($R$3))</f>
        <v>0.664285313241583</v>
      </c>
      <c r="N2166" s="25" t="n">
        <f aca="false">IF(A2166-7&lt;$R$2,"",C2166/INDEX(Clean_Data!$C$2:$C$4314,MATCH(A2166-7,Clean_Data!$A$2:$A$4314,1))-1)</f>
        <v>-0.0240676638233578</v>
      </c>
      <c r="O2166" s="25" t="n">
        <f aca="false">IF(A2166-30&lt;$R$2,"",C2166/INDEX(Clean_Data!$C$2:$C$4314,MATCH(A2166-30,Clean_Data!$A$2:$A$4314,1))-1)</f>
        <v>0.182328375478116</v>
      </c>
    </row>
    <row r="2167" customFormat="false" ht="15" hidden="false" customHeight="false" outlineLevel="0" collapsed="false">
      <c r="A2167" s="16" t="n">
        <v>44174</v>
      </c>
      <c r="B2167" s="23" t="n">
        <f aca="false">YEAR(A2167)</f>
        <v>2020</v>
      </c>
      <c r="C2167" s="17" t="n">
        <v>18550.01</v>
      </c>
      <c r="D2167" s="23" t="n">
        <f aca="false">A2167-A2166</f>
        <v>1</v>
      </c>
      <c r="E2167" s="24" t="n">
        <f aca="false">LN(C2167)</f>
        <v>9.82822560711899</v>
      </c>
      <c r="F2167" s="25" t="n">
        <f aca="false">LN(C2167/C2166)</f>
        <v>0.0129268517323729</v>
      </c>
      <c r="G2167" s="25" t="n">
        <f aca="false">IF(AND(D2167=1,A2167&gt;=$R$2),F2167,"")</f>
        <v>0.0129268517323729</v>
      </c>
      <c r="H2167" s="27" t="n">
        <f aca="false">IF(G2167="","",G2167^2)</f>
        <v>0.000167103495710752</v>
      </c>
      <c r="I2167" s="25" t="n">
        <f aca="false">IF(G2167="","",C2167/C2166-1)</f>
        <v>0.0130107646670774</v>
      </c>
      <c r="J2167" s="17" t="n">
        <f aca="false">AVERAGE(C1968:C2167)</f>
        <v>11874.4278</v>
      </c>
      <c r="K2167" s="17" t="n">
        <f aca="false">MAX(K2166,C2167)</f>
        <v>19727</v>
      </c>
      <c r="L2167" s="25" t="n">
        <f aca="false">C2167/K2167-1</f>
        <v>-0.059663912404319</v>
      </c>
      <c r="M2167" s="25" t="n">
        <f aca="false">IF(COUNT(G2138:G2167)&lt;20,"",_xlfn.STDEV.S(G2138:G2167)*SQRT($R$3))</f>
        <v>0.662339057773338</v>
      </c>
      <c r="N2167" s="25" t="n">
        <f aca="false">IF(A2167-7&lt;$R$2,"",C2167/INDEX(Clean_Data!$C$2:$C$4314,MATCH(A2167-7,Clean_Data!$A$2:$A$4314,1))-1)</f>
        <v>-0.0361433074867464</v>
      </c>
      <c r="O2167" s="25" t="n">
        <f aca="false">IF(A2167-30&lt;$R$2,"",C2167/INDEX(Clean_Data!$C$2:$C$4314,MATCH(A2167-30,Clean_Data!$A$2:$A$4314,1))-1)</f>
        <v>0.209701474530744</v>
      </c>
    </row>
    <row r="2168" customFormat="false" ht="15" hidden="false" customHeight="false" outlineLevel="0" collapsed="false">
      <c r="A2168" s="16" t="n">
        <v>44175</v>
      </c>
      <c r="B2168" s="23" t="n">
        <f aca="false">YEAR(A2168)</f>
        <v>2020</v>
      </c>
      <c r="C2168" s="17" t="n">
        <v>18286.8</v>
      </c>
      <c r="D2168" s="23" t="n">
        <f aca="false">A2168-A2167</f>
        <v>1</v>
      </c>
      <c r="E2168" s="24" t="n">
        <f aca="false">LN(C2168)</f>
        <v>9.81393476708382</v>
      </c>
      <c r="F2168" s="25" t="n">
        <f aca="false">LN(C2168/C2167)</f>
        <v>-0.0142908400351784</v>
      </c>
      <c r="G2168" s="25" t="n">
        <f aca="false">IF(AND(D2168=1,A2168&gt;=$R$2),F2168,"")</f>
        <v>-0.0142908400351784</v>
      </c>
      <c r="H2168" s="27" t="n">
        <f aca="false">IF(G2168="","",G2168^2)</f>
        <v>0.000204228108911058</v>
      </c>
      <c r="I2168" s="25" t="n">
        <f aca="false">IF(G2168="","",C2168/C2167-1)</f>
        <v>-0.0141892106796707</v>
      </c>
      <c r="J2168" s="17" t="n">
        <f aca="false">AVERAGE(C1969:C2168)</f>
        <v>11920.0317</v>
      </c>
      <c r="K2168" s="17" t="n">
        <f aca="false">MAX(K2167,C2168)</f>
        <v>19727</v>
      </c>
      <c r="L2168" s="25" t="n">
        <f aca="false">C2168/K2168-1</f>
        <v>-0.0730065392609115</v>
      </c>
      <c r="M2168" s="25" t="n">
        <f aca="false">IF(COUNT(G2139:G2168)&lt;20,"",_xlfn.STDEV.S(G2139:G2168)*SQRT($R$3))</f>
        <v>0.665858921318332</v>
      </c>
      <c r="N2168" s="25" t="n">
        <f aca="false">IF(A2168-7&lt;$R$2,"",C2168/INDEX(Clean_Data!$C$2:$C$4314,MATCH(A2168-7,Clean_Data!$A$2:$A$4314,1))-1)</f>
        <v>-0.0588402409255345</v>
      </c>
      <c r="O2168" s="25" t="n">
        <f aca="false">IF(A2168-30&lt;$R$2,"",C2168/INDEX(Clean_Data!$C$2:$C$4314,MATCH(A2168-30,Clean_Data!$A$2:$A$4314,1))-1)</f>
        <v>0.193246439699189</v>
      </c>
    </row>
    <row r="2169" customFormat="false" ht="15" hidden="false" customHeight="false" outlineLevel="0" collapsed="false">
      <c r="A2169" s="16" t="n">
        <v>44176</v>
      </c>
      <c r="B2169" s="23" t="n">
        <f aca="false">YEAR(A2169)</f>
        <v>2020</v>
      </c>
      <c r="C2169" s="17" t="n">
        <v>18048.14</v>
      </c>
      <c r="D2169" s="23" t="n">
        <f aca="false">A2169-A2168</f>
        <v>1</v>
      </c>
      <c r="E2169" s="24" t="n">
        <f aca="false">LN(C2169)</f>
        <v>9.8007979113599</v>
      </c>
      <c r="F2169" s="25" t="n">
        <f aca="false">LN(C2169/C2168)</f>
        <v>-0.0131368557239174</v>
      </c>
      <c r="G2169" s="25" t="n">
        <f aca="false">IF(AND(D2169=1,A2169&gt;=$R$2),F2169,"")</f>
        <v>-0.0131368557239174</v>
      </c>
      <c r="H2169" s="27" t="n">
        <f aca="false">IF(G2169="","",G2169^2)</f>
        <v>0.000172576978311022</v>
      </c>
      <c r="I2169" s="25" t="n">
        <f aca="false">IF(G2169="","",C2169/C2168-1)</f>
        <v>-0.0130509438502089</v>
      </c>
      <c r="J2169" s="17" t="n">
        <f aca="false">AVERAGE(C1970:C2169)</f>
        <v>11966.9042</v>
      </c>
      <c r="K2169" s="17" t="n">
        <f aca="false">MAX(K2168,C2169)</f>
        <v>19727</v>
      </c>
      <c r="L2169" s="25" t="n">
        <f aca="false">C2169/K2169-1</f>
        <v>-0.0851046788665282</v>
      </c>
      <c r="M2169" s="25" t="n">
        <f aca="false">IF(COUNT(G2140:G2169)&lt;20,"",_xlfn.STDEV.S(G2140:G2169)*SQRT($R$3))</f>
        <v>0.665105559266986</v>
      </c>
      <c r="N2169" s="25" t="n">
        <f aca="false">IF(A2169-7&lt;$R$2,"",C2169/INDEX(Clean_Data!$C$2:$C$4314,MATCH(A2169-7,Clean_Data!$A$2:$A$4314,1))-1)</f>
        <v>-0.0344622818355346</v>
      </c>
      <c r="O2169" s="25" t="n">
        <f aca="false">IF(A2169-30&lt;$R$2,"",C2169/INDEX(Clean_Data!$C$2:$C$4314,MATCH(A2169-30,Clean_Data!$A$2:$A$4314,1))-1)</f>
        <v>0.147822315329427</v>
      </c>
    </row>
    <row r="2170" customFormat="false" ht="15" hidden="false" customHeight="false" outlineLevel="0" collapsed="false">
      <c r="A2170" s="16" t="n">
        <v>44177</v>
      </c>
      <c r="B2170" s="23" t="n">
        <f aca="false">YEAR(A2170)</f>
        <v>2020</v>
      </c>
      <c r="C2170" s="17" t="n">
        <v>18826.36</v>
      </c>
      <c r="D2170" s="23" t="n">
        <f aca="false">A2170-A2169</f>
        <v>1</v>
      </c>
      <c r="E2170" s="24" t="n">
        <f aca="false">LN(C2170)</f>
        <v>9.84301329441451</v>
      </c>
      <c r="F2170" s="25" t="n">
        <f aca="false">LN(C2170/C2169)</f>
        <v>0.0422153830546083</v>
      </c>
      <c r="G2170" s="25" t="n">
        <f aca="false">IF(AND(D2170=1,A2170&gt;=$R$2),F2170,"")</f>
        <v>0.0422153830546083</v>
      </c>
      <c r="H2170" s="27" t="n">
        <f aca="false">IF(G2170="","",G2170^2)</f>
        <v>0.00178213856644731</v>
      </c>
      <c r="I2170" s="25" t="n">
        <f aca="false">IF(G2170="","",C2170/C2169-1)</f>
        <v>0.043119124740832</v>
      </c>
      <c r="J2170" s="17" t="n">
        <f aca="false">AVERAGE(C1971:C2170)</f>
        <v>12016.57405</v>
      </c>
      <c r="K2170" s="17" t="n">
        <f aca="false">MAX(K2169,C2170)</f>
        <v>19727</v>
      </c>
      <c r="L2170" s="25" t="n">
        <f aca="false">C2170/K2170-1</f>
        <v>-0.0456551933897703</v>
      </c>
      <c r="M2170" s="25" t="n">
        <f aca="false">IF(COUNT(G2141:G2170)&lt;20,"",_xlfn.STDEV.S(G2141:G2170)*SQRT($R$3))</f>
        <v>0.668423003852914</v>
      </c>
      <c r="N2170" s="25" t="n">
        <f aca="false">IF(A2170-7&lt;$R$2,"",C2170/INDEX(Clean_Data!$C$2:$C$4314,MATCH(A2170-7,Clean_Data!$A$2:$A$4314,1))-1)</f>
        <v>-0.017250253434547</v>
      </c>
      <c r="O2170" s="25" t="n">
        <f aca="false">IF(A2170-30&lt;$R$2,"",C2170/INDEX(Clean_Data!$C$2:$C$4314,MATCH(A2170-30,Clean_Data!$A$2:$A$4314,1))-1)</f>
        <v>0.153595772476489</v>
      </c>
    </row>
    <row r="2171" customFormat="false" ht="15" hidden="false" customHeight="false" outlineLevel="0" collapsed="false">
      <c r="A2171" s="16" t="n">
        <v>44178</v>
      </c>
      <c r="B2171" s="23" t="n">
        <f aca="false">YEAR(A2171)</f>
        <v>2020</v>
      </c>
      <c r="C2171" s="17" t="n">
        <v>19133.04</v>
      </c>
      <c r="D2171" s="23" t="n">
        <f aca="false">A2171-A2170</f>
        <v>1</v>
      </c>
      <c r="E2171" s="24" t="n">
        <f aca="false">LN(C2171)</f>
        <v>9.85917196251157</v>
      </c>
      <c r="F2171" s="25" t="n">
        <f aca="false">LN(C2171/C2170)</f>
        <v>0.0161586680970677</v>
      </c>
      <c r="G2171" s="25" t="n">
        <f aca="false">IF(AND(D2171=1,A2171&gt;=$R$2),F2171,"")</f>
        <v>0.0161586680970677</v>
      </c>
      <c r="H2171" s="27" t="n">
        <f aca="false">IF(G2171="","",G2171^2)</f>
        <v>0.000261102554671194</v>
      </c>
      <c r="I2171" s="25" t="n">
        <f aca="false">IF(G2171="","",C2171/C2170-1)</f>
        <v>0.0162899254024675</v>
      </c>
      <c r="J2171" s="17" t="n">
        <f aca="false">AVERAGE(C1972:C2171)</f>
        <v>12068.0554</v>
      </c>
      <c r="K2171" s="17" t="n">
        <f aca="false">MAX(K2170,C2171)</f>
        <v>19727</v>
      </c>
      <c r="L2171" s="25" t="n">
        <f aca="false">C2171/K2171-1</f>
        <v>-0.0301089876818573</v>
      </c>
      <c r="M2171" s="25" t="n">
        <f aca="false">IF(COUNT(G2142:G2171)&lt;20,"",_xlfn.STDEV.S(G2142:G2171)*SQRT($R$3))</f>
        <v>0.669456425768321</v>
      </c>
      <c r="N2171" s="25" t="n">
        <f aca="false">IF(A2171-7&lt;$R$2,"",C2171/INDEX(Clean_Data!$C$2:$C$4314,MATCH(A2171-7,Clean_Data!$A$2:$A$4314,1))-1)</f>
        <v>-0.0136123581487523</v>
      </c>
      <c r="O2171" s="25" t="n">
        <f aca="false">IF(A2171-30&lt;$R$2,"",C2171/INDEX(Clean_Data!$C$2:$C$4314,MATCH(A2171-30,Clean_Data!$A$2:$A$4314,1))-1)</f>
        <v>0.170962062083565</v>
      </c>
    </row>
    <row r="2172" customFormat="false" ht="15" hidden="false" customHeight="false" outlineLevel="0" collapsed="false">
      <c r="A2172" s="16" t="n">
        <v>44179</v>
      </c>
      <c r="B2172" s="23" t="n">
        <f aca="false">YEAR(A2172)</f>
        <v>2020</v>
      </c>
      <c r="C2172" s="17" t="n">
        <v>19288.43</v>
      </c>
      <c r="D2172" s="23" t="n">
        <f aca="false">A2172-A2171</f>
        <v>1</v>
      </c>
      <c r="E2172" s="24" t="n">
        <f aca="false">LN(C2172)</f>
        <v>9.86726071326659</v>
      </c>
      <c r="F2172" s="25" t="n">
        <f aca="false">LN(C2172/C2171)</f>
        <v>0.00808875075501869</v>
      </c>
      <c r="G2172" s="25" t="n">
        <f aca="false">IF(AND(D2172=1,A2172&gt;=$R$2),F2172,"")</f>
        <v>0.00808875075501869</v>
      </c>
      <c r="H2172" s="27" t="n">
        <f aca="false">IF(G2172="","",G2172^2)</f>
        <v>6.54278887768154E-005</v>
      </c>
      <c r="I2172" s="25" t="n">
        <f aca="false">IF(G2172="","",C2172/C2171-1)</f>
        <v>0.00812155308304385</v>
      </c>
      <c r="J2172" s="17" t="n">
        <f aca="false">AVERAGE(C1973:C2172)</f>
        <v>12118.49755</v>
      </c>
      <c r="K2172" s="17" t="n">
        <f aca="false">MAX(K2171,C2172)</f>
        <v>19727</v>
      </c>
      <c r="L2172" s="25" t="n">
        <f aca="false">C2172/K2172-1</f>
        <v>-0.0222319663405485</v>
      </c>
      <c r="M2172" s="25" t="n">
        <f aca="false">IF(COUNT(G2143:G2172)&lt;20,"",_xlfn.STDEV.S(G2143:G2172)*SQRT($R$3))</f>
        <v>0.665418871297682</v>
      </c>
      <c r="N2172" s="25" t="n">
        <f aca="false">IF(A2172-7&lt;$R$2,"",C2172/INDEX(Clean_Data!$C$2:$C$4314,MATCH(A2172-7,Clean_Data!$A$2:$A$4314,1))-1)</f>
        <v>0.00445506090753045</v>
      </c>
      <c r="O2172" s="25" t="n">
        <f aca="false">IF(A2172-30&lt;$R$2,"",C2172/INDEX(Clean_Data!$C$2:$C$4314,MATCH(A2172-30,Clean_Data!$A$2:$A$4314,1))-1)</f>
        <v>0.198537900865578</v>
      </c>
    </row>
    <row r="2173" customFormat="false" ht="15" hidden="false" customHeight="false" outlineLevel="0" collapsed="false">
      <c r="A2173" s="16" t="n">
        <v>44180</v>
      </c>
      <c r="B2173" s="23" t="n">
        <f aca="false">YEAR(A2173)</f>
        <v>2020</v>
      </c>
      <c r="C2173" s="17" t="n">
        <v>19451.34</v>
      </c>
      <c r="D2173" s="23" t="n">
        <f aca="false">A2173-A2172</f>
        <v>1</v>
      </c>
      <c r="E2173" s="24" t="n">
        <f aca="false">LN(C2173)</f>
        <v>9.87567124127501</v>
      </c>
      <c r="F2173" s="25" t="n">
        <f aca="false">LN(C2173/C2172)</f>
        <v>0.00841052800841806</v>
      </c>
      <c r="G2173" s="25" t="n">
        <f aca="false">IF(AND(D2173=1,A2173&gt;=$R$2),F2173,"")</f>
        <v>0.00841052800841806</v>
      </c>
      <c r="H2173" s="27" t="n">
        <f aca="false">IF(G2173="","",G2173^2)</f>
        <v>7.07369813803846E-005</v>
      </c>
      <c r="I2173" s="25" t="n">
        <f aca="false">IF(G2173="","",C2173/C2172-1)</f>
        <v>0.00844599586384165</v>
      </c>
      <c r="J2173" s="17" t="n">
        <f aca="false">AVERAGE(C1974:C2173)</f>
        <v>12167.78565</v>
      </c>
      <c r="K2173" s="17" t="n">
        <f aca="false">MAX(K2172,C2173)</f>
        <v>19727</v>
      </c>
      <c r="L2173" s="25" t="n">
        <f aca="false">C2173/K2173-1</f>
        <v>-0.0139737415724641</v>
      </c>
      <c r="M2173" s="25" t="n">
        <f aca="false">IF(COUNT(G2144:G2173)&lt;20,"",_xlfn.STDEV.S(G2144:G2173)*SQRT($R$3))</f>
        <v>0.6631885341187</v>
      </c>
      <c r="N2173" s="25" t="n">
        <f aca="false">IF(A2173-7&lt;$R$2,"",C2173/INDEX(Clean_Data!$C$2:$C$4314,MATCH(A2173-7,Clean_Data!$A$2:$A$4314,1))-1)</f>
        <v>0.0622321393465184</v>
      </c>
      <c r="O2173" s="25" t="n">
        <f aca="false">IF(A2173-30&lt;$R$2,"",C2173/INDEX(Clean_Data!$C$2:$C$4314,MATCH(A2173-30,Clean_Data!$A$2:$A$4314,1))-1)</f>
        <v>0.219776705312216</v>
      </c>
    </row>
    <row r="2174" customFormat="false" ht="15" hidden="false" customHeight="false" outlineLevel="0" collapsed="false">
      <c r="A2174" s="16" t="n">
        <v>44181</v>
      </c>
      <c r="B2174" s="23" t="n">
        <f aca="false">YEAR(A2174)</f>
        <v>2020</v>
      </c>
      <c r="C2174" s="17" t="n">
        <v>21384.63</v>
      </c>
      <c r="D2174" s="23" t="n">
        <f aca="false">A2174-A2173</f>
        <v>1</v>
      </c>
      <c r="E2174" s="24" t="n">
        <f aca="false">LN(C2174)</f>
        <v>9.97042771866424</v>
      </c>
      <c r="F2174" s="25" t="n">
        <f aca="false">LN(C2174/C2173)</f>
        <v>0.0947564773892305</v>
      </c>
      <c r="G2174" s="25" t="n">
        <f aca="false">IF(AND(D2174=1,A2174&gt;=$R$2),F2174,"")</f>
        <v>0.0947564773892305</v>
      </c>
      <c r="H2174" s="27" t="n">
        <f aca="false">IF(G2174="","",G2174^2)</f>
        <v>0.00897879000721576</v>
      </c>
      <c r="I2174" s="25" t="n">
        <f aca="false">IF(G2174="","",C2174/C2173-1)</f>
        <v>0.0993910959347788</v>
      </c>
      <c r="J2174" s="17" t="n">
        <f aca="false">AVERAGE(C1975:C2174)</f>
        <v>12227.57445</v>
      </c>
      <c r="K2174" s="17" t="n">
        <f aca="false">MAX(K2173,C2174)</f>
        <v>21384.63</v>
      </c>
      <c r="L2174" s="25" t="n">
        <f aca="false">C2174/K2174-1</f>
        <v>0</v>
      </c>
      <c r="M2174" s="25" t="n">
        <f aca="false">IF(COUNT(G2145:G2174)&lt;20,"",_xlfn.STDEV.S(G2145:G2174)*SQRT($R$3))</f>
        <v>0.718383447757365</v>
      </c>
      <c r="N2174" s="25" t="n">
        <f aca="false">IF(A2174-7&lt;$R$2,"",C2174/INDEX(Clean_Data!$C$2:$C$4314,MATCH(A2174-7,Clean_Data!$A$2:$A$4314,1))-1)</f>
        <v>0.152809621126889</v>
      </c>
      <c r="O2174" s="25" t="n">
        <f aca="false">IF(A2174-30&lt;$R$2,"",C2174/INDEX(Clean_Data!$C$2:$C$4314,MATCH(A2174-30,Clean_Data!$A$2:$A$4314,1))-1)</f>
        <v>0.27939978150812</v>
      </c>
    </row>
    <row r="2175" customFormat="false" ht="15" hidden="false" customHeight="false" outlineLevel="0" collapsed="false">
      <c r="A2175" s="16" t="n">
        <v>44182</v>
      </c>
      <c r="B2175" s="23" t="n">
        <f aca="false">YEAR(A2175)</f>
        <v>2020</v>
      </c>
      <c r="C2175" s="17" t="n">
        <v>22830.34</v>
      </c>
      <c r="D2175" s="23" t="n">
        <f aca="false">A2175-A2174</f>
        <v>1</v>
      </c>
      <c r="E2175" s="24" t="n">
        <f aca="false">LN(C2175)</f>
        <v>10.035845632098</v>
      </c>
      <c r="F2175" s="25" t="n">
        <f aca="false">LN(C2175/C2174)</f>
        <v>0.0654179134337685</v>
      </c>
      <c r="G2175" s="25" t="n">
        <f aca="false">IF(AND(D2175=1,A2175&gt;=$R$2),F2175,"")</f>
        <v>0.0654179134337685</v>
      </c>
      <c r="H2175" s="27" t="n">
        <f aca="false">IF(G2175="","",G2175^2)</f>
        <v>0.00427950339802803</v>
      </c>
      <c r="I2175" s="25" t="n">
        <f aca="false">IF(G2175="","",C2175/C2174-1)</f>
        <v>0.0676050976799691</v>
      </c>
      <c r="J2175" s="17" t="n">
        <f aca="false">AVERAGE(C1976:C2175)</f>
        <v>12293.30315</v>
      </c>
      <c r="K2175" s="17" t="n">
        <f aca="false">MAX(K2174,C2175)</f>
        <v>22830.34</v>
      </c>
      <c r="L2175" s="25" t="n">
        <f aca="false">C2175/K2175-1</f>
        <v>0</v>
      </c>
      <c r="M2175" s="25" t="n">
        <f aca="false">IF(COUNT(G2146:G2175)&lt;20,"",_xlfn.STDEV.S(G2146:G2175)*SQRT($R$3))</f>
        <v>0.72772309631158</v>
      </c>
      <c r="N2175" s="25" t="n">
        <f aca="false">IF(A2175-7&lt;$R$2,"",C2175/INDEX(Clean_Data!$C$2:$C$4314,MATCH(A2175-7,Clean_Data!$A$2:$A$4314,1))-1)</f>
        <v>0.248460091432071</v>
      </c>
      <c r="O2175" s="25" t="n">
        <f aca="false">IF(A2175-30&lt;$R$2,"",C2175/INDEX(Clean_Data!$C$2:$C$4314,MATCH(A2175-30,Clean_Data!$A$2:$A$4314,1))-1)</f>
        <v>0.292705354766744</v>
      </c>
    </row>
    <row r="2176" customFormat="false" ht="15" hidden="false" customHeight="false" outlineLevel="0" collapsed="false">
      <c r="A2176" s="16" t="n">
        <v>44183</v>
      </c>
      <c r="B2176" s="23" t="n">
        <f aca="false">YEAR(A2176)</f>
        <v>2020</v>
      </c>
      <c r="C2176" s="17" t="n">
        <v>23169.26</v>
      </c>
      <c r="D2176" s="23" t="n">
        <f aca="false">A2176-A2175</f>
        <v>1</v>
      </c>
      <c r="E2176" s="24" t="n">
        <f aca="false">LN(C2176)</f>
        <v>10.0505816790657</v>
      </c>
      <c r="F2176" s="25" t="n">
        <f aca="false">LN(C2176/C2175)</f>
        <v>0.0147360469677192</v>
      </c>
      <c r="G2176" s="25" t="n">
        <f aca="false">IF(AND(D2176=1,A2176&gt;=$R$2),F2176,"")</f>
        <v>0.0147360469677192</v>
      </c>
      <c r="H2176" s="27" t="n">
        <f aca="false">IF(G2176="","",G2176^2)</f>
        <v>0.000217151080234825</v>
      </c>
      <c r="I2176" s="25" t="n">
        <f aca="false">IF(G2176="","",C2176/C2175-1)</f>
        <v>0.014845157803169</v>
      </c>
      <c r="J2176" s="17" t="n">
        <f aca="false">AVERAGE(C1977:C2176)</f>
        <v>12361.97045</v>
      </c>
      <c r="K2176" s="17" t="n">
        <f aca="false">MAX(K2175,C2176)</f>
        <v>23169.26</v>
      </c>
      <c r="L2176" s="25" t="n">
        <f aca="false">C2176/K2176-1</f>
        <v>0</v>
      </c>
      <c r="M2176" s="25" t="n">
        <f aca="false">IF(COUNT(G2147:G2176)&lt;20,"",_xlfn.STDEV.S(G2147:G2176)*SQRT($R$3))</f>
        <v>0.728037383771698</v>
      </c>
      <c r="N2176" s="25" t="n">
        <f aca="false">IF(A2176-7&lt;$R$2,"",C2176/INDEX(Clean_Data!$C$2:$C$4314,MATCH(A2176-7,Clean_Data!$A$2:$A$4314,1))-1)</f>
        <v>0.283747798942162</v>
      </c>
      <c r="O2176" s="25" t="n">
        <f aca="false">IF(A2176-30&lt;$R$2,"",C2176/INDEX(Clean_Data!$C$2:$C$4314,MATCH(A2176-30,Clean_Data!$A$2:$A$4314,1))-1)</f>
        <v>0.301437637408006</v>
      </c>
    </row>
    <row r="2177" customFormat="false" ht="15" hidden="false" customHeight="false" outlineLevel="0" collapsed="false">
      <c r="A2177" s="16" t="n">
        <v>44184</v>
      </c>
      <c r="B2177" s="23" t="n">
        <f aca="false">YEAR(A2177)</f>
        <v>2020</v>
      </c>
      <c r="C2177" s="17" t="n">
        <v>23814.91</v>
      </c>
      <c r="D2177" s="23" t="n">
        <f aca="false">A2177-A2176</f>
        <v>1</v>
      </c>
      <c r="E2177" s="24" t="n">
        <f aca="false">LN(C2177)</f>
        <v>10.078067134097</v>
      </c>
      <c r="F2177" s="25" t="n">
        <f aca="false">LN(C2177/C2176)</f>
        <v>0.027485455031291</v>
      </c>
      <c r="G2177" s="25" t="n">
        <f aca="false">IF(AND(D2177=1,A2177&gt;=$R$2),F2177,"")</f>
        <v>0.027485455031291</v>
      </c>
      <c r="H2177" s="27" t="n">
        <f aca="false">IF(G2177="","",G2177^2)</f>
        <v>0.000755450238277121</v>
      </c>
      <c r="I2177" s="25" t="n">
        <f aca="false">IF(G2177="","",C2177/C2176-1)</f>
        <v>0.0278666647100512</v>
      </c>
      <c r="J2177" s="17" t="n">
        <f aca="false">AVERAGE(C1978:C2177)</f>
        <v>12429.9831</v>
      </c>
      <c r="K2177" s="17" t="n">
        <f aca="false">MAX(K2176,C2177)</f>
        <v>23814.91</v>
      </c>
      <c r="L2177" s="25" t="n">
        <f aca="false">C2177/K2177-1</f>
        <v>0</v>
      </c>
      <c r="M2177" s="25" t="n">
        <f aca="false">IF(COUNT(G2148:G2177)&lt;20,"",_xlfn.STDEV.S(G2148:G2177)*SQRT($R$3))</f>
        <v>0.730188730406912</v>
      </c>
      <c r="N2177" s="25" t="n">
        <f aca="false">IF(A2177-7&lt;$R$2,"",C2177/INDEX(Clean_Data!$C$2:$C$4314,MATCH(A2177-7,Clean_Data!$A$2:$A$4314,1))-1)</f>
        <v>0.264976872852745</v>
      </c>
      <c r="O2177" s="25" t="n">
        <f aca="false">IF(A2177-30&lt;$R$2,"",C2177/INDEX(Clean_Data!$C$2:$C$4314,MATCH(A2177-30,Clean_Data!$A$2:$A$4314,1))-1)</f>
        <v>0.337582647923776</v>
      </c>
    </row>
    <row r="2178" customFormat="false" ht="15" hidden="false" customHeight="false" outlineLevel="0" collapsed="false">
      <c r="A2178" s="16" t="n">
        <v>44185</v>
      </c>
      <c r="B2178" s="23" t="n">
        <f aca="false">YEAR(A2178)</f>
        <v>2020</v>
      </c>
      <c r="C2178" s="17" t="n">
        <v>23451.68</v>
      </c>
      <c r="D2178" s="23" t="n">
        <f aca="false">A2178-A2177</f>
        <v>1</v>
      </c>
      <c r="E2178" s="24" t="n">
        <f aca="false">LN(C2178)</f>
        <v>10.0626974130993</v>
      </c>
      <c r="F2178" s="25" t="n">
        <f aca="false">LN(C2178/C2177)</f>
        <v>-0.0153697209977003</v>
      </c>
      <c r="G2178" s="25" t="n">
        <f aca="false">IF(AND(D2178=1,A2178&gt;=$R$2),F2178,"")</f>
        <v>-0.0153697209977003</v>
      </c>
      <c r="H2178" s="27" t="n">
        <f aca="false">IF(G2178="","",G2178^2)</f>
        <v>0.000236228323547148</v>
      </c>
      <c r="I2178" s="25" t="n">
        <f aca="false">IF(G2178="","",C2178/C2177-1)</f>
        <v>-0.0152522096451341</v>
      </c>
      <c r="J2178" s="17" t="n">
        <f aca="false">AVERAGE(C1979:C2178)</f>
        <v>12499.69475</v>
      </c>
      <c r="K2178" s="17" t="n">
        <f aca="false">MAX(K2177,C2178)</f>
        <v>23814.91</v>
      </c>
      <c r="L2178" s="25" t="n">
        <f aca="false">C2178/K2178-1</f>
        <v>-0.0152522096451341</v>
      </c>
      <c r="M2178" s="25" t="n">
        <f aca="false">IF(COUNT(G2149:G2178)&lt;20,"",_xlfn.STDEV.S(G2149:G2178)*SQRT($R$3))</f>
        <v>0.720875289261377</v>
      </c>
      <c r="N2178" s="25" t="n">
        <f aca="false">IF(A2178-7&lt;$R$2,"",C2178/INDEX(Clean_Data!$C$2:$C$4314,MATCH(A2178-7,Clean_Data!$A$2:$A$4314,1))-1)</f>
        <v>0.225716352445821</v>
      </c>
      <c r="O2178" s="25" t="n">
        <f aca="false">IF(A2178-30&lt;$R$2,"",C2178/INDEX(Clean_Data!$C$2:$C$4314,MATCH(A2178-30,Clean_Data!$A$2:$A$4314,1))-1)</f>
        <v>0.253908090041796</v>
      </c>
    </row>
    <row r="2179" customFormat="false" ht="15" hidden="false" customHeight="false" outlineLevel="0" collapsed="false">
      <c r="A2179" s="16" t="n">
        <v>44186</v>
      </c>
      <c r="B2179" s="23" t="n">
        <f aca="false">YEAR(A2179)</f>
        <v>2020</v>
      </c>
      <c r="C2179" s="17" t="n">
        <v>22777.26</v>
      </c>
      <c r="D2179" s="23" t="n">
        <f aca="false">A2179-A2178</f>
        <v>1</v>
      </c>
      <c r="E2179" s="24" t="n">
        <f aca="false">LN(C2179)</f>
        <v>10.0335179488186</v>
      </c>
      <c r="F2179" s="25" t="n">
        <f aca="false">LN(C2179/C2178)</f>
        <v>-0.0291794642806801</v>
      </c>
      <c r="G2179" s="25" t="n">
        <f aca="false">IF(AND(D2179=1,A2179&gt;=$R$2),F2179,"")</f>
        <v>-0.0291794642806801</v>
      </c>
      <c r="H2179" s="27" t="n">
        <f aca="false">IF(G2179="","",G2179^2)</f>
        <v>0.000851441135707486</v>
      </c>
      <c r="I2179" s="25" t="n">
        <f aca="false">IF(G2179="","",C2179/C2178-1)</f>
        <v>-0.0287578544479543</v>
      </c>
      <c r="J2179" s="17" t="n">
        <f aca="false">AVERAGE(C1980:C2179)</f>
        <v>12565.2177</v>
      </c>
      <c r="K2179" s="17" t="n">
        <f aca="false">MAX(K2178,C2179)</f>
        <v>23814.91</v>
      </c>
      <c r="L2179" s="25" t="n">
        <f aca="false">C2179/K2179-1</f>
        <v>-0.0435714432681039</v>
      </c>
      <c r="M2179" s="25" t="n">
        <f aca="false">IF(COUNT(G2150:G2179)&lt;20,"",_xlfn.STDEV.S(G2150:G2179)*SQRT($R$3))</f>
        <v>0.731862381183697</v>
      </c>
      <c r="N2179" s="25" t="n">
        <f aca="false">IF(A2179-7&lt;$R$2,"",C2179/INDEX(Clean_Data!$C$2:$C$4314,MATCH(A2179-7,Clean_Data!$A$2:$A$4314,1))-1)</f>
        <v>0.180876826159516</v>
      </c>
      <c r="O2179" s="25" t="n">
        <f aca="false">IF(A2179-30&lt;$R$2,"",C2179/INDEX(Clean_Data!$C$2:$C$4314,MATCH(A2179-30,Clean_Data!$A$2:$A$4314,1))-1)</f>
        <v>0.217375177310271</v>
      </c>
    </row>
    <row r="2180" customFormat="false" ht="15" hidden="false" customHeight="false" outlineLevel="0" collapsed="false">
      <c r="A2180" s="16" t="n">
        <v>44187</v>
      </c>
      <c r="B2180" s="23" t="n">
        <f aca="false">YEAR(A2180)</f>
        <v>2020</v>
      </c>
      <c r="C2180" s="17" t="n">
        <v>23839.99</v>
      </c>
      <c r="D2180" s="23" t="n">
        <f aca="false">A2180-A2179</f>
        <v>1</v>
      </c>
      <c r="E2180" s="24" t="n">
        <f aca="false">LN(C2180)</f>
        <v>10.0791197017161</v>
      </c>
      <c r="F2180" s="25" t="n">
        <f aca="false">LN(C2180/C2179)</f>
        <v>0.0456017528974714</v>
      </c>
      <c r="G2180" s="25" t="n">
        <f aca="false">IF(AND(D2180=1,A2180&gt;=$R$2),F2180,"")</f>
        <v>0.0456017528974714</v>
      </c>
      <c r="H2180" s="27" t="n">
        <f aca="false">IF(G2180="","",G2180^2)</f>
        <v>0.00207951986732204</v>
      </c>
      <c r="I2180" s="25" t="n">
        <f aca="false">IF(G2180="","",C2180/C2179-1)</f>
        <v>0.0466574996290161</v>
      </c>
      <c r="J2180" s="17" t="n">
        <f aca="false">AVERAGE(C1981:C2180)</f>
        <v>12635.4198</v>
      </c>
      <c r="K2180" s="17" t="n">
        <f aca="false">MAX(K2179,C2180)</f>
        <v>23839.99</v>
      </c>
      <c r="L2180" s="25" t="n">
        <f aca="false">C2180/K2180-1</f>
        <v>0</v>
      </c>
      <c r="M2180" s="25" t="n">
        <f aca="false">IF(COUNT(G2151:G2180)&lt;20,"",_xlfn.STDEV.S(G2151:G2180)*SQRT($R$3))</f>
        <v>0.740821644911185</v>
      </c>
      <c r="N2180" s="25" t="n">
        <f aca="false">IF(A2180-7&lt;$R$2,"",C2180/INDEX(Clean_Data!$C$2:$C$4314,MATCH(A2180-7,Clean_Data!$A$2:$A$4314,1))-1)</f>
        <v>0.225621987996714</v>
      </c>
      <c r="O2180" s="25" t="n">
        <f aca="false">IF(A2180-30&lt;$R$2,"",C2180/INDEX(Clean_Data!$C$2:$C$4314,MATCH(A2180-30,Clean_Data!$A$2:$A$4314,1))-1)</f>
        <v>0.290218687829726</v>
      </c>
    </row>
    <row r="2181" customFormat="false" ht="15" hidden="false" customHeight="false" outlineLevel="0" collapsed="false">
      <c r="A2181" s="16" t="n">
        <v>44188</v>
      </c>
      <c r="B2181" s="23" t="n">
        <f aca="false">YEAR(A2181)</f>
        <v>2020</v>
      </c>
      <c r="C2181" s="17" t="n">
        <v>23196.57</v>
      </c>
      <c r="D2181" s="23" t="n">
        <f aca="false">A2181-A2180</f>
        <v>1</v>
      </c>
      <c r="E2181" s="24" t="n">
        <f aca="false">LN(C2181)</f>
        <v>10.0517597018967</v>
      </c>
      <c r="F2181" s="25" t="n">
        <f aca="false">LN(C2181/C2180)</f>
        <v>-0.0273599998194196</v>
      </c>
      <c r="G2181" s="25" t="n">
        <f aca="false">IF(AND(D2181=1,A2181&gt;=$R$2),F2181,"")</f>
        <v>-0.0273599998194196</v>
      </c>
      <c r="H2181" s="27" t="n">
        <f aca="false">IF(G2181="","",G2181^2)</f>
        <v>0.000748569590118641</v>
      </c>
      <c r="I2181" s="25" t="n">
        <f aca="false">IF(G2181="","",C2181/C2180-1)</f>
        <v>-0.026989105280665</v>
      </c>
      <c r="J2181" s="17" t="n">
        <f aca="false">AVERAGE(C1982:C2181)</f>
        <v>12703.5579</v>
      </c>
      <c r="K2181" s="17" t="n">
        <f aca="false">MAX(K2180,C2181)</f>
        <v>23839.99</v>
      </c>
      <c r="L2181" s="25" t="n">
        <f aca="false">C2181/K2181-1</f>
        <v>-0.026989105280665</v>
      </c>
      <c r="M2181" s="25" t="n">
        <f aca="false">IF(COUNT(G2152:G2181)&lt;20,"",_xlfn.STDEV.S(G2152:G2181)*SQRT($R$3))</f>
        <v>0.750064055798095</v>
      </c>
      <c r="N2181" s="25" t="n">
        <f aca="false">IF(A2181-7&lt;$R$2,"",C2181/INDEX(Clean_Data!$C$2:$C$4314,MATCH(A2181-7,Clean_Data!$A$2:$A$4314,1))-1)</f>
        <v>0.0847309492846029</v>
      </c>
      <c r="O2181" s="25" t="n">
        <f aca="false">IF(A2181-30&lt;$R$2,"",C2181/INDEX(Clean_Data!$C$2:$C$4314,MATCH(A2181-30,Clean_Data!$A$2:$A$4314,1))-1)</f>
        <v>0.261285690283565</v>
      </c>
    </row>
    <row r="2182" customFormat="false" ht="15" hidden="false" customHeight="false" outlineLevel="0" collapsed="false">
      <c r="A2182" s="16" t="n">
        <v>44189</v>
      </c>
      <c r="B2182" s="23" t="n">
        <f aca="false">YEAR(A2182)</f>
        <v>2020</v>
      </c>
      <c r="C2182" s="17" t="n">
        <v>23740.01</v>
      </c>
      <c r="D2182" s="23" t="n">
        <f aca="false">A2182-A2181</f>
        <v>1</v>
      </c>
      <c r="E2182" s="24" t="n">
        <f aca="false">LN(C2182)</f>
        <v>10.0749170893936</v>
      </c>
      <c r="F2182" s="25" t="n">
        <f aca="false">LN(C2182/C2181)</f>
        <v>0.0231573874968705</v>
      </c>
      <c r="G2182" s="25" t="n">
        <f aca="false">IF(AND(D2182=1,A2182&gt;=$R$2),F2182,"")</f>
        <v>0.0231573874968705</v>
      </c>
      <c r="H2182" s="27" t="n">
        <f aca="false">IF(G2182="","",G2182^2)</f>
        <v>0.000536264595680215</v>
      </c>
      <c r="I2182" s="25" t="n">
        <f aca="false">IF(G2182="","",C2182/C2181-1)</f>
        <v>0.0234276015807509</v>
      </c>
      <c r="J2182" s="17" t="n">
        <f aca="false">AVERAGE(C1983:C2182)</f>
        <v>12773.93115</v>
      </c>
      <c r="K2182" s="17" t="n">
        <f aca="false">MAX(K2181,C2182)</f>
        <v>23839.99</v>
      </c>
      <c r="L2182" s="25" t="n">
        <f aca="false">C2182/K2182-1</f>
        <v>-0.00419379370545048</v>
      </c>
      <c r="M2182" s="25" t="n">
        <f aca="false">IF(COUNT(G2153:G2182)&lt;20,"",_xlfn.STDEV.S(G2153:G2182)*SQRT($R$3))</f>
        <v>0.741913665395729</v>
      </c>
      <c r="N2182" s="25" t="n">
        <f aca="false">IF(A2182-7&lt;$R$2,"",C2182/INDEX(Clean_Data!$C$2:$C$4314,MATCH(A2182-7,Clean_Data!$A$2:$A$4314,1))-1)</f>
        <v>0.0398447854915871</v>
      </c>
      <c r="O2182" s="25" t="n">
        <f aca="false">IF(A2182-30&lt;$R$2,"",C2182/INDEX(Clean_Data!$C$2:$C$4314,MATCH(A2182-30,Clean_Data!$A$2:$A$4314,1))-1)</f>
        <v>0.237421077952804</v>
      </c>
    </row>
    <row r="2183" customFormat="false" ht="15" hidden="false" customHeight="false" outlineLevel="0" collapsed="false">
      <c r="A2183" s="16" t="n">
        <v>44190</v>
      </c>
      <c r="B2183" s="23" t="n">
        <f aca="false">YEAR(A2183)</f>
        <v>2020</v>
      </c>
      <c r="C2183" s="17" t="n">
        <v>24736.42</v>
      </c>
      <c r="D2183" s="23" t="n">
        <f aca="false">A2183-A2182</f>
        <v>1</v>
      </c>
      <c r="E2183" s="24" t="n">
        <f aca="false">LN(C2183)</f>
        <v>10.1160319305444</v>
      </c>
      <c r="F2183" s="25" t="n">
        <f aca="false">LN(C2183/C2182)</f>
        <v>0.0411148411508628</v>
      </c>
      <c r="G2183" s="25" t="n">
        <f aca="false">IF(AND(D2183=1,A2183&gt;=$R$2),F2183,"")</f>
        <v>0.0411148411508628</v>
      </c>
      <c r="H2183" s="27" t="n">
        <f aca="false">IF(G2183="","",G2183^2)</f>
        <v>0.00169043016286068</v>
      </c>
      <c r="I2183" s="25" t="n">
        <f aca="false">IF(G2183="","",C2183/C2182-1)</f>
        <v>0.0419717599108003</v>
      </c>
      <c r="J2183" s="17" t="n">
        <f aca="false">AVERAGE(C1984:C2183)</f>
        <v>12848.79325</v>
      </c>
      <c r="K2183" s="17" t="n">
        <f aca="false">MAX(K2182,C2183)</f>
        <v>24736.42</v>
      </c>
      <c r="L2183" s="25" t="n">
        <f aca="false">C2183/K2183-1</f>
        <v>0</v>
      </c>
      <c r="M2183" s="25" t="n">
        <f aca="false">IF(COUNT(G2154:G2183)&lt;20,"",_xlfn.STDEV.S(G2154:G2183)*SQRT($R$3))</f>
        <v>0.741586775770895</v>
      </c>
      <c r="N2183" s="25" t="n">
        <f aca="false">IF(A2183-7&lt;$R$2,"",C2183/INDEX(Clean_Data!$C$2:$C$4314,MATCH(A2183-7,Clean_Data!$A$2:$A$4314,1))-1)</f>
        <v>0.0676396224998122</v>
      </c>
      <c r="O2183" s="25" t="n">
        <f aca="false">IF(A2183-30&lt;$R$2,"",C2183/INDEX(Clean_Data!$C$2:$C$4314,MATCH(A2183-30,Clean_Data!$A$2:$A$4314,1))-1)</f>
        <v>0.322368312025724</v>
      </c>
    </row>
    <row r="2184" customFormat="false" ht="15" hidden="false" customHeight="false" outlineLevel="0" collapsed="false">
      <c r="A2184" s="16" t="n">
        <v>44191</v>
      </c>
      <c r="B2184" s="23" t="n">
        <f aca="false">YEAR(A2184)</f>
        <v>2020</v>
      </c>
      <c r="C2184" s="17" t="n">
        <v>26519.1</v>
      </c>
      <c r="D2184" s="23" t="n">
        <f aca="false">A2184-A2183</f>
        <v>1</v>
      </c>
      <c r="E2184" s="24" t="n">
        <f aca="false">LN(C2184)</f>
        <v>10.1856205070724</v>
      </c>
      <c r="F2184" s="25" t="n">
        <f aca="false">LN(C2184/C2183)</f>
        <v>0.0695885765279291</v>
      </c>
      <c r="G2184" s="25" t="n">
        <f aca="false">IF(AND(D2184=1,A2184&gt;=$R$2),F2184,"")</f>
        <v>0.0695885765279291</v>
      </c>
      <c r="H2184" s="27" t="n">
        <f aca="false">IF(G2184="","",G2184^2)</f>
        <v>0.00484256998318345</v>
      </c>
      <c r="I2184" s="25" t="n">
        <f aca="false">IF(G2184="","",C2184/C2183-1)</f>
        <v>0.0720670169733535</v>
      </c>
      <c r="J2184" s="17" t="n">
        <f aca="false">AVERAGE(C1985:C2184)</f>
        <v>12932.21905</v>
      </c>
      <c r="K2184" s="17" t="n">
        <f aca="false">MAX(K2183,C2184)</f>
        <v>26519.1</v>
      </c>
      <c r="L2184" s="25" t="n">
        <f aca="false">C2184/K2184-1</f>
        <v>0</v>
      </c>
      <c r="M2184" s="25" t="n">
        <f aca="false">IF(COUNT(G2155:G2184)&lt;20,"",_xlfn.STDEV.S(G2155:G2184)*SQRT($R$3))</f>
        <v>0.687316596795888</v>
      </c>
      <c r="N2184" s="25" t="n">
        <f aca="false">IF(A2184-7&lt;$R$2,"",C2184/INDEX(Clean_Data!$C$2:$C$4314,MATCH(A2184-7,Clean_Data!$A$2:$A$4314,1))-1)</f>
        <v>0.113550292652796</v>
      </c>
      <c r="O2184" s="25" t="n">
        <f aca="false">IF(A2184-30&lt;$R$2,"",C2184/INDEX(Clean_Data!$C$2:$C$4314,MATCH(A2184-30,Clean_Data!$A$2:$A$4314,1))-1)</f>
        <v>0.544232225004367</v>
      </c>
    </row>
    <row r="2185" customFormat="false" ht="15" hidden="false" customHeight="false" outlineLevel="0" collapsed="false">
      <c r="A2185" s="16" t="n">
        <v>44192</v>
      </c>
      <c r="B2185" s="23" t="n">
        <f aca="false">YEAR(A2185)</f>
        <v>2020</v>
      </c>
      <c r="C2185" s="17" t="n">
        <v>26320.06</v>
      </c>
      <c r="D2185" s="23" t="n">
        <f aca="false">A2185-A2184</f>
        <v>1</v>
      </c>
      <c r="E2185" s="24" t="n">
        <f aca="false">LN(C2185)</f>
        <v>10.1780866650719</v>
      </c>
      <c r="F2185" s="25" t="n">
        <f aca="false">LN(C2185/C2184)</f>
        <v>-0.00753384200044027</v>
      </c>
      <c r="G2185" s="25" t="n">
        <f aca="false">IF(AND(D2185=1,A2185&gt;=$R$2),F2185,"")</f>
        <v>-0.00753384200044027</v>
      </c>
      <c r="H2185" s="27" t="n">
        <f aca="false">IF(G2185="","",G2185^2)</f>
        <v>5.67587752875979E-005</v>
      </c>
      <c r="I2185" s="25" t="n">
        <f aca="false">IF(G2185="","",C2185/C2184-1)</f>
        <v>-0.00750553374737439</v>
      </c>
      <c r="J2185" s="17" t="n">
        <f aca="false">AVERAGE(C1986:C2185)</f>
        <v>13014.92635</v>
      </c>
      <c r="K2185" s="17" t="n">
        <f aca="false">MAX(K2184,C2185)</f>
        <v>26519.1</v>
      </c>
      <c r="L2185" s="25" t="n">
        <f aca="false">C2185/K2185-1</f>
        <v>-0.00750553374737439</v>
      </c>
      <c r="M2185" s="25" t="n">
        <f aca="false">IF(COUNT(G2156:G2185)&lt;20,"",_xlfn.STDEV.S(G2156:G2185)*SQRT($R$3))</f>
        <v>0.68956221090117</v>
      </c>
      <c r="N2185" s="25" t="n">
        <f aca="false">IF(A2185-7&lt;$R$2,"",C2185/INDEX(Clean_Data!$C$2:$C$4314,MATCH(A2185-7,Clean_Data!$A$2:$A$4314,1))-1)</f>
        <v>0.122310214023047</v>
      </c>
      <c r="O2185" s="25" t="n">
        <f aca="false">IF(A2185-30&lt;$R$2,"",C2185/INDEX(Clean_Data!$C$2:$C$4314,MATCH(A2185-30,Clean_Data!$A$2:$A$4314,1))-1)</f>
        <v>0.5340721187108</v>
      </c>
    </row>
    <row r="2186" customFormat="false" ht="15" hidden="false" customHeight="false" outlineLevel="0" collapsed="false">
      <c r="A2186" s="16" t="n">
        <v>44193</v>
      </c>
      <c r="B2186" s="23" t="n">
        <f aca="false">YEAR(A2186)</f>
        <v>2020</v>
      </c>
      <c r="C2186" s="17" t="n">
        <v>27044.14</v>
      </c>
      <c r="D2186" s="23" t="n">
        <f aca="false">A2186-A2185</f>
        <v>1</v>
      </c>
      <c r="E2186" s="24" t="n">
        <f aca="false">LN(C2186)</f>
        <v>10.2052256249462</v>
      </c>
      <c r="F2186" s="25" t="n">
        <f aca="false">LN(C2186/C2185)</f>
        <v>0.0271389598742572</v>
      </c>
      <c r="G2186" s="25" t="n">
        <f aca="false">IF(AND(D2186=1,A2186&gt;=$R$2),F2186,"")</f>
        <v>0.0271389598742572</v>
      </c>
      <c r="H2186" s="27" t="n">
        <f aca="false">IF(G2186="","",G2186^2)</f>
        <v>0.000736523143056541</v>
      </c>
      <c r="I2186" s="25" t="n">
        <f aca="false">IF(G2186="","",C2186/C2185-1)</f>
        <v>0.0275105755837941</v>
      </c>
      <c r="J2186" s="17" t="n">
        <f aca="false">AVERAGE(C1987:C2186)</f>
        <v>13100.65115</v>
      </c>
      <c r="K2186" s="17" t="n">
        <f aca="false">MAX(K2185,C2186)</f>
        <v>27044.14</v>
      </c>
      <c r="L2186" s="25" t="n">
        <f aca="false">C2186/K2186-1</f>
        <v>0</v>
      </c>
      <c r="M2186" s="25" t="n">
        <f aca="false">IF(COUNT(G2157:G2186)&lt;20,"",_xlfn.STDEV.S(G2157:G2186)*SQRT($R$3))</f>
        <v>0.68813238379959</v>
      </c>
      <c r="N2186" s="25" t="n">
        <f aca="false">IF(A2186-7&lt;$R$2,"",C2186/INDEX(Clean_Data!$C$2:$C$4314,MATCH(A2186-7,Clean_Data!$A$2:$A$4314,1))-1)</f>
        <v>0.187330697370975</v>
      </c>
      <c r="O2186" s="25" t="n">
        <f aca="false">IF(A2186-30&lt;$R$2,"",C2186/INDEX(Clean_Data!$C$2:$C$4314,MATCH(A2186-30,Clean_Data!$A$2:$A$4314,1))-1)</f>
        <v>0.526339434370114</v>
      </c>
    </row>
    <row r="2187" customFormat="false" ht="15" hidden="false" customHeight="false" outlineLevel="0" collapsed="false">
      <c r="A2187" s="16" t="n">
        <v>44194</v>
      </c>
      <c r="B2187" s="23" t="n">
        <f aca="false">YEAR(A2187)</f>
        <v>2020</v>
      </c>
      <c r="C2187" s="17" t="n">
        <v>27407.85</v>
      </c>
      <c r="D2187" s="23" t="n">
        <f aca="false">A2187-A2186</f>
        <v>1</v>
      </c>
      <c r="E2187" s="24" t="n">
        <f aca="false">LN(C2187)</f>
        <v>10.2185847476943</v>
      </c>
      <c r="F2187" s="25" t="n">
        <f aca="false">LN(C2187/C2186)</f>
        <v>0.0133591227481132</v>
      </c>
      <c r="G2187" s="25" t="n">
        <f aca="false">IF(AND(D2187=1,A2187&gt;=$R$2),F2187,"")</f>
        <v>0.0133591227481132</v>
      </c>
      <c r="H2187" s="27" t="n">
        <f aca="false">IF(G2187="","",G2187^2)</f>
        <v>0.000178466160599156</v>
      </c>
      <c r="I2187" s="25" t="n">
        <f aca="false">IF(G2187="","",C2187/C2186-1)</f>
        <v>0.0134487545176145</v>
      </c>
      <c r="J2187" s="17" t="n">
        <f aca="false">AVERAGE(C1988:C2187)</f>
        <v>13191.3969</v>
      </c>
      <c r="K2187" s="17" t="n">
        <f aca="false">MAX(K2186,C2187)</f>
        <v>27407.85</v>
      </c>
      <c r="L2187" s="25" t="n">
        <f aca="false">C2187/K2187-1</f>
        <v>0</v>
      </c>
      <c r="M2187" s="25" t="n">
        <f aca="false">IF(COUNT(G2158:G2187)&lt;20,"",_xlfn.STDEV.S(G2158:G2187)*SQRT($R$3))</f>
        <v>0.686045624936049</v>
      </c>
      <c r="N2187" s="25" t="n">
        <f aca="false">IF(A2187-7&lt;$R$2,"",C2187/INDEX(Clean_Data!$C$2:$C$4314,MATCH(A2187-7,Clean_Data!$A$2:$A$4314,1))-1)</f>
        <v>0.149658619823246</v>
      </c>
      <c r="O2187" s="25" t="n">
        <f aca="false">IF(A2187-30&lt;$R$2,"",C2187/INDEX(Clean_Data!$C$2:$C$4314,MATCH(A2187-30,Clean_Data!$A$2:$A$4314,1))-1)</f>
        <v>0.502745288543149</v>
      </c>
    </row>
    <row r="2188" customFormat="false" ht="15" hidden="false" customHeight="false" outlineLevel="0" collapsed="false">
      <c r="A2188" s="16" t="n">
        <v>44195</v>
      </c>
      <c r="B2188" s="23" t="n">
        <f aca="false">YEAR(A2188)</f>
        <v>2020</v>
      </c>
      <c r="C2188" s="17" t="n">
        <v>28934.56</v>
      </c>
      <c r="D2188" s="23" t="n">
        <f aca="false">A2188-A2187</f>
        <v>1</v>
      </c>
      <c r="E2188" s="24" t="n">
        <f aca="false">LN(C2188)</f>
        <v>10.272792007395</v>
      </c>
      <c r="F2188" s="25" t="n">
        <f aca="false">LN(C2188/C2187)</f>
        <v>0.0542072597007136</v>
      </c>
      <c r="G2188" s="25" t="n">
        <f aca="false">IF(AND(D2188=1,A2188&gt;=$R$2),F2188,"")</f>
        <v>0.0542072597007136</v>
      </c>
      <c r="H2188" s="27" t="n">
        <f aca="false">IF(G2188="","",G2188^2)</f>
        <v>0.00293842700426061</v>
      </c>
      <c r="I2188" s="25" t="n">
        <f aca="false">IF(G2188="","",C2188/C2187-1)</f>
        <v>0.055703384249403</v>
      </c>
      <c r="J2188" s="17" t="n">
        <f aca="false">AVERAGE(C1989:C2188)</f>
        <v>13288.73585</v>
      </c>
      <c r="K2188" s="17" t="n">
        <f aca="false">MAX(K2187,C2188)</f>
        <v>28934.56</v>
      </c>
      <c r="L2188" s="25" t="n">
        <f aca="false">C2188/K2188-1</f>
        <v>0</v>
      </c>
      <c r="M2188" s="25" t="n">
        <f aca="false">IF(COUNT(G2159:G2188)&lt;20,"",_xlfn.STDEV.S(G2159:G2188)*SQRT($R$3))</f>
        <v>0.661978937576313</v>
      </c>
      <c r="N2188" s="25" t="n">
        <f aca="false">IF(A2188-7&lt;$R$2,"",C2188/INDEX(Clean_Data!$C$2:$C$4314,MATCH(A2188-7,Clean_Data!$A$2:$A$4314,1))-1)</f>
        <v>0.247363726619927</v>
      </c>
      <c r="O2188" s="25" t="n">
        <f aca="false">IF(A2188-30&lt;$R$2,"",C2188/INDEX(Clean_Data!$C$2:$C$4314,MATCH(A2188-30,Clean_Data!$A$2:$A$4314,1))-1)</f>
        <v>0.466749125563948</v>
      </c>
    </row>
    <row r="2189" customFormat="false" ht="15" hidden="false" customHeight="false" outlineLevel="0" collapsed="false">
      <c r="A2189" s="16" t="n">
        <v>44196</v>
      </c>
      <c r="B2189" s="23" t="n">
        <f aca="false">YEAR(A2189)</f>
        <v>2020</v>
      </c>
      <c r="C2189" s="17" t="n">
        <v>29026.97</v>
      </c>
      <c r="D2189" s="23" t="n">
        <f aca="false">A2189-A2188</f>
        <v>1</v>
      </c>
      <c r="E2189" s="24" t="n">
        <f aca="false">LN(C2189)</f>
        <v>10.2759806767865</v>
      </c>
      <c r="F2189" s="25" t="n">
        <f aca="false">LN(C2189/C2188)</f>
        <v>0.00318866939154553</v>
      </c>
      <c r="G2189" s="25" t="n">
        <f aca="false">IF(AND(D2189=1,A2189&gt;=$R$2),F2189,"")</f>
        <v>0.00318866939154553</v>
      </c>
      <c r="H2189" s="27" t="n">
        <f aca="false">IF(G2189="","",G2189^2)</f>
        <v>1.01676124885794E-005</v>
      </c>
      <c r="I2189" s="25" t="n">
        <f aca="false">IF(G2189="","",C2189/C2188-1)</f>
        <v>0.00319375860562587</v>
      </c>
      <c r="J2189" s="17" t="n">
        <f aca="false">AVERAGE(C1990:C2189)</f>
        <v>13386.48485</v>
      </c>
      <c r="K2189" s="17" t="n">
        <f aca="false">MAX(K2188,C2189)</f>
        <v>29026.97</v>
      </c>
      <c r="L2189" s="25" t="n">
        <f aca="false">C2189/K2189-1</f>
        <v>0</v>
      </c>
      <c r="M2189" s="25" t="n">
        <f aca="false">IF(COUNT(G2160:G2189)&lt;20,"",_xlfn.STDEV.S(G2160:G2189)*SQRT($R$3))</f>
        <v>0.62326707286719</v>
      </c>
      <c r="N2189" s="25" t="n">
        <f aca="false">IF(A2189-7&lt;$R$2,"",C2189/INDEX(Clean_Data!$C$2:$C$4314,MATCH(A2189-7,Clean_Data!$A$2:$A$4314,1))-1)</f>
        <v>0.222702517816968</v>
      </c>
      <c r="O2189" s="25" t="n">
        <f aca="false">IF(A2189-30&lt;$R$2,"",C2189/INDEX(Clean_Data!$C$2:$C$4314,MATCH(A2189-30,Clean_Data!$A$2:$A$4314,1))-1)</f>
        <v>0.547003600103393</v>
      </c>
    </row>
    <row r="2190" customFormat="false" ht="15" hidden="false" customHeight="false" outlineLevel="0" collapsed="false">
      <c r="A2190" s="16" t="n">
        <v>44197</v>
      </c>
      <c r="B2190" s="23" t="n">
        <f aca="false">YEAR(A2190)</f>
        <v>2021</v>
      </c>
      <c r="C2190" s="17" t="n">
        <v>29391.09</v>
      </c>
      <c r="D2190" s="23" t="n">
        <f aca="false">A2190-A2189</f>
        <v>1</v>
      </c>
      <c r="E2190" s="24" t="n">
        <f aca="false">LN(C2190)</f>
        <v>10.28844684617</v>
      </c>
      <c r="F2190" s="25" t="n">
        <f aca="false">LN(C2190/C2189)</f>
        <v>0.0124661693834067</v>
      </c>
      <c r="G2190" s="25" t="n">
        <f aca="false">IF(AND(D2190=1,A2190&gt;=$R$2),F2190,"")</f>
        <v>0.0124661693834067</v>
      </c>
      <c r="H2190" s="27" t="n">
        <f aca="false">IF(G2190="","",G2190^2)</f>
        <v>0.000155405379095786</v>
      </c>
      <c r="I2190" s="25" t="n">
        <f aca="false">IF(G2190="","",C2190/C2189-1)</f>
        <v>0.0125441959667165</v>
      </c>
      <c r="J2190" s="17" t="n">
        <f aca="false">AVERAGE(C1991:C2190)</f>
        <v>13486.86175</v>
      </c>
      <c r="K2190" s="17" t="n">
        <f aca="false">MAX(K2189,C2190)</f>
        <v>29391.09</v>
      </c>
      <c r="L2190" s="25" t="n">
        <f aca="false">C2190/K2190-1</f>
        <v>0</v>
      </c>
      <c r="M2190" s="25" t="n">
        <f aca="false">IF(COUNT(G2161:G2190)&lt;20,"",_xlfn.STDEV.S(G2161:G2190)*SQRT($R$3))</f>
        <v>0.622068382105936</v>
      </c>
      <c r="N2190" s="25" t="n">
        <f aca="false">IF(A2190-7&lt;$R$2,"",C2190/INDEX(Clean_Data!$C$2:$C$4314,MATCH(A2190-7,Clean_Data!$A$2:$A$4314,1))-1)</f>
        <v>0.188170721551461</v>
      </c>
      <c r="O2190" s="25" t="n">
        <f aca="false">IF(A2190-30&lt;$R$2,"",C2190/INDEX(Clean_Data!$C$2:$C$4314,MATCH(A2190-30,Clean_Data!$A$2:$A$4314,1))-1)</f>
        <v>0.527158141519027</v>
      </c>
    </row>
    <row r="2191" customFormat="false" ht="15" hidden="false" customHeight="false" outlineLevel="0" collapsed="false">
      <c r="A2191" s="16" t="n">
        <v>44198</v>
      </c>
      <c r="B2191" s="23" t="n">
        <f aca="false">YEAR(A2191)</f>
        <v>2021</v>
      </c>
      <c r="C2191" s="17" t="n">
        <v>32244.73</v>
      </c>
      <c r="D2191" s="23" t="n">
        <f aca="false">A2191-A2190</f>
        <v>1</v>
      </c>
      <c r="E2191" s="24" t="n">
        <f aca="false">LN(C2191)</f>
        <v>10.3811098980182</v>
      </c>
      <c r="F2191" s="25" t="n">
        <f aca="false">LN(C2191/C2190)</f>
        <v>0.0926630518482473</v>
      </c>
      <c r="G2191" s="25" t="n">
        <f aca="false">IF(AND(D2191=1,A2191&gt;=$R$2),F2191,"")</f>
        <v>0.0926630518482473</v>
      </c>
      <c r="H2191" s="27" t="n">
        <f aca="false">IF(G2191="","",G2191^2)</f>
        <v>0.00858644117783097</v>
      </c>
      <c r="I2191" s="25" t="n">
        <f aca="false">IF(G2191="","",C2191/C2190-1)</f>
        <v>0.0970920098574091</v>
      </c>
      <c r="J2191" s="17" t="n">
        <f aca="false">AVERAGE(C1992:C2191)</f>
        <v>13600.89925</v>
      </c>
      <c r="K2191" s="17" t="n">
        <f aca="false">MAX(K2190,C2191)</f>
        <v>32244.73</v>
      </c>
      <c r="L2191" s="25" t="n">
        <f aca="false">C2191/K2191-1</f>
        <v>0</v>
      </c>
      <c r="M2191" s="25" t="n">
        <f aca="false">IF(COUNT(G2162:G2191)&lt;20,"",_xlfn.STDEV.S(G2162:G2191)*SQRT($R$3))</f>
        <v>0.679311315096245</v>
      </c>
      <c r="N2191" s="25" t="n">
        <f aca="false">IF(A2191-7&lt;$R$2,"",C2191/INDEX(Clean_Data!$C$2:$C$4314,MATCH(A2191-7,Clean_Data!$A$2:$A$4314,1))-1)</f>
        <v>0.215905894242263</v>
      </c>
      <c r="O2191" s="25" t="n">
        <f aca="false">IF(A2191-30&lt;$R$2,"",C2191/INDEX(Clean_Data!$C$2:$C$4314,MATCH(A2191-30,Clean_Data!$A$2:$A$4314,1))-1)</f>
        <v>0.659527217349191</v>
      </c>
    </row>
    <row r="2192" customFormat="false" ht="15" hidden="false" customHeight="false" outlineLevel="0" collapsed="false">
      <c r="A2192" s="16" t="n">
        <v>44199</v>
      </c>
      <c r="B2192" s="23" t="n">
        <f aca="false">YEAR(A2192)</f>
        <v>2021</v>
      </c>
      <c r="C2192" s="17" t="n">
        <v>33134.1</v>
      </c>
      <c r="D2192" s="23" t="n">
        <f aca="false">A2192-A2191</f>
        <v>1</v>
      </c>
      <c r="E2192" s="24" t="n">
        <f aca="false">LN(C2192)</f>
        <v>10.4083182425419</v>
      </c>
      <c r="F2192" s="25" t="n">
        <f aca="false">LN(C2192/C2191)</f>
        <v>0.0272083445236577</v>
      </c>
      <c r="G2192" s="25" t="n">
        <f aca="false">IF(AND(D2192=1,A2192&gt;=$R$2),F2192,"")</f>
        <v>0.0272083445236577</v>
      </c>
      <c r="H2192" s="27" t="n">
        <f aca="false">IF(G2192="","",G2192^2)</f>
        <v>0.000740294011718055</v>
      </c>
      <c r="I2192" s="25" t="n">
        <f aca="false">IF(G2192="","",C2192/C2191-1)</f>
        <v>0.0275818715182294</v>
      </c>
      <c r="J2192" s="17" t="n">
        <f aca="false">AVERAGE(C1993:C2192)</f>
        <v>13718.89575</v>
      </c>
      <c r="K2192" s="17" t="n">
        <f aca="false">MAX(K2191,C2192)</f>
        <v>33134.1</v>
      </c>
      <c r="L2192" s="25" t="n">
        <f aca="false">C2192/K2192-1</f>
        <v>0</v>
      </c>
      <c r="M2192" s="25" t="n">
        <f aca="false">IF(COUNT(G2163:G2192)&lt;20,"",_xlfn.STDEV.S(G2163:G2192)*SQRT($R$3))</f>
        <v>0.649679095918153</v>
      </c>
      <c r="N2192" s="25" t="n">
        <f aca="false">IF(A2192-7&lt;$R$2,"",C2192/INDEX(Clean_Data!$C$2:$C$4314,MATCH(A2192-7,Clean_Data!$A$2:$A$4314,1))-1)</f>
        <v>0.25889150708623</v>
      </c>
      <c r="O2192" s="25" t="n">
        <f aca="false">IF(A2192-30&lt;$R$2,"",C2192/INDEX(Clean_Data!$C$2:$C$4314,MATCH(A2192-30,Clean_Data!$A$2:$A$4314,1))-1)</f>
        <v>0.772605005692177</v>
      </c>
    </row>
    <row r="2193" customFormat="false" ht="15" hidden="false" customHeight="false" outlineLevel="0" collapsed="false">
      <c r="A2193" s="16" t="n">
        <v>44200</v>
      </c>
      <c r="B2193" s="23" t="n">
        <f aca="false">YEAR(A2193)</f>
        <v>2021</v>
      </c>
      <c r="C2193" s="17" t="n">
        <v>32127.31</v>
      </c>
      <c r="D2193" s="23" t="n">
        <f aca="false">A2193-A2192</f>
        <v>1</v>
      </c>
      <c r="E2193" s="24" t="n">
        <f aca="false">LN(C2193)</f>
        <v>10.3774617262272</v>
      </c>
      <c r="F2193" s="25" t="n">
        <f aca="false">LN(C2193/C2192)</f>
        <v>-0.0308565163147048</v>
      </c>
      <c r="G2193" s="25" t="n">
        <f aca="false">IF(AND(D2193=1,A2193&gt;=$R$2),F2193,"")</f>
        <v>-0.0308565163147048</v>
      </c>
      <c r="H2193" s="27" t="n">
        <f aca="false">IF(G2193="","",G2193^2)</f>
        <v>0.000952124599079643</v>
      </c>
      <c r="I2193" s="25" t="n">
        <f aca="false">IF(G2193="","",C2193/C2192-1)</f>
        <v>-0.030385313015896</v>
      </c>
      <c r="J2193" s="17" t="n">
        <f aca="false">AVERAGE(C1994:C2193)</f>
        <v>13832.22965</v>
      </c>
      <c r="K2193" s="17" t="n">
        <f aca="false">MAX(K2192,C2193)</f>
        <v>33134.1</v>
      </c>
      <c r="L2193" s="25" t="n">
        <f aca="false">C2193/K2193-1</f>
        <v>-0.030385313015896</v>
      </c>
      <c r="M2193" s="25" t="n">
        <f aca="false">IF(COUNT(G2164:G2193)&lt;20,"",_xlfn.STDEV.S(G2164:G2193)*SQRT($R$3))</f>
        <v>0.67216599671389</v>
      </c>
      <c r="N2193" s="25" t="n">
        <f aca="false">IF(A2193-7&lt;$R$2,"",C2193/INDEX(Clean_Data!$C$2:$C$4314,MATCH(A2193-7,Clean_Data!$A$2:$A$4314,1))-1)</f>
        <v>0.187958278577171</v>
      </c>
      <c r="O2193" s="25" t="n">
        <f aca="false">IF(A2193-30&lt;$R$2,"",C2193/INDEX(Clean_Data!$C$2:$C$4314,MATCH(A2193-30,Clean_Data!$A$2:$A$4314,1))-1)</f>
        <v>0.677069054258483</v>
      </c>
    </row>
    <row r="2194" customFormat="false" ht="15" hidden="false" customHeight="false" outlineLevel="0" collapsed="false">
      <c r="A2194" s="16" t="n">
        <v>44201</v>
      </c>
      <c r="B2194" s="23" t="n">
        <f aca="false">YEAR(A2194)</f>
        <v>2021</v>
      </c>
      <c r="C2194" s="17" t="n">
        <v>34131.23</v>
      </c>
      <c r="D2194" s="23" t="n">
        <f aca="false">A2194-A2193</f>
        <v>1</v>
      </c>
      <c r="E2194" s="24" t="n">
        <f aca="false">LN(C2194)</f>
        <v>10.437968079927</v>
      </c>
      <c r="F2194" s="25" t="n">
        <f aca="false">LN(C2194/C2193)</f>
        <v>0.0605063536998771</v>
      </c>
      <c r="G2194" s="25" t="n">
        <f aca="false">IF(AND(D2194=1,A2194&gt;=$R$2),F2194,"")</f>
        <v>0.0605063536998771</v>
      </c>
      <c r="H2194" s="27" t="n">
        <f aca="false">IF(G2194="","",G2194^2)</f>
        <v>0.00366101883805463</v>
      </c>
      <c r="I2194" s="25" t="n">
        <f aca="false">IF(G2194="","",C2194/C2193-1)</f>
        <v>0.0623743475566427</v>
      </c>
      <c r="J2194" s="17" t="n">
        <f aca="false">AVERAGE(C1995:C2194)</f>
        <v>13956.04505</v>
      </c>
      <c r="K2194" s="17" t="n">
        <f aca="false">MAX(K2193,C2194)</f>
        <v>34131.23</v>
      </c>
      <c r="L2194" s="25" t="n">
        <f aca="false">C2194/K2194-1</f>
        <v>0</v>
      </c>
      <c r="M2194" s="25" t="n">
        <f aca="false">IF(COUNT(G2165:G2194)&lt;20,"",_xlfn.STDEV.S(G2165:G2194)*SQRT($R$3))</f>
        <v>0.688562925106825</v>
      </c>
      <c r="N2194" s="25" t="n">
        <f aca="false">IF(A2194-7&lt;$R$2,"",C2194/INDEX(Clean_Data!$C$2:$C$4314,MATCH(A2194-7,Clean_Data!$A$2:$A$4314,1))-1)</f>
        <v>0.245308552111895</v>
      </c>
      <c r="O2194" s="25" t="n">
        <f aca="false">IF(A2194-30&lt;$R$2,"",C2194/INDEX(Clean_Data!$C$2:$C$4314,MATCH(A2194-30,Clean_Data!$A$2:$A$4314,1))-1)</f>
        <v>0.759606600581118</v>
      </c>
    </row>
    <row r="2195" customFormat="false" ht="15" hidden="false" customHeight="false" outlineLevel="0" collapsed="false">
      <c r="A2195" s="16" t="n">
        <v>44202</v>
      </c>
      <c r="B2195" s="23" t="n">
        <f aca="false">YEAR(A2195)</f>
        <v>2021</v>
      </c>
      <c r="C2195" s="17" t="n">
        <v>36979.81</v>
      </c>
      <c r="D2195" s="23" t="n">
        <f aca="false">A2195-A2194</f>
        <v>1</v>
      </c>
      <c r="E2195" s="24" t="n">
        <f aca="false">LN(C2195)</f>
        <v>10.5181273670155</v>
      </c>
      <c r="F2195" s="25" t="n">
        <f aca="false">LN(C2195/C2194)</f>
        <v>0.0801592870885043</v>
      </c>
      <c r="G2195" s="25" t="n">
        <f aca="false">IF(AND(D2195=1,A2195&gt;=$R$2),F2195,"")</f>
        <v>0.0801592870885043</v>
      </c>
      <c r="H2195" s="27" t="n">
        <f aca="false">IF(G2195="","",G2195^2)</f>
        <v>0.00642551130653725</v>
      </c>
      <c r="I2195" s="25" t="n">
        <f aca="false">IF(G2195="","",C2195/C2194-1)</f>
        <v>0.0834596350614962</v>
      </c>
      <c r="J2195" s="17" t="n">
        <f aca="false">AVERAGE(C1996:C2195)</f>
        <v>14094.5164</v>
      </c>
      <c r="K2195" s="17" t="n">
        <f aca="false">MAX(K2194,C2195)</f>
        <v>36979.81</v>
      </c>
      <c r="L2195" s="25" t="n">
        <f aca="false">C2195/K2195-1</f>
        <v>0</v>
      </c>
      <c r="M2195" s="25" t="n">
        <f aca="false">IF(COUNT(G2166:G2195)&lt;20,"",_xlfn.STDEV.S(G2166:G2195)*SQRT($R$3))</f>
        <v>0.712406648483813</v>
      </c>
      <c r="N2195" s="25" t="n">
        <f aca="false">IF(A2195-7&lt;$R$2,"",C2195/INDEX(Clean_Data!$C$2:$C$4314,MATCH(A2195-7,Clean_Data!$A$2:$A$4314,1))-1)</f>
        <v>0.278049847656228</v>
      </c>
      <c r="O2195" s="25" t="n">
        <f aca="false">IF(A2195-30&lt;$R$2,"",C2195/INDEX(Clean_Data!$C$2:$C$4314,MATCH(A2195-30,Clean_Data!$A$2:$A$4314,1))-1)</f>
        <v>0.925742909396924</v>
      </c>
    </row>
    <row r="2196" customFormat="false" ht="15" hidden="false" customHeight="false" outlineLevel="0" collapsed="false">
      <c r="A2196" s="16" t="n">
        <v>44203</v>
      </c>
      <c r="B2196" s="23" t="n">
        <f aca="false">YEAR(A2196)</f>
        <v>2021</v>
      </c>
      <c r="C2196" s="17" t="n">
        <v>39573.39</v>
      </c>
      <c r="D2196" s="23" t="n">
        <f aca="false">A2196-A2195</f>
        <v>1</v>
      </c>
      <c r="E2196" s="24" t="n">
        <f aca="false">LN(C2196)</f>
        <v>10.5859122016728</v>
      </c>
      <c r="F2196" s="25" t="n">
        <f aca="false">LN(C2196/C2195)</f>
        <v>0.0677848346572417</v>
      </c>
      <c r="G2196" s="25" t="n">
        <f aca="false">IF(AND(D2196=1,A2196&gt;=$R$2),F2196,"")</f>
        <v>0.0677848346572417</v>
      </c>
      <c r="H2196" s="27" t="n">
        <f aca="false">IF(G2196="","",G2196^2)</f>
        <v>0.0045947838095096</v>
      </c>
      <c r="I2196" s="25" t="n">
        <f aca="false">IF(G2196="","",C2196/C2195-1)</f>
        <v>0.0701350277354049</v>
      </c>
      <c r="J2196" s="17" t="n">
        <f aca="false">AVERAGE(C1997:C2196)</f>
        <v>14245.5743</v>
      </c>
      <c r="K2196" s="17" t="n">
        <f aca="false">MAX(K2195,C2196)</f>
        <v>39573.39</v>
      </c>
      <c r="L2196" s="25" t="n">
        <f aca="false">C2196/K2196-1</f>
        <v>0</v>
      </c>
      <c r="M2196" s="25" t="n">
        <f aca="false">IF(COUNT(G2167:G2196)&lt;20,"",_xlfn.STDEV.S(G2167:G2196)*SQRT($R$3))</f>
        <v>0.684075422054459</v>
      </c>
      <c r="N2196" s="25" t="n">
        <f aca="false">IF(A2196-7&lt;$R$2,"",C2196/INDEX(Clean_Data!$C$2:$C$4314,MATCH(A2196-7,Clean_Data!$A$2:$A$4314,1))-1)</f>
        <v>0.36333175663874</v>
      </c>
      <c r="O2196" s="25" t="n">
        <f aca="false">IF(A2196-30&lt;$R$2,"",C2196/INDEX(Clean_Data!$C$2:$C$4314,MATCH(A2196-30,Clean_Data!$A$2:$A$4314,1))-1)</f>
        <v>1.16109156083304</v>
      </c>
    </row>
    <row r="2197" customFormat="false" ht="15" hidden="false" customHeight="false" outlineLevel="0" collapsed="false">
      <c r="A2197" s="16" t="n">
        <v>44204</v>
      </c>
      <c r="B2197" s="23" t="n">
        <f aca="false">YEAR(A2197)</f>
        <v>2021</v>
      </c>
      <c r="C2197" s="17" t="n">
        <v>40666.72</v>
      </c>
      <c r="D2197" s="23" t="n">
        <f aca="false">A2197-A2196</f>
        <v>1</v>
      </c>
      <c r="E2197" s="24" t="n">
        <f aca="false">LN(C2197)</f>
        <v>10.6131653465218</v>
      </c>
      <c r="F2197" s="25" t="n">
        <f aca="false">LN(C2197/C2196)</f>
        <v>0.0272531448490605</v>
      </c>
      <c r="G2197" s="25" t="n">
        <f aca="false">IF(AND(D2197=1,A2197&gt;=$R$2),F2197,"")</f>
        <v>0.0272531448490605</v>
      </c>
      <c r="H2197" s="27" t="n">
        <f aca="false">IF(G2197="","",G2197^2)</f>
        <v>0.000742733904163875</v>
      </c>
      <c r="I2197" s="25" t="n">
        <f aca="false">IF(G2197="","",C2197/C2196-1)</f>
        <v>0.0276279085516808</v>
      </c>
      <c r="J2197" s="17" t="n">
        <f aca="false">AVERAGE(C1998:C2197)</f>
        <v>14402.5095</v>
      </c>
      <c r="K2197" s="17" t="n">
        <f aca="false">MAX(K2196,C2197)</f>
        <v>40666.72</v>
      </c>
      <c r="L2197" s="25" t="n">
        <f aca="false">C2197/K2197-1</f>
        <v>0</v>
      </c>
      <c r="M2197" s="25" t="n">
        <f aca="false">IF(COUNT(G2168:G2197)&lt;20,"",_xlfn.STDEV.S(G2168:G2197)*SQRT($R$3))</f>
        <v>0.682535421805367</v>
      </c>
      <c r="N2197" s="25" t="n">
        <f aca="false">IF(A2197-7&lt;$R$2,"",C2197/INDEX(Clean_Data!$C$2:$C$4314,MATCH(A2197-7,Clean_Data!$A$2:$A$4314,1))-1)</f>
        <v>0.383641096672495</v>
      </c>
      <c r="O2197" s="25" t="n">
        <f aca="false">IF(A2197-30&lt;$R$2,"",C2197/INDEX(Clean_Data!$C$2:$C$4314,MATCH(A2197-30,Clean_Data!$A$2:$A$4314,1))-1)</f>
        <v>1.19227482896236</v>
      </c>
    </row>
    <row r="2198" customFormat="false" ht="15" hidden="false" customHeight="false" outlineLevel="0" collapsed="false">
      <c r="A2198" s="16" t="n">
        <v>44205</v>
      </c>
      <c r="B2198" s="23" t="n">
        <f aca="false">YEAR(A2198)</f>
        <v>2021</v>
      </c>
      <c r="C2198" s="17" t="n">
        <v>40346.3</v>
      </c>
      <c r="D2198" s="23" t="n">
        <f aca="false">A2198-A2197</f>
        <v>1</v>
      </c>
      <c r="E2198" s="24" t="n">
        <f aca="false">LN(C2198)</f>
        <v>10.605254971848</v>
      </c>
      <c r="F2198" s="25" t="n">
        <f aca="false">LN(C2198/C2197)</f>
        <v>-0.00791037467382597</v>
      </c>
      <c r="G2198" s="25" t="n">
        <f aca="false">IF(AND(D2198=1,A2198&gt;=$R$2),F2198,"")</f>
        <v>-0.00791037467382597</v>
      </c>
      <c r="H2198" s="27" t="n">
        <f aca="false">IF(G2198="","",G2198^2)</f>
        <v>6.25740274803074E-005</v>
      </c>
      <c r="I2198" s="25" t="n">
        <f aca="false">IF(G2198="","",C2198/C2197-1)</f>
        <v>-0.00787916999453109</v>
      </c>
      <c r="J2198" s="17" t="n">
        <f aca="false">AVERAGE(C1999:C2198)</f>
        <v>14555.73645</v>
      </c>
      <c r="K2198" s="17" t="n">
        <f aca="false">MAX(K2197,C2198)</f>
        <v>40666.72</v>
      </c>
      <c r="L2198" s="25" t="n">
        <f aca="false">C2198/K2198-1</f>
        <v>-0.00787916999453109</v>
      </c>
      <c r="M2198" s="25" t="n">
        <f aca="false">IF(COUNT(G2169:G2198)&lt;20,"",_xlfn.STDEV.S(G2169:G2198)*SQRT($R$3))</f>
        <v>0.678124092070404</v>
      </c>
      <c r="N2198" s="25" t="n">
        <f aca="false">IF(A2198-7&lt;$R$2,"",C2198/INDEX(Clean_Data!$C$2:$C$4314,MATCH(A2198-7,Clean_Data!$A$2:$A$4314,1))-1)</f>
        <v>0.251252530258433</v>
      </c>
      <c r="O2198" s="25" t="n">
        <f aca="false">IF(A2198-30&lt;$R$2,"",C2198/INDEX(Clean_Data!$C$2:$C$4314,MATCH(A2198-30,Clean_Data!$A$2:$A$4314,1))-1)</f>
        <v>1.20630728175515</v>
      </c>
    </row>
    <row r="2199" customFormat="false" ht="15" hidden="false" customHeight="false" outlineLevel="0" collapsed="false">
      <c r="A2199" s="16" t="n">
        <v>44206</v>
      </c>
      <c r="B2199" s="23" t="n">
        <f aca="false">YEAR(A2199)</f>
        <v>2021</v>
      </c>
      <c r="C2199" s="17" t="n">
        <v>38242.02</v>
      </c>
      <c r="D2199" s="23" t="n">
        <f aca="false">A2199-A2198</f>
        <v>1</v>
      </c>
      <c r="E2199" s="24" t="n">
        <f aca="false">LN(C2199)</f>
        <v>10.551690190038</v>
      </c>
      <c r="F2199" s="25" t="n">
        <f aca="false">LN(C2199/C2198)</f>
        <v>-0.0535647818100404</v>
      </c>
      <c r="G2199" s="25" t="n">
        <f aca="false">IF(AND(D2199=1,A2199&gt;=$R$2),F2199,"")</f>
        <v>-0.0535647818100404</v>
      </c>
      <c r="H2199" s="27" t="n">
        <f aca="false">IF(G2199="","",G2199^2)</f>
        <v>0.00286918585035724</v>
      </c>
      <c r="I2199" s="25" t="n">
        <f aca="false">IF(G2199="","",C2199/C2198-1)</f>
        <v>-0.0521554640698158</v>
      </c>
      <c r="J2199" s="17" t="n">
        <f aca="false">AVERAGE(C2000:C2199)</f>
        <v>14698.82785</v>
      </c>
      <c r="K2199" s="17" t="n">
        <f aca="false">MAX(K2198,C2199)</f>
        <v>40666.72</v>
      </c>
      <c r="L2199" s="25" t="n">
        <f aca="false">C2199/K2199-1</f>
        <v>-0.0596236922967971</v>
      </c>
      <c r="M2199" s="25" t="n">
        <f aca="false">IF(COUNT(G2170:G2199)&lt;20,"",_xlfn.STDEV.S(G2170:G2199)*SQRT($R$3))</f>
        <v>0.721075617002516</v>
      </c>
      <c r="N2199" s="25" t="n">
        <f aca="false">IF(A2199-7&lt;$R$2,"",C2199/INDEX(Clean_Data!$C$2:$C$4314,MATCH(A2199-7,Clean_Data!$A$2:$A$4314,1))-1)</f>
        <v>0.154159008393166</v>
      </c>
      <c r="O2199" s="25" t="n">
        <f aca="false">IF(A2199-30&lt;$R$2,"",C2199/INDEX(Clean_Data!$C$2:$C$4314,MATCH(A2199-30,Clean_Data!$A$2:$A$4314,1))-1)</f>
        <v>1.11888981357636</v>
      </c>
    </row>
    <row r="2200" customFormat="false" ht="15" hidden="false" customHeight="false" outlineLevel="0" collapsed="false">
      <c r="A2200" s="16" t="n">
        <v>44207</v>
      </c>
      <c r="B2200" s="23" t="n">
        <f aca="false">YEAR(A2200)</f>
        <v>2021</v>
      </c>
      <c r="C2200" s="17" t="n">
        <v>35474.31</v>
      </c>
      <c r="D2200" s="23" t="n">
        <f aca="false">A2200-A2199</f>
        <v>1</v>
      </c>
      <c r="E2200" s="24" t="n">
        <f aca="false">LN(C2200)</f>
        <v>10.476564051522</v>
      </c>
      <c r="F2200" s="25" t="n">
        <f aca="false">LN(C2200/C2199)</f>
        <v>-0.0751261385160087</v>
      </c>
      <c r="G2200" s="25" t="n">
        <f aca="false">IF(AND(D2200=1,A2200&gt;=$R$2),F2200,"")</f>
        <v>-0.0751261385160087</v>
      </c>
      <c r="H2200" s="27" t="n">
        <f aca="false">IF(G2200="","",G2200^2)</f>
        <v>0.00564393668832652</v>
      </c>
      <c r="I2200" s="25" t="n">
        <f aca="false">IF(G2200="","",C2200/C2199-1)</f>
        <v>-0.072373530477731</v>
      </c>
      <c r="J2200" s="17" t="n">
        <f aca="false">AVERAGE(C2001:C2200)</f>
        <v>14829.7789</v>
      </c>
      <c r="K2200" s="17" t="n">
        <f aca="false">MAX(K2199,C2200)</f>
        <v>40666.72</v>
      </c>
      <c r="L2200" s="25" t="n">
        <f aca="false">C2200/K2200-1</f>
        <v>-0.127682045662891</v>
      </c>
      <c r="M2200" s="25" t="n">
        <f aca="false">IF(COUNT(G2171:G2200)&lt;20,"",_xlfn.STDEV.S(G2171:G2200)*SQRT($R$3))</f>
        <v>0.797941638656179</v>
      </c>
      <c r="N2200" s="25" t="n">
        <f aca="false">IF(A2200-7&lt;$R$2,"",C2200/INDEX(Clean_Data!$C$2:$C$4314,MATCH(A2200-7,Clean_Data!$A$2:$A$4314,1))-1)</f>
        <v>0.104179279248714</v>
      </c>
      <c r="O2200" s="25" t="n">
        <f aca="false">IF(A2200-30&lt;$R$2,"",C2200/INDEX(Clean_Data!$C$2:$C$4314,MATCH(A2200-30,Clean_Data!$A$2:$A$4314,1))-1)</f>
        <v>0.884289368736176</v>
      </c>
    </row>
    <row r="2201" customFormat="false" ht="15" hidden="false" customHeight="false" outlineLevel="0" collapsed="false">
      <c r="A2201" s="16" t="n">
        <v>44208</v>
      </c>
      <c r="B2201" s="23" t="n">
        <f aca="false">YEAR(A2201)</f>
        <v>2021</v>
      </c>
      <c r="C2201" s="17" t="n">
        <v>33968.43</v>
      </c>
      <c r="D2201" s="23" t="n">
        <f aca="false">A2201-A2200</f>
        <v>1</v>
      </c>
      <c r="E2201" s="24" t="n">
        <f aca="false">LN(C2201)</f>
        <v>10.4331868428361</v>
      </c>
      <c r="F2201" s="25" t="n">
        <f aca="false">LN(C2201/C2200)</f>
        <v>-0.0433772086858943</v>
      </c>
      <c r="G2201" s="25" t="n">
        <f aca="false">IF(AND(D2201=1,A2201&gt;=$R$2),F2201,"")</f>
        <v>-0.0433772086858943</v>
      </c>
      <c r="H2201" s="27" t="n">
        <f aca="false">IF(G2201="","",G2201^2)</f>
        <v>0.00188158223337963</v>
      </c>
      <c r="I2201" s="25" t="n">
        <f aca="false">IF(G2201="","",C2201/C2200-1)</f>
        <v>-0.0424498742893096</v>
      </c>
      <c r="J2201" s="17" t="n">
        <f aca="false">AVERAGE(C2002:C2201)</f>
        <v>14953.45685</v>
      </c>
      <c r="K2201" s="17" t="n">
        <f aca="false">MAX(K2200,C2201)</f>
        <v>40666.72</v>
      </c>
      <c r="L2201" s="25" t="n">
        <f aca="false">C2201/K2201-1</f>
        <v>-0.164711833164809</v>
      </c>
      <c r="M2201" s="25" t="n">
        <f aca="false">IF(COUNT(G2172:G2201)&lt;20,"",_xlfn.STDEV.S(G2172:G2201)*SQRT($R$3))</f>
        <v>0.829016741637365</v>
      </c>
      <c r="N2201" s="25" t="n">
        <f aca="false">IF(A2201-7&lt;$R$2,"",C2201/INDEX(Clean_Data!$C$2:$C$4314,MATCH(A2201-7,Clean_Data!$A$2:$A$4314,1))-1)</f>
        <v>-0.00476982517184421</v>
      </c>
      <c r="O2201" s="25" t="n">
        <f aca="false">IF(A2201-30&lt;$R$2,"",C2201/INDEX(Clean_Data!$C$2:$C$4314,MATCH(A2201-30,Clean_Data!$A$2:$A$4314,1))-1)</f>
        <v>0.775380702700669</v>
      </c>
    </row>
    <row r="2202" customFormat="false" ht="15" hidden="false" customHeight="false" outlineLevel="0" collapsed="false">
      <c r="A2202" s="16" t="n">
        <v>44209</v>
      </c>
      <c r="B2202" s="23" t="n">
        <f aca="false">YEAR(A2202)</f>
        <v>2021</v>
      </c>
      <c r="C2202" s="17" t="n">
        <v>37520.66</v>
      </c>
      <c r="D2202" s="23" t="n">
        <f aca="false">A2202-A2201</f>
        <v>1</v>
      </c>
      <c r="E2202" s="24" t="n">
        <f aca="false">LN(C2202)</f>
        <v>10.5326469935838</v>
      </c>
      <c r="F2202" s="25" t="n">
        <f aca="false">LN(C2202/C2201)</f>
        <v>0.0994601507477205</v>
      </c>
      <c r="G2202" s="25" t="n">
        <f aca="false">IF(AND(D2202=1,A2202&gt;=$R$2),F2202,"")</f>
        <v>0.0994601507477205</v>
      </c>
      <c r="H2202" s="27" t="n">
        <f aca="false">IF(G2202="","",G2202^2)</f>
        <v>0.00989232158675929</v>
      </c>
      <c r="I2202" s="25" t="n">
        <f aca="false">IF(G2202="","",C2202/C2201-1)</f>
        <v>0.104574453396875</v>
      </c>
      <c r="J2202" s="17" t="n">
        <f aca="false">AVERAGE(C2003:C2202)</f>
        <v>15095.27405</v>
      </c>
      <c r="K2202" s="17" t="n">
        <f aca="false">MAX(K2201,C2202)</f>
        <v>40666.72</v>
      </c>
      <c r="L2202" s="25" t="n">
        <f aca="false">C2202/K2202-1</f>
        <v>-0.0773620296891413</v>
      </c>
      <c r="M2202" s="25" t="n">
        <f aca="false">IF(COUNT(G2173:G2202)&lt;20,"",_xlfn.STDEV.S(G2173:G2202)*SQRT($R$3))</f>
        <v>0.873751050429926</v>
      </c>
      <c r="N2202" s="25" t="n">
        <f aca="false">IF(A2202-7&lt;$R$2,"",C2202/INDEX(Clean_Data!$C$2:$C$4314,MATCH(A2202-7,Clean_Data!$A$2:$A$4314,1))-1)</f>
        <v>0.0146255483735587</v>
      </c>
      <c r="O2202" s="25" t="n">
        <f aca="false">IF(A2202-30&lt;$R$2,"",C2202/INDEX(Clean_Data!$C$2:$C$4314,MATCH(A2202-30,Clean_Data!$A$2:$A$4314,1))-1)</f>
        <v>0.945241784842001</v>
      </c>
    </row>
    <row r="2203" customFormat="false" ht="15" hidden="false" customHeight="false" outlineLevel="0" collapsed="false">
      <c r="A2203" s="16" t="n">
        <v>44210</v>
      </c>
      <c r="B2203" s="23" t="n">
        <f aca="false">YEAR(A2203)</f>
        <v>2021</v>
      </c>
      <c r="C2203" s="17" t="n">
        <v>39171.12</v>
      </c>
      <c r="D2203" s="23" t="n">
        <f aca="false">A2203-A2202</f>
        <v>1</v>
      </c>
      <c r="E2203" s="24" t="n">
        <f aca="false">LN(C2203)</f>
        <v>10.5756950195623</v>
      </c>
      <c r="F2203" s="25" t="n">
        <f aca="false">LN(C2203/C2202)</f>
        <v>0.0430480259785189</v>
      </c>
      <c r="G2203" s="25" t="n">
        <f aca="false">IF(AND(D2203=1,A2203&gt;=$R$2),F2203,"")</f>
        <v>0.0430480259785189</v>
      </c>
      <c r="H2203" s="27" t="n">
        <f aca="false">IF(G2203="","",G2203^2)</f>
        <v>0.00185313254064724</v>
      </c>
      <c r="I2203" s="25" t="n">
        <f aca="false">IF(G2203="","",C2203/C2202-1)</f>
        <v>0.0439880321934636</v>
      </c>
      <c r="J2203" s="17" t="n">
        <f aca="false">AVERAGE(C2004:C2203)</f>
        <v>15246.12345</v>
      </c>
      <c r="K2203" s="17" t="n">
        <f aca="false">MAX(K2202,C2203)</f>
        <v>40666.72</v>
      </c>
      <c r="L2203" s="25" t="n">
        <f aca="false">C2203/K2203-1</f>
        <v>-0.0367770009481955</v>
      </c>
      <c r="M2203" s="25" t="n">
        <f aca="false">IF(COUNT(G2174:G2203)&lt;20,"",_xlfn.STDEV.S(G2174:G2203)*SQRT($R$3))</f>
        <v>0.875232882687872</v>
      </c>
      <c r="N2203" s="25" t="n">
        <f aca="false">IF(A2203-7&lt;$R$2,"",C2203/INDEX(Clean_Data!$C$2:$C$4314,MATCH(A2203-7,Clean_Data!$A$2:$A$4314,1))-1)</f>
        <v>-0.0101651640155164</v>
      </c>
      <c r="O2203" s="25" t="n">
        <f aca="false">IF(A2203-30&lt;$R$2,"",C2203/INDEX(Clean_Data!$C$2:$C$4314,MATCH(A2203-30,Clean_Data!$A$2:$A$4314,1))-1)</f>
        <v>1.01380059163019</v>
      </c>
    </row>
    <row r="2204" customFormat="false" ht="15" hidden="false" customHeight="false" outlineLevel="0" collapsed="false">
      <c r="A2204" s="16" t="n">
        <v>44211</v>
      </c>
      <c r="B2204" s="23" t="n">
        <f aca="false">YEAR(A2204)</f>
        <v>2021</v>
      </c>
      <c r="C2204" s="17" t="n">
        <v>36868.39</v>
      </c>
      <c r="D2204" s="23" t="n">
        <f aca="false">A2204-A2203</f>
        <v>1</v>
      </c>
      <c r="E2204" s="24" t="n">
        <f aca="false">LN(C2204)</f>
        <v>10.5151098233369</v>
      </c>
      <c r="F2204" s="25" t="n">
        <f aca="false">LN(C2204/C2203)</f>
        <v>-0.0605851962254318</v>
      </c>
      <c r="G2204" s="25" t="n">
        <f aca="false">IF(AND(D2204=1,A2204&gt;=$R$2),F2204,"")</f>
        <v>-0.0605851962254318</v>
      </c>
      <c r="H2204" s="27" t="n">
        <f aca="false">IF(G2204="","",G2204^2)</f>
        <v>0.00367056600167408</v>
      </c>
      <c r="I2204" s="25" t="n">
        <f aca="false">IF(G2204="","",C2204/C2203-1)</f>
        <v>-0.0587864222416924</v>
      </c>
      <c r="J2204" s="17" t="n">
        <f aca="false">AVERAGE(C2005:C2204)</f>
        <v>15384.8526</v>
      </c>
      <c r="K2204" s="17" t="n">
        <f aca="false">MAX(K2203,C2204)</f>
        <v>40666.72</v>
      </c>
      <c r="L2204" s="25" t="n">
        <f aca="false">C2204/K2204-1</f>
        <v>-0.0934014348833642</v>
      </c>
      <c r="M2204" s="25" t="n">
        <f aca="false">IF(COUNT(G2175:G2204)&lt;20,"",_xlfn.STDEV.S(G2175:G2204)*SQRT($R$3))</f>
        <v>0.883369835656575</v>
      </c>
      <c r="N2204" s="25" t="n">
        <f aca="false">IF(A2204-7&lt;$R$2,"",C2204/INDEX(Clean_Data!$C$2:$C$4314,MATCH(A2204-7,Clean_Data!$A$2:$A$4314,1))-1)</f>
        <v>-0.0934014348833642</v>
      </c>
      <c r="O2204" s="25" t="n">
        <f aca="false">IF(A2204-30&lt;$R$2,"",C2204/INDEX(Clean_Data!$C$2:$C$4314,MATCH(A2204-30,Clean_Data!$A$2:$A$4314,1))-1)</f>
        <v>0.724060224563156</v>
      </c>
    </row>
    <row r="2205" customFormat="false" ht="15" hidden="false" customHeight="false" outlineLevel="0" collapsed="false">
      <c r="A2205" s="16" t="n">
        <v>44212</v>
      </c>
      <c r="B2205" s="23" t="n">
        <f aca="false">YEAR(A2205)</f>
        <v>2021</v>
      </c>
      <c r="C2205" s="17" t="n">
        <v>35869.47</v>
      </c>
      <c r="D2205" s="23" t="n">
        <f aca="false">A2205-A2204</f>
        <v>1</v>
      </c>
      <c r="E2205" s="24" t="n">
        <f aca="false">LN(C2205)</f>
        <v>10.4876417948387</v>
      </c>
      <c r="F2205" s="25" t="n">
        <f aca="false">LN(C2205/C2204)</f>
        <v>-0.0274680284981813</v>
      </c>
      <c r="G2205" s="25" t="n">
        <f aca="false">IF(AND(D2205=1,A2205&gt;=$R$2),F2205,"")</f>
        <v>-0.0274680284981813</v>
      </c>
      <c r="H2205" s="27" t="n">
        <f aca="false">IF(G2205="","",G2205^2)</f>
        <v>0.000754492589576901</v>
      </c>
      <c r="I2205" s="25" t="n">
        <f aca="false">IF(G2205="","",C2205/C2204-1)</f>
        <v>-0.0270942126846331</v>
      </c>
      <c r="J2205" s="17" t="n">
        <f aca="false">AVERAGE(C2006:C2205)</f>
        <v>15518.2447</v>
      </c>
      <c r="K2205" s="17" t="n">
        <f aca="false">MAX(K2204,C2205)</f>
        <v>40666.72</v>
      </c>
      <c r="L2205" s="25" t="n">
        <f aca="false">C2205/K2205-1</f>
        <v>-0.117965009226217</v>
      </c>
      <c r="M2205" s="25" t="n">
        <f aca="false">IF(COUNT(G2176:G2205)&lt;20,"",_xlfn.STDEV.S(G2176:G2205)*SQRT($R$3))</f>
        <v>0.880231731342806</v>
      </c>
      <c r="N2205" s="25" t="n">
        <f aca="false">IF(A2205-7&lt;$R$2,"",C2205/INDEX(Clean_Data!$C$2:$C$4314,MATCH(A2205-7,Clean_Data!$A$2:$A$4314,1))-1)</f>
        <v>-0.110960112823233</v>
      </c>
      <c r="O2205" s="25" t="n">
        <f aca="false">IF(A2205-30&lt;$R$2,"",C2205/INDEX(Clean_Data!$C$2:$C$4314,MATCH(A2205-30,Clean_Data!$A$2:$A$4314,1))-1)</f>
        <v>0.571131660763703</v>
      </c>
    </row>
    <row r="2206" customFormat="false" ht="15" hidden="false" customHeight="false" outlineLevel="0" collapsed="false">
      <c r="A2206" s="16" t="n">
        <v>44213</v>
      </c>
      <c r="B2206" s="23" t="n">
        <f aca="false">YEAR(A2206)</f>
        <v>2021</v>
      </c>
      <c r="C2206" s="17" t="n">
        <v>35931.15</v>
      </c>
      <c r="D2206" s="23" t="n">
        <f aca="false">A2206-A2205</f>
        <v>1</v>
      </c>
      <c r="E2206" s="24" t="n">
        <f aca="false">LN(C2206)</f>
        <v>10.489359886275</v>
      </c>
      <c r="F2206" s="25" t="n">
        <f aca="false">LN(C2206/C2205)</f>
        <v>0.00171809143632596</v>
      </c>
      <c r="G2206" s="25" t="n">
        <f aca="false">IF(AND(D2206=1,A2206&gt;=$R$2),F2206,"")</f>
        <v>0.00171809143632596</v>
      </c>
      <c r="H2206" s="27" t="n">
        <f aca="false">IF(G2206="","",G2206^2)</f>
        <v>2.95183818357661E-006</v>
      </c>
      <c r="I2206" s="25" t="n">
        <f aca="false">IF(G2206="","",C2206/C2205-1)</f>
        <v>0.00171956820103558</v>
      </c>
      <c r="J2206" s="17" t="n">
        <f aca="false">AVERAGE(C2007:C2206)</f>
        <v>15652.2531</v>
      </c>
      <c r="K2206" s="17" t="n">
        <f aca="false">MAX(K2205,C2206)</f>
        <v>40666.72</v>
      </c>
      <c r="L2206" s="25" t="n">
        <f aca="false">C2206/K2206-1</f>
        <v>-0.116448289903882</v>
      </c>
      <c r="M2206" s="25" t="n">
        <f aca="false">IF(COUNT(G2177:G2206)&lt;20,"",_xlfn.STDEV.S(G2177:G2206)*SQRT($R$3))</f>
        <v>0.881462345610393</v>
      </c>
      <c r="N2206" s="25" t="n">
        <f aca="false">IF(A2206-7&lt;$R$2,"",C2206/INDEX(Clean_Data!$C$2:$C$4314,MATCH(A2206-7,Clean_Data!$A$2:$A$4314,1))-1)</f>
        <v>-0.0604275087979138</v>
      </c>
      <c r="O2206" s="25" t="n">
        <f aca="false">IF(A2206-30&lt;$R$2,"",C2206/INDEX(Clean_Data!$C$2:$C$4314,MATCH(A2206-30,Clean_Data!$A$2:$A$4314,1))-1)</f>
        <v>0.550811290477124</v>
      </c>
    </row>
    <row r="2207" customFormat="false" ht="15" hidden="false" customHeight="false" outlineLevel="0" collapsed="false">
      <c r="A2207" s="16" t="n">
        <v>44214</v>
      </c>
      <c r="B2207" s="23" t="n">
        <f aca="false">YEAR(A2207)</f>
        <v>2021</v>
      </c>
      <c r="C2207" s="17" t="n">
        <v>36765.97</v>
      </c>
      <c r="D2207" s="23" t="n">
        <f aca="false">A2207-A2206</f>
        <v>1</v>
      </c>
      <c r="E2207" s="24" t="n">
        <f aca="false">LN(C2207)</f>
        <v>10.5123279680712</v>
      </c>
      <c r="F2207" s="25" t="n">
        <f aca="false">LN(C2207/C2206)</f>
        <v>0.0229680817961899</v>
      </c>
      <c r="G2207" s="25" t="n">
        <f aca="false">IF(AND(D2207=1,A2207&gt;=$R$2),F2207,"")</f>
        <v>0.0229680817961899</v>
      </c>
      <c r="H2207" s="27" t="n">
        <f aca="false">IF(G2207="","",G2207^2)</f>
        <v>0.000527532781396468</v>
      </c>
      <c r="I2207" s="25" t="n">
        <f aca="false">IF(G2207="","",C2207/C2206-1)</f>
        <v>0.0232338792384881</v>
      </c>
      <c r="J2207" s="17" t="n">
        <f aca="false">AVERAGE(C2008:C2207)</f>
        <v>15789.8875</v>
      </c>
      <c r="K2207" s="17" t="n">
        <f aca="false">MAX(K2206,C2207)</f>
        <v>40666.72</v>
      </c>
      <c r="L2207" s="25" t="n">
        <f aca="false">C2207/K2207-1</f>
        <v>-0.0959199561705493</v>
      </c>
      <c r="M2207" s="25" t="n">
        <f aca="false">IF(COUNT(G2178:G2207)&lt;20,"",_xlfn.STDEV.S(G2178:G2207)*SQRT($R$3))</f>
        <v>0.880773439281176</v>
      </c>
      <c r="N2207" s="25" t="n">
        <f aca="false">IF(A2207-7&lt;$R$2,"",C2207/INDEX(Clean_Data!$C$2:$C$4314,MATCH(A2207-7,Clean_Data!$A$2:$A$4314,1))-1)</f>
        <v>0.03641113808838</v>
      </c>
      <c r="O2207" s="25" t="n">
        <f aca="false">IF(A2207-30&lt;$R$2,"",C2207/INDEX(Clean_Data!$C$2:$C$4314,MATCH(A2207-30,Clean_Data!$A$2:$A$4314,1))-1)</f>
        <v>0.543821496701016</v>
      </c>
    </row>
    <row r="2208" customFormat="false" ht="15" hidden="false" customHeight="false" outlineLevel="0" collapsed="false">
      <c r="A2208" s="16" t="n">
        <v>44215</v>
      </c>
      <c r="B2208" s="23" t="n">
        <f aca="false">YEAR(A2208)</f>
        <v>2021</v>
      </c>
      <c r="C2208" s="17" t="n">
        <v>35673.03</v>
      </c>
      <c r="D2208" s="23" t="n">
        <f aca="false">A2208-A2207</f>
        <v>1</v>
      </c>
      <c r="E2208" s="24" t="n">
        <f aca="false">LN(C2208)</f>
        <v>10.4821502200775</v>
      </c>
      <c r="F2208" s="25" t="n">
        <f aca="false">LN(C2208/C2207)</f>
        <v>-0.0301777479937076</v>
      </c>
      <c r="G2208" s="25" t="n">
        <f aca="false">IF(AND(D2208=1,A2208&gt;=$R$2),F2208,"")</f>
        <v>-0.0301777479937076</v>
      </c>
      <c r="H2208" s="27" t="n">
        <f aca="false">IF(G2208="","",G2208^2)</f>
        <v>0.000910696473971724</v>
      </c>
      <c r="I2208" s="25" t="n">
        <f aca="false">IF(G2208="","",C2208/C2207-1)</f>
        <v>-0.0297269458686933</v>
      </c>
      <c r="J2208" s="17" t="n">
        <f aca="false">AVERAGE(C2009:C2208)</f>
        <v>15922.80995</v>
      </c>
      <c r="K2208" s="17" t="n">
        <f aca="false">MAX(K2207,C2208)</f>
        <v>40666.72</v>
      </c>
      <c r="L2208" s="25" t="n">
        <f aca="false">C2208/K2208-1</f>
        <v>-0.122795494694433</v>
      </c>
      <c r="M2208" s="25" t="n">
        <f aca="false">IF(COUNT(G2179:G2208)&lt;20,"",_xlfn.STDEV.S(G2179:G2208)*SQRT($R$3))</f>
        <v>0.888568847558068</v>
      </c>
      <c r="N2208" s="25" t="n">
        <f aca="false">IF(A2208-7&lt;$R$2,"",C2208/INDEX(Clean_Data!$C$2:$C$4314,MATCH(A2208-7,Clean_Data!$A$2:$A$4314,1))-1)</f>
        <v>0.0501818894779653</v>
      </c>
      <c r="O2208" s="25" t="n">
        <f aca="false">IF(A2208-30&lt;$R$2,"",C2208/INDEX(Clean_Data!$C$2:$C$4314,MATCH(A2208-30,Clean_Data!$A$2:$A$4314,1))-1)</f>
        <v>0.521128976687384</v>
      </c>
    </row>
    <row r="2209" customFormat="false" ht="15" hidden="false" customHeight="false" outlineLevel="0" collapsed="false">
      <c r="A2209" s="16" t="n">
        <v>44216</v>
      </c>
      <c r="B2209" s="23" t="n">
        <f aca="false">YEAR(A2209)</f>
        <v>2021</v>
      </c>
      <c r="C2209" s="17" t="n">
        <v>35570.44</v>
      </c>
      <c r="D2209" s="23" t="n">
        <f aca="false">A2209-A2208</f>
        <v>1</v>
      </c>
      <c r="E2209" s="24" t="n">
        <f aca="false">LN(C2209)</f>
        <v>10.4792702348407</v>
      </c>
      <c r="F2209" s="25" t="n">
        <f aca="false">LN(C2209/C2208)</f>
        <v>-0.00287998523680747</v>
      </c>
      <c r="G2209" s="25" t="n">
        <f aca="false">IF(AND(D2209=1,A2209&gt;=$R$2),F2209,"")</f>
        <v>-0.00287998523680747</v>
      </c>
      <c r="H2209" s="27" t="n">
        <f aca="false">IF(G2209="","",G2209^2)</f>
        <v>8.294314964229E-006</v>
      </c>
      <c r="I2209" s="25" t="n">
        <f aca="false">IF(G2209="","",C2209/C2208-1)</f>
        <v>-0.0028758420577113</v>
      </c>
      <c r="J2209" s="17" t="n">
        <f aca="false">AVERAGE(C2010:C2209)</f>
        <v>16055.4119</v>
      </c>
      <c r="K2209" s="17" t="n">
        <f aca="false">MAX(K2208,C2209)</f>
        <v>40666.72</v>
      </c>
      <c r="L2209" s="25" t="n">
        <f aca="false">C2209/K2209-1</f>
        <v>-0.125318196304005</v>
      </c>
      <c r="M2209" s="25" t="n">
        <f aca="false">IF(COUNT(G2180:G2209)&lt;20,"",_xlfn.STDEV.S(G2180:G2209)*SQRT($R$3))</f>
        <v>0.877152308430272</v>
      </c>
      <c r="N2209" s="25" t="n">
        <f aca="false">IF(A2209-7&lt;$R$2,"",C2209/INDEX(Clean_Data!$C$2:$C$4314,MATCH(A2209-7,Clean_Data!$A$2:$A$4314,1))-1)</f>
        <v>-0.051977230677712</v>
      </c>
      <c r="O2209" s="25" t="n">
        <f aca="false">IF(A2209-30&lt;$R$2,"",C2209/INDEX(Clean_Data!$C$2:$C$4314,MATCH(A2209-30,Clean_Data!$A$2:$A$4314,1))-1)</f>
        <v>0.561664572472721</v>
      </c>
    </row>
    <row r="2210" customFormat="false" ht="15" hidden="false" customHeight="false" outlineLevel="0" collapsed="false">
      <c r="A2210" s="16" t="n">
        <v>44217</v>
      </c>
      <c r="B2210" s="23" t="n">
        <f aca="false">YEAR(A2210)</f>
        <v>2021</v>
      </c>
      <c r="C2210" s="17" t="n">
        <v>30647.26</v>
      </c>
      <c r="D2210" s="23" t="n">
        <f aca="false">A2210-A2209</f>
        <v>1</v>
      </c>
      <c r="E2210" s="24" t="n">
        <f aca="false">LN(C2210)</f>
        <v>10.3302985409572</v>
      </c>
      <c r="F2210" s="25" t="n">
        <f aca="false">LN(C2210/C2209)</f>
        <v>-0.148971693883524</v>
      </c>
      <c r="G2210" s="25" t="n">
        <f aca="false">IF(AND(D2210=1,A2210&gt;=$R$2),F2210,"")</f>
        <v>-0.148971693883524</v>
      </c>
      <c r="H2210" s="27" t="n">
        <f aca="false">IF(G2210="","",G2210^2)</f>
        <v>0.0221925655785264</v>
      </c>
      <c r="I2210" s="25" t="n">
        <f aca="false">IF(G2210="","",C2210/C2209-1)</f>
        <v>-0.13840649708016</v>
      </c>
      <c r="J2210" s="17" t="n">
        <f aca="false">AVERAGE(C2011:C2210)</f>
        <v>16162.9571</v>
      </c>
      <c r="K2210" s="17" t="n">
        <f aca="false">MAX(K2209,C2210)</f>
        <v>40666.72</v>
      </c>
      <c r="L2210" s="25" t="n">
        <f aca="false">C2210/K2210-1</f>
        <v>-0.246379840813324</v>
      </c>
      <c r="M2210" s="25" t="n">
        <f aca="false">IF(COUNT(G2181:G2210)&lt;20,"",_xlfn.STDEV.S(G2181:G2210)*SQRT($R$3))</f>
        <v>1.03895841222534</v>
      </c>
      <c r="N2210" s="25" t="n">
        <f aca="false">IF(A2210-7&lt;$R$2,"",C2210/INDEX(Clean_Data!$C$2:$C$4314,MATCH(A2210-7,Clean_Data!$A$2:$A$4314,1))-1)</f>
        <v>-0.217605725851086</v>
      </c>
      <c r="O2210" s="25" t="n">
        <f aca="false">IF(A2210-30&lt;$R$2,"",C2210/INDEX(Clean_Data!$C$2:$C$4314,MATCH(A2210-30,Clean_Data!$A$2:$A$4314,1))-1)</f>
        <v>0.285539968766765</v>
      </c>
    </row>
    <row r="2211" customFormat="false" ht="15" hidden="false" customHeight="false" outlineLevel="0" collapsed="false">
      <c r="A2211" s="16" t="n">
        <v>44218</v>
      </c>
      <c r="B2211" s="23" t="n">
        <f aca="false">YEAR(A2211)</f>
        <v>2021</v>
      </c>
      <c r="C2211" s="17" t="n">
        <v>32885.51</v>
      </c>
      <c r="D2211" s="23" t="n">
        <f aca="false">A2211-A2210</f>
        <v>1</v>
      </c>
      <c r="E2211" s="24" t="n">
        <f aca="false">LN(C2211)</f>
        <v>10.4007874142057</v>
      </c>
      <c r="F2211" s="25" t="n">
        <f aca="false">LN(C2211/C2210)</f>
        <v>0.0704888732485702</v>
      </c>
      <c r="G2211" s="25" t="n">
        <f aca="false">IF(AND(D2211=1,A2211&gt;=$R$2),F2211,"")</f>
        <v>0.0704888732485702</v>
      </c>
      <c r="H2211" s="27" t="n">
        <f aca="false">IF(G2211="","",G2211^2)</f>
        <v>0.004968681251853</v>
      </c>
      <c r="I2211" s="25" t="n">
        <f aca="false">IF(G2211="","",C2211/C2210-1)</f>
        <v>0.0730326299969395</v>
      </c>
      <c r="J2211" s="17" t="n">
        <f aca="false">AVERAGE(C2012:C2211)</f>
        <v>16281.94205</v>
      </c>
      <c r="K2211" s="17" t="n">
        <f aca="false">MAX(K2210,C2211)</f>
        <v>40666.72</v>
      </c>
      <c r="L2211" s="25" t="n">
        <f aca="false">C2211/K2211-1</f>
        <v>-0.191340978569208</v>
      </c>
      <c r="M2211" s="25" t="n">
        <f aca="false">IF(COUNT(G2182:G2211)&lt;20,"",_xlfn.STDEV.S(G2182:G2211)*SQRT($R$3))</f>
        <v>1.05257321757464</v>
      </c>
      <c r="N2211" s="25" t="n">
        <f aca="false">IF(A2211-7&lt;$R$2,"",C2211/INDEX(Clean_Data!$C$2:$C$4314,MATCH(A2211-7,Clean_Data!$A$2:$A$4314,1))-1)</f>
        <v>-0.108029669860821</v>
      </c>
      <c r="O2211" s="25" t="n">
        <f aca="false">IF(A2211-30&lt;$R$2,"",C2211/INDEX(Clean_Data!$C$2:$C$4314,MATCH(A2211-30,Clean_Data!$A$2:$A$4314,1))-1)</f>
        <v>0.41768847721883</v>
      </c>
    </row>
    <row r="2212" customFormat="false" ht="15" hidden="false" customHeight="false" outlineLevel="0" collapsed="false">
      <c r="A2212" s="16" t="n">
        <v>44219</v>
      </c>
      <c r="B2212" s="23" t="n">
        <f aca="false">YEAR(A2212)</f>
        <v>2021</v>
      </c>
      <c r="C2212" s="17" t="n">
        <v>32021.33</v>
      </c>
      <c r="D2212" s="23" t="n">
        <f aca="false">A2212-A2211</f>
        <v>1</v>
      </c>
      <c r="E2212" s="24" t="n">
        <f aca="false">LN(C2212)</f>
        <v>10.3741575222278</v>
      </c>
      <c r="F2212" s="25" t="n">
        <f aca="false">LN(C2212/C2211)</f>
        <v>-0.026629891977987</v>
      </c>
      <c r="G2212" s="25" t="n">
        <f aca="false">IF(AND(D2212=1,A2212&gt;=$R$2),F2212,"")</f>
        <v>-0.026629891977987</v>
      </c>
      <c r="H2212" s="27" t="n">
        <f aca="false">IF(G2212="","",G2212^2)</f>
        <v>0.000709151146759257</v>
      </c>
      <c r="I2212" s="25" t="n">
        <f aca="false">IF(G2212="","",C2212/C2211-1)</f>
        <v>-0.0262784429981472</v>
      </c>
      <c r="J2212" s="17" t="n">
        <f aca="false">AVERAGE(C2013:C2212)</f>
        <v>16395.39025</v>
      </c>
      <c r="K2212" s="17" t="n">
        <f aca="false">MAX(K2211,C2212)</f>
        <v>40666.72</v>
      </c>
      <c r="L2212" s="25" t="n">
        <f aca="false">C2212/K2212-1</f>
        <v>-0.212591278568815</v>
      </c>
      <c r="M2212" s="25" t="n">
        <f aca="false">IF(COUNT(G2183:G2212)&lt;20,"",_xlfn.STDEV.S(G2183:G2212)*SQRT($R$3))</f>
        <v>1.06001284804305</v>
      </c>
      <c r="N2212" s="25" t="n">
        <f aca="false">IF(A2212-7&lt;$R$2,"",C2212/INDEX(Clean_Data!$C$2:$C$4314,MATCH(A2212-7,Clean_Data!$A$2:$A$4314,1))-1)</f>
        <v>-0.107281763572197</v>
      </c>
      <c r="O2212" s="25" t="n">
        <f aca="false">IF(A2212-30&lt;$R$2,"",C2212/INDEX(Clean_Data!$C$2:$C$4314,MATCH(A2212-30,Clean_Data!$A$2:$A$4314,1))-1)</f>
        <v>0.348833888444024</v>
      </c>
    </row>
    <row r="2213" customFormat="false" ht="15" hidden="false" customHeight="false" outlineLevel="0" collapsed="false">
      <c r="A2213" s="16" t="n">
        <v>44220</v>
      </c>
      <c r="B2213" s="23" t="n">
        <f aca="false">YEAR(A2213)</f>
        <v>2021</v>
      </c>
      <c r="C2213" s="17" t="n">
        <v>32250.01</v>
      </c>
      <c r="D2213" s="23" t="n">
        <f aca="false">A2213-A2212</f>
        <v>1</v>
      </c>
      <c r="E2213" s="24" t="n">
        <f aca="false">LN(C2213)</f>
        <v>10.3812736323014</v>
      </c>
      <c r="F2213" s="25" t="n">
        <f aca="false">LN(C2213/C2212)</f>
        <v>0.00711611007363965</v>
      </c>
      <c r="G2213" s="25" t="n">
        <f aca="false">IF(AND(D2213=1,A2213&gt;=$R$2),F2213,"")</f>
        <v>0.00711611007363965</v>
      </c>
      <c r="H2213" s="27" t="n">
        <f aca="false">IF(G2213="","",G2213^2)</f>
        <v>5.06390225801556E-005</v>
      </c>
      <c r="I2213" s="25" t="n">
        <f aca="false">IF(G2213="","",C2213/C2212-1)</f>
        <v>0.00714148975073803</v>
      </c>
      <c r="J2213" s="17" t="n">
        <f aca="false">AVERAGE(C2014:C2213)</f>
        <v>16510.3225</v>
      </c>
      <c r="K2213" s="17" t="n">
        <f aca="false">MAX(K2212,C2213)</f>
        <v>40666.72</v>
      </c>
      <c r="L2213" s="25" t="n">
        <f aca="false">C2213/K2213-1</f>
        <v>-0.206968007255072</v>
      </c>
      <c r="M2213" s="25" t="n">
        <f aca="false">IF(COUNT(G2184:G2213)&lt;20,"",_xlfn.STDEV.S(G2184:G2213)*SQRT($R$3))</f>
        <v>1.05405890145712</v>
      </c>
      <c r="N2213" s="25" t="n">
        <f aca="false">IF(A2213-7&lt;$R$2,"",C2213/INDEX(Clean_Data!$C$2:$C$4314,MATCH(A2213-7,Clean_Data!$A$2:$A$4314,1))-1)</f>
        <v>-0.102449824177629</v>
      </c>
      <c r="O2213" s="25" t="n">
        <f aca="false">IF(A2213-30&lt;$R$2,"",C2213/INDEX(Clean_Data!$C$2:$C$4314,MATCH(A2213-30,Clean_Data!$A$2:$A$4314,1))-1)</f>
        <v>0.303746055411414</v>
      </c>
    </row>
    <row r="2214" customFormat="false" ht="15" hidden="false" customHeight="false" outlineLevel="0" collapsed="false">
      <c r="A2214" s="16" t="n">
        <v>44221</v>
      </c>
      <c r="B2214" s="23" t="n">
        <f aca="false">YEAR(A2214)</f>
        <v>2021</v>
      </c>
      <c r="C2214" s="17" t="n">
        <v>31979</v>
      </c>
      <c r="D2214" s="23" t="n">
        <f aca="false">A2214-A2213</f>
        <v>1</v>
      </c>
      <c r="E2214" s="24" t="n">
        <f aca="false">LN(C2214)</f>
        <v>10.3728347163556</v>
      </c>
      <c r="F2214" s="25" t="n">
        <f aca="false">LN(C2214/C2213)</f>
        <v>-0.0084389159458116</v>
      </c>
      <c r="G2214" s="25" t="n">
        <f aca="false">IF(AND(D2214=1,A2214&gt;=$R$2),F2214,"")</f>
        <v>-0.0084389159458116</v>
      </c>
      <c r="H2214" s="27" t="n">
        <f aca="false">IF(G2214="","",G2214^2)</f>
        <v>7.12153023404734E-005</v>
      </c>
      <c r="I2214" s="25" t="n">
        <f aca="false">IF(G2214="","",C2214/C2213-1)</f>
        <v>-0.00840340824700514</v>
      </c>
      <c r="J2214" s="17" t="n">
        <f aca="false">AVERAGE(C2015:C2214)</f>
        <v>16623.03745</v>
      </c>
      <c r="K2214" s="17" t="n">
        <f aca="false">MAX(K2213,C2214)</f>
        <v>40666.72</v>
      </c>
      <c r="L2214" s="25" t="n">
        <f aca="false">C2214/K2214-1</f>
        <v>-0.213632178843044</v>
      </c>
      <c r="M2214" s="25" t="n">
        <f aca="false">IF(COUNT(G2185:G2214)&lt;20,"",_xlfn.STDEV.S(G2185:G2214)*SQRT($R$3))</f>
        <v>1.03237510571888</v>
      </c>
      <c r="N2214" s="25" t="n">
        <f aca="false">IF(A2214-7&lt;$R$2,"",C2214/INDEX(Clean_Data!$C$2:$C$4314,MATCH(A2214-7,Clean_Data!$A$2:$A$4314,1))-1)</f>
        <v>-0.130201107165131</v>
      </c>
      <c r="O2214" s="25" t="n">
        <f aca="false">IF(A2214-30&lt;$R$2,"",C2214/INDEX(Clean_Data!$C$2:$C$4314,MATCH(A2214-30,Clean_Data!$A$2:$A$4314,1))-1)</f>
        <v>0.205885569268942</v>
      </c>
    </row>
    <row r="2215" customFormat="false" ht="15" hidden="false" customHeight="false" outlineLevel="0" collapsed="false">
      <c r="A2215" s="16" t="n">
        <v>44222</v>
      </c>
      <c r="B2215" s="23" t="n">
        <f aca="false">YEAR(A2215)</f>
        <v>2021</v>
      </c>
      <c r="C2215" s="17" t="n">
        <v>32579.82</v>
      </c>
      <c r="D2215" s="23" t="n">
        <f aca="false">A2215-A2214</f>
        <v>1</v>
      </c>
      <c r="E2215" s="24" t="n">
        <f aca="false">LN(C2215)</f>
        <v>10.3914483572789</v>
      </c>
      <c r="F2215" s="25" t="n">
        <f aca="false">LN(C2215/C2214)</f>
        <v>0.0186136409233173</v>
      </c>
      <c r="G2215" s="25" t="n">
        <f aca="false">IF(AND(D2215=1,A2215&gt;=$R$2),F2215,"")</f>
        <v>0.0186136409233173</v>
      </c>
      <c r="H2215" s="27" t="n">
        <f aca="false">IF(G2215="","",G2215^2)</f>
        <v>0.000346467628422191</v>
      </c>
      <c r="I2215" s="25" t="n">
        <f aca="false">IF(G2215="","",C2215/C2214-1)</f>
        <v>0.018787954595203</v>
      </c>
      <c r="J2215" s="17" t="n">
        <f aca="false">AVERAGE(C2016:C2215)</f>
        <v>16739.78415</v>
      </c>
      <c r="K2215" s="17" t="n">
        <f aca="false">MAX(K2214,C2215)</f>
        <v>40666.72</v>
      </c>
      <c r="L2215" s="25" t="n">
        <f aca="false">C2215/K2215-1</f>
        <v>-0.198857935924018</v>
      </c>
      <c r="M2215" s="25" t="n">
        <f aca="false">IF(COUNT(G2186:G2215)&lt;20,"",_xlfn.STDEV.S(G2186:G2215)*SQRT($R$3))</f>
        <v>1.03201279472729</v>
      </c>
      <c r="N2215" s="25" t="n">
        <f aca="false">IF(A2215-7&lt;$R$2,"",C2215/INDEX(Clean_Data!$C$2:$C$4314,MATCH(A2215-7,Clean_Data!$A$2:$A$4314,1))-1)</f>
        <v>-0.0867100439743974</v>
      </c>
      <c r="O2215" s="25" t="n">
        <f aca="false">IF(A2215-30&lt;$R$2,"",C2215/INDEX(Clean_Data!$C$2:$C$4314,MATCH(A2215-30,Clean_Data!$A$2:$A$4314,1))-1)</f>
        <v>0.237832284576859</v>
      </c>
    </row>
    <row r="2216" customFormat="false" ht="15" hidden="false" customHeight="false" outlineLevel="0" collapsed="false">
      <c r="A2216" s="16" t="n">
        <v>44223</v>
      </c>
      <c r="B2216" s="23" t="n">
        <f aca="false">YEAR(A2216)</f>
        <v>2021</v>
      </c>
      <c r="C2216" s="17" t="n">
        <v>30552.06</v>
      </c>
      <c r="D2216" s="23" t="n">
        <f aca="false">A2216-A2215</f>
        <v>1</v>
      </c>
      <c r="E2216" s="24" t="n">
        <f aca="false">LN(C2216)</f>
        <v>10.3271873927683</v>
      </c>
      <c r="F2216" s="25" t="n">
        <f aca="false">LN(C2216/C2215)</f>
        <v>-0.0642609645105857</v>
      </c>
      <c r="G2216" s="25" t="n">
        <f aca="false">IF(AND(D2216=1,A2216&gt;=$R$2),F2216,"")</f>
        <v>-0.0642609645105857</v>
      </c>
      <c r="H2216" s="27" t="n">
        <f aca="false">IF(G2216="","",G2216^2)</f>
        <v>0.00412947155983075</v>
      </c>
      <c r="I2216" s="25" t="n">
        <f aca="false">IF(G2216="","",C2216/C2215-1)</f>
        <v>-0.0622397545474468</v>
      </c>
      <c r="J2216" s="17" t="n">
        <f aca="false">AVERAGE(C2017:C2216)</f>
        <v>16846.05365</v>
      </c>
      <c r="K2216" s="17" t="n">
        <f aca="false">MAX(K2215,C2216)</f>
        <v>40666.72</v>
      </c>
      <c r="L2216" s="25" t="n">
        <f aca="false">C2216/K2216-1</f>
        <v>-0.248720821349743</v>
      </c>
      <c r="M2216" s="25" t="n">
        <f aca="false">IF(COUNT(G2187:G2216)&lt;20,"",_xlfn.STDEV.S(G2187:G2216)*SQRT($R$3))</f>
        <v>1.05859012573125</v>
      </c>
      <c r="N2216" s="25" t="n">
        <f aca="false">IF(A2216-7&lt;$R$2,"",C2216/INDEX(Clean_Data!$C$2:$C$4314,MATCH(A2216-7,Clean_Data!$A$2:$A$4314,1))-1)</f>
        <v>-0.14108287668075</v>
      </c>
      <c r="O2216" s="25" t="n">
        <f aca="false">IF(A2216-30&lt;$R$2,"",C2216/INDEX(Clean_Data!$C$2:$C$4314,MATCH(A2216-30,Clean_Data!$A$2:$A$4314,1))-1)</f>
        <v>0.12971090964623</v>
      </c>
    </row>
    <row r="2217" customFormat="false" ht="15" hidden="false" customHeight="false" outlineLevel="0" collapsed="false">
      <c r="A2217" s="16" t="n">
        <v>44224</v>
      </c>
      <c r="B2217" s="23" t="n">
        <f aca="false">YEAR(A2217)</f>
        <v>2021</v>
      </c>
      <c r="C2217" s="17" t="n">
        <v>33484.8</v>
      </c>
      <c r="D2217" s="23" t="n">
        <f aca="false">A2217-A2216</f>
        <v>1</v>
      </c>
      <c r="E2217" s="24" t="n">
        <f aca="false">LN(C2217)</f>
        <v>10.4188468835027</v>
      </c>
      <c r="F2217" s="25" t="n">
        <f aca="false">LN(C2217/C2216)</f>
        <v>0.0916594907343509</v>
      </c>
      <c r="G2217" s="25" t="n">
        <f aca="false">IF(AND(D2217=1,A2217&gt;=$R$2),F2217,"")</f>
        <v>0.0916594907343509</v>
      </c>
      <c r="H2217" s="27" t="n">
        <f aca="false">IF(G2217="","",G2217^2)</f>
        <v>0.00840146224168056</v>
      </c>
      <c r="I2217" s="25" t="n">
        <f aca="false">IF(G2217="","",C2217/C2216-1)</f>
        <v>0.0959915632530179</v>
      </c>
      <c r="J2217" s="17" t="n">
        <f aca="false">AVERAGE(C2018:C2217)</f>
        <v>16967.30265</v>
      </c>
      <c r="K2217" s="17" t="n">
        <f aca="false">MAX(K2216,C2217)</f>
        <v>40666.72</v>
      </c>
      <c r="L2217" s="25" t="n">
        <f aca="false">C2217/K2217-1</f>
        <v>-0.176604358551661</v>
      </c>
      <c r="M2217" s="25" t="n">
        <f aca="false">IF(COUNT(G2188:G2217)&lt;20,"",_xlfn.STDEV.S(G2188:G2217)*SQRT($R$3))</f>
        <v>1.10160078036507</v>
      </c>
      <c r="N2217" s="25" t="n">
        <f aca="false">IF(A2217-7&lt;$R$2,"",C2217/INDEX(Clean_Data!$C$2:$C$4314,MATCH(A2217-7,Clean_Data!$A$2:$A$4314,1))-1)</f>
        <v>0.0925870697739375</v>
      </c>
      <c r="O2217" s="25" t="n">
        <f aca="false">IF(A2217-30&lt;$R$2,"",C2217/INDEX(Clean_Data!$C$2:$C$4314,MATCH(A2217-30,Clean_Data!$A$2:$A$4314,1))-1)</f>
        <v>0.221722973527657</v>
      </c>
    </row>
    <row r="2218" customFormat="false" ht="15" hidden="false" customHeight="false" outlineLevel="0" collapsed="false">
      <c r="A2218" s="16" t="n">
        <v>44225</v>
      </c>
      <c r="B2218" s="23" t="n">
        <f aca="false">YEAR(A2218)</f>
        <v>2021</v>
      </c>
      <c r="C2218" s="17" t="n">
        <v>34330.14</v>
      </c>
      <c r="D2218" s="23" t="n">
        <f aca="false">A2218-A2217</f>
        <v>1</v>
      </c>
      <c r="E2218" s="24" t="n">
        <f aca="false">LN(C2218)</f>
        <v>10.4437789645093</v>
      </c>
      <c r="F2218" s="25" t="n">
        <f aca="false">LN(C2218/C2217)</f>
        <v>0.0249320810065932</v>
      </c>
      <c r="G2218" s="25" t="n">
        <f aca="false">IF(AND(D2218=1,A2218&gt;=$R$2),F2218,"")</f>
        <v>0.0249320810065932</v>
      </c>
      <c r="H2218" s="27" t="n">
        <f aca="false">IF(G2218="","",G2218^2)</f>
        <v>0.000621608663319324</v>
      </c>
      <c r="I2218" s="25" t="n">
        <f aca="false">IF(G2218="","",C2218/C2217-1)</f>
        <v>0.0252454845183485</v>
      </c>
      <c r="J2218" s="17" t="n">
        <f aca="false">AVERAGE(C2019:C2218)</f>
        <v>17092.3845</v>
      </c>
      <c r="K2218" s="17" t="n">
        <f aca="false">MAX(K2217,C2218)</f>
        <v>40666.72</v>
      </c>
      <c r="L2218" s="25" t="n">
        <f aca="false">C2218/K2218-1</f>
        <v>-0.155817336633001</v>
      </c>
      <c r="M2218" s="25" t="n">
        <f aca="false">IF(COUNT(G2189:G2218)&lt;20,"",_xlfn.STDEV.S(G2189:G2218)*SQRT($R$3))</f>
        <v>1.09037793835303</v>
      </c>
      <c r="N2218" s="25" t="n">
        <f aca="false">IF(A2218-7&lt;$R$2,"",C2218/INDEX(Clean_Data!$C$2:$C$4314,MATCH(A2218-7,Clean_Data!$A$2:$A$4314,1))-1)</f>
        <v>0.0439290739295208</v>
      </c>
      <c r="O2218" s="25" t="n">
        <f aca="false">IF(A2218-30&lt;$R$2,"",C2218/INDEX(Clean_Data!$C$2:$C$4314,MATCH(A2218-30,Clean_Data!$A$2:$A$4314,1))-1)</f>
        <v>0.186475273859357</v>
      </c>
    </row>
    <row r="2219" customFormat="false" ht="15" hidden="false" customHeight="false" outlineLevel="0" collapsed="false">
      <c r="A2219" s="16" t="n">
        <v>44226</v>
      </c>
      <c r="B2219" s="23" t="n">
        <f aca="false">YEAR(A2219)</f>
        <v>2021</v>
      </c>
      <c r="C2219" s="17" t="n">
        <v>34229.25</v>
      </c>
      <c r="D2219" s="23" t="n">
        <f aca="false">A2219-A2218</f>
        <v>1</v>
      </c>
      <c r="E2219" s="24" t="n">
        <f aca="false">LN(C2219)</f>
        <v>10.4408358206795</v>
      </c>
      <c r="F2219" s="25" t="n">
        <f aca="false">LN(C2219/C2218)</f>
        <v>-0.00294314382979655</v>
      </c>
      <c r="G2219" s="25" t="n">
        <f aca="false">IF(AND(D2219=1,A2219&gt;=$R$2),F2219,"")</f>
        <v>-0.00294314382979655</v>
      </c>
      <c r="H2219" s="27" t="n">
        <f aca="false">IF(G2219="","",G2219^2)</f>
        <v>8.66209560286949E-006</v>
      </c>
      <c r="I2219" s="25" t="n">
        <f aca="false">IF(G2219="","",C2219/C2218-1)</f>
        <v>-0.00293881702783616</v>
      </c>
      <c r="J2219" s="17" t="n">
        <f aca="false">AVERAGE(C2020:C2219)</f>
        <v>17217.38005</v>
      </c>
      <c r="K2219" s="17" t="n">
        <f aca="false">MAX(K2218,C2219)</f>
        <v>40666.72</v>
      </c>
      <c r="L2219" s="25" t="n">
        <f aca="false">C2219/K2219-1</f>
        <v>-0.158298235018708</v>
      </c>
      <c r="M2219" s="25" t="n">
        <f aca="false">IF(COUNT(G2190:G2219)&lt;20,"",_xlfn.STDEV.S(G2190:G2219)*SQRT($R$3))</f>
        <v>1.0907653586911</v>
      </c>
      <c r="N2219" s="25" t="n">
        <f aca="false">IF(A2219-7&lt;$R$2,"",C2219/INDEX(Clean_Data!$C$2:$C$4314,MATCH(A2219-7,Clean_Data!$A$2:$A$4314,1))-1)</f>
        <v>0.0689515394894591</v>
      </c>
      <c r="O2219" s="25" t="n">
        <f aca="false">IF(A2219-30&lt;$R$2,"",C2219/INDEX(Clean_Data!$C$2:$C$4314,MATCH(A2219-30,Clean_Data!$A$2:$A$4314,1))-1)</f>
        <v>0.179222288788668</v>
      </c>
    </row>
    <row r="2220" customFormat="false" ht="15" hidden="false" customHeight="false" outlineLevel="0" collapsed="false">
      <c r="A2220" s="16" t="n">
        <v>44227</v>
      </c>
      <c r="B2220" s="23" t="n">
        <f aca="false">YEAR(A2220)</f>
        <v>2021</v>
      </c>
      <c r="C2220" s="17" t="n">
        <v>33076.09</v>
      </c>
      <c r="D2220" s="23" t="n">
        <f aca="false">A2220-A2219</f>
        <v>1</v>
      </c>
      <c r="E2220" s="24" t="n">
        <f aca="false">LN(C2220)</f>
        <v>10.4065659438445</v>
      </c>
      <c r="F2220" s="25" t="n">
        <f aca="false">LN(C2220/C2219)</f>
        <v>-0.0342698768349346</v>
      </c>
      <c r="G2220" s="25" t="n">
        <f aca="false">IF(AND(D2220=1,A2220&gt;=$R$2),F2220,"")</f>
        <v>-0.0342698768349346</v>
      </c>
      <c r="H2220" s="27" t="n">
        <f aca="false">IF(G2220="","",G2220^2)</f>
        <v>0.00117442445828159</v>
      </c>
      <c r="I2220" s="25" t="n">
        <f aca="false">IF(G2220="","",C2220/C2219-1)</f>
        <v>-0.0336893154246735</v>
      </c>
      <c r="J2220" s="17" t="n">
        <f aca="false">AVERAGE(C2021:C2220)</f>
        <v>17336.4688</v>
      </c>
      <c r="K2220" s="17" t="n">
        <f aca="false">MAX(K2219,C2220)</f>
        <v>40666.72</v>
      </c>
      <c r="L2220" s="25" t="n">
        <f aca="false">C2220/K2220-1</f>
        <v>-0.186654591272667</v>
      </c>
      <c r="M2220" s="25" t="n">
        <f aca="false">IF(COUNT(G2191:G2220)&lt;20,"",_xlfn.STDEV.S(G2191:G2220)*SQRT($R$3))</f>
        <v>1.09915563639362</v>
      </c>
      <c r="N2220" s="25" t="n">
        <f aca="false">IF(A2220-7&lt;$R$2,"",C2220/INDEX(Clean_Data!$C$2:$C$4314,MATCH(A2220-7,Clean_Data!$A$2:$A$4314,1))-1)</f>
        <v>0.025614875778333</v>
      </c>
      <c r="O2220" s="25" t="n">
        <f aca="false">IF(A2220-30&lt;$R$2,"",C2220/INDEX(Clean_Data!$C$2:$C$4314,MATCH(A2220-30,Clean_Data!$A$2:$A$4314,1))-1)</f>
        <v>0.125378133305025</v>
      </c>
    </row>
    <row r="2221" customFormat="false" ht="15" hidden="false" customHeight="false" outlineLevel="0" collapsed="false">
      <c r="A2221" s="16" t="n">
        <v>44228</v>
      </c>
      <c r="B2221" s="23" t="n">
        <f aca="false">YEAR(A2221)</f>
        <v>2021</v>
      </c>
      <c r="C2221" s="17" t="n">
        <v>33457.6</v>
      </c>
      <c r="D2221" s="23" t="n">
        <f aca="false">A2221-A2220</f>
        <v>1</v>
      </c>
      <c r="E2221" s="24" t="n">
        <f aca="false">LN(C2221)</f>
        <v>10.4180342445325</v>
      </c>
      <c r="F2221" s="25" t="n">
        <f aca="false">LN(C2221/C2220)</f>
        <v>0.0114683006880124</v>
      </c>
      <c r="G2221" s="25" t="n">
        <f aca="false">IF(AND(D2221=1,A2221&gt;=$R$2),F2221,"")</f>
        <v>0.0114683006880124</v>
      </c>
      <c r="H2221" s="27" t="n">
        <f aca="false">IF(G2221="","",G2221^2)</f>
        <v>0.000131521920670666</v>
      </c>
      <c r="I2221" s="25" t="n">
        <f aca="false">IF(G2221="","",C2221/C2220-1)</f>
        <v>0.0115343137595769</v>
      </c>
      <c r="J2221" s="17" t="n">
        <f aca="false">AVERAGE(C2022:C2221)</f>
        <v>17457.78425</v>
      </c>
      <c r="K2221" s="17" t="n">
        <f aca="false">MAX(K2220,C2221)</f>
        <v>40666.72</v>
      </c>
      <c r="L2221" s="25" t="n">
        <f aca="false">C2221/K2221-1</f>
        <v>-0.177273210133495</v>
      </c>
      <c r="M2221" s="25" t="n">
        <f aca="false">IF(COUNT(G2192:G2221)&lt;20,"",_xlfn.STDEV.S(G2192:G2221)*SQRT($R$3))</f>
        <v>1.05214505742438</v>
      </c>
      <c r="N2221" s="25" t="n">
        <f aca="false">IF(A2221-7&lt;$R$2,"",C2221/INDEX(Clean_Data!$C$2:$C$4314,MATCH(A2221-7,Clean_Data!$A$2:$A$4314,1))-1)</f>
        <v>0.0462365927640014</v>
      </c>
      <c r="O2221" s="25" t="n">
        <f aca="false">IF(A2221-30&lt;$R$2,"",C2221/INDEX(Clean_Data!$C$2:$C$4314,MATCH(A2221-30,Clean_Data!$A$2:$A$4314,1))-1)</f>
        <v>0.0376145187136006</v>
      </c>
    </row>
    <row r="2222" customFormat="false" ht="15" hidden="false" customHeight="false" outlineLevel="0" collapsed="false">
      <c r="A2222" s="16" t="n">
        <v>44229</v>
      </c>
      <c r="B2222" s="23" t="n">
        <f aca="false">YEAR(A2222)</f>
        <v>2021</v>
      </c>
      <c r="C2222" s="17" t="n">
        <v>35511.07</v>
      </c>
      <c r="D2222" s="23" t="n">
        <f aca="false">A2222-A2221</f>
        <v>1</v>
      </c>
      <c r="E2222" s="24" t="n">
        <f aca="false">LN(C2222)</f>
        <v>10.4775997578402</v>
      </c>
      <c r="F2222" s="25" t="n">
        <f aca="false">LN(C2222/C2221)</f>
        <v>0.0595655133077105</v>
      </c>
      <c r="G2222" s="25" t="n">
        <f aca="false">IF(AND(D2222=1,A2222&gt;=$R$2),F2222,"")</f>
        <v>0.0595655133077105</v>
      </c>
      <c r="H2222" s="27" t="n">
        <f aca="false">IF(G2222="","",G2222^2)</f>
        <v>0.00354805037561104</v>
      </c>
      <c r="I2222" s="25" t="n">
        <f aca="false">IF(G2222="","",C2222/C2221-1)</f>
        <v>0.0613752929080389</v>
      </c>
      <c r="J2222" s="17" t="n">
        <f aca="false">AVERAGE(C2023:C2222)</f>
        <v>17589.68505</v>
      </c>
      <c r="K2222" s="17" t="n">
        <f aca="false">MAX(K2221,C2222)</f>
        <v>40666.72</v>
      </c>
      <c r="L2222" s="25" t="n">
        <f aca="false">C2222/K2222-1</f>
        <v>-0.126778112422148</v>
      </c>
      <c r="M2222" s="25" t="n">
        <f aca="false">IF(COUNT(G2193:G2222)&lt;20,"",_xlfn.STDEV.S(G2193:G2222)*SQRT($R$3))</f>
        <v>1.0681322322469</v>
      </c>
      <c r="N2222" s="25" t="n">
        <f aca="false">IF(A2222-7&lt;$R$2,"",C2222/INDEX(Clean_Data!$C$2:$C$4314,MATCH(A2222-7,Clean_Data!$A$2:$A$4314,1))-1)</f>
        <v>0.0899713380859686</v>
      </c>
      <c r="O2222" s="25" t="n">
        <f aca="false">IF(A2222-30&lt;$R$2,"",C2222/INDEX(Clean_Data!$C$2:$C$4314,MATCH(A2222-30,Clean_Data!$A$2:$A$4314,1))-1)</f>
        <v>0.0717378772925779</v>
      </c>
    </row>
    <row r="2223" customFormat="false" ht="15" hidden="false" customHeight="false" outlineLevel="0" collapsed="false">
      <c r="A2223" s="16" t="n">
        <v>44230</v>
      </c>
      <c r="B2223" s="23" t="n">
        <f aca="false">YEAR(A2223)</f>
        <v>2021</v>
      </c>
      <c r="C2223" s="17" t="n">
        <v>37769.41</v>
      </c>
      <c r="D2223" s="23" t="n">
        <f aca="false">A2223-A2222</f>
        <v>1</v>
      </c>
      <c r="E2223" s="24" t="n">
        <f aca="false">LN(C2223)</f>
        <v>10.5392547947214</v>
      </c>
      <c r="F2223" s="25" t="n">
        <f aca="false">LN(C2223/C2222)</f>
        <v>0.0616550368811312</v>
      </c>
      <c r="G2223" s="25" t="n">
        <f aca="false">IF(AND(D2223=1,A2223&gt;=$R$2),F2223,"")</f>
        <v>0.0616550368811312</v>
      </c>
      <c r="H2223" s="27" t="n">
        <f aca="false">IF(G2223="","",G2223^2)</f>
        <v>0.00380134357281364</v>
      </c>
      <c r="I2223" s="25" t="n">
        <f aca="false">IF(G2223="","",C2223/C2222-1)</f>
        <v>0.0635953802574805</v>
      </c>
      <c r="J2223" s="17" t="n">
        <f aca="false">AVERAGE(C2024:C2223)</f>
        <v>17732.79385</v>
      </c>
      <c r="K2223" s="17" t="n">
        <f aca="false">MAX(K2222,C2223)</f>
        <v>40666.72</v>
      </c>
      <c r="L2223" s="25" t="n">
        <f aca="false">C2223/K2223-1</f>
        <v>-0.0712452344324793</v>
      </c>
      <c r="M2223" s="25" t="n">
        <f aca="false">IF(COUNT(G2194:G2223)&lt;20,"",_xlfn.STDEV.S(G2194:G2223)*SQRT($R$3))</f>
        <v>1.08064739150462</v>
      </c>
      <c r="N2223" s="25" t="n">
        <f aca="false">IF(A2223-7&lt;$R$2,"",C2223/INDEX(Clean_Data!$C$2:$C$4314,MATCH(A2223-7,Clean_Data!$A$2:$A$4314,1))-1)</f>
        <v>0.236231206668225</v>
      </c>
      <c r="O2223" s="25" t="n">
        <f aca="false">IF(A2223-30&lt;$R$2,"",C2223/INDEX(Clean_Data!$C$2:$C$4314,MATCH(A2223-30,Clean_Data!$A$2:$A$4314,1))-1)</f>
        <v>0.175616943964496</v>
      </c>
    </row>
    <row r="2224" customFormat="false" ht="15" hidden="false" customHeight="false" outlineLevel="0" collapsed="false">
      <c r="A2224" s="16" t="n">
        <v>44231</v>
      </c>
      <c r="B2224" s="23" t="n">
        <f aca="false">YEAR(A2224)</f>
        <v>2021</v>
      </c>
      <c r="C2224" s="17" t="n">
        <v>37070.87</v>
      </c>
      <c r="D2224" s="23" t="n">
        <f aca="false">A2224-A2223</f>
        <v>1</v>
      </c>
      <c r="E2224" s="24" t="n">
        <f aca="false">LN(C2224)</f>
        <v>10.5205867649819</v>
      </c>
      <c r="F2224" s="25" t="n">
        <f aca="false">LN(C2224/C2223)</f>
        <v>-0.0186680297395042</v>
      </c>
      <c r="G2224" s="25" t="n">
        <f aca="false">IF(AND(D2224=1,A2224&gt;=$R$2),F2224,"")</f>
        <v>-0.0186680297395042</v>
      </c>
      <c r="H2224" s="27" t="n">
        <f aca="false">IF(G2224="","",G2224^2)</f>
        <v>0.000348495334355012</v>
      </c>
      <c r="I2224" s="25" t="n">
        <f aca="false">IF(G2224="","",C2224/C2223-1)</f>
        <v>-0.0184948613176642</v>
      </c>
      <c r="J2224" s="17" t="n">
        <f aca="false">AVERAGE(C2025:C2224)</f>
        <v>17872.2752</v>
      </c>
      <c r="K2224" s="17" t="n">
        <f aca="false">MAX(K2223,C2224)</f>
        <v>40666.72</v>
      </c>
      <c r="L2224" s="25" t="n">
        <f aca="false">C2224/K2224-1</f>
        <v>-0.0884224250197704</v>
      </c>
      <c r="M2224" s="25" t="n">
        <f aca="false">IF(COUNT(G2195:G2224)&lt;20,"",_xlfn.STDEV.S(G2195:G2224)*SQRT($R$3))</f>
        <v>1.0650001241657</v>
      </c>
      <c r="N2224" s="25" t="n">
        <f aca="false">IF(A2224-7&lt;$R$2,"",C2224/INDEX(Clean_Data!$C$2:$C$4314,MATCH(A2224-7,Clean_Data!$A$2:$A$4314,1))-1)</f>
        <v>0.107095458237768</v>
      </c>
      <c r="O2224" s="25" t="n">
        <f aca="false">IF(A2224-30&lt;$R$2,"",C2224/INDEX(Clean_Data!$C$2:$C$4314,MATCH(A2224-30,Clean_Data!$A$2:$A$4314,1))-1)</f>
        <v>0.0861275729002442</v>
      </c>
    </row>
    <row r="2225" customFormat="false" ht="15" hidden="false" customHeight="false" outlineLevel="0" collapsed="false">
      <c r="A2225" s="16" t="n">
        <v>44232</v>
      </c>
      <c r="B2225" s="23" t="n">
        <f aca="false">YEAR(A2225)</f>
        <v>2021</v>
      </c>
      <c r="C2225" s="17" t="n">
        <v>38376.86</v>
      </c>
      <c r="D2225" s="23" t="n">
        <f aca="false">A2225-A2224</f>
        <v>1</v>
      </c>
      <c r="E2225" s="24" t="n">
        <f aca="false">LN(C2225)</f>
        <v>10.5552099527703</v>
      </c>
      <c r="F2225" s="25" t="n">
        <f aca="false">LN(C2225/C2224)</f>
        <v>0.0346231877884137</v>
      </c>
      <c r="G2225" s="25" t="n">
        <f aca="false">IF(AND(D2225=1,A2225&gt;=$R$2),F2225,"")</f>
        <v>0.0346231877884137</v>
      </c>
      <c r="H2225" s="27" t="n">
        <f aca="false">IF(G2225="","",G2225^2)</f>
        <v>0.00119876513263176</v>
      </c>
      <c r="I2225" s="25" t="n">
        <f aca="false">IF(G2225="","",C2225/C2224-1)</f>
        <v>0.0352295481600513</v>
      </c>
      <c r="J2225" s="17" t="n">
        <f aca="false">AVERAGE(C2026:C2225)</f>
        <v>18018.05095</v>
      </c>
      <c r="K2225" s="17" t="n">
        <f aca="false">MAX(K2224,C2225)</f>
        <v>40666.72</v>
      </c>
      <c r="L2225" s="25" t="n">
        <f aca="false">C2225/K2225-1</f>
        <v>-0.0563079589403818</v>
      </c>
      <c r="M2225" s="25" t="n">
        <f aca="false">IF(COUNT(G2196:G2225)&lt;20,"",_xlfn.STDEV.S(G2196:G2225)*SQRT($R$3))</f>
        <v>1.0347594676111</v>
      </c>
      <c r="N2225" s="25" t="n">
        <f aca="false">IF(A2225-7&lt;$R$2,"",C2225/INDEX(Clean_Data!$C$2:$C$4314,MATCH(A2225-7,Clean_Data!$A$2:$A$4314,1))-1)</f>
        <v>0.117876594735705</v>
      </c>
      <c r="O2225" s="25" t="n">
        <f aca="false">IF(A2225-30&lt;$R$2,"",C2225/INDEX(Clean_Data!$C$2:$C$4314,MATCH(A2225-30,Clean_Data!$A$2:$A$4314,1))-1)</f>
        <v>0.0377787230383282</v>
      </c>
    </row>
    <row r="2226" customFormat="false" ht="15" hidden="false" customHeight="false" outlineLevel="0" collapsed="false">
      <c r="A2226" s="16" t="n">
        <v>44233</v>
      </c>
      <c r="B2226" s="23" t="n">
        <f aca="false">YEAR(A2226)</f>
        <v>2021</v>
      </c>
      <c r="C2226" s="17" t="n">
        <v>38995.52</v>
      </c>
      <c r="D2226" s="23" t="n">
        <f aca="false">A2226-A2225</f>
        <v>1</v>
      </c>
      <c r="E2226" s="24" t="n">
        <f aca="false">LN(C2226)</f>
        <v>10.5712020467186</v>
      </c>
      <c r="F2226" s="25" t="n">
        <f aca="false">LN(C2226/C2225)</f>
        <v>0.0159920939483556</v>
      </c>
      <c r="G2226" s="25" t="n">
        <f aca="false">IF(AND(D2226=1,A2226&gt;=$R$2),F2226,"")</f>
        <v>0.0159920939483556</v>
      </c>
      <c r="H2226" s="27" t="n">
        <f aca="false">IF(G2226="","",G2226^2)</f>
        <v>0.000255747068853031</v>
      </c>
      <c r="I2226" s="25" t="n">
        <f aca="false">IF(G2226="","",C2226/C2225-1)</f>
        <v>0.0161206518719874</v>
      </c>
      <c r="J2226" s="17" t="n">
        <f aca="false">AVERAGE(C2027:C2226)</f>
        <v>18167.2229</v>
      </c>
      <c r="K2226" s="17" t="n">
        <f aca="false">MAX(K2225,C2226)</f>
        <v>40666.72</v>
      </c>
      <c r="L2226" s="25" t="n">
        <f aca="false">C2226/K2226-1</f>
        <v>-0.0410950280720944</v>
      </c>
      <c r="M2226" s="25" t="n">
        <f aca="false">IF(COUNT(G2197:G2226)&lt;20,"",_xlfn.STDEV.S(G2197:G2226)*SQRT($R$3))</f>
        <v>1.00826647038623</v>
      </c>
      <c r="N2226" s="25" t="n">
        <f aca="false">IF(A2226-7&lt;$R$2,"",C2226/INDEX(Clean_Data!$C$2:$C$4314,MATCH(A2226-7,Clean_Data!$A$2:$A$4314,1))-1)</f>
        <v>0.139245528312773</v>
      </c>
      <c r="O2226" s="25" t="n">
        <f aca="false">IF(A2226-30&lt;$R$2,"",C2226/INDEX(Clean_Data!$C$2:$C$4314,MATCH(A2226-30,Clean_Data!$A$2:$A$4314,1))-1)</f>
        <v>-0.0146024891979182</v>
      </c>
    </row>
    <row r="2227" customFormat="false" ht="15" hidden="false" customHeight="false" outlineLevel="0" collapsed="false">
      <c r="A2227" s="16" t="n">
        <v>44234</v>
      </c>
      <c r="B2227" s="23" t="n">
        <f aca="false">YEAR(A2227)</f>
        <v>2021</v>
      </c>
      <c r="C2227" s="17" t="n">
        <v>38888.74</v>
      </c>
      <c r="D2227" s="23" t="n">
        <f aca="false">A2227-A2226</f>
        <v>1</v>
      </c>
      <c r="E2227" s="24" t="n">
        <f aca="false">LN(C2227)</f>
        <v>10.5684600275506</v>
      </c>
      <c r="F2227" s="25" t="n">
        <f aca="false">LN(C2227/C2226)</f>
        <v>-0.00274201916802221</v>
      </c>
      <c r="G2227" s="25" t="n">
        <f aca="false">IF(AND(D2227=1,A2227&gt;=$R$2),F2227,"")</f>
        <v>-0.00274201916802221</v>
      </c>
      <c r="H2227" s="27" t="n">
        <f aca="false">IF(G2227="","",G2227^2)</f>
        <v>7.51866911780122E-006</v>
      </c>
      <c r="I2227" s="25" t="n">
        <f aca="false">IF(G2227="","",C2227/C2226-1)</f>
        <v>-0.00273826326716498</v>
      </c>
      <c r="J2227" s="17" t="n">
        <f aca="false">AVERAGE(C2028:C2227)</f>
        <v>18314.68335</v>
      </c>
      <c r="K2227" s="17" t="n">
        <f aca="false">MAX(K2226,C2227)</f>
        <v>40666.72</v>
      </c>
      <c r="L2227" s="25" t="n">
        <f aca="false">C2227/K2227-1</f>
        <v>-0.0437207623334265</v>
      </c>
      <c r="M2227" s="25" t="n">
        <f aca="false">IF(COUNT(G2198:G2227)&lt;20,"",_xlfn.STDEV.S(G2198:G2227)*SQRT($R$3))</f>
        <v>1.00329457755091</v>
      </c>
      <c r="N2227" s="25" t="n">
        <f aca="false">IF(A2227-7&lt;$R$2,"",C2227/INDEX(Clean_Data!$C$2:$C$4314,MATCH(A2227-7,Clean_Data!$A$2:$A$4314,1))-1)</f>
        <v>0.175735705157411</v>
      </c>
      <c r="O2227" s="25" t="n">
        <f aca="false">IF(A2227-30&lt;$R$2,"",C2227/INDEX(Clean_Data!$C$2:$C$4314,MATCH(A2227-30,Clean_Data!$A$2:$A$4314,1))-1)</f>
        <v>-0.0437207623334265</v>
      </c>
    </row>
    <row r="2228" customFormat="false" ht="15" hidden="false" customHeight="false" outlineLevel="0" collapsed="false">
      <c r="A2228" s="16" t="n">
        <v>44235</v>
      </c>
      <c r="B2228" s="23" t="n">
        <f aca="false">YEAR(A2228)</f>
        <v>2021</v>
      </c>
      <c r="C2228" s="17" t="n">
        <v>46674.44</v>
      </c>
      <c r="D2228" s="23" t="n">
        <f aca="false">A2228-A2227</f>
        <v>1</v>
      </c>
      <c r="E2228" s="24" t="n">
        <f aca="false">LN(C2228)</f>
        <v>10.7509519704804</v>
      </c>
      <c r="F2228" s="25" t="n">
        <f aca="false">LN(C2228/C2227)</f>
        <v>0.182491942929804</v>
      </c>
      <c r="G2228" s="25" t="n">
        <f aca="false">IF(AND(D2228=1,A2228&gt;=$R$2),F2228,"")</f>
        <v>0.182491942929804</v>
      </c>
      <c r="H2228" s="27" t="n">
        <f aca="false">IF(G2228="","",G2228^2)</f>
        <v>0.0333033092342947</v>
      </c>
      <c r="I2228" s="25" t="n">
        <f aca="false">IF(G2228="","",C2228/C2227-1)</f>
        <v>0.200204480782869</v>
      </c>
      <c r="J2228" s="17" t="n">
        <f aca="false">AVERAGE(C2029:C2228)</f>
        <v>18500.324</v>
      </c>
      <c r="K2228" s="17" t="n">
        <f aca="false">MAX(K2227,C2228)</f>
        <v>46674.44</v>
      </c>
      <c r="L2228" s="25" t="n">
        <f aca="false">C2228/K2228-1</f>
        <v>0</v>
      </c>
      <c r="M2228" s="25" t="n">
        <f aca="false">IF(COUNT(G2199:G2228)&lt;20,"",_xlfn.STDEV.S(G2199:G2228)*SQRT($R$3))</f>
        <v>1.19033920377688</v>
      </c>
      <c r="N2228" s="25" t="n">
        <f aca="false">IF(A2228-7&lt;$R$2,"",C2228/INDEX(Clean_Data!$C$2:$C$4314,MATCH(A2228-7,Clean_Data!$A$2:$A$4314,1))-1)</f>
        <v>0.395032518770025</v>
      </c>
      <c r="O2228" s="25" t="n">
        <f aca="false">IF(A2228-30&lt;$R$2,"",C2228/INDEX(Clean_Data!$C$2:$C$4314,MATCH(A2228-30,Clean_Data!$A$2:$A$4314,1))-1)</f>
        <v>0.15684560913888</v>
      </c>
    </row>
    <row r="2229" customFormat="false" ht="15" hidden="false" customHeight="false" outlineLevel="0" collapsed="false">
      <c r="A2229" s="16" t="n">
        <v>44236</v>
      </c>
      <c r="B2229" s="23" t="n">
        <f aca="false">YEAR(A2229)</f>
        <v>2021</v>
      </c>
      <c r="C2229" s="17" t="n">
        <v>46595.44</v>
      </c>
      <c r="D2229" s="23" t="n">
        <f aca="false">A2229-A2228</f>
        <v>1</v>
      </c>
      <c r="E2229" s="24" t="n">
        <f aca="false">LN(C2229)</f>
        <v>10.7492579612485</v>
      </c>
      <c r="F2229" s="25" t="n">
        <f aca="false">LN(C2229/C2228)</f>
        <v>-0.00169400923196163</v>
      </c>
      <c r="G2229" s="25" t="n">
        <f aca="false">IF(AND(D2229=1,A2229&gt;=$R$2),F2229,"")</f>
        <v>-0.00169400923196163</v>
      </c>
      <c r="H2229" s="27" t="n">
        <f aca="false">IF(G2229="","",G2229^2)</f>
        <v>2.86966727797122E-006</v>
      </c>
      <c r="I2229" s="25" t="n">
        <f aca="false">IF(G2229="","",C2229/C2228-1)</f>
        <v>-0.00169257520818678</v>
      </c>
      <c r="J2229" s="17" t="n">
        <f aca="false">AVERAGE(C2030:C2229)</f>
        <v>18685.24095</v>
      </c>
      <c r="K2229" s="17" t="n">
        <f aca="false">MAX(K2228,C2229)</f>
        <v>46674.44</v>
      </c>
      <c r="L2229" s="25" t="n">
        <f aca="false">C2229/K2229-1</f>
        <v>-0.00169257520818678</v>
      </c>
      <c r="M2229" s="25" t="n">
        <f aca="false">IF(COUNT(G2200:G2229)&lt;20,"",_xlfn.STDEV.S(G2200:G2229)*SQRT($R$3))</f>
        <v>1.17190498174188</v>
      </c>
      <c r="N2229" s="25" t="n">
        <f aca="false">IF(A2229-7&lt;$R$2,"",C2229/INDEX(Clean_Data!$C$2:$C$4314,MATCH(A2229-7,Clean_Data!$A$2:$A$4314,1))-1)</f>
        <v>0.312138440210334</v>
      </c>
      <c r="O2229" s="25" t="n">
        <f aca="false">IF(A2229-30&lt;$R$2,"",C2229/INDEX(Clean_Data!$C$2:$C$4314,MATCH(A2229-30,Clean_Data!$A$2:$A$4314,1))-1)</f>
        <v>0.218435637029634</v>
      </c>
    </row>
    <row r="2230" customFormat="false" ht="15" hidden="false" customHeight="false" outlineLevel="0" collapsed="false">
      <c r="A2230" s="16" t="n">
        <v>44237</v>
      </c>
      <c r="B2230" s="23" t="n">
        <f aca="false">YEAR(A2230)</f>
        <v>2021</v>
      </c>
      <c r="C2230" s="17" t="n">
        <v>44887.29</v>
      </c>
      <c r="D2230" s="23" t="n">
        <f aca="false">A2230-A2229</f>
        <v>1</v>
      </c>
      <c r="E2230" s="24" t="n">
        <f aca="false">LN(C2230)</f>
        <v>10.7119099601608</v>
      </c>
      <c r="F2230" s="25" t="n">
        <f aca="false">LN(C2230/C2229)</f>
        <v>-0.0373480010876399</v>
      </c>
      <c r="G2230" s="25" t="n">
        <f aca="false">IF(AND(D2230=1,A2230&gt;=$R$2),F2230,"")</f>
        <v>-0.0373480010876399</v>
      </c>
      <c r="H2230" s="27" t="n">
        <f aca="false">IF(G2230="","",G2230^2)</f>
        <v>0.00139487318524235</v>
      </c>
      <c r="I2230" s="25" t="n">
        <f aca="false">IF(G2230="","",C2230/C2229-1)</f>
        <v>-0.0366591666480669</v>
      </c>
      <c r="J2230" s="17" t="n">
        <f aca="false">AVERAGE(C2031:C2230)</f>
        <v>18861.91035</v>
      </c>
      <c r="K2230" s="17" t="n">
        <f aca="false">MAX(K2229,C2230)</f>
        <v>46674.44</v>
      </c>
      <c r="L2230" s="25" t="n">
        <f aca="false">C2230/K2230-1</f>
        <v>-0.0382896934596323</v>
      </c>
      <c r="M2230" s="25" t="n">
        <f aca="false">IF(COUNT(G2201:G2230)&lt;20,"",_xlfn.STDEV.S(G2201:G2230)*SQRT($R$3))</f>
        <v>1.14587095731066</v>
      </c>
      <c r="N2230" s="25" t="n">
        <f aca="false">IF(A2230-7&lt;$R$2,"",C2230/INDEX(Clean_Data!$C$2:$C$4314,MATCH(A2230-7,Clean_Data!$A$2:$A$4314,1))-1)</f>
        <v>0.188456213639556</v>
      </c>
      <c r="O2230" s="25" t="n">
        <f aca="false">IF(A2230-30&lt;$R$2,"",C2230/INDEX(Clean_Data!$C$2:$C$4314,MATCH(A2230-30,Clean_Data!$A$2:$A$4314,1))-1)</f>
        <v>0.265346387287026</v>
      </c>
    </row>
    <row r="2231" customFormat="false" ht="15" hidden="false" customHeight="false" outlineLevel="0" collapsed="false">
      <c r="A2231" s="16" t="n">
        <v>44238</v>
      </c>
      <c r="B2231" s="23" t="n">
        <f aca="false">YEAR(A2231)</f>
        <v>2021</v>
      </c>
      <c r="C2231" s="17" t="n">
        <v>48121</v>
      </c>
      <c r="D2231" s="23" t="n">
        <f aca="false">A2231-A2230</f>
        <v>1</v>
      </c>
      <c r="E2231" s="24" t="n">
        <f aca="false">LN(C2231)</f>
        <v>10.7814739512526</v>
      </c>
      <c r="F2231" s="25" t="n">
        <f aca="false">LN(C2231/C2230)</f>
        <v>0.0695639910917472</v>
      </c>
      <c r="G2231" s="25" t="n">
        <f aca="false">IF(AND(D2231=1,A2231&gt;=$R$2),F2231,"")</f>
        <v>0.0695639910917472</v>
      </c>
      <c r="H2231" s="27" t="n">
        <f aca="false">IF(G2231="","",G2231^2)</f>
        <v>0.00483914885661269</v>
      </c>
      <c r="I2231" s="25" t="n">
        <f aca="false">IF(G2231="","",C2231/C2230-1)</f>
        <v>0.0720406600621244</v>
      </c>
      <c r="J2231" s="17" t="n">
        <f aca="false">AVERAGE(C2032:C2231)</f>
        <v>19053.97025</v>
      </c>
      <c r="K2231" s="17" t="n">
        <f aca="false">MAX(K2230,C2231)</f>
        <v>48121</v>
      </c>
      <c r="L2231" s="25" t="n">
        <f aca="false">C2231/K2231-1</f>
        <v>0</v>
      </c>
      <c r="M2231" s="25" t="n">
        <f aca="false">IF(COUNT(G2202:G2231)&lt;20,"",_xlfn.STDEV.S(G2202:G2231)*SQRT($R$3))</f>
        <v>1.1500392571601</v>
      </c>
      <c r="N2231" s="25" t="n">
        <f aca="false">IF(A2231-7&lt;$R$2,"",C2231/INDEX(Clean_Data!$C$2:$C$4314,MATCH(A2231-7,Clean_Data!$A$2:$A$4314,1))-1)</f>
        <v>0.298081215790188</v>
      </c>
      <c r="O2231" s="25" t="n">
        <f aca="false">IF(A2231-30&lt;$R$2,"",C2231/INDEX(Clean_Data!$C$2:$C$4314,MATCH(A2231-30,Clean_Data!$A$2:$A$4314,1))-1)</f>
        <v>0.416638920315128</v>
      </c>
    </row>
    <row r="2232" customFormat="false" ht="15" hidden="false" customHeight="false" outlineLevel="0" collapsed="false">
      <c r="A2232" s="16" t="n">
        <v>44239</v>
      </c>
      <c r="B2232" s="23" t="n">
        <f aca="false">YEAR(A2232)</f>
        <v>2021</v>
      </c>
      <c r="C2232" s="17" t="n">
        <v>47524.18</v>
      </c>
      <c r="D2232" s="23" t="n">
        <f aca="false">A2232-A2231</f>
        <v>1</v>
      </c>
      <c r="E2232" s="24" t="n">
        <f aca="false">LN(C2232)</f>
        <v>10.768993913131</v>
      </c>
      <c r="F2232" s="25" t="n">
        <f aca="false">LN(C2232/C2231)</f>
        <v>-0.012480038121594</v>
      </c>
      <c r="G2232" s="25" t="n">
        <f aca="false">IF(AND(D2232=1,A2232&gt;=$R$2),F2232,"")</f>
        <v>-0.012480038121594</v>
      </c>
      <c r="H2232" s="27" t="n">
        <f aca="false">IF(G2232="","",G2232^2)</f>
        <v>0.000155751351516439</v>
      </c>
      <c r="I2232" s="25" t="n">
        <f aca="false">IF(G2232="","",C2232/C2231-1)</f>
        <v>-0.012402485401384</v>
      </c>
      <c r="J2232" s="17" t="n">
        <f aca="false">AVERAGE(C2033:C2232)</f>
        <v>19241.86825</v>
      </c>
      <c r="K2232" s="17" t="n">
        <f aca="false">MAX(K2231,C2232)</f>
        <v>48121</v>
      </c>
      <c r="L2232" s="25" t="n">
        <f aca="false">C2232/K2232-1</f>
        <v>-0.012402485401384</v>
      </c>
      <c r="M2232" s="25" t="n">
        <f aca="false">IF(COUNT(G2203:G2232)&lt;20,"",_xlfn.STDEV.S(G2203:G2232)*SQRT($R$3))</f>
        <v>1.10792608716666</v>
      </c>
      <c r="N2232" s="25" t="n">
        <f aca="false">IF(A2232-7&lt;$R$2,"",C2232/INDEX(Clean_Data!$C$2:$C$4314,MATCH(A2232-7,Clean_Data!$A$2:$A$4314,1))-1)</f>
        <v>0.238355092104982</v>
      </c>
      <c r="O2232" s="25" t="n">
        <f aca="false">IF(A2232-30&lt;$R$2,"",C2232/INDEX(Clean_Data!$C$2:$C$4314,MATCH(A2232-30,Clean_Data!$A$2:$A$4314,1))-1)</f>
        <v>0.266613646988086</v>
      </c>
    </row>
    <row r="2233" customFormat="false" ht="15" hidden="false" customHeight="false" outlineLevel="0" collapsed="false">
      <c r="A2233" s="16" t="n">
        <v>44240</v>
      </c>
      <c r="B2233" s="23" t="n">
        <f aca="false">YEAR(A2233)</f>
        <v>2021</v>
      </c>
      <c r="C2233" s="17" t="n">
        <v>47274.23</v>
      </c>
      <c r="D2233" s="23" t="n">
        <f aca="false">A2233-A2232</f>
        <v>1</v>
      </c>
      <c r="E2233" s="24" t="n">
        <f aca="false">LN(C2233)</f>
        <v>10.7637206057155</v>
      </c>
      <c r="F2233" s="25" t="n">
        <f aca="false">LN(C2233/C2232)</f>
        <v>-0.00527330741543931</v>
      </c>
      <c r="G2233" s="25" t="n">
        <f aca="false">IF(AND(D2233=1,A2233&gt;=$R$2),F2233,"")</f>
        <v>-0.00527330741543931</v>
      </c>
      <c r="H2233" s="27" t="n">
        <f aca="false">IF(G2233="","",G2233^2)</f>
        <v>2.78077710977273E-005</v>
      </c>
      <c r="I2233" s="25" t="n">
        <f aca="false">IF(G2233="","",C2233/C2232-1)</f>
        <v>-0.00525942793752565</v>
      </c>
      <c r="J2233" s="17" t="n">
        <f aca="false">AVERAGE(C2034:C2233)</f>
        <v>19422.6972</v>
      </c>
      <c r="K2233" s="17" t="n">
        <f aca="false">MAX(K2232,C2233)</f>
        <v>48121</v>
      </c>
      <c r="L2233" s="25" t="n">
        <f aca="false">C2233/K2233-1</f>
        <v>-0.0175966833606949</v>
      </c>
      <c r="M2233" s="25" t="n">
        <f aca="false">IF(COUNT(G2204:G2233)&lt;20,"",_xlfn.STDEV.S(G2204:G2233)*SQRT($R$3))</f>
        <v>1.1014215788252</v>
      </c>
      <c r="N2233" s="25" t="n">
        <f aca="false">IF(A2233-7&lt;$R$2,"",C2233/INDEX(Clean_Data!$C$2:$C$4314,MATCH(A2233-7,Clean_Data!$A$2:$A$4314,1))-1)</f>
        <v>0.212299002552088</v>
      </c>
      <c r="O2233" s="25" t="n">
        <f aca="false">IF(A2233-30&lt;$R$2,"",C2233/INDEX(Clean_Data!$C$2:$C$4314,MATCH(A2233-30,Clean_Data!$A$2:$A$4314,1))-1)</f>
        <v>0.206864393971886</v>
      </c>
    </row>
    <row r="2234" customFormat="false" ht="15" hidden="false" customHeight="false" outlineLevel="0" collapsed="false">
      <c r="A2234" s="16" t="n">
        <v>44241</v>
      </c>
      <c r="B2234" s="23" t="n">
        <f aca="false">YEAR(A2234)</f>
        <v>2021</v>
      </c>
      <c r="C2234" s="17" t="n">
        <v>48703.26</v>
      </c>
      <c r="D2234" s="23" t="n">
        <f aca="false">A2234-A2233</f>
        <v>1</v>
      </c>
      <c r="E2234" s="24" t="n">
        <f aca="false">LN(C2234)</f>
        <v>10.793501247282</v>
      </c>
      <c r="F2234" s="25" t="n">
        <f aca="false">LN(C2234/C2233)</f>
        <v>0.0297806415664789</v>
      </c>
      <c r="G2234" s="25" t="n">
        <f aca="false">IF(AND(D2234=1,A2234&gt;=$R$2),F2234,"")</f>
        <v>0.0297806415664789</v>
      </c>
      <c r="H2234" s="27" t="n">
        <f aca="false">IF(G2234="","",G2234^2)</f>
        <v>0.00088688661211109</v>
      </c>
      <c r="I2234" s="25" t="n">
        <f aca="false">IF(G2234="","",C2234/C2233-1)</f>
        <v>0.0302285198510901</v>
      </c>
      <c r="J2234" s="17" t="n">
        <f aca="false">AVERAGE(C2035:C2234)</f>
        <v>19611.44925</v>
      </c>
      <c r="K2234" s="17" t="n">
        <f aca="false">MAX(K2233,C2234)</f>
        <v>48703.26</v>
      </c>
      <c r="L2234" s="25" t="n">
        <f aca="false">C2234/K2234-1</f>
        <v>0</v>
      </c>
      <c r="M2234" s="25" t="n">
        <f aca="false">IF(COUNT(G2205:G2234)&lt;20,"",_xlfn.STDEV.S(G2205:G2234)*SQRT($R$3))</f>
        <v>1.07722359759175</v>
      </c>
      <c r="N2234" s="25" t="n">
        <f aca="false">IF(A2234-7&lt;$R$2,"",C2234/INDEX(Clean_Data!$C$2:$C$4314,MATCH(A2234-7,Clean_Data!$A$2:$A$4314,1))-1)</f>
        <v>0.25237433766175</v>
      </c>
      <c r="O2234" s="25" t="n">
        <f aca="false">IF(A2234-30&lt;$R$2,"",C2234/INDEX(Clean_Data!$C$2:$C$4314,MATCH(A2234-30,Clean_Data!$A$2:$A$4314,1))-1)</f>
        <v>0.321003168296744</v>
      </c>
    </row>
    <row r="2235" customFormat="false" ht="15" hidden="false" customHeight="false" outlineLevel="0" collapsed="false">
      <c r="A2235" s="16" t="n">
        <v>44242</v>
      </c>
      <c r="B2235" s="23" t="n">
        <f aca="false">YEAR(A2235)</f>
        <v>2021</v>
      </c>
      <c r="C2235" s="17" t="n">
        <v>47911.87</v>
      </c>
      <c r="D2235" s="23" t="n">
        <f aca="false">A2235-A2234</f>
        <v>1</v>
      </c>
      <c r="E2235" s="24" t="n">
        <f aca="false">LN(C2235)</f>
        <v>10.7771185606329</v>
      </c>
      <c r="F2235" s="25" t="n">
        <f aca="false">LN(C2235/C2234)</f>
        <v>-0.016382686649128</v>
      </c>
      <c r="G2235" s="25" t="n">
        <f aca="false">IF(AND(D2235=1,A2235&gt;=$R$2),F2235,"")</f>
        <v>-0.016382686649128</v>
      </c>
      <c r="H2235" s="27" t="n">
        <f aca="false">IF(G2235="","",G2235^2)</f>
        <v>0.000268392421843517</v>
      </c>
      <c r="I2235" s="25" t="n">
        <f aca="false">IF(G2235="","",C2235/C2234-1)</f>
        <v>-0.0162492202780676</v>
      </c>
      <c r="J2235" s="17" t="n">
        <f aca="false">AVERAGE(C2036:C2235)</f>
        <v>19795.50665</v>
      </c>
      <c r="K2235" s="17" t="n">
        <f aca="false">MAX(K2234,C2235)</f>
        <v>48703.26</v>
      </c>
      <c r="L2235" s="25" t="n">
        <f aca="false">C2235/K2235-1</f>
        <v>-0.0162492202780676</v>
      </c>
      <c r="M2235" s="25" t="n">
        <f aca="false">IF(COUNT(G2206:G2235)&lt;20,"",_xlfn.STDEV.S(G2206:G2235)*SQRT($R$3))</f>
        <v>1.07315027406243</v>
      </c>
      <c r="N2235" s="25" t="n">
        <f aca="false">IF(A2235-7&lt;$R$2,"",C2235/INDEX(Clean_Data!$C$2:$C$4314,MATCH(A2235-7,Clean_Data!$A$2:$A$4314,1))-1)</f>
        <v>0.0265119410109687</v>
      </c>
      <c r="O2235" s="25" t="n">
        <f aca="false">IF(A2235-30&lt;$R$2,"",C2235/INDEX(Clean_Data!$C$2:$C$4314,MATCH(A2235-30,Clean_Data!$A$2:$A$4314,1))-1)</f>
        <v>0.33572840635783</v>
      </c>
    </row>
    <row r="2236" customFormat="false" ht="15" hidden="false" customHeight="false" outlineLevel="0" collapsed="false">
      <c r="A2236" s="16" t="n">
        <v>44243</v>
      </c>
      <c r="B2236" s="23" t="n">
        <f aca="false">YEAR(A2236)</f>
        <v>2021</v>
      </c>
      <c r="C2236" s="17" t="n">
        <v>49257.23</v>
      </c>
      <c r="D2236" s="23" t="n">
        <f aca="false">A2236-A2235</f>
        <v>1</v>
      </c>
      <c r="E2236" s="24" t="n">
        <f aca="false">LN(C2236)</f>
        <v>10.8048114378563</v>
      </c>
      <c r="F2236" s="25" t="n">
        <f aca="false">LN(C2236/C2235)</f>
        <v>0.0276928772234418</v>
      </c>
      <c r="G2236" s="25" t="n">
        <f aca="false">IF(AND(D2236=1,A2236&gt;=$R$2),F2236,"")</f>
        <v>0.0276928772234418</v>
      </c>
      <c r="H2236" s="27" t="n">
        <f aca="false">IF(G2236="","",G2236^2)</f>
        <v>0.000766895448912622</v>
      </c>
      <c r="I2236" s="25" t="n">
        <f aca="false">IF(G2236="","",C2236/C2235-1)</f>
        <v>0.028079889179863</v>
      </c>
      <c r="J2236" s="17" t="n">
        <f aca="false">AVERAGE(C2037:C2236)</f>
        <v>19986.09445</v>
      </c>
      <c r="K2236" s="17" t="n">
        <f aca="false">MAX(K2235,C2236)</f>
        <v>49257.23</v>
      </c>
      <c r="L2236" s="25" t="n">
        <f aca="false">C2236/K2236-1</f>
        <v>0</v>
      </c>
      <c r="M2236" s="25" t="n">
        <f aca="false">IF(COUNT(G2207:G2236)&lt;20,"",_xlfn.STDEV.S(G2207:G2236)*SQRT($R$3))</f>
        <v>1.07455780501706</v>
      </c>
      <c r="N2236" s="25" t="n">
        <f aca="false">IF(A2236-7&lt;$R$2,"",C2236/INDEX(Clean_Data!$C$2:$C$4314,MATCH(A2236-7,Clean_Data!$A$2:$A$4314,1))-1)</f>
        <v>0.0571255470492391</v>
      </c>
      <c r="O2236" s="25" t="n">
        <f aca="false">IF(A2236-30&lt;$R$2,"",C2236/INDEX(Clean_Data!$C$2:$C$4314,MATCH(A2236-30,Clean_Data!$A$2:$A$4314,1))-1)</f>
        <v>0.370878193433831</v>
      </c>
    </row>
    <row r="2237" customFormat="false" ht="15" hidden="false" customHeight="false" outlineLevel="0" collapsed="false">
      <c r="A2237" s="16" t="n">
        <v>44244</v>
      </c>
      <c r="B2237" s="23" t="n">
        <f aca="false">YEAR(A2237)</f>
        <v>2021</v>
      </c>
      <c r="C2237" s="17" t="n">
        <v>52269.84</v>
      </c>
      <c r="D2237" s="23" t="n">
        <f aca="false">A2237-A2236</f>
        <v>1</v>
      </c>
      <c r="E2237" s="24" t="n">
        <f aca="false">LN(C2237)</f>
        <v>10.864174810673</v>
      </c>
      <c r="F2237" s="25" t="n">
        <f aca="false">LN(C2237/C2236)</f>
        <v>0.0593633728166831</v>
      </c>
      <c r="G2237" s="25" t="n">
        <f aca="false">IF(AND(D2237=1,A2237&gt;=$R$2),F2237,"")</f>
        <v>0.0593633728166831</v>
      </c>
      <c r="H2237" s="27" t="n">
        <f aca="false">IF(G2237="","",G2237^2)</f>
        <v>0.00352401003217251</v>
      </c>
      <c r="I2237" s="25" t="n">
        <f aca="false">IF(G2237="","",C2237/C2236-1)</f>
        <v>0.0611607676680153</v>
      </c>
      <c r="J2237" s="17" t="n">
        <f aca="false">AVERAGE(C2038:C2237)</f>
        <v>20190.57985</v>
      </c>
      <c r="K2237" s="17" t="n">
        <f aca="false">MAX(K2236,C2237)</f>
        <v>52269.84</v>
      </c>
      <c r="L2237" s="25" t="n">
        <f aca="false">C2237/K2237-1</f>
        <v>0</v>
      </c>
      <c r="M2237" s="25" t="n">
        <f aca="false">IF(COUNT(G2208:G2237)&lt;20,"",_xlfn.STDEV.S(G2208:G2237)*SQRT($R$3))</f>
        <v>1.08729001976994</v>
      </c>
      <c r="N2237" s="25" t="n">
        <f aca="false">IF(A2237-7&lt;$R$2,"",C2237/INDEX(Clean_Data!$C$2:$C$4314,MATCH(A2237-7,Clean_Data!$A$2:$A$4314,1))-1)</f>
        <v>0.164468605701079</v>
      </c>
      <c r="O2237" s="25" t="n">
        <f aca="false">IF(A2237-30&lt;$R$2,"",C2237/INDEX(Clean_Data!$C$2:$C$4314,MATCH(A2237-30,Clean_Data!$A$2:$A$4314,1))-1)</f>
        <v>0.42169076458475</v>
      </c>
    </row>
    <row r="2238" customFormat="false" ht="15" hidden="false" customHeight="false" outlineLevel="0" collapsed="false">
      <c r="A2238" s="16" t="n">
        <v>44245</v>
      </c>
      <c r="B2238" s="23" t="n">
        <f aca="false">YEAR(A2238)</f>
        <v>2021</v>
      </c>
      <c r="C2238" s="17" t="n">
        <v>51644.16</v>
      </c>
      <c r="D2238" s="23" t="n">
        <f aca="false">A2238-A2237</f>
        <v>1</v>
      </c>
      <c r="E2238" s="24" t="n">
        <f aca="false">LN(C2238)</f>
        <v>10.8521323994232</v>
      </c>
      <c r="F2238" s="25" t="n">
        <f aca="false">LN(C2238/C2237)</f>
        <v>-0.0120424112498266</v>
      </c>
      <c r="G2238" s="25" t="n">
        <f aca="false">IF(AND(D2238=1,A2238&gt;=$R$2),F2238,"")</f>
        <v>-0.0120424112498266</v>
      </c>
      <c r="H2238" s="27" t="n">
        <f aca="false">IF(G2238="","",G2238^2)</f>
        <v>0.000145019668709951</v>
      </c>
      <c r="I2238" s="25" t="n">
        <f aca="false">IF(G2238="","",C2238/C2237-1)</f>
        <v>-0.0119701916057136</v>
      </c>
      <c r="J2238" s="17" t="n">
        <f aca="false">AVERAGE(C2039:C2238)</f>
        <v>20389.77155</v>
      </c>
      <c r="K2238" s="17" t="n">
        <f aca="false">MAX(K2237,C2238)</f>
        <v>52269.84</v>
      </c>
      <c r="L2238" s="25" t="n">
        <f aca="false">C2238/K2238-1</f>
        <v>-0.0119701916057136</v>
      </c>
      <c r="M2238" s="25" t="n">
        <f aca="false">IF(COUNT(G2209:G2238)&lt;20,"",_xlfn.STDEV.S(G2209:G2238)*SQRT($R$3))</f>
        <v>1.08031040996339</v>
      </c>
      <c r="N2238" s="25" t="n">
        <f aca="false">IF(A2238-7&lt;$R$2,"",C2238/INDEX(Clean_Data!$C$2:$C$4314,MATCH(A2238-7,Clean_Data!$A$2:$A$4314,1))-1)</f>
        <v>0.0732146048502733</v>
      </c>
      <c r="O2238" s="25" t="n">
        <f aca="false">IF(A2238-30&lt;$R$2,"",C2238/INDEX(Clean_Data!$C$2:$C$4314,MATCH(A2238-30,Clean_Data!$A$2:$A$4314,1))-1)</f>
        <v>0.447708815315099</v>
      </c>
    </row>
    <row r="2239" customFormat="false" ht="15" hidden="false" customHeight="false" outlineLevel="0" collapsed="false">
      <c r="A2239" s="16" t="n">
        <v>44246</v>
      </c>
      <c r="B2239" s="23" t="n">
        <f aca="false">YEAR(A2239)</f>
        <v>2021</v>
      </c>
      <c r="C2239" s="17" t="n">
        <v>56029.51</v>
      </c>
      <c r="D2239" s="23" t="n">
        <f aca="false">A2239-A2238</f>
        <v>1</v>
      </c>
      <c r="E2239" s="24" t="n">
        <f aca="false">LN(C2239)</f>
        <v>10.9336337952061</v>
      </c>
      <c r="F2239" s="25" t="n">
        <f aca="false">LN(C2239/C2238)</f>
        <v>0.0815013957828951</v>
      </c>
      <c r="G2239" s="25" t="n">
        <f aca="false">IF(AND(D2239=1,A2239&gt;=$R$2),F2239,"")</f>
        <v>0.0815013957828951</v>
      </c>
      <c r="H2239" s="27" t="n">
        <f aca="false">IF(G2239="","",G2239^2)</f>
        <v>0.00664247751456011</v>
      </c>
      <c r="I2239" s="25" t="n">
        <f aca="false">IF(G2239="","",C2239/C2238-1)</f>
        <v>0.0849147318883683</v>
      </c>
      <c r="J2239" s="17" t="n">
        <f aca="false">AVERAGE(C2040:C2239)</f>
        <v>20614.66895</v>
      </c>
      <c r="K2239" s="17" t="n">
        <f aca="false">MAX(K2238,C2239)</f>
        <v>56029.51</v>
      </c>
      <c r="L2239" s="25" t="n">
        <f aca="false">C2239/K2239-1</f>
        <v>0</v>
      </c>
      <c r="M2239" s="25" t="n">
        <f aca="false">IF(COUNT(G2210:G2239)&lt;20,"",_xlfn.STDEV.S(G2210:G2239)*SQRT($R$3))</f>
        <v>1.10516370015583</v>
      </c>
      <c r="N2239" s="25" t="n">
        <f aca="false">IF(A2239-7&lt;$R$2,"",C2239/INDEX(Clean_Data!$C$2:$C$4314,MATCH(A2239-7,Clean_Data!$A$2:$A$4314,1))-1)</f>
        <v>0.178968474574417</v>
      </c>
      <c r="O2239" s="25" t="n">
        <f aca="false">IF(A2239-30&lt;$R$2,"",C2239/INDEX(Clean_Data!$C$2:$C$4314,MATCH(A2239-30,Clean_Data!$A$2:$A$4314,1))-1)</f>
        <v>0.575170562973075</v>
      </c>
    </row>
    <row r="2240" customFormat="false" ht="15" hidden="false" customHeight="false" outlineLevel="0" collapsed="false">
      <c r="A2240" s="16" t="n">
        <v>44247</v>
      </c>
      <c r="B2240" s="23" t="n">
        <f aca="false">YEAR(A2240)</f>
        <v>2021</v>
      </c>
      <c r="C2240" s="17" t="n">
        <v>55960.05</v>
      </c>
      <c r="D2240" s="23" t="n">
        <f aca="false">A2240-A2239</f>
        <v>1</v>
      </c>
      <c r="E2240" s="24" t="n">
        <f aca="false">LN(C2240)</f>
        <v>10.9323933222744</v>
      </c>
      <c r="F2240" s="25" t="n">
        <f aca="false">LN(C2240/C2239)</f>
        <v>-0.00124047293170777</v>
      </c>
      <c r="G2240" s="25" t="n">
        <f aca="false">IF(AND(D2240=1,A2240&gt;=$R$2),F2240,"")</f>
        <v>-0.00124047293170777</v>
      </c>
      <c r="H2240" s="27" t="n">
        <f aca="false">IF(G2240="","",G2240^2)</f>
        <v>1.53877309429968E-006</v>
      </c>
      <c r="I2240" s="25" t="n">
        <f aca="false">IF(G2240="","",C2240/C2239-1)</f>
        <v>-0.00123970386319638</v>
      </c>
      <c r="J2240" s="17" t="n">
        <f aca="false">AVERAGE(C2041:C2240)</f>
        <v>20838.292</v>
      </c>
      <c r="K2240" s="17" t="n">
        <f aca="false">MAX(K2239,C2240)</f>
        <v>56029.51</v>
      </c>
      <c r="L2240" s="25" t="n">
        <f aca="false">C2240/K2240-1</f>
        <v>-0.00123970386319638</v>
      </c>
      <c r="M2240" s="25" t="n">
        <f aca="false">IF(COUNT(G2211:G2240)&lt;20,"",_xlfn.STDEV.S(G2211:G2240)*SQRT($R$3))</f>
        <v>0.936273206288595</v>
      </c>
      <c r="N2240" s="25" t="n">
        <f aca="false">IF(A2240-7&lt;$R$2,"",C2240/INDEX(Clean_Data!$C$2:$C$4314,MATCH(A2240-7,Clean_Data!$A$2:$A$4314,1))-1)</f>
        <v>0.183732659421423</v>
      </c>
      <c r="O2240" s="25" t="n">
        <f aca="false">IF(A2240-30&lt;$R$2,"",C2240/INDEX(Clean_Data!$C$2:$C$4314,MATCH(A2240-30,Clean_Data!$A$2:$A$4314,1))-1)</f>
        <v>0.825939741432024</v>
      </c>
    </row>
    <row r="2241" customFormat="false" ht="15" hidden="false" customHeight="false" outlineLevel="0" collapsed="false">
      <c r="A2241" s="16" t="n">
        <v>44248</v>
      </c>
      <c r="B2241" s="23" t="n">
        <f aca="false">YEAR(A2241)</f>
        <v>2021</v>
      </c>
      <c r="C2241" s="17" t="n">
        <v>57538.47</v>
      </c>
      <c r="D2241" s="23" t="n">
        <f aca="false">A2241-A2240</f>
        <v>1</v>
      </c>
      <c r="E2241" s="24" t="n">
        <f aca="false">LN(C2241)</f>
        <v>10.9602090465539</v>
      </c>
      <c r="F2241" s="25" t="n">
        <f aca="false">LN(C2241/C2240)</f>
        <v>0.0278157242795181</v>
      </c>
      <c r="G2241" s="25" t="n">
        <f aca="false">IF(AND(D2241=1,A2241&gt;=$R$2),F2241,"")</f>
        <v>0.0278157242795181</v>
      </c>
      <c r="H2241" s="27" t="n">
        <f aca="false">IF(G2241="","",G2241^2)</f>
        <v>0.000773714517194175</v>
      </c>
      <c r="I2241" s="25" t="n">
        <f aca="false">IF(G2241="","",C2241/C2240-1)</f>
        <v>0.0282061935255598</v>
      </c>
      <c r="J2241" s="17" t="n">
        <f aca="false">AVERAGE(C2042:C2241)</f>
        <v>21069.99415</v>
      </c>
      <c r="K2241" s="17" t="n">
        <f aca="false">MAX(K2240,C2241)</f>
        <v>57538.47</v>
      </c>
      <c r="L2241" s="25" t="n">
        <f aca="false">C2241/K2241-1</f>
        <v>0</v>
      </c>
      <c r="M2241" s="25" t="n">
        <f aca="false">IF(COUNT(G2212:G2241)&lt;20,"",_xlfn.STDEV.S(G2212:G2241)*SQRT($R$3))</f>
        <v>0.919023147282987</v>
      </c>
      <c r="N2241" s="25" t="n">
        <f aca="false">IF(A2241-7&lt;$R$2,"",C2241/INDEX(Clean_Data!$C$2:$C$4314,MATCH(A2241-7,Clean_Data!$A$2:$A$4314,1))-1)</f>
        <v>0.181409006296498</v>
      </c>
      <c r="O2241" s="25" t="n">
        <f aca="false">IF(A2241-30&lt;$R$2,"",C2241/INDEX(Clean_Data!$C$2:$C$4314,MATCH(A2241-30,Clean_Data!$A$2:$A$4314,1))-1)</f>
        <v>0.749660260704486</v>
      </c>
    </row>
    <row r="2242" customFormat="false" ht="15" hidden="false" customHeight="false" outlineLevel="0" collapsed="false">
      <c r="A2242" s="16" t="n">
        <v>44249</v>
      </c>
      <c r="B2242" s="23" t="n">
        <f aca="false">YEAR(A2242)</f>
        <v>2021</v>
      </c>
      <c r="C2242" s="17" t="n">
        <v>54130.33</v>
      </c>
      <c r="D2242" s="23" t="n">
        <f aca="false">A2242-A2241</f>
        <v>1</v>
      </c>
      <c r="E2242" s="24" t="n">
        <f aca="false">LN(C2242)</f>
        <v>10.899149936207</v>
      </c>
      <c r="F2242" s="25" t="n">
        <f aca="false">LN(C2242/C2241)</f>
        <v>-0.0610591103469403</v>
      </c>
      <c r="G2242" s="25" t="n">
        <f aca="false">IF(AND(D2242=1,A2242&gt;=$R$2),F2242,"")</f>
        <v>-0.0610591103469403</v>
      </c>
      <c r="H2242" s="27" t="n">
        <f aca="false">IF(G2242="","",G2242^2)</f>
        <v>0.00372821495635983</v>
      </c>
      <c r="I2242" s="25" t="n">
        <f aca="false">IF(G2242="","",C2242/C2241-1)</f>
        <v>-0.0592323709685015</v>
      </c>
      <c r="J2242" s="17" t="n">
        <f aca="false">AVERAGE(C2043:C2242)</f>
        <v>21281.95785</v>
      </c>
      <c r="K2242" s="17" t="n">
        <f aca="false">MAX(K2241,C2242)</f>
        <v>57538.47</v>
      </c>
      <c r="L2242" s="25" t="n">
        <f aca="false">C2242/K2242-1</f>
        <v>-0.0592323709685015</v>
      </c>
      <c r="M2242" s="25" t="n">
        <f aca="false">IF(COUNT(G2213:G2242)&lt;20,"",_xlfn.STDEV.S(G2213:G2242)*SQRT($R$3))</f>
        <v>0.947768886904853</v>
      </c>
      <c r="N2242" s="25" t="n">
        <f aca="false">IF(A2242-7&lt;$R$2,"",C2242/INDEX(Clean_Data!$C$2:$C$4314,MATCH(A2242-7,Clean_Data!$A$2:$A$4314,1))-1)</f>
        <v>0.129789549019898</v>
      </c>
      <c r="O2242" s="25" t="n">
        <f aca="false">IF(A2242-30&lt;$R$2,"",C2242/INDEX(Clean_Data!$C$2:$C$4314,MATCH(A2242-30,Clean_Data!$A$2:$A$4314,1))-1)</f>
        <v>0.690446024571746</v>
      </c>
    </row>
    <row r="2243" customFormat="false" ht="15" hidden="false" customHeight="false" outlineLevel="0" collapsed="false">
      <c r="A2243" s="16" t="n">
        <v>44250</v>
      </c>
      <c r="B2243" s="23" t="n">
        <f aca="false">YEAR(A2243)</f>
        <v>2021</v>
      </c>
      <c r="C2243" s="17" t="n">
        <v>48972.11</v>
      </c>
      <c r="D2243" s="23" t="n">
        <f aca="false">A2243-A2242</f>
        <v>1</v>
      </c>
      <c r="E2243" s="24" t="n">
        <f aca="false">LN(C2243)</f>
        <v>10.7990062313728</v>
      </c>
      <c r="F2243" s="25" t="n">
        <f aca="false">LN(C2243/C2242)</f>
        <v>-0.100143704834175</v>
      </c>
      <c r="G2243" s="25" t="n">
        <f aca="false">IF(AND(D2243=1,A2243&gt;=$R$2),F2243,"")</f>
        <v>-0.100143704834175</v>
      </c>
      <c r="H2243" s="27" t="n">
        <f aca="false">IF(G2243="","",G2243^2)</f>
        <v>0.0100287616179144</v>
      </c>
      <c r="I2243" s="25" t="n">
        <f aca="false">IF(G2243="","",C2243/C2242-1)</f>
        <v>-0.0952926021326676</v>
      </c>
      <c r="J2243" s="17" t="n">
        <f aca="false">AVERAGE(C2044:C2243)</f>
        <v>21467.9853</v>
      </c>
      <c r="K2243" s="17" t="n">
        <f aca="false">MAX(K2242,C2243)</f>
        <v>57538.47</v>
      </c>
      <c r="L2243" s="25" t="n">
        <f aca="false">C2243/K2243-1</f>
        <v>-0.148880566341093</v>
      </c>
      <c r="M2243" s="25" t="n">
        <f aca="false">IF(COUNT(G2214:G2243)&lt;20,"",_xlfn.STDEV.S(G2214:G2243)*SQRT($R$3))</f>
        <v>1.03260593763108</v>
      </c>
      <c r="N2243" s="25" t="n">
        <f aca="false">IF(A2243-7&lt;$R$2,"",C2243/INDEX(Clean_Data!$C$2:$C$4314,MATCH(A2243-7,Clean_Data!$A$2:$A$4314,1))-1)</f>
        <v>-0.00578838883144672</v>
      </c>
      <c r="O2243" s="25" t="n">
        <f aca="false">IF(A2243-30&lt;$R$2,"",C2243/INDEX(Clean_Data!$C$2:$C$4314,MATCH(A2243-30,Clean_Data!$A$2:$A$4314,1))-1)</f>
        <v>0.51851456790246</v>
      </c>
    </row>
    <row r="2244" customFormat="false" ht="15" hidden="false" customHeight="false" outlineLevel="0" collapsed="false">
      <c r="A2244" s="16" t="n">
        <v>44251</v>
      </c>
      <c r="B2244" s="23" t="n">
        <f aca="false">YEAR(A2244)</f>
        <v>2021</v>
      </c>
      <c r="C2244" s="17" t="n">
        <v>49789.99</v>
      </c>
      <c r="D2244" s="23" t="n">
        <f aca="false">A2244-A2243</f>
        <v>1</v>
      </c>
      <c r="E2244" s="24" t="n">
        <f aca="false">LN(C2244)</f>
        <v>10.8155692387927</v>
      </c>
      <c r="F2244" s="25" t="n">
        <f aca="false">LN(C2244/C2243)</f>
        <v>0.0165630074198906</v>
      </c>
      <c r="G2244" s="25" t="n">
        <f aca="false">IF(AND(D2244=1,A2244&gt;=$R$2),F2244,"")</f>
        <v>0.0165630074198906</v>
      </c>
      <c r="H2244" s="27" t="n">
        <f aca="false">IF(G2244="","",G2244^2)</f>
        <v>0.000274333214791352</v>
      </c>
      <c r="I2244" s="25" t="n">
        <f aca="false">IF(G2244="","",C2244/C2243-1)</f>
        <v>0.016700934470661</v>
      </c>
      <c r="J2244" s="17" t="n">
        <f aca="false">AVERAGE(C2045:C2244)</f>
        <v>21658.94045</v>
      </c>
      <c r="K2244" s="17" t="n">
        <f aca="false">MAX(K2243,C2244)</f>
        <v>57538.47</v>
      </c>
      <c r="L2244" s="25" t="n">
        <f aca="false">C2244/K2244-1</f>
        <v>-0.13466607645285</v>
      </c>
      <c r="M2244" s="25" t="n">
        <f aca="false">IF(COUNT(G2215:G2244)&lt;20,"",_xlfn.STDEV.S(G2215:G2244)*SQRT($R$3))</f>
        <v>1.02946869686076</v>
      </c>
      <c r="N2244" s="25" t="n">
        <f aca="false">IF(A2244-7&lt;$R$2,"",C2244/INDEX(Clean_Data!$C$2:$C$4314,MATCH(A2244-7,Clean_Data!$A$2:$A$4314,1))-1)</f>
        <v>-0.047443229212104</v>
      </c>
      <c r="O2244" s="25" t="n">
        <f aca="false">IF(A2244-30&lt;$R$2,"",C2244/INDEX(Clean_Data!$C$2:$C$4314,MATCH(A2244-30,Clean_Data!$A$2:$A$4314,1))-1)</f>
        <v>0.55695894180556</v>
      </c>
    </row>
    <row r="2245" customFormat="false" ht="15" hidden="false" customHeight="false" outlineLevel="0" collapsed="false">
      <c r="A2245" s="16" t="n">
        <v>44252</v>
      </c>
      <c r="B2245" s="23" t="n">
        <f aca="false">YEAR(A2245)</f>
        <v>2021</v>
      </c>
      <c r="C2245" s="17" t="n">
        <v>46927.73</v>
      </c>
      <c r="D2245" s="23" t="n">
        <f aca="false">A2245-A2244</f>
        <v>1</v>
      </c>
      <c r="E2245" s="24" t="n">
        <f aca="false">LN(C2245)</f>
        <v>10.756364037706</v>
      </c>
      <c r="F2245" s="25" t="n">
        <f aca="false">LN(C2245/C2244)</f>
        <v>-0.0592052010866997</v>
      </c>
      <c r="G2245" s="25" t="n">
        <f aca="false">IF(AND(D2245=1,A2245&gt;=$R$2),F2245,"")</f>
        <v>-0.0592052010866997</v>
      </c>
      <c r="H2245" s="27" t="n">
        <f aca="false">IF(G2245="","",G2245^2)</f>
        <v>0.00350525583571655</v>
      </c>
      <c r="I2245" s="25" t="n">
        <f aca="false">IF(G2245="","",C2245/C2244-1)</f>
        <v>-0.0574866554502219</v>
      </c>
      <c r="J2245" s="17" t="n">
        <f aca="false">AVERAGE(C2046:C2245)</f>
        <v>21834.6784</v>
      </c>
      <c r="K2245" s="17" t="n">
        <f aca="false">MAX(K2244,C2245)</f>
        <v>57538.47</v>
      </c>
      <c r="L2245" s="25" t="n">
        <f aca="false">C2245/K2245-1</f>
        <v>-0.184411229565194</v>
      </c>
      <c r="M2245" s="25" t="n">
        <f aca="false">IF(COUNT(G2216:G2245)&lt;20,"",_xlfn.STDEV.S(G2216:G2245)*SQRT($R$3))</f>
        <v>1.06109906817576</v>
      </c>
      <c r="N2245" s="25" t="n">
        <f aca="false">IF(A2245-7&lt;$R$2,"",C2245/INDEX(Clean_Data!$C$2:$C$4314,MATCH(A2245-7,Clean_Data!$A$2:$A$4314,1))-1)</f>
        <v>-0.0913255245123553</v>
      </c>
      <c r="O2245" s="25" t="n">
        <f aca="false">IF(A2245-30&lt;$R$2,"",C2245/INDEX(Clean_Data!$C$2:$C$4314,MATCH(A2245-30,Clean_Data!$A$2:$A$4314,1))-1)</f>
        <v>0.440392549743983</v>
      </c>
    </row>
    <row r="2246" customFormat="false" ht="15" hidden="false" customHeight="false" outlineLevel="0" collapsed="false">
      <c r="A2246" s="16" t="n">
        <v>44253</v>
      </c>
      <c r="B2246" s="23" t="n">
        <f aca="false">YEAR(A2246)</f>
        <v>2021</v>
      </c>
      <c r="C2246" s="17" t="n">
        <v>46360.17</v>
      </c>
      <c r="D2246" s="23" t="n">
        <f aca="false">A2246-A2245</f>
        <v>1</v>
      </c>
      <c r="E2246" s="24" t="n">
        <f aca="false">LN(C2246)</f>
        <v>10.7441959644012</v>
      </c>
      <c r="F2246" s="25" t="n">
        <f aca="false">LN(C2246/C2245)</f>
        <v>-0.01216807330473</v>
      </c>
      <c r="G2246" s="25" t="n">
        <f aca="false">IF(AND(D2246=1,A2246&gt;=$R$2),F2246,"")</f>
        <v>-0.01216807330473</v>
      </c>
      <c r="H2246" s="27" t="n">
        <f aca="false">IF(G2246="","",G2246^2)</f>
        <v>0.000148062007949282</v>
      </c>
      <c r="I2246" s="25" t="n">
        <f aca="false">IF(G2246="","",C2246/C2245-1)</f>
        <v>-0.0120943416611032</v>
      </c>
      <c r="J2246" s="17" t="n">
        <f aca="false">AVERAGE(C2047:C2246)</f>
        <v>22008.01545</v>
      </c>
      <c r="K2246" s="17" t="n">
        <f aca="false">MAX(K2245,C2246)</f>
        <v>57538.47</v>
      </c>
      <c r="L2246" s="25" t="n">
        <f aca="false">C2246/K2246-1</f>
        <v>-0.194275238809791</v>
      </c>
      <c r="M2246" s="25" t="n">
        <f aca="false">IF(COUNT(G2217:G2246)&lt;20,"",_xlfn.STDEV.S(G2217:G2246)*SQRT($R$3))</f>
        <v>1.02894673521133</v>
      </c>
      <c r="N2246" s="25" t="n">
        <f aca="false">IF(A2246-7&lt;$R$2,"",C2246/INDEX(Clean_Data!$C$2:$C$4314,MATCH(A2246-7,Clean_Data!$A$2:$A$4314,1))-1)</f>
        <v>-0.172575844407706</v>
      </c>
      <c r="O2246" s="25" t="n">
        <f aca="false">IF(A2246-30&lt;$R$2,"",C2246/INDEX(Clean_Data!$C$2:$C$4314,MATCH(A2246-30,Clean_Data!$A$2:$A$4314,1))-1)</f>
        <v>0.51741551960817</v>
      </c>
    </row>
    <row r="2247" customFormat="false" ht="15" hidden="false" customHeight="false" outlineLevel="0" collapsed="false">
      <c r="A2247" s="16" t="n">
        <v>44254</v>
      </c>
      <c r="B2247" s="23" t="n">
        <f aca="false">YEAR(A2247)</f>
        <v>2021</v>
      </c>
      <c r="C2247" s="17" t="n">
        <v>45973.56</v>
      </c>
      <c r="D2247" s="23" t="n">
        <f aca="false">A2247-A2246</f>
        <v>1</v>
      </c>
      <c r="E2247" s="24" t="n">
        <f aca="false">LN(C2247)</f>
        <v>10.7358217276117</v>
      </c>
      <c r="F2247" s="25" t="n">
        <f aca="false">LN(C2247/C2246)</f>
        <v>-0.00837423678954812</v>
      </c>
      <c r="G2247" s="25" t="n">
        <f aca="false">IF(AND(D2247=1,A2247&gt;=$R$2),F2247,"")</f>
        <v>-0.00837423678954812</v>
      </c>
      <c r="H2247" s="27" t="n">
        <f aca="false">IF(G2247="","",G2247^2)</f>
        <v>7.01278418074212E-005</v>
      </c>
      <c r="I2247" s="25" t="n">
        <f aca="false">IF(G2247="","",C2247/C2246-1)</f>
        <v>-0.00833927054193284</v>
      </c>
      <c r="J2247" s="17" t="n">
        <f aca="false">AVERAGE(C2048:C2247)</f>
        <v>22178.4023</v>
      </c>
      <c r="K2247" s="17" t="n">
        <f aca="false">MAX(K2246,C2247)</f>
        <v>57538.47</v>
      </c>
      <c r="L2247" s="25" t="n">
        <f aca="false">C2247/K2247-1</f>
        <v>-0.200994395575691</v>
      </c>
      <c r="M2247" s="25" t="n">
        <f aca="false">IF(COUNT(G2218:G2247)&lt;20,"",_xlfn.STDEV.S(G2218:G2247)*SQRT($R$3))</f>
        <v>0.992308131792962</v>
      </c>
      <c r="N2247" s="25" t="n">
        <f aca="false">IF(A2247-7&lt;$R$2,"",C2247/INDEX(Clean_Data!$C$2:$C$4314,MATCH(A2247-7,Clean_Data!$A$2:$A$4314,1))-1)</f>
        <v>-0.178457488869292</v>
      </c>
      <c r="O2247" s="25" t="n">
        <f aca="false">IF(A2247-30&lt;$R$2,"",C2247/INDEX(Clean_Data!$C$2:$C$4314,MATCH(A2247-30,Clean_Data!$A$2:$A$4314,1))-1)</f>
        <v>0.372968033256881</v>
      </c>
    </row>
    <row r="2248" customFormat="false" ht="15" hidden="false" customHeight="false" outlineLevel="0" collapsed="false">
      <c r="A2248" s="16" t="n">
        <v>44255</v>
      </c>
      <c r="B2248" s="23" t="n">
        <f aca="false">YEAR(A2248)</f>
        <v>2021</v>
      </c>
      <c r="C2248" s="17" t="n">
        <v>45352.29</v>
      </c>
      <c r="D2248" s="23" t="n">
        <f aca="false">A2248-A2247</f>
        <v>1</v>
      </c>
      <c r="E2248" s="24" t="n">
        <f aca="false">LN(C2248)</f>
        <v>10.7222159504095</v>
      </c>
      <c r="F2248" s="25" t="n">
        <f aca="false">LN(C2248/C2247)</f>
        <v>-0.0136057772021675</v>
      </c>
      <c r="G2248" s="25" t="n">
        <f aca="false">IF(AND(D2248=1,A2248&gt;=$R$2),F2248,"")</f>
        <v>-0.0136057772021675</v>
      </c>
      <c r="H2248" s="27" t="n">
        <f aca="false">IF(G2248="","",G2248^2)</f>
        <v>0.00018511717327502</v>
      </c>
      <c r="I2248" s="25" t="n">
        <f aca="false">IF(G2248="","",C2248/C2247-1)</f>
        <v>-0.0135136369687272</v>
      </c>
      <c r="J2248" s="17" t="n">
        <f aca="false">AVERAGE(C2049:C2248)</f>
        <v>22348.2287</v>
      </c>
      <c r="K2248" s="17" t="n">
        <f aca="false">MAX(K2247,C2248)</f>
        <v>57538.47</v>
      </c>
      <c r="L2248" s="25" t="n">
        <f aca="false">C2248/K2248-1</f>
        <v>-0.211791867249859</v>
      </c>
      <c r="M2248" s="25" t="n">
        <f aca="false">IF(COUNT(G2219:G2248)&lt;20,"",_xlfn.STDEV.S(G2219:G2248)*SQRT($R$3))</f>
        <v>0.994388446729197</v>
      </c>
      <c r="N2248" s="25" t="n">
        <f aca="false">IF(A2248-7&lt;$R$2,"",C2248/INDEX(Clean_Data!$C$2:$C$4314,MATCH(A2248-7,Clean_Data!$A$2:$A$4314,1))-1)</f>
        <v>-0.211791867249859</v>
      </c>
      <c r="O2248" s="25" t="n">
        <f aca="false">IF(A2248-30&lt;$R$2,"",C2248/INDEX(Clean_Data!$C$2:$C$4314,MATCH(A2248-30,Clean_Data!$A$2:$A$4314,1))-1)</f>
        <v>0.321063357154967</v>
      </c>
    </row>
    <row r="2249" customFormat="false" ht="15" hidden="false" customHeight="false" outlineLevel="0" collapsed="false">
      <c r="A2249" s="16" t="n">
        <v>44256</v>
      </c>
      <c r="B2249" s="23" t="n">
        <f aca="false">YEAR(A2249)</f>
        <v>2021</v>
      </c>
      <c r="C2249" s="17" t="n">
        <v>49652.19</v>
      </c>
      <c r="D2249" s="23" t="n">
        <f aca="false">A2249-A2248</f>
        <v>1</v>
      </c>
      <c r="E2249" s="24" t="n">
        <f aca="false">LN(C2249)</f>
        <v>10.8127977772619</v>
      </c>
      <c r="F2249" s="25" t="n">
        <f aca="false">LN(C2249/C2248)</f>
        <v>0.0905818268523652</v>
      </c>
      <c r="G2249" s="25" t="n">
        <f aca="false">IF(AND(D2249=1,A2249&gt;=$R$2),F2249,"")</f>
        <v>0.0905818268523652</v>
      </c>
      <c r="H2249" s="27" t="n">
        <f aca="false">IF(G2249="","",G2249^2)</f>
        <v>0.00820506735591187</v>
      </c>
      <c r="I2249" s="25" t="n">
        <f aca="false">IF(G2249="","",C2249/C2248-1)</f>
        <v>0.0948110889218605</v>
      </c>
      <c r="J2249" s="17" t="n">
        <f aca="false">AVERAGE(C2050:C2249)</f>
        <v>22538.67385</v>
      </c>
      <c r="K2249" s="17" t="n">
        <f aca="false">MAX(K2248,C2249)</f>
        <v>57538.47</v>
      </c>
      <c r="L2249" s="25" t="n">
        <f aca="false">C2249/K2249-1</f>
        <v>-0.137060995886752</v>
      </c>
      <c r="M2249" s="25" t="n">
        <f aca="false">IF(COUNT(G2220:G2249)&lt;20,"",_xlfn.STDEV.S(G2220:G2249)*SQRT($R$3))</f>
        <v>1.03269066757524</v>
      </c>
      <c r="N2249" s="25" t="n">
        <f aca="false">IF(A2249-7&lt;$R$2,"",C2249/INDEX(Clean_Data!$C$2:$C$4314,MATCH(A2249-7,Clean_Data!$A$2:$A$4314,1))-1)</f>
        <v>-0.0827288509048439</v>
      </c>
      <c r="O2249" s="25" t="n">
        <f aca="false">IF(A2249-30&lt;$R$2,"",C2249/INDEX(Clean_Data!$C$2:$C$4314,MATCH(A2249-30,Clean_Data!$A$2:$A$4314,1))-1)</f>
        <v>0.450577795306646</v>
      </c>
    </row>
    <row r="2250" customFormat="false" ht="15" hidden="false" customHeight="false" outlineLevel="0" collapsed="false">
      <c r="A2250" s="16" t="n">
        <v>44257</v>
      </c>
      <c r="B2250" s="23" t="n">
        <f aca="false">YEAR(A2250)</f>
        <v>2021</v>
      </c>
      <c r="C2250" s="17" t="n">
        <v>48368.22</v>
      </c>
      <c r="D2250" s="23" t="n">
        <f aca="false">A2250-A2249</f>
        <v>1</v>
      </c>
      <c r="E2250" s="24" t="n">
        <f aca="false">LN(C2250)</f>
        <v>10.7865982654707</v>
      </c>
      <c r="F2250" s="25" t="n">
        <f aca="false">LN(C2250/C2249)</f>
        <v>-0.0261995117911972</v>
      </c>
      <c r="G2250" s="25" t="n">
        <f aca="false">IF(AND(D2250=1,A2250&gt;=$R$2),F2250,"")</f>
        <v>-0.0261995117911972</v>
      </c>
      <c r="H2250" s="27" t="n">
        <f aca="false">IF(G2250="","",G2250^2)</f>
        <v>0.000686414418097083</v>
      </c>
      <c r="I2250" s="25" t="n">
        <f aca="false">IF(G2250="","",C2250/C2249-1)</f>
        <v>-0.0258592823398123</v>
      </c>
      <c r="J2250" s="17" t="n">
        <f aca="false">AVERAGE(C2051:C2250)</f>
        <v>22721.39</v>
      </c>
      <c r="K2250" s="17" t="n">
        <f aca="false">MAX(K2249,C2250)</f>
        <v>57538.47</v>
      </c>
      <c r="L2250" s="25" t="n">
        <f aca="false">C2250/K2250-1</f>
        <v>-0.159375979236153</v>
      </c>
      <c r="M2250" s="25" t="n">
        <f aca="false">IF(COUNT(G2221:G2250)&lt;20,"",_xlfn.STDEV.S(G2221:G2250)*SQRT($R$3))</f>
        <v>1.0284754178622</v>
      </c>
      <c r="N2250" s="25" t="n">
        <f aca="false">IF(A2250-7&lt;$R$2,"",C2250/INDEX(Clean_Data!$C$2:$C$4314,MATCH(A2250-7,Clean_Data!$A$2:$A$4314,1))-1)</f>
        <v>-0.0123313044914748</v>
      </c>
      <c r="O2250" s="25" t="n">
        <f aca="false">IF(A2250-30&lt;$R$2,"",C2250/INDEX(Clean_Data!$C$2:$C$4314,MATCH(A2250-30,Clean_Data!$A$2:$A$4314,1))-1)</f>
        <v>0.462331853613895</v>
      </c>
    </row>
    <row r="2251" customFormat="false" ht="15" hidden="false" customHeight="false" outlineLevel="0" collapsed="false">
      <c r="A2251" s="16" t="n">
        <v>44258</v>
      </c>
      <c r="B2251" s="23" t="n">
        <f aca="false">YEAR(A2251)</f>
        <v>2021</v>
      </c>
      <c r="C2251" s="17" t="n">
        <v>50164.67</v>
      </c>
      <c r="D2251" s="23" t="n">
        <f aca="false">A2251-A2250</f>
        <v>1</v>
      </c>
      <c r="E2251" s="24" t="n">
        <f aca="false">LN(C2251)</f>
        <v>10.8230662730464</v>
      </c>
      <c r="F2251" s="25" t="n">
        <f aca="false">LN(C2251/C2250)</f>
        <v>0.0364680075757505</v>
      </c>
      <c r="G2251" s="25" t="n">
        <f aca="false">IF(AND(D2251=1,A2251&gt;=$R$2),F2251,"")</f>
        <v>0.0364680075757505</v>
      </c>
      <c r="H2251" s="27" t="n">
        <f aca="false">IF(G2251="","",G2251^2)</f>
        <v>0.001329915576545</v>
      </c>
      <c r="I2251" s="25" t="n">
        <f aca="false">IF(G2251="","",C2251/C2250-1)</f>
        <v>0.0371411228281711</v>
      </c>
      <c r="J2251" s="17" t="n">
        <f aca="false">AVERAGE(C2052:C2251)</f>
        <v>22913.2869</v>
      </c>
      <c r="K2251" s="17" t="n">
        <f aca="false">MAX(K2250,C2251)</f>
        <v>57538.47</v>
      </c>
      <c r="L2251" s="25" t="n">
        <f aca="false">C2251/K2251-1</f>
        <v>-0.128154259228652</v>
      </c>
      <c r="M2251" s="25" t="n">
        <f aca="false">IF(COUNT(G2222:G2251)&lt;20,"",_xlfn.STDEV.S(G2222:G2251)*SQRT($R$3))</f>
        <v>1.03179981597018</v>
      </c>
      <c r="N2251" s="25" t="n">
        <f aca="false">IF(A2251-7&lt;$R$2,"",C2251/INDEX(Clean_Data!$C$2:$C$4314,MATCH(A2251-7,Clean_Data!$A$2:$A$4314,1))-1)</f>
        <v>0.0075252073760208</v>
      </c>
      <c r="O2251" s="25" t="n">
        <f aca="false">IF(A2251-30&lt;$R$2,"",C2251/INDEX(Clean_Data!$C$2:$C$4314,MATCH(A2251-30,Clean_Data!$A$2:$A$4314,1))-1)</f>
        <v>0.499350521256755</v>
      </c>
    </row>
    <row r="2252" customFormat="false" ht="15" hidden="false" customHeight="false" outlineLevel="0" collapsed="false">
      <c r="A2252" s="16" t="n">
        <v>44259</v>
      </c>
      <c r="B2252" s="23" t="n">
        <f aca="false">YEAR(A2252)</f>
        <v>2021</v>
      </c>
      <c r="C2252" s="17" t="n">
        <v>48327.39</v>
      </c>
      <c r="D2252" s="23" t="n">
        <f aca="false">A2252-A2251</f>
        <v>1</v>
      </c>
      <c r="E2252" s="24" t="n">
        <f aca="false">LN(C2252)</f>
        <v>10.7857537596565</v>
      </c>
      <c r="F2252" s="25" t="n">
        <f aca="false">LN(C2252/C2251)</f>
        <v>-0.0373125133899571</v>
      </c>
      <c r="G2252" s="25" t="n">
        <f aca="false">IF(AND(D2252=1,A2252&gt;=$R$2),F2252,"")</f>
        <v>-0.0373125133899571</v>
      </c>
      <c r="H2252" s="27" t="n">
        <f aca="false">IF(G2252="","",G2252^2)</f>
        <v>0.00139222365547573</v>
      </c>
      <c r="I2252" s="25" t="n">
        <f aca="false">IF(G2252="","",C2252/C2251-1)</f>
        <v>-0.0366249792931958</v>
      </c>
      <c r="J2252" s="17" t="n">
        <f aca="false">AVERAGE(C2053:C2252)</f>
        <v>23095.6525</v>
      </c>
      <c r="K2252" s="17" t="n">
        <f aca="false">MAX(K2251,C2252)</f>
        <v>57538.47</v>
      </c>
      <c r="L2252" s="25" t="n">
        <f aca="false">C2252/K2252-1</f>
        <v>-0.160085591431263</v>
      </c>
      <c r="M2252" s="25" t="n">
        <f aca="false">IF(COUNT(G2223:G2252)&lt;20,"",_xlfn.STDEV.S(G2223:G2252)*SQRT($R$3))</f>
        <v>1.03269747547943</v>
      </c>
      <c r="N2252" s="25" t="n">
        <f aca="false">IF(A2252-7&lt;$R$2,"",C2252/INDEX(Clean_Data!$C$2:$C$4314,MATCH(A2252-7,Clean_Data!$A$2:$A$4314,1))-1)</f>
        <v>0.0298258620223053</v>
      </c>
      <c r="O2252" s="25" t="n">
        <f aca="false">IF(A2252-30&lt;$R$2,"",C2252/INDEX(Clean_Data!$C$2:$C$4314,MATCH(A2252-30,Clean_Data!$A$2:$A$4314,1))-1)</f>
        <v>0.360910555497201</v>
      </c>
    </row>
    <row r="2253" customFormat="false" ht="15" hidden="false" customHeight="false" outlineLevel="0" collapsed="false">
      <c r="A2253" s="16" t="n">
        <v>44260</v>
      </c>
      <c r="B2253" s="23" t="n">
        <f aca="false">YEAR(A2253)</f>
        <v>2021</v>
      </c>
      <c r="C2253" s="17" t="n">
        <v>48908.09</v>
      </c>
      <c r="D2253" s="23" t="n">
        <f aca="false">A2253-A2252</f>
        <v>1</v>
      </c>
      <c r="E2253" s="24" t="n">
        <f aca="false">LN(C2253)</f>
        <v>10.7976981014521</v>
      </c>
      <c r="F2253" s="25" t="n">
        <f aca="false">LN(C2253/C2252)</f>
        <v>0.0119443417956502</v>
      </c>
      <c r="G2253" s="25" t="n">
        <f aca="false">IF(AND(D2253=1,A2253&gt;=$R$2),F2253,"")</f>
        <v>0.0119443417956502</v>
      </c>
      <c r="H2253" s="27" t="n">
        <f aca="false">IF(G2253="","",G2253^2)</f>
        <v>0.000142667300931317</v>
      </c>
      <c r="I2253" s="25" t="n">
        <f aca="false">IF(G2253="","",C2253/C2252-1)</f>
        <v>0.012015960307395</v>
      </c>
      <c r="J2253" s="17" t="n">
        <f aca="false">AVERAGE(C2054:C2253)</f>
        <v>23280.57295</v>
      </c>
      <c r="K2253" s="17" t="n">
        <f aca="false">MAX(K2252,C2253)</f>
        <v>57538.47</v>
      </c>
      <c r="L2253" s="25" t="n">
        <f aca="false">C2253/K2253-1</f>
        <v>-0.149993213236292</v>
      </c>
      <c r="M2253" s="25" t="n">
        <f aca="false">IF(COUNT(G2224:G2253)&lt;20,"",_xlfn.STDEV.S(G2224:G2253)*SQRT($R$3))</f>
        <v>1.01598817257551</v>
      </c>
      <c r="N2253" s="25" t="n">
        <f aca="false">IF(A2253-7&lt;$R$2,"",C2253/INDEX(Clean_Data!$C$2:$C$4314,MATCH(A2253-7,Clean_Data!$A$2:$A$4314,1))-1)</f>
        <v>0.0549592462667845</v>
      </c>
      <c r="O2253" s="25" t="n">
        <f aca="false">IF(A2253-30&lt;$R$2,"",C2253/INDEX(Clean_Data!$C$2:$C$4314,MATCH(A2253-30,Clean_Data!$A$2:$A$4314,1))-1)</f>
        <v>0.294912734935494</v>
      </c>
    </row>
    <row r="2254" customFormat="false" ht="15" hidden="false" customHeight="false" outlineLevel="0" collapsed="false">
      <c r="A2254" s="16" t="n">
        <v>44261</v>
      </c>
      <c r="B2254" s="23" t="n">
        <f aca="false">YEAR(A2254)</f>
        <v>2021</v>
      </c>
      <c r="C2254" s="17" t="n">
        <v>48986.85</v>
      </c>
      <c r="D2254" s="23" t="n">
        <f aca="false">A2254-A2253</f>
        <v>1</v>
      </c>
      <c r="E2254" s="24" t="n">
        <f aca="false">LN(C2254)</f>
        <v>10.7993071737289</v>
      </c>
      <c r="F2254" s="25" t="n">
        <f aca="false">LN(C2254/C2253)</f>
        <v>0.00160907227673293</v>
      </c>
      <c r="G2254" s="25" t="n">
        <f aca="false">IF(AND(D2254=1,A2254&gt;=$R$2),F2254,"")</f>
        <v>0.00160907227673293</v>
      </c>
      <c r="H2254" s="27" t="n">
        <f aca="false">IF(G2254="","",G2254^2)</f>
        <v>2.58911359175049E-006</v>
      </c>
      <c r="I2254" s="25" t="n">
        <f aca="false">IF(G2254="","",C2254/C2253-1)</f>
        <v>0.00161036752815336</v>
      </c>
      <c r="J2254" s="17" t="n">
        <f aca="false">AVERAGE(C2055:C2254)</f>
        <v>23463.8817</v>
      </c>
      <c r="K2254" s="17" t="n">
        <f aca="false">MAX(K2253,C2254)</f>
        <v>57538.47</v>
      </c>
      <c r="L2254" s="25" t="n">
        <f aca="false">C2254/K2254-1</f>
        <v>-0.148624389908178</v>
      </c>
      <c r="M2254" s="25" t="n">
        <f aca="false">IF(COUNT(G2225:G2254)&lt;20,"",_xlfn.STDEV.S(G2225:G2254)*SQRT($R$3))</f>
        <v>1.01158718634254</v>
      </c>
      <c r="N2254" s="25" t="n">
        <f aca="false">IF(A2254-7&lt;$R$2,"",C2254/INDEX(Clean_Data!$C$2:$C$4314,MATCH(A2254-7,Clean_Data!$A$2:$A$4314,1))-1)</f>
        <v>0.06554397788642</v>
      </c>
      <c r="O2254" s="25" t="n">
        <f aca="false">IF(A2254-30&lt;$R$2,"",C2254/INDEX(Clean_Data!$C$2:$C$4314,MATCH(A2254-30,Clean_Data!$A$2:$A$4314,1))-1)</f>
        <v>0.321437829756895</v>
      </c>
    </row>
    <row r="2255" customFormat="false" ht="15" hidden="false" customHeight="false" outlineLevel="0" collapsed="false">
      <c r="A2255" s="16" t="n">
        <v>44262</v>
      </c>
      <c r="B2255" s="23" t="n">
        <f aca="false">YEAR(A2255)</f>
        <v>2021</v>
      </c>
      <c r="C2255" s="17" t="n">
        <v>50858.34</v>
      </c>
      <c r="D2255" s="23" t="n">
        <f aca="false">A2255-A2254</f>
        <v>1</v>
      </c>
      <c r="E2255" s="24" t="n">
        <f aca="false">LN(C2255)</f>
        <v>10.8367993998277</v>
      </c>
      <c r="F2255" s="25" t="n">
        <f aca="false">LN(C2255/C2254)</f>
        <v>0.0374922260987869</v>
      </c>
      <c r="G2255" s="25" t="n">
        <f aca="false">IF(AND(D2255=1,A2255&gt;=$R$2),F2255,"")</f>
        <v>0.0374922260987869</v>
      </c>
      <c r="H2255" s="27" t="n">
        <f aca="false">IF(G2255="","",G2255^2)</f>
        <v>0.00140566701784256</v>
      </c>
      <c r="I2255" s="25" t="n">
        <f aca="false">IF(G2255="","",C2255/C2254-1)</f>
        <v>0.0382039261556928</v>
      </c>
      <c r="J2255" s="17" t="n">
        <f aca="false">AVERAGE(C2056:C2255)</f>
        <v>23658.2558</v>
      </c>
      <c r="K2255" s="17" t="n">
        <f aca="false">MAX(K2254,C2255)</f>
        <v>57538.47</v>
      </c>
      <c r="L2255" s="25" t="n">
        <f aca="false">C2255/K2255-1</f>
        <v>-0.116098498969472</v>
      </c>
      <c r="M2255" s="25" t="n">
        <f aca="false">IF(COUNT(G2226:G2255)&lt;20,"",_xlfn.STDEV.S(G2226:G2255)*SQRT($R$3))</f>
        <v>1.01254052433717</v>
      </c>
      <c r="N2255" s="25" t="n">
        <f aca="false">IF(A2255-7&lt;$R$2,"",C2255/INDEX(Clean_Data!$C$2:$C$4314,MATCH(A2255-7,Clean_Data!$A$2:$A$4314,1))-1)</f>
        <v>0.121406217855813</v>
      </c>
      <c r="O2255" s="25" t="n">
        <f aca="false">IF(A2255-30&lt;$R$2,"",C2255/INDEX(Clean_Data!$C$2:$C$4314,MATCH(A2255-30,Clean_Data!$A$2:$A$4314,1))-1)</f>
        <v>0.325234529349196</v>
      </c>
    </row>
    <row r="2256" customFormat="false" ht="15" hidden="false" customHeight="false" outlineLevel="0" collapsed="false">
      <c r="A2256" s="16" t="n">
        <v>44263</v>
      </c>
      <c r="B2256" s="23" t="n">
        <f aca="false">YEAR(A2256)</f>
        <v>2021</v>
      </c>
      <c r="C2256" s="17" t="n">
        <v>52472.59</v>
      </c>
      <c r="D2256" s="23" t="n">
        <f aca="false">A2256-A2255</f>
        <v>1</v>
      </c>
      <c r="E2256" s="24" t="n">
        <f aca="false">LN(C2256)</f>
        <v>10.8680462170024</v>
      </c>
      <c r="F2256" s="25" t="n">
        <f aca="false">LN(C2256/C2255)</f>
        <v>0.0312468171747929</v>
      </c>
      <c r="G2256" s="25" t="n">
        <f aca="false">IF(AND(D2256=1,A2256&gt;=$R$2),F2256,"")</f>
        <v>0.0312468171747929</v>
      </c>
      <c r="H2256" s="27" t="n">
        <f aca="false">IF(G2256="","",G2256^2)</f>
        <v>0.000976363583554934</v>
      </c>
      <c r="I2256" s="25" t="n">
        <f aca="false">IF(G2256="","",C2256/C2255-1)</f>
        <v>0.031740123645404</v>
      </c>
      <c r="J2256" s="17" t="n">
        <f aca="false">AVERAGE(C2057:C2256)</f>
        <v>23861.79475</v>
      </c>
      <c r="K2256" s="17" t="n">
        <f aca="false">MAX(K2255,C2256)</f>
        <v>57538.47</v>
      </c>
      <c r="L2256" s="25" t="n">
        <f aca="false">C2256/K2256-1</f>
        <v>-0.0880433560364049</v>
      </c>
      <c r="M2256" s="25" t="n">
        <f aca="false">IF(COUNT(G2227:G2256)&lt;20,"",_xlfn.STDEV.S(G2227:G2256)*SQRT($R$3))</f>
        <v>1.01518775806375</v>
      </c>
      <c r="N2256" s="25" t="n">
        <f aca="false">IF(A2256-7&lt;$R$2,"",C2256/INDEX(Clean_Data!$C$2:$C$4314,MATCH(A2256-7,Clean_Data!$A$2:$A$4314,1))-1)</f>
        <v>0.0568031339604556</v>
      </c>
      <c r="O2256" s="25" t="n">
        <f aca="false">IF(A2256-30&lt;$R$2,"",C2256/INDEX(Clean_Data!$C$2:$C$4314,MATCH(A2256-30,Clean_Data!$A$2:$A$4314,1))-1)</f>
        <v>0.345605597771231</v>
      </c>
    </row>
    <row r="2257" customFormat="false" ht="15" hidden="false" customHeight="false" outlineLevel="0" collapsed="false">
      <c r="A2257" s="16" t="n">
        <v>44264</v>
      </c>
      <c r="B2257" s="23" t="n">
        <f aca="false">YEAR(A2257)</f>
        <v>2021</v>
      </c>
      <c r="C2257" s="17" t="n">
        <v>54999.99</v>
      </c>
      <c r="D2257" s="23" t="n">
        <f aca="false">A2257-A2256</f>
        <v>1</v>
      </c>
      <c r="E2257" s="24" t="n">
        <f aca="false">LN(C2257)</f>
        <v>10.9150882823964</v>
      </c>
      <c r="F2257" s="25" t="n">
        <f aca="false">LN(C2257/C2256)</f>
        <v>0.0470420653939653</v>
      </c>
      <c r="G2257" s="25" t="n">
        <f aca="false">IF(AND(D2257=1,A2257&gt;=$R$2),F2257,"")</f>
        <v>0.0470420653939653</v>
      </c>
      <c r="H2257" s="27" t="n">
        <f aca="false">IF(G2257="","",G2257^2)</f>
        <v>0.00221295591653011</v>
      </c>
      <c r="I2257" s="25" t="n">
        <f aca="false">IF(G2257="","",C2257/C2256-1)</f>
        <v>0.0481660996722288</v>
      </c>
      <c r="J2257" s="17" t="n">
        <f aca="false">AVERAGE(C2058:C2257)</f>
        <v>24077.5135</v>
      </c>
      <c r="K2257" s="17" t="n">
        <f aca="false">MAX(K2256,C2257)</f>
        <v>57538.47</v>
      </c>
      <c r="L2257" s="25" t="n">
        <f aca="false">C2257/K2257-1</f>
        <v>-0.044117961426503</v>
      </c>
      <c r="M2257" s="25" t="n">
        <f aca="false">IF(COUNT(G2228:G2257)&lt;20,"",_xlfn.STDEV.S(G2228:G2257)*SQRT($R$3))</f>
        <v>1.02221545392544</v>
      </c>
      <c r="N2257" s="25" t="n">
        <f aca="false">IF(A2257-7&lt;$R$2,"",C2257/INDEX(Clean_Data!$C$2:$C$4314,MATCH(A2257-7,Clean_Data!$A$2:$A$4314,1))-1)</f>
        <v>0.137110069380266</v>
      </c>
      <c r="O2257" s="25" t="n">
        <f aca="false">IF(A2257-30&lt;$R$2,"",C2257/INDEX(Clean_Data!$C$2:$C$4314,MATCH(A2257-30,Clean_Data!$A$2:$A$4314,1))-1)</f>
        <v>0.414290871856481</v>
      </c>
    </row>
    <row r="2258" customFormat="false" ht="15" hidden="false" customHeight="false" outlineLevel="0" collapsed="false">
      <c r="A2258" s="16" t="n">
        <v>44265</v>
      </c>
      <c r="B2258" s="23" t="n">
        <f aca="false">YEAR(A2258)</f>
        <v>2021</v>
      </c>
      <c r="C2258" s="17" t="n">
        <v>56046.27</v>
      </c>
      <c r="D2258" s="23" t="n">
        <f aca="false">A2258-A2257</f>
        <v>1</v>
      </c>
      <c r="E2258" s="24" t="n">
        <f aca="false">LN(C2258)</f>
        <v>10.9339328785607</v>
      </c>
      <c r="F2258" s="25" t="n">
        <f aca="false">LN(C2258/C2257)</f>
        <v>0.018844596164253</v>
      </c>
      <c r="G2258" s="25" t="n">
        <f aca="false">IF(AND(D2258=1,A2258&gt;=$R$2),F2258,"")</f>
        <v>0.018844596164253</v>
      </c>
      <c r="H2258" s="27" t="n">
        <f aca="false">IF(G2258="","",G2258^2)</f>
        <v>0.000355118804593778</v>
      </c>
      <c r="I2258" s="25" t="n">
        <f aca="false">IF(G2258="","",C2258/C2257-1)</f>
        <v>0.0190232761860503</v>
      </c>
      <c r="J2258" s="17" t="n">
        <f aca="false">AVERAGE(C2059:C2258)</f>
        <v>24300.11325</v>
      </c>
      <c r="K2258" s="17" t="n">
        <f aca="false">MAX(K2257,C2258)</f>
        <v>57538.47</v>
      </c>
      <c r="L2258" s="25" t="n">
        <f aca="false">C2258/K2258-1</f>
        <v>-0.0259339534054347</v>
      </c>
      <c r="M2258" s="25" t="n">
        <f aca="false">IF(COUNT(G2229:G2258)&lt;20,"",_xlfn.STDEV.S(G2229:G2258)*SQRT($R$3))</f>
        <v>0.81645139547426</v>
      </c>
      <c r="N2258" s="25" t="n">
        <f aca="false">IF(A2258-7&lt;$R$2,"",C2258/INDEX(Clean_Data!$C$2:$C$4314,MATCH(A2258-7,Clean_Data!$A$2:$A$4314,1))-1)</f>
        <v>0.11724586247652</v>
      </c>
      <c r="O2258" s="25" t="n">
        <f aca="false">IF(A2258-30&lt;$R$2,"",C2258/INDEX(Clean_Data!$C$2:$C$4314,MATCH(A2258-30,Clean_Data!$A$2:$A$4314,1))-1)</f>
        <v>0.200791482447352</v>
      </c>
    </row>
    <row r="2259" customFormat="false" ht="15" hidden="false" customHeight="false" outlineLevel="0" collapsed="false">
      <c r="A2259" s="16" t="n">
        <v>44266</v>
      </c>
      <c r="B2259" s="23" t="n">
        <f aca="false">YEAR(A2259)</f>
        <v>2021</v>
      </c>
      <c r="C2259" s="17" t="n">
        <v>57911.02</v>
      </c>
      <c r="D2259" s="23" t="n">
        <f aca="false">A2259-A2258</f>
        <v>1</v>
      </c>
      <c r="E2259" s="24" t="n">
        <f aca="false">LN(C2259)</f>
        <v>10.966662973603</v>
      </c>
      <c r="F2259" s="25" t="n">
        <f aca="false">LN(C2259/C2258)</f>
        <v>0.0327300950423055</v>
      </c>
      <c r="G2259" s="25" t="n">
        <f aca="false">IF(AND(D2259=1,A2259&gt;=$R$2),F2259,"")</f>
        <v>0.0327300950423055</v>
      </c>
      <c r="H2259" s="27" t="n">
        <f aca="false">IF(G2259="","",G2259^2)</f>
        <v>0.00107125912147835</v>
      </c>
      <c r="I2259" s="25" t="n">
        <f aca="false">IF(G2259="","",C2259/C2258-1)</f>
        <v>0.0332716164697491</v>
      </c>
      <c r="J2259" s="17" t="n">
        <f aca="false">AVERAGE(C2060:C2259)</f>
        <v>24531.28945</v>
      </c>
      <c r="K2259" s="17" t="n">
        <f aca="false">MAX(K2258,C2259)</f>
        <v>57911.02</v>
      </c>
      <c r="L2259" s="25" t="n">
        <f aca="false">C2259/K2259-1</f>
        <v>0</v>
      </c>
      <c r="M2259" s="25" t="n">
        <f aca="false">IF(COUNT(G2230:G2259)&lt;20,"",_xlfn.STDEV.S(G2230:G2259)*SQRT($R$3))</f>
        <v>0.821131755361349</v>
      </c>
      <c r="N2259" s="25" t="n">
        <f aca="false">IF(A2259-7&lt;$R$2,"",C2259/INDEX(Clean_Data!$C$2:$C$4314,MATCH(A2259-7,Clean_Data!$A$2:$A$4314,1))-1)</f>
        <v>0.198306384847185</v>
      </c>
      <c r="O2259" s="25" t="n">
        <f aca="false">IF(A2259-30&lt;$R$2,"",C2259/INDEX(Clean_Data!$C$2:$C$4314,MATCH(A2259-30,Clean_Data!$A$2:$A$4314,1))-1)</f>
        <v>0.242847368755397</v>
      </c>
    </row>
    <row r="2260" customFormat="false" ht="15" hidden="false" customHeight="false" outlineLevel="0" collapsed="false">
      <c r="A2260" s="16" t="n">
        <v>44267</v>
      </c>
      <c r="B2260" s="23" t="n">
        <f aca="false">YEAR(A2260)</f>
        <v>2021</v>
      </c>
      <c r="C2260" s="17" t="n">
        <v>57174.89</v>
      </c>
      <c r="D2260" s="23" t="n">
        <f aca="false">A2260-A2259</f>
        <v>1</v>
      </c>
      <c r="E2260" s="24" t="n">
        <f aca="false">LN(C2260)</f>
        <v>10.9538700949713</v>
      </c>
      <c r="F2260" s="25" t="n">
        <f aca="false">LN(C2260/C2259)</f>
        <v>-0.012792878631633</v>
      </c>
      <c r="G2260" s="25" t="n">
        <f aca="false">IF(AND(D2260=1,A2260&gt;=$R$2),F2260,"")</f>
        <v>-0.012792878631633</v>
      </c>
      <c r="H2260" s="27" t="n">
        <f aca="false">IF(G2260="","",G2260^2)</f>
        <v>0.000163657743683691</v>
      </c>
      <c r="I2260" s="25" t="n">
        <f aca="false">IF(G2260="","",C2260/C2259-1)</f>
        <v>-0.0127113975889217</v>
      </c>
      <c r="J2260" s="17" t="n">
        <f aca="false">AVERAGE(C2061:C2260)</f>
        <v>24758.91375</v>
      </c>
      <c r="K2260" s="17" t="n">
        <f aca="false">MAX(K2259,C2260)</f>
        <v>57911.02</v>
      </c>
      <c r="L2260" s="25" t="n">
        <f aca="false">C2260/K2260-1</f>
        <v>-0.0127113975889217</v>
      </c>
      <c r="M2260" s="25" t="n">
        <f aca="false">IF(COUNT(G2231:G2260)&lt;20,"",_xlfn.STDEV.S(G2231:G2260)*SQRT($R$3))</f>
        <v>0.808720415938673</v>
      </c>
      <c r="N2260" s="25" t="n">
        <f aca="false">IF(A2260-7&lt;$R$2,"",C2260/INDEX(Clean_Data!$C$2:$C$4314,MATCH(A2260-7,Clean_Data!$A$2:$A$4314,1))-1)</f>
        <v>0.169027250910841</v>
      </c>
      <c r="O2260" s="25" t="n">
        <f aca="false">IF(A2260-30&lt;$R$2,"",C2260/INDEX(Clean_Data!$C$2:$C$4314,MATCH(A2260-30,Clean_Data!$A$2:$A$4314,1))-1)</f>
        <v>0.273743413781496</v>
      </c>
    </row>
    <row r="2261" customFormat="false" ht="15" hidden="false" customHeight="false" outlineLevel="0" collapsed="false">
      <c r="A2261" s="16" t="n">
        <v>44268</v>
      </c>
      <c r="B2261" s="23" t="n">
        <f aca="false">YEAR(A2261)</f>
        <v>2021</v>
      </c>
      <c r="C2261" s="17" t="n">
        <v>61130.22</v>
      </c>
      <c r="D2261" s="23" t="n">
        <f aca="false">A2261-A2260</f>
        <v>1</v>
      </c>
      <c r="E2261" s="24" t="n">
        <f aca="false">LN(C2261)</f>
        <v>11.0207616219039</v>
      </c>
      <c r="F2261" s="25" t="n">
        <f aca="false">LN(C2261/C2260)</f>
        <v>0.0668915269325768</v>
      </c>
      <c r="G2261" s="25" t="n">
        <f aca="false">IF(AND(D2261=1,A2261&gt;=$R$2),F2261,"")</f>
        <v>0.0668915269325768</v>
      </c>
      <c r="H2261" s="27" t="n">
        <f aca="false">IF(G2261="","",G2261^2)</f>
        <v>0.00447447637537165</v>
      </c>
      <c r="I2261" s="25" t="n">
        <f aca="false">IF(G2261="","",C2261/C2260-1)</f>
        <v>0.0691794947047559</v>
      </c>
      <c r="J2261" s="17" t="n">
        <f aca="false">AVERAGE(C2062:C2261)</f>
        <v>25005.75315</v>
      </c>
      <c r="K2261" s="17" t="n">
        <f aca="false">MAX(K2260,C2261)</f>
        <v>61130.22</v>
      </c>
      <c r="L2261" s="25" t="n">
        <f aca="false">C2261/K2261-1</f>
        <v>0</v>
      </c>
      <c r="M2261" s="25" t="n">
        <f aca="false">IF(COUNT(G2232:G2261)&lt;20,"",_xlfn.STDEV.S(G2232:G2261)*SQRT($R$3))</f>
        <v>0.806212407430071</v>
      </c>
      <c r="N2261" s="25" t="n">
        <f aca="false">IF(A2261-7&lt;$R$2,"",C2261/INDEX(Clean_Data!$C$2:$C$4314,MATCH(A2261-7,Clean_Data!$A$2:$A$4314,1))-1)</f>
        <v>0.24789040324087</v>
      </c>
      <c r="O2261" s="25" t="n">
        <f aca="false">IF(A2261-30&lt;$R$2,"",C2261/INDEX(Clean_Data!$C$2:$C$4314,MATCH(A2261-30,Clean_Data!$A$2:$A$4314,1))-1)</f>
        <v>0.270343924689845</v>
      </c>
    </row>
    <row r="2262" customFormat="false" ht="15" hidden="false" customHeight="false" outlineLevel="0" collapsed="false">
      <c r="A2262" s="16" t="n">
        <v>44269</v>
      </c>
      <c r="B2262" s="23" t="n">
        <f aca="false">YEAR(A2262)</f>
        <v>2021</v>
      </c>
      <c r="C2262" s="17" t="n">
        <v>59192.98</v>
      </c>
      <c r="D2262" s="23" t="n">
        <f aca="false">A2262-A2261</f>
        <v>1</v>
      </c>
      <c r="E2262" s="24" t="n">
        <f aca="false">LN(C2262)</f>
        <v>10.9885582327597</v>
      </c>
      <c r="F2262" s="25" t="n">
        <f aca="false">LN(C2262/C2261)</f>
        <v>-0.0322033891441879</v>
      </c>
      <c r="G2262" s="25" t="n">
        <f aca="false">IF(AND(D2262=1,A2262&gt;=$R$2),F2262,"")</f>
        <v>-0.0322033891441879</v>
      </c>
      <c r="H2262" s="27" t="n">
        <f aca="false">IF(G2262="","",G2262^2)</f>
        <v>0.001037058272372</v>
      </c>
      <c r="I2262" s="25" t="n">
        <f aca="false">IF(G2262="","",C2262/C2261-1)</f>
        <v>-0.0316903816148543</v>
      </c>
      <c r="J2262" s="17" t="n">
        <f aca="false">AVERAGE(C2063:C2262)</f>
        <v>25245.09375</v>
      </c>
      <c r="K2262" s="17" t="n">
        <f aca="false">MAX(K2261,C2262)</f>
        <v>61130.22</v>
      </c>
      <c r="L2262" s="25" t="n">
        <f aca="false">C2262/K2262-1</f>
        <v>-0.0316903816148543</v>
      </c>
      <c r="M2262" s="25" t="n">
        <f aca="false">IF(COUNT(G2233:G2262)&lt;20,"",_xlfn.STDEV.S(G2233:G2262)*SQRT($R$3))</f>
        <v>0.815394160943382</v>
      </c>
      <c r="N2262" s="25" t="n">
        <f aca="false">IF(A2262-7&lt;$R$2,"",C2262/INDEX(Clean_Data!$C$2:$C$4314,MATCH(A2262-7,Clean_Data!$A$2:$A$4314,1))-1)</f>
        <v>0.163879513173258</v>
      </c>
      <c r="O2262" s="25" t="n">
        <f aca="false">IF(A2262-30&lt;$R$2,"",C2262/INDEX(Clean_Data!$C$2:$C$4314,MATCH(A2262-30,Clean_Data!$A$2:$A$4314,1))-1)</f>
        <v>0.245533957661132</v>
      </c>
    </row>
    <row r="2263" customFormat="false" ht="15" hidden="false" customHeight="false" outlineLevel="0" collapsed="false">
      <c r="A2263" s="16" t="n">
        <v>44270</v>
      </c>
      <c r="B2263" s="23" t="n">
        <f aca="false">YEAR(A2263)</f>
        <v>2021</v>
      </c>
      <c r="C2263" s="17" t="n">
        <v>55430.19</v>
      </c>
      <c r="D2263" s="23" t="n">
        <f aca="false">A2263-A2262</f>
        <v>1</v>
      </c>
      <c r="E2263" s="24" t="n">
        <f aca="false">LN(C2263)</f>
        <v>10.9228796701547</v>
      </c>
      <c r="F2263" s="25" t="n">
        <f aca="false">LN(C2263/C2262)</f>
        <v>-0.0656785626050405</v>
      </c>
      <c r="G2263" s="25" t="n">
        <f aca="false">IF(AND(D2263=1,A2263&gt;=$R$2),F2263,"")</f>
        <v>-0.0656785626050405</v>
      </c>
      <c r="H2263" s="27" t="n">
        <f aca="false">IF(G2263="","",G2263^2)</f>
        <v>0.00431367358586422</v>
      </c>
      <c r="I2263" s="25" t="n">
        <f aca="false">IF(G2263="","",C2263/C2262-1)</f>
        <v>-0.0635681798753839</v>
      </c>
      <c r="J2263" s="17" t="n">
        <f aca="false">AVERAGE(C2064:C2263)</f>
        <v>25464.94465</v>
      </c>
      <c r="K2263" s="17" t="n">
        <f aca="false">MAX(K2262,C2263)</f>
        <v>61130.22</v>
      </c>
      <c r="L2263" s="25" t="n">
        <f aca="false">C2263/K2263-1</f>
        <v>-0.0932440616114255</v>
      </c>
      <c r="M2263" s="25" t="n">
        <f aca="false">IF(COUNT(G2234:G2263)&lt;20,"",_xlfn.STDEV.S(G2234:G2263)*SQRT($R$3))</f>
        <v>0.853468338127827</v>
      </c>
      <c r="N2263" s="25" t="n">
        <f aca="false">IF(A2263-7&lt;$R$2,"",C2263/INDEX(Clean_Data!$C$2:$C$4314,MATCH(A2263-7,Clean_Data!$A$2:$A$4314,1))-1)</f>
        <v>0.056364665818859</v>
      </c>
      <c r="O2263" s="25" t="n">
        <f aca="false">IF(A2263-30&lt;$R$2,"",C2263/INDEX(Clean_Data!$C$2:$C$4314,MATCH(A2263-30,Clean_Data!$A$2:$A$4314,1))-1)</f>
        <v>0.172524438790436</v>
      </c>
    </row>
    <row r="2264" customFormat="false" ht="15" hidden="false" customHeight="false" outlineLevel="0" collapsed="false">
      <c r="A2264" s="16" t="n">
        <v>44271</v>
      </c>
      <c r="B2264" s="23" t="n">
        <f aca="false">YEAR(A2264)</f>
        <v>2021</v>
      </c>
      <c r="C2264" s="17" t="n">
        <v>57126.52</v>
      </c>
      <c r="D2264" s="23" t="n">
        <f aca="false">A2264-A2263</f>
        <v>1</v>
      </c>
      <c r="E2264" s="24" t="n">
        <f aca="false">LN(C2264)</f>
        <v>10.9530237361576</v>
      </c>
      <c r="F2264" s="25" t="n">
        <f aca="false">LN(C2264/C2263)</f>
        <v>0.030144066002926</v>
      </c>
      <c r="G2264" s="25" t="n">
        <f aca="false">IF(AND(D2264=1,A2264&gt;=$R$2),F2264,"")</f>
        <v>0.030144066002926</v>
      </c>
      <c r="H2264" s="27" t="n">
        <f aca="false">IF(G2264="","",G2264^2)</f>
        <v>0.000908664715188758</v>
      </c>
      <c r="I2264" s="25" t="n">
        <f aca="false">IF(G2264="","",C2264/C2263-1)</f>
        <v>0.0306029981134828</v>
      </c>
      <c r="J2264" s="17" t="n">
        <f aca="false">AVERAGE(C2065:C2264)</f>
        <v>25693.8686</v>
      </c>
      <c r="K2264" s="17" t="n">
        <f aca="false">MAX(K2263,C2264)</f>
        <v>61130.22</v>
      </c>
      <c r="L2264" s="25" t="n">
        <f aca="false">C2264/K2264-1</f>
        <v>-0.0654946113395307</v>
      </c>
      <c r="M2264" s="25" t="n">
        <f aca="false">IF(COUNT(G2235:G2264)&lt;20,"",_xlfn.STDEV.S(G2235:G2264)*SQRT($R$3))</f>
        <v>0.853600444088462</v>
      </c>
      <c r="N2264" s="25" t="n">
        <f aca="false">IF(A2264-7&lt;$R$2,"",C2264/INDEX(Clean_Data!$C$2:$C$4314,MATCH(A2264-7,Clean_Data!$A$2:$A$4314,1))-1)</f>
        <v>0.0386641888480344</v>
      </c>
      <c r="O2264" s="25" t="n">
        <f aca="false">IF(A2264-30&lt;$R$2,"",C2264/INDEX(Clean_Data!$C$2:$C$4314,MATCH(A2264-30,Clean_Data!$A$2:$A$4314,1))-1)</f>
        <v>0.172950640265148</v>
      </c>
    </row>
    <row r="2265" customFormat="false" ht="15" hidden="false" customHeight="false" outlineLevel="0" collapsed="false">
      <c r="A2265" s="16" t="n">
        <v>44272</v>
      </c>
      <c r="B2265" s="23" t="n">
        <f aca="false">YEAR(A2265)</f>
        <v>2021</v>
      </c>
      <c r="C2265" s="17" t="n">
        <v>59221.23</v>
      </c>
      <c r="D2265" s="23" t="n">
        <f aca="false">A2265-A2264</f>
        <v>1</v>
      </c>
      <c r="E2265" s="24" t="n">
        <f aca="false">LN(C2265)</f>
        <v>10.98903537145</v>
      </c>
      <c r="F2265" s="25" t="n">
        <f aca="false">LN(C2265/C2264)</f>
        <v>0.036011635292411</v>
      </c>
      <c r="G2265" s="25" t="n">
        <f aca="false">IF(AND(D2265=1,A2265&gt;=$R$2),F2265,"")</f>
        <v>0.036011635292411</v>
      </c>
      <c r="H2265" s="27" t="n">
        <f aca="false">IF(G2265="","",G2265^2)</f>
        <v>0.00129683787643362</v>
      </c>
      <c r="I2265" s="25" t="n">
        <f aca="false">IF(G2265="","",C2265/C2264-1)</f>
        <v>0.0366679083549988</v>
      </c>
      <c r="J2265" s="17" t="n">
        <f aca="false">AVERAGE(C2066:C2265)</f>
        <v>25932.27475</v>
      </c>
      <c r="K2265" s="17" t="n">
        <f aca="false">MAX(K2264,C2265)</f>
        <v>61130.22</v>
      </c>
      <c r="L2265" s="25" t="n">
        <f aca="false">C2265/K2265-1</f>
        <v>-0.031228253390876</v>
      </c>
      <c r="M2265" s="25" t="n">
        <f aca="false">IF(COUNT(G2236:G2265)&lt;20,"",_xlfn.STDEV.S(G2236:G2265)*SQRT($R$3))</f>
        <v>0.856395436025453</v>
      </c>
      <c r="N2265" s="25" t="n">
        <f aca="false">IF(A2265-7&lt;$R$2,"",C2265/INDEX(Clean_Data!$C$2:$C$4314,MATCH(A2265-7,Clean_Data!$A$2:$A$4314,1))-1)</f>
        <v>0.0566489081253758</v>
      </c>
      <c r="O2265" s="25" t="n">
        <f aca="false">IF(A2265-30&lt;$R$2,"",C2265/INDEX(Clean_Data!$C$2:$C$4314,MATCH(A2265-30,Clean_Data!$A$2:$A$4314,1))-1)</f>
        <v>0.236045055223267</v>
      </c>
    </row>
    <row r="2266" customFormat="false" ht="15" hidden="false" customHeight="false" outlineLevel="0" collapsed="false">
      <c r="A2266" s="16" t="n">
        <v>44273</v>
      </c>
      <c r="B2266" s="23" t="n">
        <f aca="false">YEAR(A2266)</f>
        <v>2021</v>
      </c>
      <c r="C2266" s="17" t="n">
        <v>57562.46</v>
      </c>
      <c r="D2266" s="23" t="n">
        <f aca="false">A2266-A2265</f>
        <v>1</v>
      </c>
      <c r="E2266" s="24" t="n">
        <f aca="false">LN(C2266)</f>
        <v>10.9606258981006</v>
      </c>
      <c r="F2266" s="25" t="n">
        <f aca="false">LN(C2266/C2265)</f>
        <v>-0.0284094733494504</v>
      </c>
      <c r="G2266" s="25" t="n">
        <f aca="false">IF(AND(D2266=1,A2266&gt;=$R$2),F2266,"")</f>
        <v>-0.0284094733494504</v>
      </c>
      <c r="H2266" s="27" t="n">
        <f aca="false">IF(G2266="","",G2266^2)</f>
        <v>0.000807098175993131</v>
      </c>
      <c r="I2266" s="25" t="n">
        <f aca="false">IF(G2266="","",C2266/C2265-1)</f>
        <v>-0.0280097188119869</v>
      </c>
      <c r="J2266" s="17" t="n">
        <f aca="false">AVERAGE(C2067:C2266)</f>
        <v>26162.74425</v>
      </c>
      <c r="K2266" s="17" t="n">
        <f aca="false">MAX(K2265,C2266)</f>
        <v>61130.22</v>
      </c>
      <c r="L2266" s="25" t="n">
        <f aca="false">C2266/K2266-1</f>
        <v>-0.058363277606395</v>
      </c>
      <c r="M2266" s="25" t="n">
        <f aca="false">IF(COUNT(G2237:G2266)&lt;20,"",_xlfn.STDEV.S(G2237:G2266)*SQRT($R$3))</f>
        <v>0.861727627853448</v>
      </c>
      <c r="N2266" s="25" t="n">
        <f aca="false">IF(A2266-7&lt;$R$2,"",C2266/INDEX(Clean_Data!$C$2:$C$4314,MATCH(A2266-7,Clean_Data!$A$2:$A$4314,1))-1)</f>
        <v>-0.00601888897829805</v>
      </c>
      <c r="O2266" s="25" t="n">
        <f aca="false">IF(A2266-30&lt;$R$2,"",C2266/INDEX(Clean_Data!$C$2:$C$4314,MATCH(A2266-30,Clean_Data!$A$2:$A$4314,1))-1)</f>
        <v>0.168609359478801</v>
      </c>
    </row>
    <row r="2267" customFormat="false" ht="15" hidden="false" customHeight="false" outlineLevel="0" collapsed="false">
      <c r="A2267" s="16" t="n">
        <v>44274</v>
      </c>
      <c r="B2267" s="23" t="n">
        <f aca="false">YEAR(A2267)</f>
        <v>2021</v>
      </c>
      <c r="C2267" s="17" t="n">
        <v>58001.29</v>
      </c>
      <c r="D2267" s="23" t="n">
        <f aca="false">A2267-A2266</f>
        <v>1</v>
      </c>
      <c r="E2267" s="24" t="n">
        <f aca="false">LN(C2267)</f>
        <v>10.9682205306605</v>
      </c>
      <c r="F2267" s="25" t="n">
        <f aca="false">LN(C2267/C2266)</f>
        <v>0.00759463255996098</v>
      </c>
      <c r="G2267" s="25" t="n">
        <f aca="false">IF(AND(D2267=1,A2267&gt;=$R$2),F2267,"")</f>
        <v>0.00759463255996098</v>
      </c>
      <c r="H2267" s="27" t="n">
        <f aca="false">IF(G2267="","",G2267^2)</f>
        <v>5.76784437208195E-005</v>
      </c>
      <c r="I2267" s="25" t="n">
        <f aca="false">IF(G2267="","",C2267/C2266-1)</f>
        <v>0.00762354492841344</v>
      </c>
      <c r="J2267" s="17" t="n">
        <f aca="false">AVERAGE(C2068:C2267)</f>
        <v>26394.12575</v>
      </c>
      <c r="K2267" s="17" t="n">
        <f aca="false">MAX(K2266,C2267)</f>
        <v>61130.22</v>
      </c>
      <c r="L2267" s="25" t="n">
        <f aca="false">C2267/K2267-1</f>
        <v>-0.0511846677469834</v>
      </c>
      <c r="M2267" s="25" t="n">
        <f aca="false">IF(COUNT(G2238:G2267)&lt;20,"",_xlfn.STDEV.S(G2238:G2267)*SQRT($R$3))</f>
        <v>0.839398867818707</v>
      </c>
      <c r="N2267" s="25" t="n">
        <f aca="false">IF(A2267-7&lt;$R$2,"",C2267/INDEX(Clean_Data!$C$2:$C$4314,MATCH(A2267-7,Clean_Data!$A$2:$A$4314,1))-1)</f>
        <v>0.0144538975064055</v>
      </c>
      <c r="O2267" s="25" t="n">
        <f aca="false">IF(A2267-30&lt;$R$2,"",C2267/INDEX(Clean_Data!$C$2:$C$4314,MATCH(A2267-30,Clean_Data!$A$2:$A$4314,1))-1)</f>
        <v>0.109651186994259</v>
      </c>
    </row>
    <row r="2268" customFormat="false" ht="15" hidden="false" customHeight="false" outlineLevel="0" collapsed="false">
      <c r="A2268" s="16" t="n">
        <v>44275</v>
      </c>
      <c r="B2268" s="23" t="n">
        <f aca="false">YEAR(A2268)</f>
        <v>2021</v>
      </c>
      <c r="C2268" s="17" t="n">
        <v>58051.01</v>
      </c>
      <c r="D2268" s="23" t="n">
        <f aca="false">A2268-A2267</f>
        <v>1</v>
      </c>
      <c r="E2268" s="24" t="n">
        <f aca="false">LN(C2268)</f>
        <v>10.9690773857688</v>
      </c>
      <c r="F2268" s="25" t="n">
        <f aca="false">LN(C2268/C2267)</f>
        <v>0.000856855108292346</v>
      </c>
      <c r="G2268" s="25" t="n">
        <f aca="false">IF(AND(D2268=1,A2268&gt;=$R$2),F2268,"")</f>
        <v>0.000856855108292346</v>
      </c>
      <c r="H2268" s="27" t="n">
        <f aca="false">IF(G2268="","",G2268^2)</f>
        <v>7.34200676606688E-007</v>
      </c>
      <c r="I2268" s="25" t="n">
        <f aca="false">IF(G2268="","",C2268/C2267-1)</f>
        <v>0.000857222313503714</v>
      </c>
      <c r="J2268" s="17" t="n">
        <f aca="false">AVERAGE(C2069:C2268)</f>
        <v>26626.05115</v>
      </c>
      <c r="K2268" s="17" t="n">
        <f aca="false">MAX(K2267,C2268)</f>
        <v>61130.22</v>
      </c>
      <c r="L2268" s="25" t="n">
        <f aca="false">C2268/K2268-1</f>
        <v>-0.0503713220727816</v>
      </c>
      <c r="M2268" s="25" t="n">
        <f aca="false">IF(COUNT(G2239:G2268)&lt;20,"",_xlfn.STDEV.S(G2239:G2268)*SQRT($R$3))</f>
        <v>0.837602831668037</v>
      </c>
      <c r="N2268" s="25" t="n">
        <f aca="false">IF(A2268-7&lt;$R$2,"",C2268/INDEX(Clean_Data!$C$2:$C$4314,MATCH(A2268-7,Clean_Data!$A$2:$A$4314,1))-1)</f>
        <v>-0.0503713220727816</v>
      </c>
      <c r="O2268" s="25" t="n">
        <f aca="false">IF(A2268-30&lt;$R$2,"",C2268/INDEX(Clean_Data!$C$2:$C$4314,MATCH(A2268-30,Clean_Data!$A$2:$A$4314,1))-1)</f>
        <v>0.124057589473815</v>
      </c>
    </row>
    <row r="2269" customFormat="false" ht="15" hidden="false" customHeight="false" outlineLevel="0" collapsed="false">
      <c r="A2269" s="16" t="n">
        <v>44276</v>
      </c>
      <c r="B2269" s="23" t="n">
        <f aca="false">YEAR(A2269)</f>
        <v>2021</v>
      </c>
      <c r="C2269" s="17" t="n">
        <v>57402.03</v>
      </c>
      <c r="D2269" s="23" t="n">
        <f aca="false">A2269-A2268</f>
        <v>1</v>
      </c>
      <c r="E2269" s="24" t="n">
        <f aca="false">LN(C2269)</f>
        <v>10.957834947536</v>
      </c>
      <c r="F2269" s="25" t="n">
        <f aca="false">LN(C2269/C2268)</f>
        <v>-0.0112424382328641</v>
      </c>
      <c r="G2269" s="25" t="n">
        <f aca="false">IF(AND(D2269=1,A2269&gt;=$R$2),F2269,"")</f>
        <v>-0.0112424382328641</v>
      </c>
      <c r="H2269" s="27" t="n">
        <f aca="false">IF(G2269="","",G2269^2)</f>
        <v>0.000126392417419763</v>
      </c>
      <c r="I2269" s="25" t="n">
        <f aca="false">IF(G2269="","",C2269/C2268-1)</f>
        <v>-0.0111794781865122</v>
      </c>
      <c r="J2269" s="17" t="n">
        <f aca="false">AVERAGE(C2070:C2269)</f>
        <v>26853.5026</v>
      </c>
      <c r="K2269" s="17" t="n">
        <f aca="false">MAX(K2268,C2269)</f>
        <v>61130.22</v>
      </c>
      <c r="L2269" s="25" t="n">
        <f aca="false">C2269/K2269-1</f>
        <v>-0.0609876751629554</v>
      </c>
      <c r="M2269" s="25" t="n">
        <f aca="false">IF(COUNT(G2240:G2269)&lt;20,"",_xlfn.STDEV.S(G2240:G2269)*SQRT($R$3))</f>
        <v>0.790605889267122</v>
      </c>
      <c r="N2269" s="25" t="n">
        <f aca="false">IF(A2269-7&lt;$R$2,"",C2269/INDEX(Clean_Data!$C$2:$C$4314,MATCH(A2269-7,Clean_Data!$A$2:$A$4314,1))-1)</f>
        <v>-0.030256121587391</v>
      </c>
      <c r="O2269" s="25" t="n">
        <f aca="false">IF(A2269-30&lt;$R$2,"",C2269/INDEX(Clean_Data!$C$2:$C$4314,MATCH(A2269-30,Clean_Data!$A$2:$A$4314,1))-1)</f>
        <v>0.0244963769984781</v>
      </c>
    </row>
    <row r="2270" customFormat="false" ht="15" hidden="false" customHeight="false" outlineLevel="0" collapsed="false">
      <c r="A2270" s="16" t="n">
        <v>44277</v>
      </c>
      <c r="B2270" s="23" t="n">
        <f aca="false">YEAR(A2270)</f>
        <v>2021</v>
      </c>
      <c r="C2270" s="17" t="n">
        <v>54230.21</v>
      </c>
      <c r="D2270" s="23" t="n">
        <f aca="false">A2270-A2269</f>
        <v>1</v>
      </c>
      <c r="E2270" s="24" t="n">
        <f aca="false">LN(C2270)</f>
        <v>10.900993412223</v>
      </c>
      <c r="F2270" s="25" t="n">
        <f aca="false">LN(C2270/C2269)</f>
        <v>-0.0568415353129975</v>
      </c>
      <c r="G2270" s="25" t="n">
        <f aca="false">IF(AND(D2270=1,A2270&gt;=$R$2),F2270,"")</f>
        <v>-0.0568415353129975</v>
      </c>
      <c r="H2270" s="27" t="n">
        <f aca="false">IF(G2270="","",G2270^2)</f>
        <v>0.00323096013673874</v>
      </c>
      <c r="I2270" s="25" t="n">
        <f aca="false">IF(G2270="","",C2270/C2269-1)</f>
        <v>-0.0552562339694258</v>
      </c>
      <c r="J2270" s="17" t="n">
        <f aca="false">AVERAGE(C2071:C2270)</f>
        <v>27067.70305</v>
      </c>
      <c r="K2270" s="17" t="n">
        <f aca="false">MAX(K2269,C2270)</f>
        <v>61130.22</v>
      </c>
      <c r="L2270" s="25" t="n">
        <f aca="false">C2270/K2270-1</f>
        <v>-0.112873959884326</v>
      </c>
      <c r="M2270" s="25" t="n">
        <f aca="false">IF(COUNT(G2241:G2270)&lt;20,"",_xlfn.STDEV.S(G2241:G2270)*SQRT($R$3))</f>
        <v>0.81580384468778</v>
      </c>
      <c r="N2270" s="25" t="n">
        <f aca="false">IF(A2270-7&lt;$R$2,"",C2270/INDEX(Clean_Data!$C$2:$C$4314,MATCH(A2270-7,Clean_Data!$A$2:$A$4314,1))-1)</f>
        <v>-0.0216484915530689</v>
      </c>
      <c r="O2270" s="25" t="n">
        <f aca="false">IF(A2270-30&lt;$R$2,"",C2270/INDEX(Clean_Data!$C$2:$C$4314,MATCH(A2270-30,Clean_Data!$A$2:$A$4314,1))-1)</f>
        <v>-0.0309120524374086</v>
      </c>
    </row>
    <row r="2271" customFormat="false" ht="15" hidden="false" customHeight="false" outlineLevel="0" collapsed="false">
      <c r="A2271" s="16" t="n">
        <v>44278</v>
      </c>
      <c r="B2271" s="23" t="n">
        <f aca="false">YEAR(A2271)</f>
        <v>2021</v>
      </c>
      <c r="C2271" s="17" t="n">
        <v>54268.81</v>
      </c>
      <c r="D2271" s="23" t="n">
        <f aca="false">A2271-A2270</f>
        <v>1</v>
      </c>
      <c r="E2271" s="24" t="n">
        <f aca="false">LN(C2271)</f>
        <v>10.901704939417</v>
      </c>
      <c r="F2271" s="25" t="n">
        <f aca="false">LN(C2271/C2270)</f>
        <v>0.000711527194042894</v>
      </c>
      <c r="G2271" s="25" t="n">
        <f aca="false">IF(AND(D2271=1,A2271&gt;=$R$2),F2271,"")</f>
        <v>0.000711527194042894</v>
      </c>
      <c r="H2271" s="27" t="n">
        <f aca="false">IF(G2271="","",G2271^2)</f>
        <v>5.06270947862554E-007</v>
      </c>
      <c r="I2271" s="25" t="n">
        <f aca="false">IF(G2271="","",C2271/C2270-1)</f>
        <v>0.000711780389565098</v>
      </c>
      <c r="J2271" s="17" t="n">
        <f aca="false">AVERAGE(C2072:C2271)</f>
        <v>27287.918</v>
      </c>
      <c r="K2271" s="17" t="n">
        <f aca="false">MAX(K2270,C2271)</f>
        <v>61130.22</v>
      </c>
      <c r="L2271" s="25" t="n">
        <f aca="false">C2271/K2271-1</f>
        <v>-0.112242520965899</v>
      </c>
      <c r="M2271" s="25" t="n">
        <f aca="false">IF(COUNT(G2242:G2271)&lt;20,"",_xlfn.STDEV.S(G2242:G2271)*SQRT($R$3))</f>
        <v>0.809185904720657</v>
      </c>
      <c r="N2271" s="25" t="n">
        <f aca="false">IF(A2271-7&lt;$R$2,"",C2271/INDEX(Clean_Data!$C$2:$C$4314,MATCH(A2271-7,Clean_Data!$A$2:$A$4314,1))-1)</f>
        <v>-0.0500242269264782</v>
      </c>
      <c r="O2271" s="25" t="n">
        <f aca="false">IF(A2271-30&lt;$R$2,"",C2271/INDEX(Clean_Data!$C$2:$C$4314,MATCH(A2271-30,Clean_Data!$A$2:$A$4314,1))-1)</f>
        <v>-0.0568256333545192</v>
      </c>
    </row>
    <row r="2272" customFormat="false" ht="15" hidden="false" customHeight="false" outlineLevel="0" collapsed="false">
      <c r="A2272" s="16" t="n">
        <v>44279</v>
      </c>
      <c r="B2272" s="23" t="n">
        <f aca="false">YEAR(A2272)</f>
        <v>2021</v>
      </c>
      <c r="C2272" s="17" t="n">
        <v>52294.65</v>
      </c>
      <c r="D2272" s="23" t="n">
        <f aca="false">A2272-A2271</f>
        <v>1</v>
      </c>
      <c r="E2272" s="24" t="n">
        <f aca="false">LN(C2272)</f>
        <v>10.8646493503655</v>
      </c>
      <c r="F2272" s="25" t="n">
        <f aca="false">LN(C2272/C2271)</f>
        <v>-0.0370555890514918</v>
      </c>
      <c r="G2272" s="25" t="n">
        <f aca="false">IF(AND(D2272=1,A2272&gt;=$R$2),F2272,"")</f>
        <v>-0.0370555890514918</v>
      </c>
      <c r="H2272" s="27" t="n">
        <f aca="false">IF(G2272="","",G2272^2)</f>
        <v>0.00137311667995304</v>
      </c>
      <c r="I2272" s="25" t="n">
        <f aca="false">IF(G2272="","",C2272/C2271-1)</f>
        <v>-0.0363774330043352</v>
      </c>
      <c r="J2272" s="17" t="n">
        <f aca="false">AVERAGE(C2073:C2272)</f>
        <v>27498.6264</v>
      </c>
      <c r="K2272" s="17" t="n">
        <f aca="false">MAX(K2271,C2272)</f>
        <v>61130.22</v>
      </c>
      <c r="L2272" s="25" t="n">
        <f aca="false">C2272/K2272-1</f>
        <v>-0.144536859183559</v>
      </c>
      <c r="M2272" s="25" t="n">
        <f aca="false">IF(COUNT(G2243:G2272)&lt;20,"",_xlfn.STDEV.S(G2243:G2272)*SQRT($R$3))</f>
        <v>0.791250069620679</v>
      </c>
      <c r="N2272" s="25" t="n">
        <f aca="false">IF(A2272-7&lt;$R$2,"",C2272/INDEX(Clean_Data!$C$2:$C$4314,MATCH(A2272-7,Clean_Data!$A$2:$A$4314,1))-1)</f>
        <v>-0.116961096552706</v>
      </c>
      <c r="O2272" s="25" t="n">
        <f aca="false">IF(A2272-30&lt;$R$2,"",C2272/INDEX(Clean_Data!$C$2:$C$4314,MATCH(A2272-30,Clean_Data!$A$2:$A$4314,1))-1)</f>
        <v>-0.033912226287924</v>
      </c>
    </row>
    <row r="2273" customFormat="false" ht="15" hidden="false" customHeight="false" outlineLevel="0" collapsed="false">
      <c r="A2273" s="16" t="n">
        <v>44280</v>
      </c>
      <c r="B2273" s="23" t="n">
        <f aca="false">YEAR(A2273)</f>
        <v>2021</v>
      </c>
      <c r="C2273" s="17" t="n">
        <v>51386.2</v>
      </c>
      <c r="D2273" s="23" t="n">
        <f aca="false">A2273-A2272</f>
        <v>1</v>
      </c>
      <c r="E2273" s="24" t="n">
        <f aca="false">LN(C2273)</f>
        <v>10.8471249329051</v>
      </c>
      <c r="F2273" s="25" t="n">
        <f aca="false">LN(C2273/C2272)</f>
        <v>-0.0175244174604048</v>
      </c>
      <c r="G2273" s="25" t="n">
        <f aca="false">IF(AND(D2273=1,A2273&gt;=$R$2),F2273,"")</f>
        <v>-0.0175244174604048</v>
      </c>
      <c r="H2273" s="27" t="n">
        <f aca="false">IF(G2273="","",G2273^2)</f>
        <v>0.00030710520732654</v>
      </c>
      <c r="I2273" s="25" t="n">
        <f aca="false">IF(G2273="","",C2273/C2272-1)</f>
        <v>-0.0173717579140505</v>
      </c>
      <c r="J2273" s="17" t="n">
        <f aca="false">AVERAGE(C2074:C2273)</f>
        <v>27704.2814</v>
      </c>
      <c r="K2273" s="17" t="n">
        <f aca="false">MAX(K2272,C2273)</f>
        <v>61130.22</v>
      </c>
      <c r="L2273" s="25" t="n">
        <f aca="false">C2273/K2273-1</f>
        <v>-0.159397757770216</v>
      </c>
      <c r="M2273" s="25" t="n">
        <f aca="false">IF(COUNT(G2244:G2273)&lt;20,"",_xlfn.STDEV.S(G2244:G2273)*SQRT($R$3))</f>
        <v>0.709398238667254</v>
      </c>
      <c r="N2273" s="25" t="n">
        <f aca="false">IF(A2273-7&lt;$R$2,"",C2273/INDEX(Clean_Data!$C$2:$C$4314,MATCH(A2273-7,Clean_Data!$A$2:$A$4314,1))-1)</f>
        <v>-0.107296665222438</v>
      </c>
      <c r="O2273" s="25" t="n">
        <f aca="false">IF(A2273-30&lt;$R$2,"",C2273/INDEX(Clean_Data!$C$2:$C$4314,MATCH(A2273-30,Clean_Data!$A$2:$A$4314,1))-1)</f>
        <v>0.0492952008806644</v>
      </c>
    </row>
    <row r="2274" customFormat="false" ht="15" hidden="false" customHeight="false" outlineLevel="0" collapsed="false">
      <c r="A2274" s="16" t="n">
        <v>44281</v>
      </c>
      <c r="B2274" s="23" t="n">
        <f aca="false">YEAR(A2274)</f>
        <v>2021</v>
      </c>
      <c r="C2274" s="17" t="n">
        <v>55314.11</v>
      </c>
      <c r="D2274" s="23" t="n">
        <f aca="false">A2274-A2273</f>
        <v>1</v>
      </c>
      <c r="E2274" s="24" t="n">
        <f aca="false">LN(C2274)</f>
        <v>10.9207833086713</v>
      </c>
      <c r="F2274" s="25" t="n">
        <f aca="false">LN(C2274/C2273)</f>
        <v>0.0736583757661997</v>
      </c>
      <c r="G2274" s="25" t="n">
        <f aca="false">IF(AND(D2274=1,A2274&gt;=$R$2),F2274,"")</f>
        <v>0.0736583757661997</v>
      </c>
      <c r="H2274" s="27" t="n">
        <f aca="false">IF(G2274="","",G2274^2)</f>
        <v>0.00542555632051467</v>
      </c>
      <c r="I2274" s="25" t="n">
        <f aca="false">IF(G2274="","",C2274/C2273-1)</f>
        <v>0.0764390050246955</v>
      </c>
      <c r="J2274" s="17" t="n">
        <f aca="false">AVERAGE(C2075:C2274)</f>
        <v>27928.9027</v>
      </c>
      <c r="K2274" s="17" t="n">
        <f aca="false">MAX(K2273,C2274)</f>
        <v>61130.22</v>
      </c>
      <c r="L2274" s="25" t="n">
        <f aca="false">C2274/K2274-1</f>
        <v>-0.0951429587526431</v>
      </c>
      <c r="M2274" s="25" t="n">
        <f aca="false">IF(COUNT(G2245:G2274)&lt;20,"",_xlfn.STDEV.S(G2245:G2274)*SQRT($R$3))</f>
        <v>0.751270469042874</v>
      </c>
      <c r="N2274" s="25" t="n">
        <f aca="false">IF(A2274-7&lt;$R$2,"",C2274/INDEX(Clean_Data!$C$2:$C$4314,MATCH(A2274-7,Clean_Data!$A$2:$A$4314,1))-1)</f>
        <v>-0.0463296592196484</v>
      </c>
      <c r="O2274" s="25" t="n">
        <f aca="false">IF(A2274-30&lt;$R$2,"",C2274/INDEX(Clean_Data!$C$2:$C$4314,MATCH(A2274-30,Clean_Data!$A$2:$A$4314,1))-1)</f>
        <v>0.110948405492751</v>
      </c>
    </row>
    <row r="2275" customFormat="false" ht="15" hidden="false" customHeight="false" outlineLevel="0" collapsed="false">
      <c r="A2275" s="16" t="n">
        <v>44282</v>
      </c>
      <c r="B2275" s="23" t="n">
        <f aca="false">YEAR(A2275)</f>
        <v>2021</v>
      </c>
      <c r="C2275" s="17" t="n">
        <v>55932.18</v>
      </c>
      <c r="D2275" s="23" t="n">
        <f aca="false">A2275-A2274</f>
        <v>1</v>
      </c>
      <c r="E2275" s="24" t="n">
        <f aca="false">LN(C2275)</f>
        <v>10.9318951643491</v>
      </c>
      <c r="F2275" s="25" t="n">
        <f aca="false">LN(C2275/C2274)</f>
        <v>0.0111118556777759</v>
      </c>
      <c r="G2275" s="25" t="n">
        <f aca="false">IF(AND(D2275=1,A2275&gt;=$R$2),F2275,"")</f>
        <v>0.0111118556777759</v>
      </c>
      <c r="H2275" s="27" t="n">
        <f aca="false">IF(G2275="","",G2275^2)</f>
        <v>0.000123473336603721</v>
      </c>
      <c r="I2275" s="25" t="n">
        <f aca="false">IF(G2275="","",C2275/C2274-1)</f>
        <v>0.0111738216523776</v>
      </c>
      <c r="J2275" s="17" t="n">
        <f aca="false">AVERAGE(C2076:C2275)</f>
        <v>28157.94755</v>
      </c>
      <c r="K2275" s="17" t="n">
        <f aca="false">MAX(K2274,C2275)</f>
        <v>61130.22</v>
      </c>
      <c r="L2275" s="25" t="n">
        <f aca="false">C2275/K2275-1</f>
        <v>-0.085032247552847</v>
      </c>
      <c r="M2275" s="25" t="n">
        <f aca="false">IF(COUNT(G2246:G2275)&lt;20,"",_xlfn.STDEV.S(G2246:G2275)*SQRT($R$3))</f>
        <v>0.716631904089664</v>
      </c>
      <c r="N2275" s="25" t="n">
        <f aca="false">IF(A2275-7&lt;$R$2,"",C2275/INDEX(Clean_Data!$C$2:$C$4314,MATCH(A2275-7,Clean_Data!$A$2:$A$4314,1))-1)</f>
        <v>-0.0364994510862086</v>
      </c>
      <c r="O2275" s="25" t="n">
        <f aca="false">IF(A2275-30&lt;$R$2,"",C2275/INDEX(Clean_Data!$C$2:$C$4314,MATCH(A2275-30,Clean_Data!$A$2:$A$4314,1))-1)</f>
        <v>0.19187908726887</v>
      </c>
    </row>
    <row r="2276" customFormat="false" ht="15" hidden="false" customHeight="false" outlineLevel="0" collapsed="false">
      <c r="A2276" s="16" t="n">
        <v>44283</v>
      </c>
      <c r="B2276" s="23" t="n">
        <f aca="false">YEAR(A2276)</f>
        <v>2021</v>
      </c>
      <c r="C2276" s="17" t="n">
        <v>55821.59</v>
      </c>
      <c r="D2276" s="23" t="n">
        <f aca="false">A2276-A2275</f>
        <v>1</v>
      </c>
      <c r="E2276" s="24" t="n">
        <f aca="false">LN(C2276)</f>
        <v>10.9299159910988</v>
      </c>
      <c r="F2276" s="25" t="n">
        <f aca="false">LN(C2276/C2275)</f>
        <v>-0.00197917325025524</v>
      </c>
      <c r="G2276" s="25" t="n">
        <f aca="false">IF(AND(D2276=1,A2276&gt;=$R$2),F2276,"")</f>
        <v>-0.00197917325025524</v>
      </c>
      <c r="H2276" s="27" t="n">
        <f aca="false">IF(G2276="","",G2276^2)</f>
        <v>3.91712675452591E-006</v>
      </c>
      <c r="I2276" s="25" t="n">
        <f aca="false">IF(G2276="","",C2276/C2275-1)</f>
        <v>-0.00197721597835099</v>
      </c>
      <c r="J2276" s="17" t="n">
        <f aca="false">AVERAGE(C2077:C2276)</f>
        <v>28385.8805</v>
      </c>
      <c r="K2276" s="17" t="n">
        <f aca="false">MAX(K2275,C2276)</f>
        <v>61130.22</v>
      </c>
      <c r="L2276" s="25" t="n">
        <f aca="false">C2276/K2276-1</f>
        <v>-0.0868413364126615</v>
      </c>
      <c r="M2276" s="25" t="n">
        <f aca="false">IF(COUNT(G2247:G2276)&lt;20,"",_xlfn.STDEV.S(G2247:G2276)*SQRT($R$3))</f>
        <v>0.714284834757678</v>
      </c>
      <c r="N2276" s="25" t="n">
        <f aca="false">IF(A2276-7&lt;$R$2,"",C2276/INDEX(Clean_Data!$C$2:$C$4314,MATCH(A2276-7,Clean_Data!$A$2:$A$4314,1))-1)</f>
        <v>-0.0275328241875766</v>
      </c>
      <c r="O2276" s="25" t="n">
        <f aca="false">IF(A2276-30&lt;$R$2,"",C2276/INDEX(Clean_Data!$C$2:$C$4314,MATCH(A2276-30,Clean_Data!$A$2:$A$4314,1))-1)</f>
        <v>0.204085101499844</v>
      </c>
    </row>
    <row r="2277" customFormat="false" ht="15" hidden="false" customHeight="false" outlineLevel="0" collapsed="false">
      <c r="A2277" s="16" t="n">
        <v>44284</v>
      </c>
      <c r="B2277" s="23" t="n">
        <f aca="false">YEAR(A2277)</f>
        <v>2021</v>
      </c>
      <c r="C2277" s="17" t="n">
        <v>57630.72</v>
      </c>
      <c r="D2277" s="23" t="n">
        <f aca="false">A2277-A2276</f>
        <v>1</v>
      </c>
      <c r="E2277" s="24" t="n">
        <f aca="false">LN(C2277)</f>
        <v>10.9618110378456</v>
      </c>
      <c r="F2277" s="25" t="n">
        <f aca="false">LN(C2277/C2276)</f>
        <v>0.0318950467468131</v>
      </c>
      <c r="G2277" s="25" t="n">
        <f aca="false">IF(AND(D2277=1,A2277&gt;=$R$2),F2277,"")</f>
        <v>0.0318950467468131</v>
      </c>
      <c r="H2277" s="27" t="n">
        <f aca="false">IF(G2277="","",G2277^2)</f>
        <v>0.00101729400698139</v>
      </c>
      <c r="I2277" s="25" t="n">
        <f aca="false">IF(G2277="","",C2277/C2276-1)</f>
        <v>0.0324091449204511</v>
      </c>
      <c r="J2277" s="17" t="n">
        <f aca="false">AVERAGE(C2078:C2277)</f>
        <v>28622.30435</v>
      </c>
      <c r="K2277" s="17" t="n">
        <f aca="false">MAX(K2276,C2277)</f>
        <v>61130.22</v>
      </c>
      <c r="L2277" s="25" t="n">
        <f aca="false">C2277/K2277-1</f>
        <v>-0.0572466449490939</v>
      </c>
      <c r="M2277" s="25" t="n">
        <f aca="false">IF(COUNT(G2248:G2277)&lt;20,"",_xlfn.STDEV.S(G2248:G2277)*SQRT($R$3))</f>
        <v>0.717752322402605</v>
      </c>
      <c r="N2277" s="25" t="n">
        <f aca="false">IF(A2277-7&lt;$R$2,"",C2277/INDEX(Clean_Data!$C$2:$C$4314,MATCH(A2277-7,Clean_Data!$A$2:$A$4314,1))-1)</f>
        <v>0.0627050863347201</v>
      </c>
      <c r="O2277" s="25" t="n">
        <f aca="false">IF(A2277-30&lt;$R$2,"",C2277/INDEX(Clean_Data!$C$2:$C$4314,MATCH(A2277-30,Clean_Data!$A$2:$A$4314,1))-1)</f>
        <v>0.253562264919228</v>
      </c>
    </row>
    <row r="2278" customFormat="false" ht="15" hidden="false" customHeight="false" outlineLevel="0" collapsed="false">
      <c r="A2278" s="16" t="n">
        <v>44285</v>
      </c>
      <c r="B2278" s="23" t="n">
        <f aca="false">YEAR(A2278)</f>
        <v>2021</v>
      </c>
      <c r="C2278" s="17" t="n">
        <v>58800</v>
      </c>
      <c r="D2278" s="23" t="n">
        <f aca="false">A2278-A2277</f>
        <v>1</v>
      </c>
      <c r="E2278" s="24" t="n">
        <f aca="false">LN(C2278)</f>
        <v>10.9818971338867</v>
      </c>
      <c r="F2278" s="25" t="n">
        <f aca="false">LN(C2278/C2277)</f>
        <v>0.020086096041077</v>
      </c>
      <c r="G2278" s="25" t="n">
        <f aca="false">IF(AND(D2278=1,A2278&gt;=$R$2),F2278,"")</f>
        <v>0.020086096041077</v>
      </c>
      <c r="H2278" s="27" t="n">
        <f aca="false">IF(G2278="","",G2278^2)</f>
        <v>0.000403451254171368</v>
      </c>
      <c r="I2278" s="25" t="n">
        <f aca="false">IF(G2278="","",C2278/C2277-1)</f>
        <v>0.0202891791044777</v>
      </c>
      <c r="J2278" s="17" t="n">
        <f aca="false">AVERAGE(C2079:C2278)</f>
        <v>28864.3044</v>
      </c>
      <c r="K2278" s="17" t="n">
        <f aca="false">MAX(K2277,C2278)</f>
        <v>61130.22</v>
      </c>
      <c r="L2278" s="25" t="n">
        <f aca="false">C2278/K2278-1</f>
        <v>-0.0381189532771189</v>
      </c>
      <c r="M2278" s="25" t="n">
        <f aca="false">IF(COUNT(G2249:G2278)&lt;20,"",_xlfn.STDEV.S(G2249:G2278)*SQRT($R$3))</f>
        <v>0.714878587633414</v>
      </c>
      <c r="N2278" s="25" t="n">
        <f aca="false">IF(A2278-7&lt;$R$2,"",C2278/INDEX(Clean_Data!$C$2:$C$4314,MATCH(A2278-7,Clean_Data!$A$2:$A$4314,1))-1)</f>
        <v>0.0834952894673755</v>
      </c>
      <c r="O2278" s="25" t="n">
        <f aca="false">IF(A2278-30&lt;$R$2,"",C2278/INDEX(Clean_Data!$C$2:$C$4314,MATCH(A2278-30,Clean_Data!$A$2:$A$4314,1))-1)</f>
        <v>0.296516669830785</v>
      </c>
    </row>
    <row r="2279" customFormat="false" ht="15" hidden="false" customHeight="false" outlineLevel="0" collapsed="false">
      <c r="A2279" s="16" t="n">
        <v>44286</v>
      </c>
      <c r="B2279" s="23" t="n">
        <f aca="false">YEAR(A2279)</f>
        <v>2021</v>
      </c>
      <c r="C2279" s="17" t="n">
        <v>58837.71</v>
      </c>
      <c r="D2279" s="23" t="n">
        <f aca="false">A2279-A2278</f>
        <v>1</v>
      </c>
      <c r="E2279" s="24" t="n">
        <f aca="false">LN(C2279)</f>
        <v>10.9825382548554</v>
      </c>
      <c r="F2279" s="25" t="n">
        <f aca="false">LN(C2279/C2278)</f>
        <v>0.000641120968636322</v>
      </c>
      <c r="G2279" s="25" t="n">
        <f aca="false">IF(AND(D2279=1,A2279&gt;=$R$2),F2279,"")</f>
        <v>0.000641120968636322</v>
      </c>
      <c r="H2279" s="27" t="n">
        <f aca="false">IF(G2279="","",G2279^2)</f>
        <v>4.11036096425176E-007</v>
      </c>
      <c r="I2279" s="25" t="n">
        <f aca="false">IF(G2279="","",C2279/C2278-1)</f>
        <v>0.000641326530612218</v>
      </c>
      <c r="J2279" s="17" t="n">
        <f aca="false">AVERAGE(C2080:C2279)</f>
        <v>29106.2729</v>
      </c>
      <c r="K2279" s="17" t="n">
        <f aca="false">MAX(K2278,C2279)</f>
        <v>61130.22</v>
      </c>
      <c r="L2279" s="25" t="n">
        <f aca="false">C2279/K2279-1</f>
        <v>-0.0375020734425625</v>
      </c>
      <c r="M2279" s="25" t="n">
        <f aca="false">IF(COUNT(G2250:G2279)&lt;20,"",_xlfn.STDEV.S(G2250:G2279)*SQRT($R$3))</f>
        <v>0.651144822838027</v>
      </c>
      <c r="N2279" s="25" t="n">
        <f aca="false">IF(A2279-7&lt;$R$2,"",C2279/INDEX(Clean_Data!$C$2:$C$4314,MATCH(A2279-7,Clean_Data!$A$2:$A$4314,1))-1)</f>
        <v>0.125119108742481</v>
      </c>
      <c r="O2279" s="25" t="n">
        <f aca="false">IF(A2279-30&lt;$R$2,"",C2279/INDEX(Clean_Data!$C$2:$C$4314,MATCH(A2279-30,Clean_Data!$A$2:$A$4314,1))-1)</f>
        <v>0.18499727806568</v>
      </c>
    </row>
    <row r="2280" customFormat="false" ht="15" hidden="false" customHeight="false" outlineLevel="0" collapsed="false">
      <c r="A2280" s="16" t="n">
        <v>44287</v>
      </c>
      <c r="B2280" s="23" t="n">
        <f aca="false">YEAR(A2280)</f>
        <v>2021</v>
      </c>
      <c r="C2280" s="17" t="n">
        <v>58768.84</v>
      </c>
      <c r="D2280" s="23" t="n">
        <f aca="false">A2280-A2279</f>
        <v>1</v>
      </c>
      <c r="E2280" s="24" t="n">
        <f aca="false">LN(C2280)</f>
        <v>10.9813670614504</v>
      </c>
      <c r="F2280" s="25" t="n">
        <f aca="false">LN(C2280/C2279)</f>
        <v>-0.00117119340499969</v>
      </c>
      <c r="G2280" s="25" t="n">
        <f aca="false">IF(AND(D2280=1,A2280&gt;=$R$2),F2280,"")</f>
        <v>-0.00117119340499969</v>
      </c>
      <c r="H2280" s="27" t="n">
        <f aca="false">IF(G2280="","",G2280^2)</f>
        <v>1.37169399191477E-006</v>
      </c>
      <c r="I2280" s="25" t="n">
        <f aca="false">IF(G2280="","",C2280/C2279-1)</f>
        <v>-0.00117050782567851</v>
      </c>
      <c r="J2280" s="17" t="n">
        <f aca="false">AVERAGE(C2081:C2280)</f>
        <v>29348.4357</v>
      </c>
      <c r="K2280" s="17" t="n">
        <f aca="false">MAX(K2279,C2280)</f>
        <v>61130.22</v>
      </c>
      <c r="L2280" s="25" t="n">
        <f aca="false">C2280/K2280-1</f>
        <v>-0.0386286847977974</v>
      </c>
      <c r="M2280" s="25" t="n">
        <f aca="false">IF(COUNT(G2251:G2280)&lt;20,"",_xlfn.STDEV.S(G2251:G2280)*SQRT($R$3))</f>
        <v>0.641513836649919</v>
      </c>
      <c r="N2280" s="25" t="n">
        <f aca="false">IF(A2280-7&lt;$R$2,"",C2280/INDEX(Clean_Data!$C$2:$C$4314,MATCH(A2280-7,Clean_Data!$A$2:$A$4314,1))-1)</f>
        <v>0.143669701203825</v>
      </c>
      <c r="O2280" s="25" t="n">
        <f aca="false">IF(A2280-30&lt;$R$2,"",C2280/INDEX(Clean_Data!$C$2:$C$4314,MATCH(A2280-30,Clean_Data!$A$2:$A$4314,1))-1)</f>
        <v>0.215030034183602</v>
      </c>
    </row>
    <row r="2281" customFormat="false" ht="15" hidden="false" customHeight="false" outlineLevel="0" collapsed="false">
      <c r="A2281" s="16" t="n">
        <v>44288</v>
      </c>
      <c r="B2281" s="23" t="n">
        <f aca="false">YEAR(A2281)</f>
        <v>2021</v>
      </c>
      <c r="C2281" s="17" t="n">
        <v>59019.55</v>
      </c>
      <c r="D2281" s="23" t="n">
        <f aca="false">A2281-A2280</f>
        <v>1</v>
      </c>
      <c r="E2281" s="24" t="n">
        <f aca="false">LN(C2281)</f>
        <v>10.9856240239338</v>
      </c>
      <c r="F2281" s="25" t="n">
        <f aca="false">LN(C2281/C2280)</f>
        <v>0.00425696248345229</v>
      </c>
      <c r="G2281" s="25" t="n">
        <f aca="false">IF(AND(D2281=1,A2281&gt;=$R$2),F2281,"")</f>
        <v>0.00425696248345229</v>
      </c>
      <c r="H2281" s="27" t="n">
        <f aca="false">IF(G2281="","",G2281^2)</f>
        <v>1.81217295855203E-005</v>
      </c>
      <c r="I2281" s="25" t="n">
        <f aca="false">IF(G2281="","",C2281/C2280-1)</f>
        <v>0.00426603621919375</v>
      </c>
      <c r="J2281" s="17" t="n">
        <f aca="false">AVERAGE(C2082:C2281)</f>
        <v>29590.1368</v>
      </c>
      <c r="K2281" s="17" t="n">
        <f aca="false">MAX(K2280,C2281)</f>
        <v>61130.22</v>
      </c>
      <c r="L2281" s="25" t="n">
        <f aca="false">C2281/K2281-1</f>
        <v>-0.0345274399470508</v>
      </c>
      <c r="M2281" s="25" t="n">
        <f aca="false">IF(COUNT(G2252:G2281)&lt;20,"",_xlfn.STDEV.S(G2252:G2281)*SQRT($R$3))</f>
        <v>0.632343533054061</v>
      </c>
      <c r="N2281" s="25" t="n">
        <f aca="false">IF(A2281-7&lt;$R$2,"",C2281/INDEX(Clean_Data!$C$2:$C$4314,MATCH(A2281-7,Clean_Data!$A$2:$A$4314,1))-1)</f>
        <v>0.0669890557761845</v>
      </c>
      <c r="O2281" s="25" t="n">
        <f aca="false">IF(A2281-30&lt;$R$2,"",C2281/INDEX(Clean_Data!$C$2:$C$4314,MATCH(A2281-30,Clean_Data!$A$2:$A$4314,1))-1)</f>
        <v>0.176516261344887</v>
      </c>
    </row>
    <row r="2282" customFormat="false" ht="15" hidden="false" customHeight="false" outlineLevel="0" collapsed="false">
      <c r="A2282" s="16" t="n">
        <v>44289</v>
      </c>
      <c r="B2282" s="23" t="n">
        <f aca="false">YEAR(A2282)</f>
        <v>2021</v>
      </c>
      <c r="C2282" s="17" t="n">
        <v>56731</v>
      </c>
      <c r="D2282" s="23" t="n">
        <f aca="false">A2282-A2281</f>
        <v>1</v>
      </c>
      <c r="E2282" s="24" t="n">
        <f aca="false">LN(C2282)</f>
        <v>10.9460760775229</v>
      </c>
      <c r="F2282" s="25" t="n">
        <f aca="false">LN(C2282/C2281)</f>
        <v>-0.0395479464108954</v>
      </c>
      <c r="G2282" s="25" t="n">
        <f aca="false">IF(AND(D2282=1,A2282&gt;=$R$2),F2282,"")</f>
        <v>-0.0395479464108954</v>
      </c>
      <c r="H2282" s="27" t="n">
        <f aca="false">IF(G2282="","",G2282^2)</f>
        <v>0.00156404006531906</v>
      </c>
      <c r="I2282" s="25" t="n">
        <f aca="false">IF(G2282="","",C2282/C2281-1)</f>
        <v>-0.0387761343487032</v>
      </c>
      <c r="J2282" s="17" t="n">
        <f aca="false">AVERAGE(C2083:C2282)</f>
        <v>29819.8428</v>
      </c>
      <c r="K2282" s="17" t="n">
        <f aca="false">MAX(K2281,C2282)</f>
        <v>61130.22</v>
      </c>
      <c r="L2282" s="25" t="n">
        <f aca="false">C2282/K2282-1</f>
        <v>-0.0719647336456503</v>
      </c>
      <c r="M2282" s="25" t="n">
        <f aca="false">IF(COUNT(G2253:G2282)&lt;20,"",_xlfn.STDEV.S(G2253:G2282)*SQRT($R$3))</f>
        <v>0.634289898286867</v>
      </c>
      <c r="N2282" s="25" t="n">
        <f aca="false">IF(A2282-7&lt;$R$2,"",C2282/INDEX(Clean_Data!$C$2:$C$4314,MATCH(A2282-7,Clean_Data!$A$2:$A$4314,1))-1)</f>
        <v>0.0142819393057807</v>
      </c>
      <c r="O2282" s="25" t="n">
        <f aca="false">IF(A2282-30&lt;$R$2,"",C2282/INDEX(Clean_Data!$C$2:$C$4314,MATCH(A2282-30,Clean_Data!$A$2:$A$4314,1))-1)</f>
        <v>0.173889175475853</v>
      </c>
    </row>
    <row r="2283" customFormat="false" ht="15" hidden="false" customHeight="false" outlineLevel="0" collapsed="false">
      <c r="A2283" s="16" t="n">
        <v>44290</v>
      </c>
      <c r="B2283" s="23" t="n">
        <f aca="false">YEAR(A2283)</f>
        <v>2021</v>
      </c>
      <c r="C2283" s="17" t="n">
        <v>58266.39</v>
      </c>
      <c r="D2283" s="23" t="n">
        <f aca="false">A2283-A2282</f>
        <v>1</v>
      </c>
      <c r="E2283" s="24" t="n">
        <f aca="false">LN(C2283)</f>
        <v>10.9727807052404</v>
      </c>
      <c r="F2283" s="25" t="n">
        <f aca="false">LN(C2283/C2282)</f>
        <v>0.0267046277175246</v>
      </c>
      <c r="G2283" s="25" t="n">
        <f aca="false">IF(AND(D2283=1,A2283&gt;=$R$2),F2283,"")</f>
        <v>0.0267046277175246</v>
      </c>
      <c r="H2283" s="27" t="n">
        <f aca="false">IF(G2283="","",G2283^2)</f>
        <v>0.000713137141531582</v>
      </c>
      <c r="I2283" s="25" t="n">
        <f aca="false">IF(G2283="","",C2283/C2282-1)</f>
        <v>0.0270643916024749</v>
      </c>
      <c r="J2283" s="17" t="n">
        <f aca="false">AVERAGE(C2084:C2283)</f>
        <v>30056.40785</v>
      </c>
      <c r="K2283" s="17" t="n">
        <f aca="false">MAX(K2282,C2283)</f>
        <v>61130.22</v>
      </c>
      <c r="L2283" s="25" t="n">
        <f aca="false">C2283/K2283-1</f>
        <v>-0.0468480237761291</v>
      </c>
      <c r="M2283" s="25" t="n">
        <f aca="false">IF(COUNT(G2254:G2283)&lt;20,"",_xlfn.STDEV.S(G2254:G2283)*SQRT($R$3))</f>
        <v>0.638299867001342</v>
      </c>
      <c r="N2283" s="25" t="n">
        <f aca="false">IF(A2283-7&lt;$R$2,"",C2283/INDEX(Clean_Data!$C$2:$C$4314,MATCH(A2283-7,Clean_Data!$A$2:$A$4314,1))-1)</f>
        <v>0.0437966743691822</v>
      </c>
      <c r="O2283" s="25" t="n">
        <f aca="false">IF(A2283-30&lt;$R$2,"",C2283/INDEX(Clean_Data!$C$2:$C$4314,MATCH(A2283-30,Clean_Data!$A$2:$A$4314,1))-1)</f>
        <v>0.191344622126932</v>
      </c>
    </row>
    <row r="2284" customFormat="false" ht="15" hidden="false" customHeight="false" outlineLevel="0" collapsed="false">
      <c r="A2284" s="16" t="n">
        <v>44291</v>
      </c>
      <c r="B2284" s="23" t="n">
        <f aca="false">YEAR(A2284)</f>
        <v>2021</v>
      </c>
      <c r="C2284" s="17" t="n">
        <v>59200</v>
      </c>
      <c r="D2284" s="23" t="n">
        <f aca="false">A2284-A2283</f>
        <v>1</v>
      </c>
      <c r="E2284" s="24" t="n">
        <f aca="false">LN(C2284)</f>
        <v>10.9886768208721</v>
      </c>
      <c r="F2284" s="25" t="n">
        <f aca="false">LN(C2284/C2283)</f>
        <v>0.0158961156316607</v>
      </c>
      <c r="G2284" s="25" t="n">
        <f aca="false">IF(AND(D2284=1,A2284&gt;=$R$2),F2284,"")</f>
        <v>0.0158961156316607</v>
      </c>
      <c r="H2284" s="27" t="n">
        <f aca="false">IF(G2284="","",G2284^2)</f>
        <v>0.000252686492175127</v>
      </c>
      <c r="I2284" s="25" t="n">
        <f aca="false">IF(G2284="","",C2284/C2283-1)</f>
        <v>0.0160231310022811</v>
      </c>
      <c r="J2284" s="17" t="n">
        <f aca="false">AVERAGE(C2085:C2284)</f>
        <v>30297.6687</v>
      </c>
      <c r="K2284" s="17" t="n">
        <f aca="false">MAX(K2283,C2284)</f>
        <v>61130.22</v>
      </c>
      <c r="L2284" s="25" t="n">
        <f aca="false">C2284/K2284-1</f>
        <v>-0.0315755447960109</v>
      </c>
      <c r="M2284" s="25" t="n">
        <f aca="false">IF(COUNT(G2255:G2284)&lt;20,"",_xlfn.STDEV.S(G2255:G2284)*SQRT($R$3))</f>
        <v>0.639053968469547</v>
      </c>
      <c r="N2284" s="25" t="n">
        <f aca="false">IF(A2284-7&lt;$R$2,"",C2284/INDEX(Clean_Data!$C$2:$C$4314,MATCH(A2284-7,Clean_Data!$A$2:$A$4314,1))-1)</f>
        <v>0.027229921819474</v>
      </c>
      <c r="O2284" s="25" t="n">
        <f aca="false">IF(A2284-30&lt;$R$2,"",C2284/INDEX(Clean_Data!$C$2:$C$4314,MATCH(A2284-30,Clean_Data!$A$2:$A$4314,1))-1)</f>
        <v>0.208487583912826</v>
      </c>
    </row>
    <row r="2285" customFormat="false" ht="15" hidden="false" customHeight="false" outlineLevel="0" collapsed="false">
      <c r="A2285" s="16" t="n">
        <v>44292</v>
      </c>
      <c r="B2285" s="23" t="n">
        <f aca="false">YEAR(A2285)</f>
        <v>2021</v>
      </c>
      <c r="C2285" s="17" t="n">
        <v>58018.31</v>
      </c>
      <c r="D2285" s="23" t="n">
        <f aca="false">A2285-A2284</f>
        <v>1</v>
      </c>
      <c r="E2285" s="24" t="n">
        <f aca="false">LN(C2285)</f>
        <v>10.9685139293642</v>
      </c>
      <c r="F2285" s="25" t="n">
        <f aca="false">LN(C2285/C2284)</f>
        <v>-0.0201628915078628</v>
      </c>
      <c r="G2285" s="25" t="n">
        <f aca="false">IF(AND(D2285=1,A2285&gt;=$R$2),F2285,"")</f>
        <v>-0.0201628915078628</v>
      </c>
      <c r="H2285" s="27" t="n">
        <f aca="false">IF(G2285="","",G2285^2)</f>
        <v>0.000406542193957844</v>
      </c>
      <c r="I2285" s="25" t="n">
        <f aca="false">IF(G2285="","",C2285/C2284-1)</f>
        <v>-0.0199609797297298</v>
      </c>
      <c r="J2285" s="17" t="n">
        <f aca="false">AVERAGE(C2086:C2285)</f>
        <v>30533.04925</v>
      </c>
      <c r="K2285" s="17" t="n">
        <f aca="false">MAX(K2284,C2285)</f>
        <v>61130.22</v>
      </c>
      <c r="L2285" s="25" t="n">
        <f aca="false">C2285/K2285-1</f>
        <v>-0.0509062457161124</v>
      </c>
      <c r="M2285" s="25" t="n">
        <f aca="false">IF(COUNT(G2256:G2285)&lt;20,"",_xlfn.STDEV.S(G2256:G2285)*SQRT($R$3))</f>
        <v>0.6352805465642</v>
      </c>
      <c r="N2285" s="25" t="n">
        <f aca="false">IF(A2285-7&lt;$R$2,"",C2285/INDEX(Clean_Data!$C$2:$C$4314,MATCH(A2285-7,Clean_Data!$A$2:$A$4314,1))-1)</f>
        <v>-0.0132940476190476</v>
      </c>
      <c r="O2285" s="25" t="n">
        <f aca="false">IF(A2285-30&lt;$R$2,"",C2285/INDEX(Clean_Data!$C$2:$C$4314,MATCH(A2285-30,Clean_Data!$A$2:$A$4314,1))-1)</f>
        <v>0.140782613038491</v>
      </c>
    </row>
    <row r="2286" customFormat="false" ht="15" hidden="false" customHeight="false" outlineLevel="0" collapsed="false">
      <c r="A2286" s="16" t="n">
        <v>44293</v>
      </c>
      <c r="B2286" s="23" t="n">
        <f aca="false">YEAR(A2286)</f>
        <v>2021</v>
      </c>
      <c r="C2286" s="17" t="n">
        <v>55962.11</v>
      </c>
      <c r="D2286" s="23" t="n">
        <f aca="false">A2286-A2285</f>
        <v>1</v>
      </c>
      <c r="E2286" s="24" t="n">
        <f aca="false">LN(C2286)</f>
        <v>10.9324301335725</v>
      </c>
      <c r="F2286" s="25" t="n">
        <f aca="false">LN(C2286/C2285)</f>
        <v>-0.0360837957917201</v>
      </c>
      <c r="G2286" s="25" t="n">
        <f aca="false">IF(AND(D2286=1,A2286&gt;=$R$2),F2286,"")</f>
        <v>-0.0360837957917201</v>
      </c>
      <c r="H2286" s="27" t="n">
        <f aca="false">IF(G2286="","",G2286^2)</f>
        <v>0.00130204031873856</v>
      </c>
      <c r="I2286" s="25" t="n">
        <f aca="false">IF(G2286="","",C2286/C2285-1)</f>
        <v>-0.035440535927365</v>
      </c>
      <c r="J2286" s="17" t="n">
        <f aca="false">AVERAGE(C2087:C2286)</f>
        <v>30757.48315</v>
      </c>
      <c r="K2286" s="17" t="n">
        <f aca="false">MAX(K2285,C2286)</f>
        <v>61130.22</v>
      </c>
      <c r="L2286" s="25" t="n">
        <f aca="false">C2286/K2286-1</f>
        <v>-0.0845426370132482</v>
      </c>
      <c r="M2286" s="25" t="n">
        <f aca="false">IF(COUNT(G2257:G2286)&lt;20,"",_xlfn.STDEV.S(G2257:G2286)*SQRT($R$3))</f>
        <v>0.642821730399858</v>
      </c>
      <c r="N2286" s="25" t="n">
        <f aca="false">IF(A2286-7&lt;$R$2,"",C2286/INDEX(Clean_Data!$C$2:$C$4314,MATCH(A2286-7,Clean_Data!$A$2:$A$4314,1))-1)</f>
        <v>-0.0488734180851022</v>
      </c>
      <c r="O2286" s="25" t="n">
        <f aca="false">IF(A2286-30&lt;$R$2,"",C2286/INDEX(Clean_Data!$C$2:$C$4314,MATCH(A2286-30,Clean_Data!$A$2:$A$4314,1))-1)</f>
        <v>0.0665017678753803</v>
      </c>
    </row>
    <row r="2287" customFormat="false" ht="15" hidden="false" customHeight="false" outlineLevel="0" collapsed="false">
      <c r="A2287" s="16" t="n">
        <v>44294</v>
      </c>
      <c r="B2287" s="23" t="n">
        <f aca="false">YEAR(A2287)</f>
        <v>2021</v>
      </c>
      <c r="C2287" s="17" t="n">
        <v>58108.65</v>
      </c>
      <c r="D2287" s="23" t="n">
        <f aca="false">A2287-A2286</f>
        <v>1</v>
      </c>
      <c r="E2287" s="24" t="n">
        <f aca="false">LN(C2287)</f>
        <v>10.9700698129975</v>
      </c>
      <c r="F2287" s="25" t="n">
        <f aca="false">LN(C2287/C2286)</f>
        <v>0.0376396794250193</v>
      </c>
      <c r="G2287" s="25" t="n">
        <f aca="false">IF(AND(D2287=1,A2287&gt;=$R$2),F2287,"")</f>
        <v>0.0376396794250193</v>
      </c>
      <c r="H2287" s="27" t="n">
        <f aca="false">IF(G2287="","",G2287^2)</f>
        <v>0.00141674546721822</v>
      </c>
      <c r="I2287" s="25" t="n">
        <f aca="false">IF(G2287="","",C2287/C2286-1)</f>
        <v>0.0383570240650326</v>
      </c>
      <c r="J2287" s="17" t="n">
        <f aca="false">AVERAGE(C2088:C2287)</f>
        <v>30993.46845</v>
      </c>
      <c r="K2287" s="17" t="n">
        <f aca="false">MAX(K2286,C2287)</f>
        <v>61130.22</v>
      </c>
      <c r="L2287" s="25" t="n">
        <f aca="false">C2287/K2287-1</f>
        <v>-0.049428416910654</v>
      </c>
      <c r="M2287" s="25" t="n">
        <f aca="false">IF(COUNT(G2258:G2287)&lt;20,"",_xlfn.STDEV.S(G2258:G2287)*SQRT($R$3))</f>
        <v>0.635349798157842</v>
      </c>
      <c r="N2287" s="25" t="n">
        <f aca="false">IF(A2287-7&lt;$R$2,"",C2287/INDEX(Clean_Data!$C$2:$C$4314,MATCH(A2287-7,Clean_Data!$A$2:$A$4314,1))-1)</f>
        <v>-0.0112336741715507</v>
      </c>
      <c r="O2287" s="25" t="n">
        <f aca="false">IF(A2287-30&lt;$R$2,"",C2287/INDEX(Clean_Data!$C$2:$C$4314,MATCH(A2287-30,Clean_Data!$A$2:$A$4314,1))-1)</f>
        <v>0.0565211011856548</v>
      </c>
    </row>
    <row r="2288" customFormat="false" ht="15" hidden="false" customHeight="false" outlineLevel="0" collapsed="false">
      <c r="A2288" s="16" t="n">
        <v>44295</v>
      </c>
      <c r="B2288" s="23" t="n">
        <f aca="false">YEAR(A2288)</f>
        <v>2021</v>
      </c>
      <c r="C2288" s="17" t="n">
        <v>58126.14</v>
      </c>
      <c r="D2288" s="23" t="n">
        <f aca="false">A2288-A2287</f>
        <v>1</v>
      </c>
      <c r="E2288" s="24" t="n">
        <f aca="false">LN(C2288)</f>
        <v>10.9703707556006</v>
      </c>
      <c r="F2288" s="25" t="n">
        <f aca="false">LN(C2288/C2287)</f>
        <v>0.000300942603019315</v>
      </c>
      <c r="G2288" s="25" t="n">
        <f aca="false">IF(AND(D2288=1,A2288&gt;=$R$2),F2288,"")</f>
        <v>0.000300942603019315</v>
      </c>
      <c r="H2288" s="27" t="n">
        <f aca="false">IF(G2288="","",G2288^2)</f>
        <v>9.05664503120409E-008</v>
      </c>
      <c r="I2288" s="25" t="n">
        <f aca="false">IF(G2288="","",C2288/C2287-1)</f>
        <v>0.000300987890787363</v>
      </c>
      <c r="J2288" s="17" t="n">
        <f aca="false">AVERAGE(C2089:C2288)</f>
        <v>31231.9699</v>
      </c>
      <c r="K2288" s="17" t="n">
        <f aca="false">MAX(K2287,C2288)</f>
        <v>61130.22</v>
      </c>
      <c r="L2288" s="25" t="n">
        <f aca="false">C2288/K2288-1</f>
        <v>-0.0491423063748175</v>
      </c>
      <c r="M2288" s="25" t="n">
        <f aca="false">IF(COUNT(G2259:G2288)&lt;20,"",_xlfn.STDEV.S(G2259:G2288)*SQRT($R$3))</f>
        <v>0.632386062987414</v>
      </c>
      <c r="N2288" s="25" t="n">
        <f aca="false">IF(A2288-7&lt;$R$2,"",C2288/INDEX(Clean_Data!$C$2:$C$4314,MATCH(A2288-7,Clean_Data!$A$2:$A$4314,1))-1)</f>
        <v>-0.0151375264636888</v>
      </c>
      <c r="O2288" s="25" t="n">
        <f aca="false">IF(A2288-30&lt;$R$2,"",C2288/INDEX(Clean_Data!$C$2:$C$4314,MATCH(A2288-30,Clean_Data!$A$2:$A$4314,1))-1)</f>
        <v>0.0371098736811568</v>
      </c>
    </row>
    <row r="2289" customFormat="false" ht="15" hidden="false" customHeight="false" outlineLevel="0" collapsed="false">
      <c r="A2289" s="16" t="n">
        <v>44296</v>
      </c>
      <c r="B2289" s="23" t="n">
        <f aca="false">YEAR(A2289)</f>
        <v>2021</v>
      </c>
      <c r="C2289" s="17" t="n">
        <v>60039.35</v>
      </c>
      <c r="D2289" s="23" t="n">
        <f aca="false">A2289-A2288</f>
        <v>1</v>
      </c>
      <c r="E2289" s="24" t="n">
        <f aca="false">LN(C2289)</f>
        <v>11.0027554595729</v>
      </c>
      <c r="F2289" s="25" t="n">
        <f aca="false">LN(C2289/C2288)</f>
        <v>0.0323847039723199</v>
      </c>
      <c r="G2289" s="25" t="n">
        <f aca="false">IF(AND(D2289=1,A2289&gt;=$R$2),F2289,"")</f>
        <v>0.0323847039723199</v>
      </c>
      <c r="H2289" s="27" t="n">
        <f aca="false">IF(G2289="","",G2289^2)</f>
        <v>0.00104876905137479</v>
      </c>
      <c r="I2289" s="25" t="n">
        <f aca="false">IF(G2289="","",C2289/C2288-1)</f>
        <v>0.03291479530552</v>
      </c>
      <c r="J2289" s="17" t="n">
        <f aca="false">AVERAGE(C2090:C2289)</f>
        <v>31479.5216</v>
      </c>
      <c r="K2289" s="17" t="n">
        <f aca="false">MAX(K2288,C2289)</f>
        <v>61130.22</v>
      </c>
      <c r="L2289" s="25" t="n">
        <f aca="false">C2289/K2289-1</f>
        <v>-0.0178450200244659</v>
      </c>
      <c r="M2289" s="25" t="n">
        <f aca="false">IF(COUNT(G2260:G2289)&lt;20,"",_xlfn.STDEV.S(G2260:G2289)*SQRT($R$3))</f>
        <v>0.632170529232494</v>
      </c>
      <c r="N2289" s="25" t="n">
        <f aca="false">IF(A2289-7&lt;$R$2,"",C2289/INDEX(Clean_Data!$C$2:$C$4314,MATCH(A2289-7,Clean_Data!$A$2:$A$4314,1))-1)</f>
        <v>0.0583164407466816</v>
      </c>
      <c r="O2289" s="25" t="n">
        <f aca="false">IF(A2289-30&lt;$R$2,"",C2289/INDEX(Clean_Data!$C$2:$C$4314,MATCH(A2289-30,Clean_Data!$A$2:$A$4314,1))-1)</f>
        <v>0.0367517270460787</v>
      </c>
    </row>
    <row r="2290" customFormat="false" ht="15" hidden="false" customHeight="false" outlineLevel="0" collapsed="false">
      <c r="A2290" s="16" t="n">
        <v>44297</v>
      </c>
      <c r="B2290" s="23" t="n">
        <f aca="false">YEAR(A2290)</f>
        <v>2021</v>
      </c>
      <c r="C2290" s="17" t="n">
        <v>60133.37</v>
      </c>
      <c r="D2290" s="23" t="n">
        <f aca="false">A2290-A2289</f>
        <v>1</v>
      </c>
      <c r="E2290" s="24" t="n">
        <f aca="false">LN(C2290)</f>
        <v>11.0043202076985</v>
      </c>
      <c r="F2290" s="25" t="n">
        <f aca="false">LN(C2290/C2289)</f>
        <v>0.00156474812558962</v>
      </c>
      <c r="G2290" s="25" t="n">
        <f aca="false">IF(AND(D2290=1,A2290&gt;=$R$2),F2290,"")</f>
        <v>0.00156474812558962</v>
      </c>
      <c r="H2290" s="27" t="n">
        <f aca="false">IF(G2290="","",G2290^2)</f>
        <v>2.44843669653624E-006</v>
      </c>
      <c r="I2290" s="25" t="n">
        <f aca="false">IF(G2290="","",C2290/C2289-1)</f>
        <v>0.00156597298271888</v>
      </c>
      <c r="J2290" s="17" t="n">
        <f aca="false">AVERAGE(C2091:C2290)</f>
        <v>31729.0379</v>
      </c>
      <c r="K2290" s="17" t="n">
        <f aca="false">MAX(K2289,C2290)</f>
        <v>61130.22</v>
      </c>
      <c r="L2290" s="25" t="n">
        <f aca="false">C2290/K2290-1</f>
        <v>-0.0163069918609814</v>
      </c>
      <c r="M2290" s="25" t="n">
        <f aca="false">IF(COUNT(G2261:G2290)&lt;20,"",_xlfn.STDEV.S(G2261:G2290)*SQRT($R$3))</f>
        <v>0.630150193339239</v>
      </c>
      <c r="N2290" s="25" t="n">
        <f aca="false">IF(A2290-7&lt;$R$2,"",C2290/INDEX(Clean_Data!$C$2:$C$4314,MATCH(A2290-7,Clean_Data!$A$2:$A$4314,1))-1)</f>
        <v>0.0320421429918689</v>
      </c>
      <c r="O2290" s="25" t="n">
        <f aca="false">IF(A2290-30&lt;$R$2,"",C2290/INDEX(Clean_Data!$C$2:$C$4314,MATCH(A2290-30,Clean_Data!$A$2:$A$4314,1))-1)</f>
        <v>0.0517443933866772</v>
      </c>
    </row>
    <row r="2291" customFormat="false" ht="15" hidden="false" customHeight="false" outlineLevel="0" collapsed="false">
      <c r="A2291" s="16" t="n">
        <v>44298</v>
      </c>
      <c r="B2291" s="23" t="n">
        <f aca="false">YEAR(A2291)</f>
        <v>2021</v>
      </c>
      <c r="C2291" s="17" t="n">
        <v>59903.04</v>
      </c>
      <c r="D2291" s="23" t="n">
        <f aca="false">A2291-A2290</f>
        <v>1</v>
      </c>
      <c r="E2291" s="24" t="n">
        <f aca="false">LN(C2291)</f>
        <v>11.0004825340678</v>
      </c>
      <c r="F2291" s="25" t="n">
        <f aca="false">LN(C2291/C2290)</f>
        <v>-0.00383767363063605</v>
      </c>
      <c r="G2291" s="25" t="n">
        <f aca="false">IF(AND(D2291=1,A2291&gt;=$R$2),F2291,"")</f>
        <v>-0.00383767363063605</v>
      </c>
      <c r="H2291" s="27" t="n">
        <f aca="false">IF(G2291="","",G2291^2)</f>
        <v>1.47277388952793E-005</v>
      </c>
      <c r="I2291" s="25" t="n">
        <f aca="false">IF(G2291="","",C2291/C2290-1)</f>
        <v>-0.00383031917220011</v>
      </c>
      <c r="J2291" s="17" t="n">
        <f aca="false">AVERAGE(C2092:C2291)</f>
        <v>31974.8481</v>
      </c>
      <c r="K2291" s="17" t="n">
        <f aca="false">MAX(K2290,C2291)</f>
        <v>61130.22</v>
      </c>
      <c r="L2291" s="25" t="n">
        <f aca="false">C2291/K2291-1</f>
        <v>-0.0200748500496154</v>
      </c>
      <c r="M2291" s="25" t="n">
        <f aca="false">IF(COUNT(G2262:G2291)&lt;20,"",_xlfn.STDEV.S(G2262:G2291)*SQRT($R$3))</f>
        <v>0.584682165301035</v>
      </c>
      <c r="N2291" s="25" t="n">
        <f aca="false">IF(A2291-7&lt;$R$2,"",C2291/INDEX(Clean_Data!$C$2:$C$4314,MATCH(A2291-7,Clean_Data!$A$2:$A$4314,1))-1)</f>
        <v>0.0118756756756757</v>
      </c>
      <c r="O2291" s="25" t="n">
        <f aca="false">IF(A2291-30&lt;$R$2,"",C2291/INDEX(Clean_Data!$C$2:$C$4314,MATCH(A2291-30,Clean_Data!$A$2:$A$4314,1))-1)</f>
        <v>-0.0200748500496154</v>
      </c>
    </row>
    <row r="2292" customFormat="false" ht="15" hidden="false" customHeight="false" outlineLevel="0" collapsed="false">
      <c r="A2292" s="16" t="n">
        <v>44299</v>
      </c>
      <c r="B2292" s="23" t="n">
        <f aca="false">YEAR(A2292)</f>
        <v>2021</v>
      </c>
      <c r="C2292" s="17" t="n">
        <v>63660.94</v>
      </c>
      <c r="D2292" s="23" t="n">
        <f aca="false">A2292-A2291</f>
        <v>1</v>
      </c>
      <c r="E2292" s="24" t="n">
        <f aca="false">LN(C2292)</f>
        <v>11.0613264666711</v>
      </c>
      <c r="F2292" s="25" t="n">
        <f aca="false">LN(C2292/C2291)</f>
        <v>0.06084393260332</v>
      </c>
      <c r="G2292" s="25" t="n">
        <f aca="false">IF(AND(D2292=1,A2292&gt;=$R$2),F2292,"")</f>
        <v>0.06084393260332</v>
      </c>
      <c r="H2292" s="27" t="n">
        <f aca="false">IF(G2292="","",G2292^2)</f>
        <v>0.00370198413463735</v>
      </c>
      <c r="I2292" s="25" t="n">
        <f aca="false">IF(G2292="","",C2292/C2291-1)</f>
        <v>0.0627330432645823</v>
      </c>
      <c r="J2292" s="17" t="n">
        <f aca="false">AVERAGE(C2093:C2292)</f>
        <v>32239.6863</v>
      </c>
      <c r="K2292" s="17" t="n">
        <f aca="false">MAX(K2291,C2292)</f>
        <v>63660.94</v>
      </c>
      <c r="L2292" s="25" t="n">
        <f aca="false">C2292/K2292-1</f>
        <v>0</v>
      </c>
      <c r="M2292" s="25" t="n">
        <f aca="false">IF(COUNT(G2263:G2292)&lt;20,"",_xlfn.STDEV.S(G2263:G2292)*SQRT($R$3))</f>
        <v>0.611020064252016</v>
      </c>
      <c r="N2292" s="25" t="n">
        <f aca="false">IF(A2292-7&lt;$R$2,"",C2292/INDEX(Clean_Data!$C$2:$C$4314,MATCH(A2292-7,Clean_Data!$A$2:$A$4314,1))-1)</f>
        <v>0.0972560214180662</v>
      </c>
      <c r="O2292" s="25" t="n">
        <f aca="false">IF(A2292-30&lt;$R$2,"",C2292/INDEX(Clean_Data!$C$2:$C$4314,MATCH(A2292-30,Clean_Data!$A$2:$A$4314,1))-1)</f>
        <v>0.07548124794528</v>
      </c>
    </row>
    <row r="2293" customFormat="false" ht="15" hidden="false" customHeight="false" outlineLevel="0" collapsed="false">
      <c r="A2293" s="16" t="n">
        <v>44300</v>
      </c>
      <c r="B2293" s="23" t="n">
        <f aca="false">YEAR(A2293)</f>
        <v>2021</v>
      </c>
      <c r="C2293" s="17" t="n">
        <v>63283.43</v>
      </c>
      <c r="D2293" s="23" t="n">
        <f aca="false">A2293-A2292</f>
        <v>1</v>
      </c>
      <c r="E2293" s="24" t="n">
        <f aca="false">LN(C2293)</f>
        <v>11.0553788045124</v>
      </c>
      <c r="F2293" s="25" t="n">
        <f aca="false">LN(C2293/C2292)</f>
        <v>-0.00594766215874661</v>
      </c>
      <c r="G2293" s="25" t="n">
        <f aca="false">IF(AND(D2293=1,A2293&gt;=$R$2),F2293,"")</f>
        <v>-0.00594766215874661</v>
      </c>
      <c r="H2293" s="27" t="n">
        <f aca="false">IF(G2293="","",G2293^2)</f>
        <v>3.53746851545864E-005</v>
      </c>
      <c r="I2293" s="25" t="n">
        <f aca="false">IF(G2293="","",C2293/C2292-1)</f>
        <v>-0.00593000983020364</v>
      </c>
      <c r="J2293" s="17" t="n">
        <f aca="false">AVERAGE(C2094:C2293)</f>
        <v>32502.4523</v>
      </c>
      <c r="K2293" s="17" t="n">
        <f aca="false">MAX(K2292,C2293)</f>
        <v>63660.94</v>
      </c>
      <c r="L2293" s="25" t="n">
        <f aca="false">C2293/K2293-1</f>
        <v>-0.00593000983020364</v>
      </c>
      <c r="M2293" s="25" t="n">
        <f aca="false">IF(COUNT(G2264:G2293)&lt;20,"",_xlfn.STDEV.S(G2264:G2293)*SQRT($R$3))</f>
        <v>0.560672866251042</v>
      </c>
      <c r="N2293" s="25" t="n">
        <f aca="false">IF(A2293-7&lt;$R$2,"",C2293/INDEX(Clean_Data!$C$2:$C$4314,MATCH(A2293-7,Clean_Data!$A$2:$A$4314,1))-1)</f>
        <v>0.130826375202793</v>
      </c>
      <c r="O2293" s="25" t="n">
        <f aca="false">IF(A2293-30&lt;$R$2,"",C2293/INDEX(Clean_Data!$C$2:$C$4314,MATCH(A2293-30,Clean_Data!$A$2:$A$4314,1))-1)</f>
        <v>0.141678027803982</v>
      </c>
    </row>
    <row r="2294" customFormat="false" ht="15" hidden="false" customHeight="false" outlineLevel="0" collapsed="false">
      <c r="A2294" s="16" t="n">
        <v>44301</v>
      </c>
      <c r="B2294" s="23" t="n">
        <f aca="false">YEAR(A2294)</f>
        <v>2021</v>
      </c>
      <c r="C2294" s="17" t="n">
        <v>63346.93</v>
      </c>
      <c r="D2294" s="23" t="n">
        <f aca="false">A2294-A2293</f>
        <v>1</v>
      </c>
      <c r="E2294" s="24" t="n">
        <f aca="false">LN(C2294)</f>
        <v>11.0563817236437</v>
      </c>
      <c r="F2294" s="25" t="n">
        <f aca="false">LN(C2294/C2293)</f>
        <v>0.00100291913128261</v>
      </c>
      <c r="G2294" s="25" t="n">
        <f aca="false">IF(AND(D2294=1,A2294&gt;=$R$2),F2294,"")</f>
        <v>0.00100291913128261</v>
      </c>
      <c r="H2294" s="27" t="n">
        <f aca="false">IF(G2294="","",G2294^2)</f>
        <v>1.00584678389266E-006</v>
      </c>
      <c r="I2294" s="25" t="n">
        <f aca="false">IF(G2294="","",C2294/C2293-1)</f>
        <v>0.00100342222284722</v>
      </c>
      <c r="J2294" s="17" t="n">
        <f aca="false">AVERAGE(C2095:C2294)</f>
        <v>32765.22605</v>
      </c>
      <c r="K2294" s="17" t="n">
        <f aca="false">MAX(K2293,C2294)</f>
        <v>63660.94</v>
      </c>
      <c r="L2294" s="25" t="n">
        <f aca="false">C2294/K2294-1</f>
        <v>-0.00493253791100168</v>
      </c>
      <c r="M2294" s="25" t="n">
        <f aca="false">IF(COUNT(G2265:G2294)&lt;20,"",_xlfn.STDEV.S(G2265:G2294)*SQRT($R$3))</f>
        <v>0.553004197384832</v>
      </c>
      <c r="N2294" s="25" t="n">
        <f aca="false">IF(A2294-7&lt;$R$2,"",C2294/INDEX(Clean_Data!$C$2:$C$4314,MATCH(A2294-7,Clean_Data!$A$2:$A$4314,1))-1)</f>
        <v>0.0901463035193555</v>
      </c>
      <c r="O2294" s="25" t="n">
        <f aca="false">IF(A2294-30&lt;$R$2,"",C2294/INDEX(Clean_Data!$C$2:$C$4314,MATCH(A2294-30,Clean_Data!$A$2:$A$4314,1))-1)</f>
        <v>0.108888306166733</v>
      </c>
    </row>
    <row r="2295" customFormat="false" ht="15" hidden="false" customHeight="false" outlineLevel="0" collapsed="false">
      <c r="A2295" s="16" t="n">
        <v>44302</v>
      </c>
      <c r="B2295" s="23" t="n">
        <f aca="false">YEAR(A2295)</f>
        <v>2021</v>
      </c>
      <c r="C2295" s="17" t="n">
        <v>61486.08</v>
      </c>
      <c r="D2295" s="23" t="n">
        <f aca="false">A2295-A2294</f>
        <v>1</v>
      </c>
      <c r="E2295" s="24" t="n">
        <f aca="false">LN(C2295)</f>
        <v>11.0265660867121</v>
      </c>
      <c r="F2295" s="25" t="n">
        <f aca="false">LN(C2295/C2294)</f>
        <v>-0.0298156369315826</v>
      </c>
      <c r="G2295" s="25" t="n">
        <f aca="false">IF(AND(D2295=1,A2295&gt;=$R$2),F2295,"")</f>
        <v>-0.0298156369315826</v>
      </c>
      <c r="H2295" s="27" t="n">
        <f aca="false">IF(G2295="","",G2295^2)</f>
        <v>0.000888972205635954</v>
      </c>
      <c r="I2295" s="25" t="n">
        <f aca="false">IF(G2295="","",C2295/C2294-1)</f>
        <v>-0.0293755356415851</v>
      </c>
      <c r="J2295" s="17" t="n">
        <f aca="false">AVERAGE(C2096:C2295)</f>
        <v>33019.2514</v>
      </c>
      <c r="K2295" s="17" t="n">
        <f aca="false">MAX(K2294,C2295)</f>
        <v>63660.94</v>
      </c>
      <c r="L2295" s="25" t="n">
        <f aca="false">C2295/K2295-1</f>
        <v>-0.0341631776093787</v>
      </c>
      <c r="M2295" s="25" t="n">
        <f aca="false">IF(COUNT(G2266:G2295)&lt;20,"",_xlfn.STDEV.S(G2266:G2295)*SQRT($R$3))</f>
        <v>0.551879615973712</v>
      </c>
      <c r="N2295" s="25" t="n">
        <f aca="false">IF(A2295-7&lt;$R$2,"",C2295/INDEX(Clean_Data!$C$2:$C$4314,MATCH(A2295-7,Clean_Data!$A$2:$A$4314,1))-1)</f>
        <v>0.0578042856449783</v>
      </c>
      <c r="O2295" s="25" t="n">
        <f aca="false">IF(A2295-30&lt;$R$2,"",C2295/INDEX(Clean_Data!$C$2:$C$4314,MATCH(A2295-30,Clean_Data!$A$2:$A$4314,1))-1)</f>
        <v>0.0382438865251531</v>
      </c>
    </row>
    <row r="2296" customFormat="false" ht="15" hidden="false" customHeight="false" outlineLevel="0" collapsed="false">
      <c r="A2296" s="16" t="n">
        <v>44303</v>
      </c>
      <c r="B2296" s="23" t="n">
        <f aca="false">YEAR(A2296)</f>
        <v>2021</v>
      </c>
      <c r="C2296" s="17" t="n">
        <v>60199.33</v>
      </c>
      <c r="D2296" s="23" t="n">
        <f aca="false">A2296-A2295</f>
        <v>1</v>
      </c>
      <c r="E2296" s="24" t="n">
        <f aca="false">LN(C2296)</f>
        <v>11.0054165016669</v>
      </c>
      <c r="F2296" s="25" t="n">
        <f aca="false">LN(C2296/C2295)</f>
        <v>-0.0211495850452277</v>
      </c>
      <c r="G2296" s="25" t="n">
        <f aca="false">IF(AND(D2296=1,A2296&gt;=$R$2),F2296,"")</f>
        <v>-0.0211495850452277</v>
      </c>
      <c r="H2296" s="27" t="n">
        <f aca="false">IF(G2296="","",G2296^2)</f>
        <v>0.000447304947585319</v>
      </c>
      <c r="I2296" s="25" t="n">
        <f aca="false">IF(G2296="","",C2296/C2295-1)</f>
        <v>-0.0209275009888417</v>
      </c>
      <c r="J2296" s="17" t="n">
        <f aca="false">AVERAGE(C2097:C2296)</f>
        <v>33266.01855</v>
      </c>
      <c r="K2296" s="17" t="n">
        <f aca="false">MAX(K2295,C2296)</f>
        <v>63660.94</v>
      </c>
      <c r="L2296" s="25" t="n">
        <f aca="false">C2296/K2296-1</f>
        <v>-0.0543757286650182</v>
      </c>
      <c r="M2296" s="25" t="n">
        <f aca="false">IF(COUNT(G2267:G2296)&lt;20,"",_xlfn.STDEV.S(G2267:G2296)*SQRT($R$3))</f>
        <v>0.547532595367376</v>
      </c>
      <c r="N2296" s="25" t="n">
        <f aca="false">IF(A2296-7&lt;$R$2,"",C2296/INDEX(Clean_Data!$C$2:$C$4314,MATCH(A2296-7,Clean_Data!$A$2:$A$4314,1))-1)</f>
        <v>0.00266458580914031</v>
      </c>
      <c r="O2296" s="25" t="n">
        <f aca="false">IF(A2296-30&lt;$R$2,"",C2296/INDEX(Clean_Data!$C$2:$C$4314,MATCH(A2296-30,Clean_Data!$A$2:$A$4314,1))-1)</f>
        <v>0.0458088483362247</v>
      </c>
    </row>
    <row r="2297" customFormat="false" ht="15" hidden="false" customHeight="false" outlineLevel="0" collapsed="false">
      <c r="A2297" s="16" t="n">
        <v>44304</v>
      </c>
      <c r="B2297" s="23" t="n">
        <f aca="false">YEAR(A2297)</f>
        <v>2021</v>
      </c>
      <c r="C2297" s="17" t="n">
        <v>56351.2</v>
      </c>
      <c r="D2297" s="23" t="n">
        <f aca="false">A2297-A2296</f>
        <v>1</v>
      </c>
      <c r="E2297" s="24" t="n">
        <f aca="false">LN(C2297)</f>
        <v>10.9393588147159</v>
      </c>
      <c r="F2297" s="25" t="n">
        <f aca="false">LN(C2297/C2296)</f>
        <v>-0.0660576869509835</v>
      </c>
      <c r="G2297" s="25" t="n">
        <f aca="false">IF(AND(D2297=1,A2297&gt;=$R$2),F2297,"")</f>
        <v>-0.0660576869509835</v>
      </c>
      <c r="H2297" s="27" t="n">
        <f aca="false">IF(G2297="","",G2297^2)</f>
        <v>0.00436361800531414</v>
      </c>
      <c r="I2297" s="25" t="n">
        <f aca="false">IF(G2297="","",C2297/C2296-1)</f>
        <v>-0.0639231366860729</v>
      </c>
      <c r="J2297" s="17" t="n">
        <f aca="false">AVERAGE(C2098:C2297)</f>
        <v>33493.85835</v>
      </c>
      <c r="K2297" s="17" t="n">
        <f aca="false">MAX(K2296,C2297)</f>
        <v>63660.94</v>
      </c>
      <c r="L2297" s="25" t="n">
        <f aca="false">C2297/K2297-1</f>
        <v>-0.114822998215232</v>
      </c>
      <c r="M2297" s="25" t="n">
        <f aca="false">IF(COUNT(G2268:G2297)&lt;20,"",_xlfn.STDEV.S(G2268:G2297)*SQRT($R$3))</f>
        <v>0.595381888868442</v>
      </c>
      <c r="N2297" s="25" t="n">
        <f aca="false">IF(A2297-7&lt;$R$2,"",C2297/INDEX(Clean_Data!$C$2:$C$4314,MATCH(A2297-7,Clean_Data!$A$2:$A$4314,1))-1)</f>
        <v>-0.0628963585443491</v>
      </c>
      <c r="O2297" s="25" t="n">
        <f aca="false">IF(A2297-30&lt;$R$2,"",C2297/INDEX(Clean_Data!$C$2:$C$4314,MATCH(A2297-30,Clean_Data!$A$2:$A$4314,1))-1)</f>
        <v>-0.0284491948368735</v>
      </c>
    </row>
    <row r="2298" customFormat="false" ht="15" hidden="false" customHeight="false" outlineLevel="0" collapsed="false">
      <c r="A2298" s="16" t="n">
        <v>44305</v>
      </c>
      <c r="B2298" s="23" t="n">
        <f aca="false">YEAR(A2298)</f>
        <v>2021</v>
      </c>
      <c r="C2298" s="17" t="n">
        <v>55797.39</v>
      </c>
      <c r="D2298" s="23" t="n">
        <f aca="false">A2298-A2297</f>
        <v>1</v>
      </c>
      <c r="E2298" s="24" t="n">
        <f aca="false">LN(C2298)</f>
        <v>10.9294823730819</v>
      </c>
      <c r="F2298" s="25" t="n">
        <f aca="false">LN(C2298/C2297)</f>
        <v>-0.00987644163398128</v>
      </c>
      <c r="G2298" s="25" t="n">
        <f aca="false">IF(AND(D2298=1,A2298&gt;=$R$2),F2298,"")</f>
        <v>-0.00987644163398128</v>
      </c>
      <c r="H2298" s="27" t="n">
        <f aca="false">IF(G2298="","",G2298^2)</f>
        <v>9.75440993494389E-005</v>
      </c>
      <c r="I2298" s="25" t="n">
        <f aca="false">IF(G2298="","",C2298/C2297-1)</f>
        <v>-0.00982782975340357</v>
      </c>
      <c r="J2298" s="17" t="n">
        <f aca="false">AVERAGE(C2099:C2298)</f>
        <v>33719.8521</v>
      </c>
      <c r="K2298" s="17" t="n">
        <f aca="false">MAX(K2297,C2298)</f>
        <v>63660.94</v>
      </c>
      <c r="L2298" s="25" t="n">
        <f aca="false">C2298/K2298-1</f>
        <v>-0.123522367090401</v>
      </c>
      <c r="M2298" s="25" t="n">
        <f aca="false">IF(COUNT(G2269:G2298)&lt;20,"",_xlfn.STDEV.S(G2269:G2298)*SQRT($R$3))</f>
        <v>0.596145786657842</v>
      </c>
      <c r="N2298" s="25" t="n">
        <f aca="false">IF(A2298-7&lt;$R$2,"",C2298/INDEX(Clean_Data!$C$2:$C$4314,MATCH(A2298-7,Clean_Data!$A$2:$A$4314,1))-1)</f>
        <v>-0.0685382578246446</v>
      </c>
      <c r="O2298" s="25" t="n">
        <f aca="false">IF(A2298-30&lt;$R$2,"",C2298/INDEX(Clean_Data!$C$2:$C$4314,MATCH(A2298-30,Clean_Data!$A$2:$A$4314,1))-1)</f>
        <v>-0.0388213745118302</v>
      </c>
    </row>
    <row r="2299" customFormat="false" ht="15" hidden="false" customHeight="false" outlineLevel="0" collapsed="false">
      <c r="A2299" s="16" t="n">
        <v>44306</v>
      </c>
      <c r="B2299" s="23" t="n">
        <f aca="false">YEAR(A2299)</f>
        <v>2021</v>
      </c>
      <c r="C2299" s="17" t="n">
        <v>56514.9</v>
      </c>
      <c r="D2299" s="23" t="n">
        <f aca="false">A2299-A2298</f>
        <v>1</v>
      </c>
      <c r="E2299" s="24" t="n">
        <f aca="false">LN(C2299)</f>
        <v>10.9422595991815</v>
      </c>
      <c r="F2299" s="25" t="n">
        <f aca="false">LN(C2299/C2298)</f>
        <v>0.0127772260996177</v>
      </c>
      <c r="G2299" s="25" t="n">
        <f aca="false">IF(AND(D2299=1,A2299&gt;=$R$2),F2299,"")</f>
        <v>0.0127772260996177</v>
      </c>
      <c r="H2299" s="27" t="n">
        <f aca="false">IF(G2299="","",G2299^2)</f>
        <v>0.000163257506800751</v>
      </c>
      <c r="I2299" s="25" t="n">
        <f aca="false">IF(G2299="","",C2299/C2298-1)</f>
        <v>0.0128592036294171</v>
      </c>
      <c r="J2299" s="17" t="n">
        <f aca="false">AVERAGE(C2100:C2299)</f>
        <v>33949.537</v>
      </c>
      <c r="K2299" s="17" t="n">
        <f aca="false">MAX(K2298,C2299)</f>
        <v>63660.94</v>
      </c>
      <c r="L2299" s="25" t="n">
        <f aca="false">C2299/K2299-1</f>
        <v>-0.112251562732187</v>
      </c>
      <c r="M2299" s="25" t="n">
        <f aca="false">IF(COUNT(G2270:G2299)&lt;20,"",_xlfn.STDEV.S(G2270:G2299)*SQRT($R$3))</f>
        <v>0.597000631665748</v>
      </c>
      <c r="N2299" s="25" t="n">
        <f aca="false">IF(A2299-7&lt;$R$2,"",C2299/INDEX(Clean_Data!$C$2:$C$4314,MATCH(A2299-7,Clean_Data!$A$2:$A$4314,1))-1)</f>
        <v>-0.112251562732187</v>
      </c>
      <c r="O2299" s="25" t="n">
        <f aca="false">IF(A2299-30&lt;$R$2,"",C2299/INDEX(Clean_Data!$C$2:$C$4314,MATCH(A2299-30,Clean_Data!$A$2:$A$4314,1))-1)</f>
        <v>-0.0154546799128881</v>
      </c>
    </row>
    <row r="2300" customFormat="false" ht="15" hidden="false" customHeight="false" outlineLevel="0" collapsed="false">
      <c r="A2300" s="16" t="n">
        <v>44307</v>
      </c>
      <c r="B2300" s="23" t="n">
        <f aca="false">YEAR(A2300)</f>
        <v>2021</v>
      </c>
      <c r="C2300" s="17" t="n">
        <v>53919.48</v>
      </c>
      <c r="D2300" s="23" t="n">
        <f aca="false">A2300-A2299</f>
        <v>1</v>
      </c>
      <c r="E2300" s="24" t="n">
        <f aca="false">LN(C2300)</f>
        <v>10.8952471016228</v>
      </c>
      <c r="F2300" s="25" t="n">
        <f aca="false">LN(C2300/C2299)</f>
        <v>-0.047012497558753</v>
      </c>
      <c r="G2300" s="25" t="n">
        <f aca="false">IF(AND(D2300=1,A2300&gt;=$R$2),F2300,"")</f>
        <v>-0.047012497558753</v>
      </c>
      <c r="H2300" s="27" t="n">
        <f aca="false">IF(G2300="","",G2300^2)</f>
        <v>0.00221017492671176</v>
      </c>
      <c r="I2300" s="25" t="n">
        <f aca="false">IF(G2300="","",C2300/C2299-1)</f>
        <v>-0.0459245260984271</v>
      </c>
      <c r="J2300" s="17" t="n">
        <f aca="false">AVERAGE(C2101:C2300)</f>
        <v>34166.40835</v>
      </c>
      <c r="K2300" s="17" t="n">
        <f aca="false">MAX(K2299,C2300)</f>
        <v>63660.94</v>
      </c>
      <c r="L2300" s="25" t="n">
        <f aca="false">C2300/K2300-1</f>
        <v>-0.153020989008331</v>
      </c>
      <c r="M2300" s="25" t="n">
        <f aca="false">IF(COUNT(G2271:G2300)&lt;20,"",_xlfn.STDEV.S(G2271:G2300)*SQRT($R$3))</f>
        <v>0.58621656748036</v>
      </c>
      <c r="N2300" s="25" t="n">
        <f aca="false">IF(A2300-7&lt;$R$2,"",C2300/INDEX(Clean_Data!$C$2:$C$4314,MATCH(A2300-7,Clean_Data!$A$2:$A$4314,1))-1)</f>
        <v>-0.147968433443004</v>
      </c>
      <c r="O2300" s="25" t="n">
        <f aca="false">IF(A2300-30&lt;$R$2,"",C2300/INDEX(Clean_Data!$C$2:$C$4314,MATCH(A2300-30,Clean_Data!$A$2:$A$4314,1))-1)</f>
        <v>-0.00572983213599942</v>
      </c>
    </row>
    <row r="2301" customFormat="false" ht="15" hidden="false" customHeight="false" outlineLevel="0" collapsed="false">
      <c r="A2301" s="16" t="n">
        <v>44308</v>
      </c>
      <c r="B2301" s="23" t="n">
        <f aca="false">YEAR(A2301)</f>
        <v>2021</v>
      </c>
      <c r="C2301" s="17" t="n">
        <v>51653.27</v>
      </c>
      <c r="D2301" s="23" t="n">
        <f aca="false">A2301-A2300</f>
        <v>1</v>
      </c>
      <c r="E2301" s="24" t="n">
        <f aca="false">LN(C2301)</f>
        <v>10.8523087832891</v>
      </c>
      <c r="F2301" s="25" t="n">
        <f aca="false">LN(C2301/C2300)</f>
        <v>-0.0429383183336262</v>
      </c>
      <c r="G2301" s="25" t="n">
        <f aca="false">IF(AND(D2301=1,A2301&gt;=$R$2),F2301,"")</f>
        <v>-0.0429383183336262</v>
      </c>
      <c r="H2301" s="27" t="n">
        <f aca="false">IF(G2301="","",G2301^2)</f>
        <v>0.00184369918131982</v>
      </c>
      <c r="I2301" s="25" t="n">
        <f aca="false">IF(G2301="","",C2301/C2300-1)</f>
        <v>-0.0420295225399059</v>
      </c>
      <c r="J2301" s="17" t="n">
        <f aca="false">AVERAGE(C2102:C2301)</f>
        <v>34371.3629</v>
      </c>
      <c r="K2301" s="17" t="n">
        <f aca="false">MAX(K2300,C2301)</f>
        <v>63660.94</v>
      </c>
      <c r="L2301" s="25" t="n">
        <f aca="false">C2301/K2301-1</f>
        <v>-0.188619112441632</v>
      </c>
      <c r="M2301" s="25" t="n">
        <f aca="false">IF(COUNT(G2272:G2301)&lt;20,"",_xlfn.STDEV.S(G2272:G2301)*SQRT($R$3))</f>
        <v>0.604846141338465</v>
      </c>
      <c r="N2301" s="25" t="n">
        <f aca="false">IF(A2301-7&lt;$R$2,"",C2301/INDEX(Clean_Data!$C$2:$C$4314,MATCH(A2301-7,Clean_Data!$A$2:$A$4314,1))-1)</f>
        <v>-0.184597106757976</v>
      </c>
      <c r="O2301" s="25" t="n">
        <f aca="false">IF(A2301-30&lt;$R$2,"",C2301/INDEX(Clean_Data!$C$2:$C$4314,MATCH(A2301-30,Clean_Data!$A$2:$A$4314,1))-1)</f>
        <v>-0.0481960079832228</v>
      </c>
    </row>
    <row r="2302" customFormat="false" ht="15" hidden="false" customHeight="false" outlineLevel="0" collapsed="false">
      <c r="A2302" s="16" t="n">
        <v>44309</v>
      </c>
      <c r="B2302" s="23" t="n">
        <f aca="false">YEAR(A2302)</f>
        <v>2021</v>
      </c>
      <c r="C2302" s="17" t="n">
        <v>51231.69</v>
      </c>
      <c r="D2302" s="23" t="n">
        <f aca="false">A2302-A2301</f>
        <v>1</v>
      </c>
      <c r="E2302" s="24" t="n">
        <f aca="false">LN(C2302)</f>
        <v>10.8441135648725</v>
      </c>
      <c r="F2302" s="25" t="n">
        <f aca="false">LN(C2302/C2301)</f>
        <v>-0.00819521841669506</v>
      </c>
      <c r="G2302" s="25" t="n">
        <f aca="false">IF(AND(D2302=1,A2302&gt;=$R$2),F2302,"")</f>
        <v>-0.00819521841669506</v>
      </c>
      <c r="H2302" s="27" t="n">
        <f aca="false">IF(G2302="","",G2302^2)</f>
        <v>6.71616048973379E-005</v>
      </c>
      <c r="I2302" s="25" t="n">
        <f aca="false">IF(G2302="","",C2302/C2301-1)</f>
        <v>-0.00816172916061253</v>
      </c>
      <c r="J2302" s="17" t="n">
        <f aca="false">AVERAGE(C2103:C2302)</f>
        <v>34573.52135</v>
      </c>
      <c r="K2302" s="17" t="n">
        <f aca="false">MAX(K2301,C2302)</f>
        <v>63660.94</v>
      </c>
      <c r="L2302" s="25" t="n">
        <f aca="false">C2302/K2302-1</f>
        <v>-0.195241383491981</v>
      </c>
      <c r="M2302" s="25" t="n">
        <f aca="false">IF(COUNT(G2273:G2302)&lt;20,"",_xlfn.STDEV.S(G2273:G2302)*SQRT($R$3))</f>
        <v>0.591818026018288</v>
      </c>
      <c r="N2302" s="25" t="n">
        <f aca="false">IF(A2302-7&lt;$R$2,"",C2302/INDEX(Clean_Data!$C$2:$C$4314,MATCH(A2302-7,Clean_Data!$A$2:$A$4314,1))-1)</f>
        <v>-0.166775797058456</v>
      </c>
      <c r="O2302" s="25" t="n">
        <f aca="false">IF(A2302-30&lt;$R$2,"",C2302/INDEX(Clean_Data!$C$2:$C$4314,MATCH(A2302-30,Clean_Data!$A$2:$A$4314,1))-1)</f>
        <v>-0.0203263622569422</v>
      </c>
    </row>
    <row r="2303" customFormat="false" ht="15" hidden="false" customHeight="false" outlineLevel="0" collapsed="false">
      <c r="A2303" s="16" t="n">
        <v>44310</v>
      </c>
      <c r="B2303" s="23" t="n">
        <f aca="false">YEAR(A2303)</f>
        <v>2021</v>
      </c>
      <c r="C2303" s="17" t="n">
        <v>50167.5</v>
      </c>
      <c r="D2303" s="23" t="n">
        <f aca="false">A2303-A2302</f>
        <v>1</v>
      </c>
      <c r="E2303" s="24" t="n">
        <f aca="false">LN(C2303)</f>
        <v>10.8231226856607</v>
      </c>
      <c r="F2303" s="25" t="n">
        <f aca="false">LN(C2303/C2302)</f>
        <v>-0.0209908792117777</v>
      </c>
      <c r="G2303" s="25" t="n">
        <f aca="false">IF(AND(D2303=1,A2303&gt;=$R$2),F2303,"")</f>
        <v>-0.0209908792117777</v>
      </c>
      <c r="H2303" s="27" t="n">
        <f aca="false">IF(G2303="","",G2303^2)</f>
        <v>0.000440617010083441</v>
      </c>
      <c r="I2303" s="25" t="n">
        <f aca="false">IF(G2303="","",C2303/C2302-1)</f>
        <v>-0.0207721041410112</v>
      </c>
      <c r="J2303" s="17" t="n">
        <f aca="false">AVERAGE(C2104:C2303)</f>
        <v>34771.3881</v>
      </c>
      <c r="K2303" s="17" t="n">
        <f aca="false">MAX(K2302,C2303)</f>
        <v>63660.94</v>
      </c>
      <c r="L2303" s="25" t="n">
        <f aca="false">C2303/K2303-1</f>
        <v>-0.211957913282462</v>
      </c>
      <c r="M2303" s="25" t="n">
        <f aca="false">IF(COUNT(G2274:G2303)&lt;20,"",_xlfn.STDEV.S(G2274:G2303)*SQRT($R$3))</f>
        <v>0.593181431379905</v>
      </c>
      <c r="N2303" s="25" t="n">
        <f aca="false">IF(A2303-7&lt;$R$2,"",C2303/INDEX(Clean_Data!$C$2:$C$4314,MATCH(A2303-7,Clean_Data!$A$2:$A$4314,1))-1)</f>
        <v>-0.166643549022888</v>
      </c>
      <c r="O2303" s="25" t="n">
        <f aca="false">IF(A2303-30&lt;$R$2,"",C2303/INDEX(Clean_Data!$C$2:$C$4314,MATCH(A2303-30,Clean_Data!$A$2:$A$4314,1))-1)</f>
        <v>-0.0237164841922539</v>
      </c>
    </row>
    <row r="2304" customFormat="false" ht="15" hidden="false" customHeight="false" outlineLevel="0" collapsed="false">
      <c r="A2304" s="16" t="n">
        <v>44311</v>
      </c>
      <c r="B2304" s="23" t="n">
        <f aca="false">YEAR(A2304)</f>
        <v>2021</v>
      </c>
      <c r="C2304" s="17" t="n">
        <v>49272.06</v>
      </c>
      <c r="D2304" s="23" t="n">
        <f aca="false">A2304-A2303</f>
        <v>1</v>
      </c>
      <c r="E2304" s="24" t="n">
        <f aca="false">LN(C2304)</f>
        <v>10.8051124650963</v>
      </c>
      <c r="F2304" s="25" t="n">
        <f aca="false">LN(C2304/C2303)</f>
        <v>-0.0180102205643841</v>
      </c>
      <c r="G2304" s="25" t="n">
        <f aca="false">IF(AND(D2304=1,A2304&gt;=$R$2),F2304,"")</f>
        <v>-0.0180102205643841</v>
      </c>
      <c r="H2304" s="27" t="n">
        <f aca="false">IF(G2304="","",G2304^2)</f>
        <v>0.000324368044777764</v>
      </c>
      <c r="I2304" s="25" t="n">
        <f aca="false">IF(G2304="","",C2304/C2303-1)</f>
        <v>-0.017849005830468</v>
      </c>
      <c r="J2304" s="17" t="n">
        <f aca="false">AVERAGE(C2105:C2304)</f>
        <v>34964.39225</v>
      </c>
      <c r="K2304" s="17" t="n">
        <f aca="false">MAX(K2303,C2304)</f>
        <v>63660.94</v>
      </c>
      <c r="L2304" s="25" t="n">
        <f aca="false">C2304/K2304-1</f>
        <v>-0.226023681082937</v>
      </c>
      <c r="M2304" s="25" t="n">
        <f aca="false">IF(COUNT(G2275:G2304)&lt;20,"",_xlfn.STDEV.S(G2275:G2304)*SQRT($R$3))</f>
        <v>0.53130778180887</v>
      </c>
      <c r="N2304" s="25" t="n">
        <f aca="false">IF(A2304-7&lt;$R$2,"",C2304/INDEX(Clean_Data!$C$2:$C$4314,MATCH(A2304-7,Clean_Data!$A$2:$A$4314,1))-1)</f>
        <v>-0.125625363789946</v>
      </c>
      <c r="O2304" s="25" t="n">
        <f aca="false">IF(A2304-30&lt;$R$2,"",C2304/INDEX(Clean_Data!$C$2:$C$4314,MATCH(A2304-30,Clean_Data!$A$2:$A$4314,1))-1)</f>
        <v>-0.109231622817397</v>
      </c>
    </row>
    <row r="2305" customFormat="false" ht="15" hidden="false" customHeight="false" outlineLevel="0" collapsed="false">
      <c r="A2305" s="16" t="n">
        <v>44312</v>
      </c>
      <c r="B2305" s="23" t="n">
        <f aca="false">YEAR(A2305)</f>
        <v>2021</v>
      </c>
      <c r="C2305" s="17" t="n">
        <v>53969.71</v>
      </c>
      <c r="D2305" s="23" t="n">
        <f aca="false">A2305-A2304</f>
        <v>1</v>
      </c>
      <c r="E2305" s="24" t="n">
        <f aca="false">LN(C2305)</f>
        <v>10.8961782422427</v>
      </c>
      <c r="F2305" s="25" t="n">
        <f aca="false">LN(C2305/C2304)</f>
        <v>0.0910657771463954</v>
      </c>
      <c r="G2305" s="25" t="n">
        <f aca="false">IF(AND(D2305=1,A2305&gt;=$R$2),F2305,"")</f>
        <v>0.0910657771463954</v>
      </c>
      <c r="H2305" s="27" t="n">
        <f aca="false">IF(G2305="","",G2305^2)</f>
        <v>0.00829297576727694</v>
      </c>
      <c r="I2305" s="25" t="n">
        <f aca="false">IF(G2305="","",C2305/C2304-1)</f>
        <v>0.095341051297632</v>
      </c>
      <c r="J2305" s="17" t="n">
        <f aca="false">AVERAGE(C2106:C2305)</f>
        <v>35179.60725</v>
      </c>
      <c r="K2305" s="17" t="n">
        <f aca="false">MAX(K2304,C2305)</f>
        <v>63660.94</v>
      </c>
      <c r="L2305" s="25" t="n">
        <f aca="false">C2305/K2305-1</f>
        <v>-0.152231965157913</v>
      </c>
      <c r="M2305" s="25" t="n">
        <f aca="false">IF(COUNT(G2276:G2305)&lt;20,"",_xlfn.STDEV.S(G2276:G2305)*SQRT($R$3))</f>
        <v>0.624651215390322</v>
      </c>
      <c r="N2305" s="25" t="n">
        <f aca="false">IF(A2305-7&lt;$R$2,"",C2305/INDEX(Clean_Data!$C$2:$C$4314,MATCH(A2305-7,Clean_Data!$A$2:$A$4314,1))-1)</f>
        <v>-0.0327556539830985</v>
      </c>
      <c r="O2305" s="25" t="n">
        <f aca="false">IF(A2305-30&lt;$R$2,"",C2305/INDEX(Clean_Data!$C$2:$C$4314,MATCH(A2305-30,Clean_Data!$A$2:$A$4314,1))-1)</f>
        <v>-0.0350865995210629</v>
      </c>
    </row>
    <row r="2306" customFormat="false" ht="15" hidden="false" customHeight="false" outlineLevel="0" collapsed="false">
      <c r="A2306" s="16" t="n">
        <v>44313</v>
      </c>
      <c r="B2306" s="23" t="n">
        <f aca="false">YEAR(A2306)</f>
        <v>2021</v>
      </c>
      <c r="C2306" s="17" t="n">
        <v>55120.81</v>
      </c>
      <c r="D2306" s="23" t="n">
        <f aca="false">A2306-A2305</f>
        <v>1</v>
      </c>
      <c r="E2306" s="24" t="n">
        <f aca="false">LN(C2306)</f>
        <v>10.91728260079</v>
      </c>
      <c r="F2306" s="25" t="n">
        <f aca="false">LN(C2306/C2305)</f>
        <v>0.0211043585473325</v>
      </c>
      <c r="G2306" s="25" t="n">
        <f aca="false">IF(AND(D2306=1,A2306&gt;=$R$2),F2306,"")</f>
        <v>0.0211043585473325</v>
      </c>
      <c r="H2306" s="27" t="n">
        <f aca="false">IF(G2306="","",G2306^2)</f>
        <v>0.000445393949694367</v>
      </c>
      <c r="I2306" s="25" t="n">
        <f aca="false">IF(G2306="","",C2306/C2305-1)</f>
        <v>0.0213286304484497</v>
      </c>
      <c r="J2306" s="17" t="n">
        <f aca="false">AVERAGE(C2107:C2306)</f>
        <v>35399.9148</v>
      </c>
      <c r="K2306" s="17" t="n">
        <f aca="false">MAX(K2305,C2306)</f>
        <v>63660.94</v>
      </c>
      <c r="L2306" s="25" t="n">
        <f aca="false">C2306/K2306-1</f>
        <v>-0.134150234036758</v>
      </c>
      <c r="M2306" s="25" t="n">
        <f aca="false">IF(COUNT(G2277:G2306)&lt;20,"",_xlfn.STDEV.S(G2277:G2306)*SQRT($R$3))</f>
        <v>0.629455245973604</v>
      </c>
      <c r="N2306" s="25" t="n">
        <f aca="false">IF(A2306-7&lt;$R$2,"",C2306/INDEX(Clean_Data!$C$2:$C$4314,MATCH(A2306-7,Clean_Data!$A$2:$A$4314,1))-1)</f>
        <v>-0.0246676540169053</v>
      </c>
      <c r="O2306" s="25" t="n">
        <f aca="false">IF(A2306-30&lt;$R$2,"",C2306/INDEX(Clean_Data!$C$2:$C$4314,MATCH(A2306-30,Clean_Data!$A$2:$A$4314,1))-1)</f>
        <v>-0.0125539240283195</v>
      </c>
    </row>
    <row r="2307" customFormat="false" ht="15" hidden="false" customHeight="false" outlineLevel="0" collapsed="false">
      <c r="A2307" s="16" t="n">
        <v>44314</v>
      </c>
      <c r="B2307" s="23" t="n">
        <f aca="false">YEAR(A2307)</f>
        <v>2021</v>
      </c>
      <c r="C2307" s="17" t="n">
        <v>54964.11</v>
      </c>
      <c r="D2307" s="23" t="n">
        <f aca="false">A2307-A2306</f>
        <v>1</v>
      </c>
      <c r="E2307" s="24" t="n">
        <f aca="false">LN(C2307)</f>
        <v>10.9144357057596</v>
      </c>
      <c r="F2307" s="25" t="n">
        <f aca="false">LN(C2307/C2306)</f>
        <v>-0.00284689503040581</v>
      </c>
      <c r="G2307" s="25" t="n">
        <f aca="false">IF(AND(D2307=1,A2307&gt;=$R$2),F2307,"")</f>
        <v>-0.00284689503040581</v>
      </c>
      <c r="H2307" s="27" t="n">
        <f aca="false">IF(G2307="","",G2307^2)</f>
        <v>8.10481131414927E-006</v>
      </c>
      <c r="I2307" s="25" t="n">
        <f aca="false">IF(G2307="","",C2307/C2306-1)</f>
        <v>-0.00284284646760447</v>
      </c>
      <c r="J2307" s="17" t="n">
        <f aca="false">AVERAGE(C2108:C2307)</f>
        <v>35618.21755</v>
      </c>
      <c r="K2307" s="17" t="n">
        <f aca="false">MAX(K2306,C2307)</f>
        <v>63660.94</v>
      </c>
      <c r="L2307" s="25" t="n">
        <f aca="false">C2307/K2307-1</f>
        <v>-0.136611711985403</v>
      </c>
      <c r="M2307" s="25" t="n">
        <f aca="false">IF(COUNT(G2278:G2307)&lt;20,"",_xlfn.STDEV.S(G2278:G2307)*SQRT($R$3))</f>
        <v>0.6185768965944</v>
      </c>
      <c r="N2307" s="25" t="n">
        <f aca="false">IF(A2307-7&lt;$R$2,"",C2307/INDEX(Clean_Data!$C$2:$C$4314,MATCH(A2307-7,Clean_Data!$A$2:$A$4314,1))-1)</f>
        <v>0.0193738886205876</v>
      </c>
      <c r="O2307" s="25" t="n">
        <f aca="false">IF(A2307-30&lt;$R$2,"",C2307/INDEX(Clean_Data!$C$2:$C$4314,MATCH(A2307-30,Clean_Data!$A$2:$A$4314,1))-1)</f>
        <v>-0.0462706348280917</v>
      </c>
    </row>
    <row r="2308" customFormat="false" ht="15" hidden="false" customHeight="false" outlineLevel="0" collapsed="false">
      <c r="A2308" s="16" t="n">
        <v>44315</v>
      </c>
      <c r="B2308" s="23" t="n">
        <f aca="false">YEAR(A2308)</f>
        <v>2021</v>
      </c>
      <c r="C2308" s="17" t="n">
        <v>53562.87</v>
      </c>
      <c r="D2308" s="23" t="n">
        <f aca="false">A2308-A2307</f>
        <v>1</v>
      </c>
      <c r="E2308" s="24" t="n">
        <f aca="false">LN(C2308)</f>
        <v>10.8886113831342</v>
      </c>
      <c r="F2308" s="25" t="n">
        <f aca="false">LN(C2308/C2307)</f>
        <v>-0.0258243226253642</v>
      </c>
      <c r="G2308" s="25" t="n">
        <f aca="false">IF(AND(D2308=1,A2308&gt;=$R$2),F2308,"")</f>
        <v>-0.0258243226253642</v>
      </c>
      <c r="H2308" s="27" t="n">
        <f aca="false">IF(G2308="","",G2308^2)</f>
        <v>0.000666895639058899</v>
      </c>
      <c r="I2308" s="25" t="n">
        <f aca="false">IF(G2308="","",C2308/C2307-1)</f>
        <v>-0.0254937267245844</v>
      </c>
      <c r="J2308" s="17" t="n">
        <f aca="false">AVERAGE(C2109:C2308)</f>
        <v>35829.17965</v>
      </c>
      <c r="K2308" s="17" t="n">
        <f aca="false">MAX(K2307,C2308)</f>
        <v>63660.94</v>
      </c>
      <c r="L2308" s="25" t="n">
        <f aca="false">C2308/K2308-1</f>
        <v>-0.158622697057254</v>
      </c>
      <c r="M2308" s="25" t="n">
        <f aca="false">IF(COUNT(G2279:G2308)&lt;20,"",_xlfn.STDEV.S(G2279:G2308)*SQRT($R$3))</f>
        <v>0.619066904119925</v>
      </c>
      <c r="N2308" s="25" t="n">
        <f aca="false">IF(A2308-7&lt;$R$2,"",C2308/INDEX(Clean_Data!$C$2:$C$4314,MATCH(A2308-7,Clean_Data!$A$2:$A$4314,1))-1)</f>
        <v>0.0369695858558423</v>
      </c>
      <c r="O2308" s="25" t="n">
        <f aca="false">IF(A2308-30&lt;$R$2,"",C2308/INDEX(Clean_Data!$C$2:$C$4314,MATCH(A2308-30,Clean_Data!$A$2:$A$4314,1))-1)</f>
        <v>-0.0890668367346938</v>
      </c>
    </row>
    <row r="2309" customFormat="false" ht="15" hidden="false" customHeight="false" outlineLevel="0" collapsed="false">
      <c r="A2309" s="16" t="n">
        <v>44316</v>
      </c>
      <c r="B2309" s="23" t="n">
        <f aca="false">YEAR(A2309)</f>
        <v>2021</v>
      </c>
      <c r="C2309" s="17" t="n">
        <v>57640.17</v>
      </c>
      <c r="D2309" s="23" t="n">
        <f aca="false">A2309-A2308</f>
        <v>1</v>
      </c>
      <c r="E2309" s="24" t="n">
        <f aca="false">LN(C2309)</f>
        <v>10.9619749994498</v>
      </c>
      <c r="F2309" s="25" t="n">
        <f aca="false">LN(C2309/C2308)</f>
        <v>0.0733636163155983</v>
      </c>
      <c r="G2309" s="25" t="n">
        <f aca="false">IF(AND(D2309=1,A2309&gt;=$R$2),F2309,"")</f>
        <v>0.0733636163155983</v>
      </c>
      <c r="H2309" s="27" t="n">
        <f aca="false">IF(G2309="","",G2309^2)</f>
        <v>0.00538222019890232</v>
      </c>
      <c r="I2309" s="25" t="n">
        <f aca="false">IF(G2309="","",C2309/C2308-1)</f>
        <v>0.0761217612125713</v>
      </c>
      <c r="J2309" s="17" t="n">
        <f aca="false">AVERAGE(C2110:C2309)</f>
        <v>36059.70635</v>
      </c>
      <c r="K2309" s="17" t="n">
        <f aca="false">MAX(K2308,C2309)</f>
        <v>63660.94</v>
      </c>
      <c r="L2309" s="25" t="n">
        <f aca="false">C2309/K2309-1</f>
        <v>-0.0945755749129686</v>
      </c>
      <c r="M2309" s="25" t="n">
        <f aca="false">IF(COUNT(G2280:G2309)&lt;20,"",_xlfn.STDEV.S(G2280:G2309)*SQRT($R$3))</f>
        <v>0.674131982603447</v>
      </c>
      <c r="N2309" s="25" t="n">
        <f aca="false">IF(A2309-7&lt;$R$2,"",C2309/INDEX(Clean_Data!$C$2:$C$4314,MATCH(A2309-7,Clean_Data!$A$2:$A$4314,1))-1)</f>
        <v>0.125088202243572</v>
      </c>
      <c r="O2309" s="25" t="n">
        <f aca="false">IF(A2309-30&lt;$R$2,"",C2309/INDEX(Clean_Data!$C$2:$C$4314,MATCH(A2309-30,Clean_Data!$A$2:$A$4314,1))-1)</f>
        <v>-0.0203532734363727</v>
      </c>
    </row>
    <row r="2310" customFormat="false" ht="15" hidden="false" customHeight="false" outlineLevel="0" collapsed="false">
      <c r="A2310" s="16" t="n">
        <v>44317</v>
      </c>
      <c r="B2310" s="23" t="n">
        <f aca="false">YEAR(A2310)</f>
        <v>2021</v>
      </c>
      <c r="C2310" s="17" t="n">
        <v>57868.94</v>
      </c>
      <c r="D2310" s="23" t="n">
        <f aca="false">A2310-A2309</f>
        <v>1</v>
      </c>
      <c r="E2310" s="24" t="n">
        <f aca="false">LN(C2310)</f>
        <v>10.9659360774829</v>
      </c>
      <c r="F2310" s="25" t="n">
        <f aca="false">LN(C2310/C2309)</f>
        <v>0.00396107803305483</v>
      </c>
      <c r="G2310" s="25" t="n">
        <f aca="false">IF(AND(D2310=1,A2310&gt;=$R$2),F2310,"")</f>
        <v>0.00396107803305483</v>
      </c>
      <c r="H2310" s="27" t="n">
        <f aca="false">IF(G2310="","",G2310^2)</f>
        <v>1.56901391839495E-005</v>
      </c>
      <c r="I2310" s="25" t="n">
        <f aca="false">IF(G2310="","",C2310/C2309-1)</f>
        <v>0.0039689334712234</v>
      </c>
      <c r="J2310" s="17" t="n">
        <f aca="false">AVERAGE(C2111:C2310)</f>
        <v>36291.87925</v>
      </c>
      <c r="K2310" s="17" t="n">
        <f aca="false">MAX(K2309,C2310)</f>
        <v>63660.94</v>
      </c>
      <c r="L2310" s="25" t="n">
        <f aca="false">C2310/K2310-1</f>
        <v>-0.0909820056065775</v>
      </c>
      <c r="M2310" s="25" t="n">
        <f aca="false">IF(COUNT(G2281:G2310)&lt;20,"",_xlfn.STDEV.S(G2281:G2310)*SQRT($R$3))</f>
        <v>0.674323103174532</v>
      </c>
      <c r="N2310" s="25" t="n">
        <f aca="false">IF(A2310-7&lt;$R$2,"",C2310/INDEX(Clean_Data!$C$2:$C$4314,MATCH(A2310-7,Clean_Data!$A$2:$A$4314,1))-1)</f>
        <v>0.153514526336772</v>
      </c>
      <c r="O2310" s="25" t="n">
        <f aca="false">IF(A2310-30&lt;$R$2,"",C2310/INDEX(Clean_Data!$C$2:$C$4314,MATCH(A2310-30,Clean_Data!$A$2:$A$4314,1))-1)</f>
        <v>-0.015312536371315</v>
      </c>
    </row>
    <row r="2311" customFormat="false" ht="15" hidden="false" customHeight="false" outlineLevel="0" collapsed="false">
      <c r="A2311" s="16" t="n">
        <v>44318</v>
      </c>
      <c r="B2311" s="23" t="n">
        <f aca="false">YEAR(A2311)</f>
        <v>2021</v>
      </c>
      <c r="C2311" s="17" t="n">
        <v>56631.64</v>
      </c>
      <c r="D2311" s="23" t="n">
        <f aca="false">A2311-A2310</f>
        <v>1</v>
      </c>
      <c r="E2311" s="24" t="n">
        <f aca="false">LN(C2311)</f>
        <v>10.9443231186038</v>
      </c>
      <c r="F2311" s="25" t="n">
        <f aca="false">LN(C2311/C2310)</f>
        <v>-0.0216129588791397</v>
      </c>
      <c r="G2311" s="25" t="n">
        <f aca="false">IF(AND(D2311=1,A2311&gt;=$R$2),F2311,"")</f>
        <v>-0.0216129588791397</v>
      </c>
      <c r="H2311" s="27" t="n">
        <f aca="false">IF(G2311="","",G2311^2)</f>
        <v>0.000467119991511384</v>
      </c>
      <c r="I2311" s="25" t="n">
        <f aca="false">IF(G2311="","",C2311/C2310-1)</f>
        <v>-0.0213810724716921</v>
      </c>
      <c r="J2311" s="17" t="n">
        <f aca="false">AVERAGE(C2112:C2311)</f>
        <v>36517.9031</v>
      </c>
      <c r="K2311" s="17" t="n">
        <f aca="false">MAX(K2310,C2311)</f>
        <v>63660.94</v>
      </c>
      <c r="L2311" s="25" t="n">
        <f aca="false">C2311/K2311-1</f>
        <v>-0.110417785222776</v>
      </c>
      <c r="M2311" s="25" t="n">
        <f aca="false">IF(COUNT(G2282:G2311)&lt;20,"",_xlfn.STDEV.S(G2282:G2311)*SQRT($R$3))</f>
        <v>0.678046528256623</v>
      </c>
      <c r="N2311" s="25" t="n">
        <f aca="false">IF(A2311-7&lt;$R$2,"",C2311/INDEX(Clean_Data!$C$2:$C$4314,MATCH(A2311-7,Clean_Data!$A$2:$A$4314,1))-1)</f>
        <v>0.149366192523714</v>
      </c>
      <c r="O2311" s="25" t="n">
        <f aca="false">IF(A2311-30&lt;$R$2,"",C2311/INDEX(Clean_Data!$C$2:$C$4314,MATCH(A2311-30,Clean_Data!$A$2:$A$4314,1))-1)</f>
        <v>-0.0404596443043026</v>
      </c>
    </row>
    <row r="2312" customFormat="false" ht="15" hidden="false" customHeight="false" outlineLevel="0" collapsed="false">
      <c r="A2312" s="16" t="n">
        <v>44319</v>
      </c>
      <c r="B2312" s="23" t="n">
        <f aca="false">YEAR(A2312)</f>
        <v>2021</v>
      </c>
      <c r="C2312" s="17" t="n">
        <v>57213.29</v>
      </c>
      <c r="D2312" s="23" t="n">
        <f aca="false">A2312-A2311</f>
        <v>1</v>
      </c>
      <c r="E2312" s="24" t="n">
        <f aca="false">LN(C2312)</f>
        <v>10.9545414930379</v>
      </c>
      <c r="F2312" s="25" t="n">
        <f aca="false">LN(C2312/C2311)</f>
        <v>0.0102183744340971</v>
      </c>
      <c r="G2312" s="25" t="n">
        <f aca="false">IF(AND(D2312=1,A2312&gt;=$R$2),F2312,"")</f>
        <v>0.0102183744340971</v>
      </c>
      <c r="H2312" s="27" t="n">
        <f aca="false">IF(G2312="","",G2312^2)</f>
        <v>0.000104415176075409</v>
      </c>
      <c r="I2312" s="25" t="n">
        <f aca="false">IF(G2312="","",C2312/C2311-1)</f>
        <v>0.0102707603028978</v>
      </c>
      <c r="J2312" s="17" t="n">
        <f aca="false">AVERAGE(C2113:C2312)</f>
        <v>36746.4233</v>
      </c>
      <c r="K2312" s="17" t="n">
        <f aca="false">MAX(K2311,C2312)</f>
        <v>63660.94</v>
      </c>
      <c r="L2312" s="25" t="n">
        <f aca="false">C2312/K2312-1</f>
        <v>-0.101281099525078</v>
      </c>
      <c r="M2312" s="25" t="n">
        <f aca="false">IF(COUNT(G2283:G2312)&lt;20,"",_xlfn.STDEV.S(G2283:G2312)*SQRT($R$3))</f>
        <v>0.664877075075806</v>
      </c>
      <c r="N2312" s="25" t="n">
        <f aca="false">IF(A2312-7&lt;$R$2,"",C2312/INDEX(Clean_Data!$C$2:$C$4314,MATCH(A2312-7,Clean_Data!$A$2:$A$4314,1))-1)</f>
        <v>0.0601000079489031</v>
      </c>
      <c r="O2312" s="25" t="n">
        <f aca="false">IF(A2312-30&lt;$R$2,"",C2312/INDEX(Clean_Data!$C$2:$C$4314,MATCH(A2312-30,Clean_Data!$A$2:$A$4314,1))-1)</f>
        <v>0.00850134846909101</v>
      </c>
    </row>
    <row r="2313" customFormat="false" ht="15" hidden="false" customHeight="false" outlineLevel="0" collapsed="false">
      <c r="A2313" s="16" t="n">
        <v>44320</v>
      </c>
      <c r="B2313" s="23" t="n">
        <f aca="false">YEAR(A2313)</f>
        <v>2021</v>
      </c>
      <c r="C2313" s="17" t="n">
        <v>53128.68</v>
      </c>
      <c r="D2313" s="23" t="n">
        <f aca="false">A2313-A2312</f>
        <v>1</v>
      </c>
      <c r="E2313" s="24" t="n">
        <f aca="false">LN(C2313)</f>
        <v>10.8804721744159</v>
      </c>
      <c r="F2313" s="25" t="n">
        <f aca="false">LN(C2313/C2312)</f>
        <v>-0.074069318622</v>
      </c>
      <c r="G2313" s="25" t="n">
        <f aca="false">IF(AND(D2313=1,A2313&gt;=$R$2),F2313,"")</f>
        <v>-0.074069318622</v>
      </c>
      <c r="H2313" s="27" t="n">
        <f aca="false">IF(G2313="","",G2313^2)</f>
        <v>0.00548626396112735</v>
      </c>
      <c r="I2313" s="25" t="n">
        <f aca="false">IF(G2313="","",C2313/C2312-1)</f>
        <v>-0.071392678169705</v>
      </c>
      <c r="J2313" s="17" t="n">
        <f aca="false">AVERAGE(C2114:C2313)</f>
        <v>36955.42005</v>
      </c>
      <c r="K2313" s="17" t="n">
        <f aca="false">MAX(K2312,C2313)</f>
        <v>63660.94</v>
      </c>
      <c r="L2313" s="25" t="n">
        <f aca="false">C2313/K2313-1</f>
        <v>-0.165443048751715</v>
      </c>
      <c r="M2313" s="25" t="n">
        <f aca="false">IF(COUNT(G2284:G2313)&lt;20,"",_xlfn.STDEV.S(G2284:G2313)*SQRT($R$3))</f>
        <v>0.706110690099888</v>
      </c>
      <c r="N2313" s="25" t="n">
        <f aca="false">IF(A2313-7&lt;$R$2,"",C2313/INDEX(Clean_Data!$C$2:$C$4314,MATCH(A2313-7,Clean_Data!$A$2:$A$4314,1))-1)</f>
        <v>-0.0361411597543649</v>
      </c>
      <c r="O2313" s="25" t="n">
        <f aca="false">IF(A2313-30&lt;$R$2,"",C2313/INDEX(Clean_Data!$C$2:$C$4314,MATCH(A2313-30,Clean_Data!$A$2:$A$4314,1))-1)</f>
        <v>-0.0881762196010427</v>
      </c>
    </row>
    <row r="2314" customFormat="false" ht="15" hidden="false" customHeight="false" outlineLevel="0" collapsed="false">
      <c r="A2314" s="16" t="n">
        <v>44321</v>
      </c>
      <c r="B2314" s="23" t="n">
        <f aca="false">YEAR(A2314)</f>
        <v>2021</v>
      </c>
      <c r="C2314" s="17" t="n">
        <v>57518.01</v>
      </c>
      <c r="D2314" s="23" t="n">
        <f aca="false">A2314-A2313</f>
        <v>1</v>
      </c>
      <c r="E2314" s="24" t="n">
        <f aca="false">LN(C2314)</f>
        <v>10.9598533951344</v>
      </c>
      <c r="F2314" s="25" t="n">
        <f aca="false">LN(C2314/C2313)</f>
        <v>0.0793812207185626</v>
      </c>
      <c r="G2314" s="25" t="n">
        <f aca="false">IF(AND(D2314=1,A2314&gt;=$R$2),F2314,"")</f>
        <v>0.0793812207185626</v>
      </c>
      <c r="H2314" s="27" t="n">
        <f aca="false">IF(G2314="","",G2314^2)</f>
        <v>0.00630137820276914</v>
      </c>
      <c r="I2314" s="25" t="n">
        <f aca="false">IF(G2314="","",C2314/C2313-1)</f>
        <v>0.0826169594275634</v>
      </c>
      <c r="J2314" s="17" t="n">
        <f aca="false">AVERAGE(C2115:C2314)</f>
        <v>37186.1803</v>
      </c>
      <c r="K2314" s="17" t="n">
        <f aca="false">MAX(K2313,C2314)</f>
        <v>63660.94</v>
      </c>
      <c r="L2314" s="25" t="n">
        <f aca="false">C2314/K2314-1</f>
        <v>-0.0964944909704444</v>
      </c>
      <c r="M2314" s="25" t="n">
        <f aca="false">IF(COUNT(G2285:G2314)&lt;20,"",_xlfn.STDEV.S(G2285:G2314)*SQRT($R$3))</f>
        <v>0.760229365274849</v>
      </c>
      <c r="N2314" s="25" t="n">
        <f aca="false">IF(A2314-7&lt;$R$2,"",C2314/INDEX(Clean_Data!$C$2:$C$4314,MATCH(A2314-7,Clean_Data!$A$2:$A$4314,1))-1)</f>
        <v>0.0464648658915792</v>
      </c>
      <c r="O2314" s="25" t="n">
        <f aca="false">IF(A2314-30&lt;$R$2,"",C2314/INDEX(Clean_Data!$C$2:$C$4314,MATCH(A2314-30,Clean_Data!$A$2:$A$4314,1))-1)</f>
        <v>-0.0284119932432432</v>
      </c>
    </row>
    <row r="2315" customFormat="false" ht="15" hidden="false" customHeight="false" outlineLevel="0" collapsed="false">
      <c r="A2315" s="16" t="n">
        <v>44322</v>
      </c>
      <c r="B2315" s="23" t="n">
        <f aca="false">YEAR(A2315)</f>
        <v>2021</v>
      </c>
      <c r="C2315" s="17" t="n">
        <v>56485.77</v>
      </c>
      <c r="D2315" s="23" t="n">
        <f aca="false">A2315-A2314</f>
        <v>1</v>
      </c>
      <c r="E2315" s="24" t="n">
        <f aca="false">LN(C2315)</f>
        <v>10.9417440270058</v>
      </c>
      <c r="F2315" s="25" t="n">
        <f aca="false">LN(C2315/C2314)</f>
        <v>-0.0181093681286218</v>
      </c>
      <c r="G2315" s="25" t="n">
        <f aca="false">IF(AND(D2315=1,A2315&gt;=$R$2),F2315,"")</f>
        <v>-0.0181093681286218</v>
      </c>
      <c r="H2315" s="27" t="n">
        <f aca="false">IF(G2315="","",G2315^2)</f>
        <v>0.000327949214017943</v>
      </c>
      <c r="I2315" s="25" t="n">
        <f aca="false">IF(G2315="","",C2315/C2314-1)</f>
        <v>-0.0179463788820233</v>
      </c>
      <c r="J2315" s="17" t="n">
        <f aca="false">AVERAGE(C2116:C2315)</f>
        <v>37411.02635</v>
      </c>
      <c r="K2315" s="17" t="n">
        <f aca="false">MAX(K2314,C2315)</f>
        <v>63660.94</v>
      </c>
      <c r="L2315" s="25" t="n">
        <f aca="false">C2315/K2315-1</f>
        <v>-0.112709143157484</v>
      </c>
      <c r="M2315" s="25" t="n">
        <f aca="false">IF(COUNT(G2286:G2315)&lt;20,"",_xlfn.STDEV.S(G2286:G2315)*SQRT($R$3))</f>
        <v>0.759610028866959</v>
      </c>
      <c r="N2315" s="25" t="n">
        <f aca="false">IF(A2315-7&lt;$R$2,"",C2315/INDEX(Clean_Data!$C$2:$C$4314,MATCH(A2315-7,Clean_Data!$A$2:$A$4314,1))-1)</f>
        <v>0.0545695180261998</v>
      </c>
      <c r="O2315" s="25" t="n">
        <f aca="false">IF(A2315-30&lt;$R$2,"",C2315/INDEX(Clean_Data!$C$2:$C$4314,MATCH(A2315-30,Clean_Data!$A$2:$A$4314,1))-1)</f>
        <v>-0.0264147645803541</v>
      </c>
    </row>
    <row r="2316" customFormat="false" ht="15" hidden="false" customHeight="false" outlineLevel="0" collapsed="false">
      <c r="A2316" s="16" t="n">
        <v>44323</v>
      </c>
      <c r="B2316" s="23" t="n">
        <f aca="false">YEAR(A2316)</f>
        <v>2021</v>
      </c>
      <c r="C2316" s="17" t="n">
        <v>57373.88</v>
      </c>
      <c r="D2316" s="23" t="n">
        <f aca="false">A2316-A2315</f>
        <v>1</v>
      </c>
      <c r="E2316" s="24" t="n">
        <f aca="false">LN(C2316)</f>
        <v>10.9573444264751</v>
      </c>
      <c r="F2316" s="25" t="n">
        <f aca="false">LN(C2316/C2315)</f>
        <v>0.0156003994693496</v>
      </c>
      <c r="G2316" s="25" t="n">
        <f aca="false">IF(AND(D2316=1,A2316&gt;=$R$2),F2316,"")</f>
        <v>0.0156003994693496</v>
      </c>
      <c r="H2316" s="27" t="n">
        <f aca="false">IF(G2316="","",G2316^2)</f>
        <v>0.000243372463603283</v>
      </c>
      <c r="I2316" s="25" t="n">
        <f aca="false">IF(G2316="","",C2316/C2315-1)</f>
        <v>0.0157227209614033</v>
      </c>
      <c r="J2316" s="17" t="n">
        <f aca="false">AVERAGE(C2117:C2316)</f>
        <v>37639.0703</v>
      </c>
      <c r="K2316" s="17" t="n">
        <f aca="false">MAX(K2315,C2316)</f>
        <v>63660.94</v>
      </c>
      <c r="L2316" s="25" t="n">
        <f aca="false">C2316/K2316-1</f>
        <v>-0.0987585166037449</v>
      </c>
      <c r="M2316" s="25" t="n">
        <f aca="false">IF(COUNT(G2287:G2316)&lt;20,"",_xlfn.STDEV.S(G2287:G2316)*SQRT($R$3))</f>
        <v>0.750814903679622</v>
      </c>
      <c r="N2316" s="25" t="n">
        <f aca="false">IF(A2316-7&lt;$R$2,"",C2316/INDEX(Clean_Data!$C$2:$C$4314,MATCH(A2316-7,Clean_Data!$A$2:$A$4314,1))-1)</f>
        <v>-0.00461986840080453</v>
      </c>
      <c r="O2316" s="25" t="n">
        <f aca="false">IF(A2316-30&lt;$R$2,"",C2316/INDEX(Clean_Data!$C$2:$C$4314,MATCH(A2316-30,Clean_Data!$A$2:$A$4314,1))-1)</f>
        <v>0.0252272475072866</v>
      </c>
    </row>
    <row r="2317" customFormat="false" ht="15" hidden="false" customHeight="false" outlineLevel="0" collapsed="false">
      <c r="A2317" s="16" t="n">
        <v>44324</v>
      </c>
      <c r="B2317" s="23" t="n">
        <f aca="false">YEAR(A2317)</f>
        <v>2021</v>
      </c>
      <c r="C2317" s="17" t="n">
        <v>59045.17</v>
      </c>
      <c r="D2317" s="23" t="n">
        <f aca="false">A2317-A2316</f>
        <v>1</v>
      </c>
      <c r="E2317" s="24" t="n">
        <f aca="false">LN(C2317)</f>
        <v>10.9860580231912</v>
      </c>
      <c r="F2317" s="25" t="n">
        <f aca="false">LN(C2317/C2316)</f>
        <v>0.0287135967160528</v>
      </c>
      <c r="G2317" s="25" t="n">
        <f aca="false">IF(AND(D2317=1,A2317&gt;=$R$2),F2317,"")</f>
        <v>0.0287135967160528</v>
      </c>
      <c r="H2317" s="27" t="n">
        <f aca="false">IF(G2317="","",G2317^2)</f>
        <v>0.000824470636372118</v>
      </c>
      <c r="I2317" s="25" t="n">
        <f aca="false">IF(G2317="","",C2317/C2316-1)</f>
        <v>0.0291298061068905</v>
      </c>
      <c r="J2317" s="17" t="n">
        <f aca="false">AVERAGE(C2118:C2317)</f>
        <v>37874.70945</v>
      </c>
      <c r="K2317" s="17" t="n">
        <f aca="false">MAX(K2316,C2317)</f>
        <v>63660.94</v>
      </c>
      <c r="L2317" s="25" t="n">
        <f aca="false">C2317/K2317-1</f>
        <v>-0.0725055269369256</v>
      </c>
      <c r="M2317" s="25" t="n">
        <f aca="false">IF(COUNT(G2288:G2317)&lt;20,"",_xlfn.STDEV.S(G2288:G2317)*SQRT($R$3))</f>
        <v>0.745936793433528</v>
      </c>
      <c r="N2317" s="25" t="n">
        <f aca="false">IF(A2317-7&lt;$R$2,"",C2317/INDEX(Clean_Data!$C$2:$C$4314,MATCH(A2317-7,Clean_Data!$A$2:$A$4314,1))-1)</f>
        <v>0.0203257567876654</v>
      </c>
      <c r="O2317" s="25" t="n">
        <f aca="false">IF(A2317-30&lt;$R$2,"",C2317/INDEX(Clean_Data!$C$2:$C$4314,MATCH(A2317-30,Clean_Data!$A$2:$A$4314,1))-1)</f>
        <v>0.0161167055163043</v>
      </c>
    </row>
    <row r="2318" customFormat="false" ht="15" hidden="false" customHeight="false" outlineLevel="0" collapsed="false">
      <c r="A2318" s="16" t="n">
        <v>44325</v>
      </c>
      <c r="B2318" s="23" t="n">
        <f aca="false">YEAR(A2318)</f>
        <v>2021</v>
      </c>
      <c r="C2318" s="17" t="n">
        <v>58410.34</v>
      </c>
      <c r="D2318" s="23" t="n">
        <f aca="false">A2318-A2317</f>
        <v>1</v>
      </c>
      <c r="E2318" s="24" t="n">
        <f aca="false">LN(C2318)</f>
        <v>10.9752482079385</v>
      </c>
      <c r="F2318" s="25" t="n">
        <f aca="false">LN(C2318/C2317)</f>
        <v>-0.0108098152527112</v>
      </c>
      <c r="G2318" s="25" t="n">
        <f aca="false">IF(AND(D2318=1,A2318&gt;=$R$2),F2318,"")</f>
        <v>-0.0108098152527112</v>
      </c>
      <c r="H2318" s="27" t="n">
        <f aca="false">IF(G2318="","",G2318^2)</f>
        <v>0.000116852105797749</v>
      </c>
      <c r="I2318" s="25" t="n">
        <f aca="false">IF(G2318="","",C2318/C2317-1)</f>
        <v>-0.0107515991570522</v>
      </c>
      <c r="J2318" s="17" t="n">
        <f aca="false">AVERAGE(C2119:C2318)</f>
        <v>38102.5793</v>
      </c>
      <c r="K2318" s="17" t="n">
        <f aca="false">MAX(K2317,C2318)</f>
        <v>63660.94</v>
      </c>
      <c r="L2318" s="25" t="n">
        <f aca="false">C2318/K2318-1</f>
        <v>-0.0824775757316811</v>
      </c>
      <c r="M2318" s="25" t="n">
        <f aca="false">IF(COUNT(G2289:G2318)&lt;20,"",_xlfn.STDEV.S(G2289:G2318)*SQRT($R$3))</f>
        <v>0.746986310514242</v>
      </c>
      <c r="N2318" s="25" t="n">
        <f aca="false">IF(A2318-7&lt;$R$2,"",C2318/INDEX(Clean_Data!$C$2:$C$4314,MATCH(A2318-7,Clean_Data!$A$2:$A$4314,1))-1)</f>
        <v>0.0314082375152829</v>
      </c>
      <c r="O2318" s="25" t="n">
        <f aca="false">IF(A2318-30&lt;$R$2,"",C2318/INDEX(Clean_Data!$C$2:$C$4314,MATCH(A2318-30,Clean_Data!$A$2:$A$4314,1))-1)</f>
        <v>0.00488936647091998</v>
      </c>
    </row>
    <row r="2319" customFormat="false" ht="15" hidden="false" customHeight="false" outlineLevel="0" collapsed="false">
      <c r="A2319" s="16" t="n">
        <v>44326</v>
      </c>
      <c r="B2319" s="23" t="n">
        <f aca="false">YEAR(A2319)</f>
        <v>2021</v>
      </c>
      <c r="C2319" s="17" t="n">
        <v>55936.77</v>
      </c>
      <c r="D2319" s="23" t="n">
        <f aca="false">A2319-A2318</f>
        <v>1</v>
      </c>
      <c r="E2319" s="24" t="n">
        <f aca="false">LN(C2319)</f>
        <v>10.9319772246527</v>
      </c>
      <c r="F2319" s="25" t="n">
        <f aca="false">LN(C2319/C2318)</f>
        <v>-0.0432709832857628</v>
      </c>
      <c r="G2319" s="25" t="n">
        <f aca="false">IF(AND(D2319=1,A2319&gt;=$R$2),F2319,"")</f>
        <v>-0.0432709832857628</v>
      </c>
      <c r="H2319" s="27" t="n">
        <f aca="false">IF(G2319="","",G2319^2)</f>
        <v>0.00187237799451676</v>
      </c>
      <c r="I2319" s="25" t="n">
        <f aca="false">IF(G2319="","",C2319/C2318-1)</f>
        <v>-0.0423481527414495</v>
      </c>
      <c r="J2319" s="17" t="n">
        <f aca="false">AVERAGE(C2120:C2319)</f>
        <v>38317.37805</v>
      </c>
      <c r="K2319" s="17" t="n">
        <f aca="false">MAX(K2318,C2319)</f>
        <v>63660.94</v>
      </c>
      <c r="L2319" s="25" t="n">
        <f aca="false">C2319/K2319-1</f>
        <v>-0.121332955498301</v>
      </c>
      <c r="M2319" s="25" t="n">
        <f aca="false">IF(COUNT(G2290:G2319)&lt;20,"",_xlfn.STDEV.S(G2290:G2319)*SQRT($R$3))</f>
        <v>0.752504438514961</v>
      </c>
      <c r="N2319" s="25" t="n">
        <f aca="false">IF(A2319-7&lt;$R$2,"",C2319/INDEX(Clean_Data!$C$2:$C$4314,MATCH(A2319-7,Clean_Data!$A$2:$A$4314,1))-1)</f>
        <v>-0.0223115992805168</v>
      </c>
      <c r="O2319" s="25" t="n">
        <f aca="false">IF(A2319-30&lt;$R$2,"",C2319/INDEX(Clean_Data!$C$2:$C$4314,MATCH(A2319-30,Clean_Data!$A$2:$A$4314,1))-1)</f>
        <v>-0.068331519245295</v>
      </c>
    </row>
    <row r="2320" customFormat="false" ht="15" hidden="false" customHeight="false" outlineLevel="0" collapsed="false">
      <c r="A2320" s="16" t="n">
        <v>44327</v>
      </c>
      <c r="B2320" s="23" t="n">
        <f aca="false">YEAR(A2320)</f>
        <v>2021</v>
      </c>
      <c r="C2320" s="17" t="n">
        <v>56719</v>
      </c>
      <c r="D2320" s="23" t="n">
        <f aca="false">A2320-A2319</f>
        <v>1</v>
      </c>
      <c r="E2320" s="24" t="n">
        <f aca="false">LN(C2320)</f>
        <v>10.9458645305851</v>
      </c>
      <c r="F2320" s="25" t="n">
        <f aca="false">LN(C2320/C2319)</f>
        <v>0.0138873059324204</v>
      </c>
      <c r="G2320" s="25" t="n">
        <f aca="false">IF(AND(D2320=1,A2320&gt;=$R$2),F2320,"")</f>
        <v>0.0138873059324204</v>
      </c>
      <c r="H2320" s="27" t="n">
        <f aca="false">IF(G2320="","",G2320^2)</f>
        <v>0.000192857266060639</v>
      </c>
      <c r="I2320" s="25" t="n">
        <f aca="false">IF(G2320="","",C2320/C2319-1)</f>
        <v>0.0139841824974878</v>
      </c>
      <c r="J2320" s="17" t="n">
        <f aca="false">AVERAGE(C2121:C2320)</f>
        <v>38536.2579</v>
      </c>
      <c r="K2320" s="17" t="n">
        <f aca="false">MAX(K2319,C2320)</f>
        <v>63660.94</v>
      </c>
      <c r="L2320" s="25" t="n">
        <f aca="false">C2320/K2320-1</f>
        <v>-0.109045515193461</v>
      </c>
      <c r="M2320" s="25" t="n">
        <f aca="false">IF(COUNT(G2291:G2320)&lt;20,"",_xlfn.STDEV.S(G2291:G2320)*SQRT($R$3))</f>
        <v>0.754537984142162</v>
      </c>
      <c r="N2320" s="25" t="n">
        <f aca="false">IF(A2320-7&lt;$R$2,"",C2320/INDEX(Clean_Data!$C$2:$C$4314,MATCH(A2320-7,Clean_Data!$A$2:$A$4314,1))-1)</f>
        <v>0.0675778129627915</v>
      </c>
      <c r="O2320" s="25" t="n">
        <f aca="false">IF(A2320-30&lt;$R$2,"",C2320/INDEX(Clean_Data!$C$2:$C$4314,MATCH(A2320-30,Clean_Data!$A$2:$A$4314,1))-1)</f>
        <v>-0.0567799542916022</v>
      </c>
    </row>
    <row r="2321" customFormat="false" ht="15" hidden="false" customHeight="false" outlineLevel="0" collapsed="false">
      <c r="A2321" s="16" t="n">
        <v>44328</v>
      </c>
      <c r="B2321" s="23" t="n">
        <f aca="false">YEAR(A2321)</f>
        <v>2021</v>
      </c>
      <c r="C2321" s="17" t="n">
        <v>49095.57</v>
      </c>
      <c r="D2321" s="23" t="n">
        <f aca="false">A2321-A2320</f>
        <v>1</v>
      </c>
      <c r="E2321" s="24" t="n">
        <f aca="false">LN(C2321)</f>
        <v>10.8015240856796</v>
      </c>
      <c r="F2321" s="25" t="n">
        <f aca="false">LN(C2321/C2320)</f>
        <v>-0.144340444905554</v>
      </c>
      <c r="G2321" s="25" t="n">
        <f aca="false">IF(AND(D2321=1,A2321&gt;=$R$2),F2321,"")</f>
        <v>-0.144340444905554</v>
      </c>
      <c r="H2321" s="27" t="n">
        <f aca="false">IF(G2321="","",G2321^2)</f>
        <v>0.0208341640355332</v>
      </c>
      <c r="I2321" s="25" t="n">
        <f aca="false">IF(G2321="","",C2321/C2320-1)</f>
        <v>-0.134406988839719</v>
      </c>
      <c r="J2321" s="17" t="n">
        <f aca="false">AVERAGE(C2122:C2321)</f>
        <v>38716.1314</v>
      </c>
      <c r="K2321" s="17" t="n">
        <f aca="false">MAX(K2320,C2321)</f>
        <v>63660.94</v>
      </c>
      <c r="L2321" s="25" t="n">
        <f aca="false">C2321/K2321-1</f>
        <v>-0.228796024689551</v>
      </c>
      <c r="M2321" s="25" t="n">
        <f aca="false">IF(COUNT(G2292:G2321)&lt;20,"",_xlfn.STDEV.S(G2292:G2321)*SQRT($R$3))</f>
        <v>0.903433242548579</v>
      </c>
      <c r="N2321" s="25" t="n">
        <f aca="false">IF(A2321-7&lt;$R$2,"",C2321/INDEX(Clean_Data!$C$2:$C$4314,MATCH(A2321-7,Clean_Data!$A$2:$A$4314,1))-1)</f>
        <v>-0.146431352545055</v>
      </c>
      <c r="O2321" s="25" t="n">
        <f aca="false">IF(A2321-30&lt;$R$2,"",C2321/INDEX(Clean_Data!$C$2:$C$4314,MATCH(A2321-30,Clean_Data!$A$2:$A$4314,1))-1)</f>
        <v>-0.180416052340582</v>
      </c>
    </row>
    <row r="2322" customFormat="false" ht="15" hidden="false" customHeight="false" outlineLevel="0" collapsed="false">
      <c r="A2322" s="16" t="n">
        <v>44329</v>
      </c>
      <c r="B2322" s="23" t="n">
        <f aca="false">YEAR(A2322)</f>
        <v>2021</v>
      </c>
      <c r="C2322" s="17" t="n">
        <v>49635.45</v>
      </c>
      <c r="D2322" s="23" t="n">
        <f aca="false">A2322-A2321</f>
        <v>1</v>
      </c>
      <c r="E2322" s="24" t="n">
        <f aca="false">LN(C2322)</f>
        <v>10.8124605751659</v>
      </c>
      <c r="F2322" s="25" t="n">
        <f aca="false">LN(C2322/C2321)</f>
        <v>0.010936489486269</v>
      </c>
      <c r="G2322" s="25" t="n">
        <f aca="false">IF(AND(D2322=1,A2322&gt;=$R$2),F2322,"")</f>
        <v>0.010936489486269</v>
      </c>
      <c r="H2322" s="27" t="n">
        <f aca="false">IF(G2322="","",G2322^2)</f>
        <v>0.000119606802283271</v>
      </c>
      <c r="I2322" s="25" t="n">
        <f aca="false">IF(G2322="","",C2322/C2321-1)</f>
        <v>0.0109965114978805</v>
      </c>
      <c r="J2322" s="17" t="n">
        <f aca="false">AVERAGE(C2123:C2322)</f>
        <v>38899.05705</v>
      </c>
      <c r="K2322" s="17" t="n">
        <f aca="false">MAX(K2321,C2322)</f>
        <v>63660.94</v>
      </c>
      <c r="L2322" s="25" t="n">
        <f aca="false">C2322/K2322-1</f>
        <v>-0.220315471307838</v>
      </c>
      <c r="M2322" s="25" t="n">
        <f aca="false">IF(COUNT(G2293:G2322)&lt;20,"",_xlfn.STDEV.S(G2293:G2322)*SQRT($R$3))</f>
        <v>0.87276941671174</v>
      </c>
      <c r="N2322" s="25" t="n">
        <f aca="false">IF(A2322-7&lt;$R$2,"",C2322/INDEX(Clean_Data!$C$2:$C$4314,MATCH(A2322-7,Clean_Data!$A$2:$A$4314,1))-1)</f>
        <v>-0.121275145934985</v>
      </c>
      <c r="O2322" s="25" t="n">
        <f aca="false">IF(A2322-30&lt;$R$2,"",C2322/INDEX(Clean_Data!$C$2:$C$4314,MATCH(A2322-30,Clean_Data!$A$2:$A$4314,1))-1)</f>
        <v>-0.220315471307838</v>
      </c>
    </row>
    <row r="2323" customFormat="false" ht="15" hidden="false" customHeight="false" outlineLevel="0" collapsed="false">
      <c r="A2323" s="16" t="n">
        <v>44330</v>
      </c>
      <c r="B2323" s="23" t="n">
        <f aca="false">YEAR(A2323)</f>
        <v>2021</v>
      </c>
      <c r="C2323" s="17" t="n">
        <v>49923.92</v>
      </c>
      <c r="D2323" s="23" t="n">
        <f aca="false">A2323-A2322</f>
        <v>1</v>
      </c>
      <c r="E2323" s="24" t="n">
        <f aca="false">LN(C2323)</f>
        <v>10.8182555256014</v>
      </c>
      <c r="F2323" s="25" t="n">
        <f aca="false">LN(C2323/C2322)</f>
        <v>0.00579495043549657</v>
      </c>
      <c r="G2323" s="25" t="n">
        <f aca="false">IF(AND(D2323=1,A2323&gt;=$R$2),F2323,"")</f>
        <v>0.00579495043549657</v>
      </c>
      <c r="H2323" s="27" t="n">
        <f aca="false">IF(G2323="","",G2323^2)</f>
        <v>3.35814505498618E-005</v>
      </c>
      <c r="I2323" s="25" t="n">
        <f aca="false">IF(G2323="","",C2323/C2322-1)</f>
        <v>0.005811773641621</v>
      </c>
      <c r="J2323" s="17" t="n">
        <f aca="false">AVERAGE(C2124:C2323)</f>
        <v>39083.3119</v>
      </c>
      <c r="K2323" s="17" t="n">
        <f aca="false">MAX(K2322,C2323)</f>
        <v>63660.94</v>
      </c>
      <c r="L2323" s="25" t="n">
        <f aca="false">C2323/K2323-1</f>
        <v>-0.215784121315205</v>
      </c>
      <c r="M2323" s="25" t="n">
        <f aca="false">IF(COUNT(G2294:G2323)&lt;20,"",_xlfn.STDEV.S(G2294:G2323)*SQRT($R$3))</f>
        <v>0.874127055747546</v>
      </c>
      <c r="N2323" s="25" t="n">
        <f aca="false">IF(A2323-7&lt;$R$2,"",C2323/INDEX(Clean_Data!$C$2:$C$4314,MATCH(A2323-7,Clean_Data!$A$2:$A$4314,1))-1)</f>
        <v>-0.129849332135111</v>
      </c>
      <c r="O2323" s="25" t="n">
        <f aca="false">IF(A2323-30&lt;$R$2,"",C2323/INDEX(Clean_Data!$C$2:$C$4314,MATCH(A2323-30,Clean_Data!$A$2:$A$4314,1))-1)</f>
        <v>-0.211105971974022</v>
      </c>
    </row>
    <row r="2324" customFormat="false" ht="15" hidden="false" customHeight="false" outlineLevel="0" collapsed="false">
      <c r="A2324" s="16" t="n">
        <v>44331</v>
      </c>
      <c r="B2324" s="23" t="n">
        <f aca="false">YEAR(A2324)</f>
        <v>2021</v>
      </c>
      <c r="C2324" s="17" t="n">
        <v>46984.74</v>
      </c>
      <c r="D2324" s="23" t="n">
        <f aca="false">A2324-A2323</f>
        <v>1</v>
      </c>
      <c r="E2324" s="24" t="n">
        <f aca="false">LN(C2324)</f>
        <v>10.7575781471209</v>
      </c>
      <c r="F2324" s="25" t="n">
        <f aca="false">LN(C2324/C2323)</f>
        <v>-0.0606773784804657</v>
      </c>
      <c r="G2324" s="25" t="n">
        <f aca="false">IF(AND(D2324=1,A2324&gt;=$R$2),F2324,"")</f>
        <v>-0.0606773784804657</v>
      </c>
      <c r="H2324" s="27" t="n">
        <f aca="false">IF(G2324="","",G2324^2)</f>
        <v>0.00368174425926168</v>
      </c>
      <c r="I2324" s="25" t="n">
        <f aca="false">IF(G2324="","",C2324/C2323-1)</f>
        <v>-0.0588731814328682</v>
      </c>
      <c r="J2324" s="17" t="n">
        <f aca="false">AVERAGE(C2125:C2324)</f>
        <v>39249.7447</v>
      </c>
      <c r="K2324" s="17" t="n">
        <f aca="false">MAX(K2323,C2324)</f>
        <v>63660.94</v>
      </c>
      <c r="L2324" s="25" t="n">
        <f aca="false">C2324/K2324-1</f>
        <v>-0.261953405023551</v>
      </c>
      <c r="M2324" s="25" t="n">
        <f aca="false">IF(COUNT(G2295:G2324)&lt;20,"",_xlfn.STDEV.S(G2295:G2324)*SQRT($R$3))</f>
        <v>0.892500010793169</v>
      </c>
      <c r="N2324" s="25" t="n">
        <f aca="false">IF(A2324-7&lt;$R$2,"",C2324/INDEX(Clean_Data!$C$2:$C$4314,MATCH(A2324-7,Clean_Data!$A$2:$A$4314,1))-1)</f>
        <v>-0.204257689494331</v>
      </c>
      <c r="O2324" s="25" t="n">
        <f aca="false">IF(A2324-30&lt;$R$2,"",C2324/INDEX(Clean_Data!$C$2:$C$4314,MATCH(A2324-30,Clean_Data!$A$2:$A$4314,1))-1)</f>
        <v>-0.258294916580804</v>
      </c>
    </row>
    <row r="2325" customFormat="false" ht="15" hidden="false" customHeight="false" outlineLevel="0" collapsed="false">
      <c r="A2325" s="16" t="n">
        <v>44332</v>
      </c>
      <c r="B2325" s="23" t="n">
        <f aca="false">YEAR(A2325)</f>
        <v>2021</v>
      </c>
      <c r="C2325" s="17" t="n">
        <v>46523.31</v>
      </c>
      <c r="D2325" s="23" t="n">
        <f aca="false">A2325-A2324</f>
        <v>1</v>
      </c>
      <c r="E2325" s="24" t="n">
        <f aca="false">LN(C2325)</f>
        <v>10.747708756294</v>
      </c>
      <c r="F2325" s="25" t="n">
        <f aca="false">LN(C2325/C2324)</f>
        <v>-0.0098693908268836</v>
      </c>
      <c r="G2325" s="25" t="n">
        <f aca="false">IF(AND(D2325=1,A2325&gt;=$R$2),F2325,"")</f>
        <v>-0.0098693908268836</v>
      </c>
      <c r="H2325" s="27" t="n">
        <f aca="false">IF(G2325="","",G2325^2)</f>
        <v>9.74048752937742E-005</v>
      </c>
      <c r="I2325" s="25" t="n">
        <f aca="false">IF(G2325="","",C2325/C2324-1)</f>
        <v>-0.00982084821582496</v>
      </c>
      <c r="J2325" s="17" t="n">
        <f aca="false">AVERAGE(C2126:C2325)</f>
        <v>39415.96125</v>
      </c>
      <c r="K2325" s="17" t="n">
        <f aca="false">MAX(K2324,C2325)</f>
        <v>63660.94</v>
      </c>
      <c r="L2325" s="25" t="n">
        <f aca="false">C2325/K2325-1</f>
        <v>-0.269201648609022</v>
      </c>
      <c r="M2325" s="25" t="n">
        <f aca="false">IF(COUNT(G2296:G2325)&lt;20,"",_xlfn.STDEV.S(G2296:G2325)*SQRT($R$3))</f>
        <v>0.889622083529833</v>
      </c>
      <c r="N2325" s="25" t="n">
        <f aca="false">IF(A2325-7&lt;$R$2,"",C2325/INDEX(Clean_Data!$C$2:$C$4314,MATCH(A2325-7,Clean_Data!$A$2:$A$4314,1))-1)</f>
        <v>-0.203509002002043</v>
      </c>
      <c r="O2325" s="25" t="n">
        <f aca="false">IF(A2325-30&lt;$R$2,"",C2325/INDEX(Clean_Data!$C$2:$C$4314,MATCH(A2325-30,Clean_Data!$A$2:$A$4314,1))-1)</f>
        <v>-0.24335215385336</v>
      </c>
    </row>
    <row r="2326" customFormat="false" ht="15" hidden="false" customHeight="false" outlineLevel="0" collapsed="false">
      <c r="A2326" s="16" t="n">
        <v>44333</v>
      </c>
      <c r="B2326" s="23" t="n">
        <f aca="false">YEAR(A2326)</f>
        <v>2021</v>
      </c>
      <c r="C2326" s="17" t="n">
        <v>43768.74</v>
      </c>
      <c r="D2326" s="23" t="n">
        <f aca="false">A2326-A2325</f>
        <v>1</v>
      </c>
      <c r="E2326" s="24" t="n">
        <f aca="false">LN(C2326)</f>
        <v>10.6866751429303</v>
      </c>
      <c r="F2326" s="25" t="n">
        <f aca="false">LN(C2326/C2325)</f>
        <v>-0.0610336133637185</v>
      </c>
      <c r="G2326" s="25" t="n">
        <f aca="false">IF(AND(D2326=1,A2326&gt;=$R$2),F2326,"")</f>
        <v>-0.0610336133637185</v>
      </c>
      <c r="H2326" s="27" t="n">
        <f aca="false">IF(G2326="","",G2326^2)</f>
        <v>0.00372510196023187</v>
      </c>
      <c r="I2326" s="25" t="n">
        <f aca="false">IF(G2326="","",C2326/C2325-1)</f>
        <v>-0.0592083839262512</v>
      </c>
      <c r="J2326" s="17" t="n">
        <f aca="false">AVERAGE(C2127:C2326)</f>
        <v>39567.50495</v>
      </c>
      <c r="K2326" s="17" t="n">
        <f aca="false">MAX(K2325,C2326)</f>
        <v>63660.94</v>
      </c>
      <c r="L2326" s="25" t="n">
        <f aca="false">C2326/K2326-1</f>
        <v>-0.31247103797085</v>
      </c>
      <c r="M2326" s="25" t="n">
        <f aca="false">IF(COUNT(G2297:G2326)&lt;20,"",_xlfn.STDEV.S(G2297:G2326)*SQRT($R$3))</f>
        <v>0.907018682965924</v>
      </c>
      <c r="N2326" s="25" t="n">
        <f aca="false">IF(A2326-7&lt;$R$2,"",C2326/INDEX(Clean_Data!$C$2:$C$4314,MATCH(A2326-7,Clean_Data!$A$2:$A$4314,1))-1)</f>
        <v>-0.217531866784585</v>
      </c>
      <c r="O2326" s="25" t="n">
        <f aca="false">IF(A2326-30&lt;$R$2,"",C2326/INDEX(Clean_Data!$C$2:$C$4314,MATCH(A2326-30,Clean_Data!$A$2:$A$4314,1))-1)</f>
        <v>-0.272936426368865</v>
      </c>
    </row>
    <row r="2327" customFormat="false" ht="15" hidden="false" customHeight="false" outlineLevel="0" collapsed="false">
      <c r="A2327" s="16" t="n">
        <v>44334</v>
      </c>
      <c r="B2327" s="23" t="n">
        <f aca="false">YEAR(A2327)</f>
        <v>2021</v>
      </c>
      <c r="C2327" s="17" t="n">
        <v>42989.8</v>
      </c>
      <c r="D2327" s="23" t="n">
        <f aca="false">A2327-A2326</f>
        <v>1</v>
      </c>
      <c r="E2327" s="24" t="n">
        <f aca="false">LN(C2327)</f>
        <v>10.6687181572348</v>
      </c>
      <c r="F2327" s="25" t="n">
        <f aca="false">LN(C2327/C2326)</f>
        <v>-0.0179569856954929</v>
      </c>
      <c r="G2327" s="25" t="n">
        <f aca="false">IF(AND(D2327=1,A2327&gt;=$R$2),F2327,"")</f>
        <v>-0.0179569856954929</v>
      </c>
      <c r="H2327" s="27" t="n">
        <f aca="false">IF(G2327="","",G2327^2)</f>
        <v>0.000322453335268136</v>
      </c>
      <c r="I2327" s="25" t="n">
        <f aca="false">IF(G2327="","",C2327/C2326-1)</f>
        <v>-0.0177967197593533</v>
      </c>
      <c r="J2327" s="17" t="n">
        <f aca="false">AVERAGE(C2128:C2327)</f>
        <v>39714.5391</v>
      </c>
      <c r="K2327" s="17" t="n">
        <f aca="false">MAX(K2326,C2327)</f>
        <v>63660.94</v>
      </c>
      <c r="L2327" s="25" t="n">
        <f aca="false">C2327/K2327-1</f>
        <v>-0.324706798234522</v>
      </c>
      <c r="M2327" s="25" t="n">
        <f aca="false">IF(COUNT(G2298:G2327)&lt;20,"",_xlfn.STDEV.S(G2298:G2327)*SQRT($R$3))</f>
        <v>0.885276110233575</v>
      </c>
      <c r="N2327" s="25" t="n">
        <f aca="false">IF(A2327-7&lt;$R$2,"",C2327/INDEX(Clean_Data!$C$2:$C$4314,MATCH(A2327-7,Clean_Data!$A$2:$A$4314,1))-1)</f>
        <v>-0.242056453745658</v>
      </c>
      <c r="O2327" s="25" t="n">
        <f aca="false">IF(A2327-30&lt;$R$2,"",C2327/INDEX(Clean_Data!$C$2:$C$4314,MATCH(A2327-30,Clean_Data!$A$2:$A$4314,1))-1)</f>
        <v>-0.237109413819049</v>
      </c>
    </row>
    <row r="2328" customFormat="false" ht="15" hidden="false" customHeight="false" outlineLevel="0" collapsed="false">
      <c r="A2328" s="16" t="n">
        <v>44335</v>
      </c>
      <c r="B2328" s="23" t="n">
        <f aca="false">YEAR(A2328)</f>
        <v>2021</v>
      </c>
      <c r="C2328" s="17" t="n">
        <v>37236.61</v>
      </c>
      <c r="D2328" s="23" t="n">
        <f aca="false">A2328-A2327</f>
        <v>1</v>
      </c>
      <c r="E2328" s="24" t="n">
        <f aca="false">LN(C2328)</f>
        <v>10.5250476960981</v>
      </c>
      <c r="F2328" s="25" t="n">
        <f aca="false">LN(C2328/C2327)</f>
        <v>-0.143670461136682</v>
      </c>
      <c r="G2328" s="25" t="n">
        <f aca="false">IF(AND(D2328=1,A2328&gt;=$R$2),F2328,"")</f>
        <v>-0.143670461136682</v>
      </c>
      <c r="H2328" s="27" t="n">
        <f aca="false">IF(G2328="","",G2328^2)</f>
        <v>0.020641201403227</v>
      </c>
      <c r="I2328" s="25" t="n">
        <f aca="false">IF(G2328="","",C2328/C2327-1)</f>
        <v>-0.133826861255461</v>
      </c>
      <c r="J2328" s="17" t="n">
        <f aca="false">AVERAGE(C2129:C2328)</f>
        <v>39831.99705</v>
      </c>
      <c r="K2328" s="17" t="n">
        <f aca="false">MAX(K2327,C2328)</f>
        <v>63660.94</v>
      </c>
      <c r="L2328" s="25" t="n">
        <f aca="false">C2328/K2328-1</f>
        <v>-0.415079167853946</v>
      </c>
      <c r="M2328" s="25" t="n">
        <f aca="false">IF(COUNT(G2299:G2328)&lt;20,"",_xlfn.STDEV.S(G2299:G2328)*SQRT($R$3))</f>
        <v>1.00219120015566</v>
      </c>
      <c r="N2328" s="25" t="n">
        <f aca="false">IF(A2328-7&lt;$R$2,"",C2328/INDEX(Clean_Data!$C$2:$C$4314,MATCH(A2328-7,Clean_Data!$A$2:$A$4314,1))-1)</f>
        <v>-0.241548473721763</v>
      </c>
      <c r="O2328" s="25" t="n">
        <f aca="false">IF(A2328-30&lt;$R$2,"",C2328/INDEX(Clean_Data!$C$2:$C$4314,MATCH(A2328-30,Clean_Data!$A$2:$A$4314,1))-1)</f>
        <v>-0.332646025199387</v>
      </c>
    </row>
    <row r="2329" customFormat="false" ht="15" hidden="false" customHeight="false" outlineLevel="0" collapsed="false">
      <c r="A2329" s="16" t="n">
        <v>44336</v>
      </c>
      <c r="B2329" s="23" t="n">
        <f aca="false">YEAR(A2329)</f>
        <v>2021</v>
      </c>
      <c r="C2329" s="17" t="n">
        <v>40749.78</v>
      </c>
      <c r="D2329" s="23" t="n">
        <f aca="false">A2329-A2328</f>
        <v>1</v>
      </c>
      <c r="E2329" s="24" t="n">
        <f aca="false">LN(C2329)</f>
        <v>10.6152057198814</v>
      </c>
      <c r="F2329" s="25" t="n">
        <f aca="false">LN(C2329/C2328)</f>
        <v>0.0901580237833141</v>
      </c>
      <c r="G2329" s="25" t="n">
        <f aca="false">IF(AND(D2329=1,A2329&gt;=$R$2),F2329,"")</f>
        <v>0.0901580237833141</v>
      </c>
      <c r="H2329" s="27" t="n">
        <f aca="false">IF(G2329="","",G2329^2)</f>
        <v>0.00812846925251263</v>
      </c>
      <c r="I2329" s="25" t="n">
        <f aca="false">IF(G2329="","",C2329/C2328-1)</f>
        <v>0.0943472029274415</v>
      </c>
      <c r="J2329" s="17" t="n">
        <f aca="false">AVERAGE(C2130:C2329)</f>
        <v>39966.82335</v>
      </c>
      <c r="K2329" s="17" t="n">
        <f aca="false">MAX(K2328,C2329)</f>
        <v>63660.94</v>
      </c>
      <c r="L2329" s="25" t="n">
        <f aca="false">C2329/K2329-1</f>
        <v>-0.359893523406975</v>
      </c>
      <c r="M2329" s="25" t="n">
        <f aca="false">IF(COUNT(G2300:G2329)&lt;20,"",_xlfn.STDEV.S(G2300:G2329)*SQRT($R$3))</f>
        <v>1.06225529454228</v>
      </c>
      <c r="N2329" s="25" t="n">
        <f aca="false">IF(A2329-7&lt;$R$2,"",C2329/INDEX(Clean_Data!$C$2:$C$4314,MATCH(A2329-7,Clean_Data!$A$2:$A$4314,1))-1)</f>
        <v>-0.179018624793368</v>
      </c>
      <c r="O2329" s="25" t="n">
        <f aca="false">IF(A2329-30&lt;$R$2,"",C2329/INDEX(Clean_Data!$C$2:$C$4314,MATCH(A2329-30,Clean_Data!$A$2:$A$4314,1))-1)</f>
        <v>-0.278955107414151</v>
      </c>
    </row>
    <row r="2330" customFormat="false" ht="15" hidden="false" customHeight="false" outlineLevel="0" collapsed="false">
      <c r="A2330" s="16" t="n">
        <v>44337</v>
      </c>
      <c r="B2330" s="23" t="n">
        <f aca="false">YEAR(A2330)</f>
        <v>2021</v>
      </c>
      <c r="C2330" s="17" t="n">
        <v>37425</v>
      </c>
      <c r="D2330" s="23" t="n">
        <f aca="false">A2330-A2329</f>
        <v>1</v>
      </c>
      <c r="E2330" s="24" t="n">
        <f aca="false">LN(C2330)</f>
        <v>10.5300942092878</v>
      </c>
      <c r="F2330" s="25" t="n">
        <f aca="false">LN(C2330/C2329)</f>
        <v>-0.0851115105936</v>
      </c>
      <c r="G2330" s="25" t="n">
        <f aca="false">IF(AND(D2330=1,A2330&gt;=$R$2),F2330,"")</f>
        <v>-0.0851115105936</v>
      </c>
      <c r="H2330" s="27" t="n">
        <f aca="false">IF(G2330="","",G2330^2)</f>
        <v>0.00724396923552449</v>
      </c>
      <c r="I2330" s="25" t="n">
        <f aca="false">IF(G2330="","",C2330/C2329-1)</f>
        <v>-0.0815901337381453</v>
      </c>
      <c r="J2330" s="17" t="n">
        <f aca="false">AVERAGE(C2131:C2330)</f>
        <v>40086.0787</v>
      </c>
      <c r="K2330" s="17" t="n">
        <f aca="false">MAX(K2329,C2330)</f>
        <v>63660.94</v>
      </c>
      <c r="L2330" s="25" t="n">
        <f aca="false">C2330/K2330-1</f>
        <v>-0.412119896438853</v>
      </c>
      <c r="M2330" s="25" t="n">
        <f aca="false">IF(COUNT(G2301:G2330)&lt;20,"",_xlfn.STDEV.S(G2301:G2330)*SQRT($R$3))</f>
        <v>1.0865902663125</v>
      </c>
      <c r="N2330" s="25" t="n">
        <f aca="false">IF(A2330-7&lt;$R$2,"",C2330/INDEX(Clean_Data!$C$2:$C$4314,MATCH(A2330-7,Clean_Data!$A$2:$A$4314,1))-1)</f>
        <v>-0.250359346782064</v>
      </c>
      <c r="O2330" s="25" t="n">
        <f aca="false">IF(A2330-30&lt;$R$2,"",C2330/INDEX(Clean_Data!$C$2:$C$4314,MATCH(A2330-30,Clean_Data!$A$2:$A$4314,1))-1)</f>
        <v>-0.305909478355503</v>
      </c>
    </row>
    <row r="2331" customFormat="false" ht="15" hidden="false" customHeight="false" outlineLevel="0" collapsed="false">
      <c r="A2331" s="16" t="n">
        <v>44338</v>
      </c>
      <c r="B2331" s="23" t="n">
        <f aca="false">YEAR(A2331)</f>
        <v>2021</v>
      </c>
      <c r="C2331" s="17" t="n">
        <v>37383.34</v>
      </c>
      <c r="D2331" s="23" t="n">
        <f aca="false">A2331-A2330</f>
        <v>1</v>
      </c>
      <c r="E2331" s="24" t="n">
        <f aca="false">LN(C2331)</f>
        <v>10.5289804296128</v>
      </c>
      <c r="F2331" s="25" t="n">
        <f aca="false">LN(C2331/C2330)</f>
        <v>-0.00111377967501013</v>
      </c>
      <c r="G2331" s="25" t="n">
        <f aca="false">IF(AND(D2331=1,A2331&gt;=$R$2),F2331,"")</f>
        <v>-0.00111377967501013</v>
      </c>
      <c r="H2331" s="27" t="n">
        <f aca="false">IF(G2331="","",G2331^2)</f>
        <v>1.24050516446566E-006</v>
      </c>
      <c r="I2331" s="25" t="n">
        <f aca="false">IF(G2331="","",C2331/C2330-1)</f>
        <v>-0.0011131596526387</v>
      </c>
      <c r="J2331" s="17" t="n">
        <f aca="false">AVERAGE(C2132:C2331)</f>
        <v>40202.74245</v>
      </c>
      <c r="K2331" s="17" t="n">
        <f aca="false">MAX(K2330,C2331)</f>
        <v>63660.94</v>
      </c>
      <c r="L2331" s="25" t="n">
        <f aca="false">C2331/K2331-1</f>
        <v>-0.412774300850726</v>
      </c>
      <c r="M2331" s="25" t="n">
        <f aca="false">IF(COUNT(G2302:G2331)&lt;20,"",_xlfn.STDEV.S(G2302:G2331)*SQRT($R$3))</f>
        <v>1.08146644602828</v>
      </c>
      <c r="N2331" s="25" t="n">
        <f aca="false">IF(A2331-7&lt;$R$2,"",C2331/INDEX(Clean_Data!$C$2:$C$4314,MATCH(A2331-7,Clean_Data!$A$2:$A$4314,1))-1)</f>
        <v>-0.20435145538743</v>
      </c>
      <c r="O2331" s="25" t="n">
        <f aca="false">IF(A2331-30&lt;$R$2,"",C2331/INDEX(Clean_Data!$C$2:$C$4314,MATCH(A2331-30,Clean_Data!$A$2:$A$4314,1))-1)</f>
        <v>-0.27626382608497</v>
      </c>
    </row>
    <row r="2332" customFormat="false" ht="15" hidden="false" customHeight="false" outlineLevel="0" collapsed="false">
      <c r="A2332" s="16" t="n">
        <v>44339</v>
      </c>
      <c r="B2332" s="23" t="n">
        <f aca="false">YEAR(A2332)</f>
        <v>2021</v>
      </c>
      <c r="C2332" s="17" t="n">
        <v>34927.4</v>
      </c>
      <c r="D2332" s="23" t="n">
        <f aca="false">A2332-A2331</f>
        <v>1</v>
      </c>
      <c r="E2332" s="24" t="n">
        <f aca="false">LN(C2332)</f>
        <v>10.461026900447</v>
      </c>
      <c r="F2332" s="25" t="n">
        <f aca="false">LN(C2332/C2331)</f>
        <v>-0.0679535291657849</v>
      </c>
      <c r="G2332" s="25" t="n">
        <f aca="false">IF(AND(D2332=1,A2332&gt;=$R$2),F2332,"")</f>
        <v>-0.0679535291657849</v>
      </c>
      <c r="H2332" s="27" t="n">
        <f aca="false">IF(G2332="","",G2332^2)</f>
        <v>0.00461768212608518</v>
      </c>
      <c r="I2332" s="25" t="n">
        <f aca="false">IF(G2332="","",C2332/C2331-1)</f>
        <v>-0.0656961095504038</v>
      </c>
      <c r="J2332" s="17" t="n">
        <f aca="false">AVERAGE(C2133:C2332)</f>
        <v>40306.57945</v>
      </c>
      <c r="K2332" s="17" t="n">
        <f aca="false">MAX(K2331,C2332)</f>
        <v>63660.94</v>
      </c>
      <c r="L2332" s="25" t="n">
        <f aca="false">C2332/K2332-1</f>
        <v>-0.451352744712849</v>
      </c>
      <c r="M2332" s="25" t="n">
        <f aca="false">IF(COUNT(G2303:G2332)&lt;20,"",_xlfn.STDEV.S(G2303:G2332)*SQRT($R$3))</f>
        <v>1.09960580429236</v>
      </c>
      <c r="N2332" s="25" t="n">
        <f aca="false">IF(A2332-7&lt;$R$2,"",C2332/INDEX(Clean_Data!$C$2:$C$4314,MATCH(A2332-7,Clean_Data!$A$2:$A$4314,1))-1)</f>
        <v>-0.249249462258812</v>
      </c>
      <c r="O2332" s="25" t="n">
        <f aca="false">IF(A2332-30&lt;$R$2,"",C2332/INDEX(Clean_Data!$C$2:$C$4314,MATCH(A2332-30,Clean_Data!$A$2:$A$4314,1))-1)</f>
        <v>-0.318246187076788</v>
      </c>
    </row>
    <row r="2333" customFormat="false" ht="15" hidden="false" customHeight="false" outlineLevel="0" collapsed="false">
      <c r="A2333" s="16" t="n">
        <v>44340</v>
      </c>
      <c r="B2333" s="23" t="n">
        <f aca="false">YEAR(A2333)</f>
        <v>2021</v>
      </c>
      <c r="C2333" s="17" t="n">
        <v>38725.06</v>
      </c>
      <c r="D2333" s="23" t="n">
        <f aca="false">A2333-A2332</f>
        <v>1</v>
      </c>
      <c r="E2333" s="24" t="n">
        <f aca="false">LN(C2333)</f>
        <v>10.5642422146706</v>
      </c>
      <c r="F2333" s="25" t="n">
        <f aca="false">LN(C2333/C2332)</f>
        <v>0.103215314223536</v>
      </c>
      <c r="G2333" s="25" t="n">
        <f aca="false">IF(AND(D2333=1,A2333&gt;=$R$2),F2333,"")</f>
        <v>0.103215314223536</v>
      </c>
      <c r="H2333" s="27" t="n">
        <f aca="false">IF(G2333="","",G2333^2)</f>
        <v>0.0106534010902633</v>
      </c>
      <c r="I2333" s="25" t="n">
        <f aca="false">IF(G2333="","",C2333/C2332-1)</f>
        <v>0.108730108739843</v>
      </c>
      <c r="J2333" s="17" t="n">
        <f aca="false">AVERAGE(C2134:C2333)</f>
        <v>40422.02175</v>
      </c>
      <c r="K2333" s="17" t="n">
        <f aca="false">MAX(K2332,C2333)</f>
        <v>63660.94</v>
      </c>
      <c r="L2333" s="25" t="n">
        <f aca="false">C2333/K2333-1</f>
        <v>-0.391698268985661</v>
      </c>
      <c r="M2333" s="25" t="n">
        <f aca="false">IF(COUNT(G2304:G2333)&lt;20,"",_xlfn.STDEV.S(G2304:G2333)*SQRT($R$3))</f>
        <v>1.17095077670049</v>
      </c>
      <c r="N2333" s="25" t="n">
        <f aca="false">IF(A2333-7&lt;$R$2,"",C2333/INDEX(Clean_Data!$C$2:$C$4314,MATCH(A2333-7,Clean_Data!$A$2:$A$4314,1))-1)</f>
        <v>-0.115234754301815</v>
      </c>
      <c r="O2333" s="25" t="n">
        <f aca="false">IF(A2333-30&lt;$R$2,"",C2333/INDEX(Clean_Data!$C$2:$C$4314,MATCH(A2333-30,Clean_Data!$A$2:$A$4314,1))-1)</f>
        <v>-0.228084716200728</v>
      </c>
    </row>
    <row r="2334" customFormat="false" ht="15" hidden="false" customHeight="false" outlineLevel="0" collapsed="false">
      <c r="A2334" s="16" t="n">
        <v>44341</v>
      </c>
      <c r="B2334" s="23" t="n">
        <f aca="false">YEAR(A2334)</f>
        <v>2021</v>
      </c>
      <c r="C2334" s="17" t="n">
        <v>38370</v>
      </c>
      <c r="D2334" s="23" t="n">
        <f aca="false">A2334-A2333</f>
        <v>1</v>
      </c>
      <c r="E2334" s="24" t="n">
        <f aca="false">LN(C2334)</f>
        <v>10.555031183241</v>
      </c>
      <c r="F2334" s="25" t="n">
        <f aca="false">LN(C2334/C2333)</f>
        <v>-0.00921103142957209</v>
      </c>
      <c r="G2334" s="25" t="n">
        <f aca="false">IF(AND(D2334=1,A2334&gt;=$R$2),F2334,"")</f>
        <v>-0.00921103142957209</v>
      </c>
      <c r="H2334" s="27" t="n">
        <f aca="false">IF(G2334="","",G2334^2)</f>
        <v>8.48430999965649E-005</v>
      </c>
      <c r="I2334" s="25" t="n">
        <f aca="false">IF(G2334="","",C2334/C2333-1)</f>
        <v>-0.00916873982893762</v>
      </c>
      <c r="J2334" s="17" t="n">
        <f aca="false">AVERAGE(C2135:C2334)</f>
        <v>40535.8901</v>
      </c>
      <c r="K2334" s="17" t="n">
        <f aca="false">MAX(K2333,C2334)</f>
        <v>63660.94</v>
      </c>
      <c r="L2334" s="25" t="n">
        <f aca="false">C2334/K2334-1</f>
        <v>-0.397275629294824</v>
      </c>
      <c r="M2334" s="25" t="n">
        <f aca="false">IF(COUNT(G2305:G2334)&lt;20,"",_xlfn.STDEV.S(G2305:G2334)*SQRT($R$3))</f>
        <v>1.17046567706642</v>
      </c>
      <c r="N2334" s="25" t="n">
        <f aca="false">IF(A2334-7&lt;$R$2,"",C2334/INDEX(Clean_Data!$C$2:$C$4314,MATCH(A2334-7,Clean_Data!$A$2:$A$4314,1))-1)</f>
        <v>-0.107462700454526</v>
      </c>
      <c r="O2334" s="25" t="n">
        <f aca="false">IF(A2334-30&lt;$R$2,"",C2334/INDEX(Clean_Data!$C$2:$C$4314,MATCH(A2334-30,Clean_Data!$A$2:$A$4314,1))-1)</f>
        <v>-0.221262516728548</v>
      </c>
    </row>
    <row r="2335" customFormat="false" ht="15" hidden="false" customHeight="false" outlineLevel="0" collapsed="false">
      <c r="A2335" s="16" t="n">
        <v>44342</v>
      </c>
      <c r="B2335" s="23" t="n">
        <f aca="false">YEAR(A2335)</f>
        <v>2021</v>
      </c>
      <c r="C2335" s="17" t="n">
        <v>39213.41</v>
      </c>
      <c r="D2335" s="23" t="n">
        <f aca="false">A2335-A2334</f>
        <v>1</v>
      </c>
      <c r="E2335" s="24" t="n">
        <f aca="false">LN(C2335)</f>
        <v>10.5767740591152</v>
      </c>
      <c r="F2335" s="25" t="n">
        <f aca="false">LN(C2335/C2334)</f>
        <v>0.0217428758742196</v>
      </c>
      <c r="G2335" s="25" t="n">
        <f aca="false">IF(AND(D2335=1,A2335&gt;=$R$2),F2335,"")</f>
        <v>0.0217428758742196</v>
      </c>
      <c r="H2335" s="27" t="n">
        <f aca="false">IF(G2335="","",G2335^2)</f>
        <v>0.000472752651281719</v>
      </c>
      <c r="I2335" s="25" t="n">
        <f aca="false">IF(G2335="","",C2335/C2334-1)</f>
        <v>0.0219809747198334</v>
      </c>
      <c r="J2335" s="17" t="n">
        <f aca="false">AVERAGE(C2136:C2335)</f>
        <v>40657.88405</v>
      </c>
      <c r="K2335" s="17" t="n">
        <f aca="false">MAX(K2334,C2335)</f>
        <v>63660.94</v>
      </c>
      <c r="L2335" s="25" t="n">
        <f aca="false">C2335/K2335-1</f>
        <v>-0.384027160139326</v>
      </c>
      <c r="M2335" s="25" t="n">
        <f aca="false">IF(COUNT(G2306:G2335)&lt;20,"",_xlfn.STDEV.S(G2306:G2335)*SQRT($R$3))</f>
        <v>1.12026790746572</v>
      </c>
      <c r="N2335" s="25" t="n">
        <f aca="false">IF(A2335-7&lt;$R$2,"",C2335/INDEX(Clean_Data!$C$2:$C$4314,MATCH(A2335-7,Clean_Data!$A$2:$A$4314,1))-1)</f>
        <v>0.0530875393866412</v>
      </c>
      <c r="O2335" s="25" t="n">
        <f aca="false">IF(A2335-30&lt;$R$2,"",C2335/INDEX(Clean_Data!$C$2:$C$4314,MATCH(A2335-30,Clean_Data!$A$2:$A$4314,1))-1)</f>
        <v>-0.273418182161809</v>
      </c>
    </row>
    <row r="2336" customFormat="false" ht="15" hidden="false" customHeight="false" outlineLevel="0" collapsed="false">
      <c r="A2336" s="16" t="n">
        <v>44343</v>
      </c>
      <c r="B2336" s="23" t="n">
        <f aca="false">YEAR(A2336)</f>
        <v>2021</v>
      </c>
      <c r="C2336" s="17" t="n">
        <v>38368.17</v>
      </c>
      <c r="D2336" s="23" t="n">
        <f aca="false">A2336-A2335</f>
        <v>1</v>
      </c>
      <c r="E2336" s="24" t="n">
        <f aca="false">LN(C2336)</f>
        <v>10.5549834885931</v>
      </c>
      <c r="F2336" s="25" t="n">
        <f aca="false">LN(C2336/C2335)</f>
        <v>-0.0217905705221463</v>
      </c>
      <c r="G2336" s="25" t="n">
        <f aca="false">IF(AND(D2336=1,A2336&gt;=$R$2),F2336,"")</f>
        <v>-0.0217905705221463</v>
      </c>
      <c r="H2336" s="27" t="n">
        <f aca="false">IF(G2336="","",G2336^2)</f>
        <v>0.000474828963680631</v>
      </c>
      <c r="I2336" s="25" t="n">
        <f aca="false">IF(G2336="","",C2336/C2335-1)</f>
        <v>-0.0215548711524962</v>
      </c>
      <c r="J2336" s="17" t="n">
        <f aca="false">AVERAGE(C2137:C2336)</f>
        <v>40772.2855</v>
      </c>
      <c r="K2336" s="17" t="n">
        <f aca="false">MAX(K2335,C2336)</f>
        <v>63660.94</v>
      </c>
      <c r="L2336" s="25" t="n">
        <f aca="false">C2336/K2336-1</f>
        <v>-0.39730437533596</v>
      </c>
      <c r="M2336" s="25" t="n">
        <f aca="false">IF(COUNT(G2307:G2336)&lt;20,"",_xlfn.STDEV.S(G2307:G2336)*SQRT($R$3))</f>
        <v>1.11494512241831</v>
      </c>
      <c r="N2336" s="25" t="n">
        <f aca="false">IF(A2336-7&lt;$R$2,"",C2336/INDEX(Clean_Data!$C$2:$C$4314,MATCH(A2336-7,Clean_Data!$A$2:$A$4314,1))-1)</f>
        <v>-0.0584447327077594</v>
      </c>
      <c r="O2336" s="25" t="n">
        <f aca="false">IF(A2336-30&lt;$R$2,"",C2336/INDEX(Clean_Data!$C$2:$C$4314,MATCH(A2336-30,Clean_Data!$A$2:$A$4314,1))-1)</f>
        <v>-0.303925867562541</v>
      </c>
    </row>
    <row r="2337" customFormat="false" ht="15" hidden="false" customHeight="false" outlineLevel="0" collapsed="false">
      <c r="A2337" s="16" t="n">
        <v>44344</v>
      </c>
      <c r="B2337" s="23" t="n">
        <f aca="false">YEAR(A2337)</f>
        <v>2021</v>
      </c>
      <c r="C2337" s="17" t="n">
        <v>35770</v>
      </c>
      <c r="D2337" s="23" t="n">
        <f aca="false">A2337-A2336</f>
        <v>1</v>
      </c>
      <c r="E2337" s="24" t="n">
        <f aca="false">LN(C2337)</f>
        <v>10.4848648322531</v>
      </c>
      <c r="F2337" s="25" t="n">
        <f aca="false">LN(C2337/C2336)</f>
        <v>-0.0701186563400079</v>
      </c>
      <c r="G2337" s="25" t="n">
        <f aca="false">IF(AND(D2337=1,A2337&gt;=$R$2),F2337,"")</f>
        <v>-0.0701186563400079</v>
      </c>
      <c r="H2337" s="27" t="n">
        <f aca="false">IF(G2337="","",G2337^2)</f>
        <v>0.00491662596692813</v>
      </c>
      <c r="I2337" s="25" t="n">
        <f aca="false">IF(G2337="","",C2337/C2336-1)</f>
        <v>-0.0677168079686886</v>
      </c>
      <c r="J2337" s="17" t="n">
        <f aca="false">AVERAGE(C2138:C2337)</f>
        <v>40874.46365</v>
      </c>
      <c r="K2337" s="17" t="n">
        <f aca="false">MAX(K2336,C2337)</f>
        <v>63660.94</v>
      </c>
      <c r="L2337" s="25" t="n">
        <f aca="false">C2337/K2337-1</f>
        <v>-0.438116999214903</v>
      </c>
      <c r="M2337" s="25" t="n">
        <f aca="false">IF(COUNT(G2308:G2337)&lt;20,"",_xlfn.STDEV.S(G2308:G2337)*SQRT($R$3))</f>
        <v>1.13248981265344</v>
      </c>
      <c r="N2337" s="25" t="n">
        <f aca="false">IF(A2337-7&lt;$R$2,"",C2337/INDEX(Clean_Data!$C$2:$C$4314,MATCH(A2337-7,Clean_Data!$A$2:$A$4314,1))-1)</f>
        <v>-0.0442217768871076</v>
      </c>
      <c r="O2337" s="25" t="n">
        <f aca="false">IF(A2337-30&lt;$R$2,"",C2337/INDEX(Clean_Data!$C$2:$C$4314,MATCH(A2337-30,Clean_Data!$A$2:$A$4314,1))-1)</f>
        <v>-0.34921169468586</v>
      </c>
    </row>
    <row r="2338" customFormat="false" ht="15" hidden="false" customHeight="false" outlineLevel="0" collapsed="false">
      <c r="A2338" s="16" t="n">
        <v>44345</v>
      </c>
      <c r="B2338" s="23" t="n">
        <f aca="false">YEAR(A2338)</f>
        <v>2021</v>
      </c>
      <c r="C2338" s="17" t="n">
        <v>34621.64</v>
      </c>
      <c r="D2338" s="23" t="n">
        <f aca="false">A2338-A2337</f>
        <v>1</v>
      </c>
      <c r="E2338" s="24" t="n">
        <f aca="false">LN(C2338)</f>
        <v>10.4522341990698</v>
      </c>
      <c r="F2338" s="25" t="n">
        <f aca="false">LN(C2338/C2337)</f>
        <v>-0.0326306331832725</v>
      </c>
      <c r="G2338" s="25" t="n">
        <f aca="false">IF(AND(D2338=1,A2338&gt;=$R$2),F2338,"")</f>
        <v>-0.0326306331832725</v>
      </c>
      <c r="H2338" s="27" t="n">
        <f aca="false">IF(G2338="","",G2338^2)</f>
        <v>0.00106475822194128</v>
      </c>
      <c r="I2338" s="25" t="n">
        <f aca="false">IF(G2338="","",C2338/C2337-1)</f>
        <v>-0.0321039977634889</v>
      </c>
      <c r="J2338" s="17" t="n">
        <f aca="false">AVERAGE(C2139:C2338)</f>
        <v>40970.9456</v>
      </c>
      <c r="K2338" s="17" t="n">
        <f aca="false">MAX(K2337,C2338)</f>
        <v>63660.94</v>
      </c>
      <c r="L2338" s="25" t="n">
        <f aca="false">C2338/K2338-1</f>
        <v>-0.45615568981545</v>
      </c>
      <c r="M2338" s="25" t="n">
        <f aca="false">IF(COUNT(G2309:G2338)&lt;20,"",_xlfn.STDEV.S(G2309:G2338)*SQRT($R$3))</f>
        <v>1.13360840840293</v>
      </c>
      <c r="N2338" s="25" t="n">
        <f aca="false">IF(A2338-7&lt;$R$2,"",C2338/INDEX(Clean_Data!$C$2:$C$4314,MATCH(A2338-7,Clean_Data!$A$2:$A$4314,1))-1)</f>
        <v>-0.0738751540124557</v>
      </c>
      <c r="O2338" s="25" t="n">
        <f aca="false">IF(A2338-30&lt;$R$2,"",C2338/INDEX(Clean_Data!$C$2:$C$4314,MATCH(A2338-30,Clean_Data!$A$2:$A$4314,1))-1)</f>
        <v>-0.353626121975914</v>
      </c>
    </row>
    <row r="2339" customFormat="false" ht="15" hidden="false" customHeight="false" outlineLevel="0" collapsed="false">
      <c r="A2339" s="16" t="n">
        <v>44346</v>
      </c>
      <c r="B2339" s="23" t="n">
        <f aca="false">YEAR(A2339)</f>
        <v>2021</v>
      </c>
      <c r="C2339" s="17" t="n">
        <v>35545.27</v>
      </c>
      <c r="D2339" s="23" t="n">
        <f aca="false">A2339-A2338</f>
        <v>1</v>
      </c>
      <c r="E2339" s="24" t="n">
        <f aca="false">LN(C2339)</f>
        <v>10.4785623743398</v>
      </c>
      <c r="F2339" s="25" t="n">
        <f aca="false">LN(C2339/C2338)</f>
        <v>0.0263281752700071</v>
      </c>
      <c r="G2339" s="25" t="n">
        <f aca="false">IF(AND(D2339=1,A2339&gt;=$R$2),F2339,"")</f>
        <v>0.0263281752700071</v>
      </c>
      <c r="H2339" s="27" t="n">
        <f aca="false">IF(G2339="","",G2339^2)</f>
        <v>0.000693172813048212</v>
      </c>
      <c r="I2339" s="25" t="n">
        <f aca="false">IF(G2339="","",C2339/C2338-1)</f>
        <v>0.026677823465324</v>
      </c>
      <c r="J2339" s="17" t="n">
        <f aca="false">AVERAGE(C2140:C2339)</f>
        <v>41070.0529</v>
      </c>
      <c r="K2339" s="17" t="n">
        <f aca="false">MAX(K2338,C2339)</f>
        <v>63660.94</v>
      </c>
      <c r="L2339" s="25" t="n">
        <f aca="false">C2339/K2339-1</f>
        <v>-0.441647107315726</v>
      </c>
      <c r="M2339" s="25" t="n">
        <f aca="false">IF(COUNT(G2310:G2339)&lt;20,"",_xlfn.STDEV.S(G2310:G2339)*SQRT($R$3))</f>
        <v>1.09904515459411</v>
      </c>
      <c r="N2339" s="25" t="n">
        <f aca="false">IF(A2339-7&lt;$R$2,"",C2339/INDEX(Clean_Data!$C$2:$C$4314,MATCH(A2339-7,Clean_Data!$A$2:$A$4314,1))-1)</f>
        <v>0.0176901229407282</v>
      </c>
      <c r="O2339" s="25" t="n">
        <f aca="false">IF(A2339-30&lt;$R$2,"",C2339/INDEX(Clean_Data!$C$2:$C$4314,MATCH(A2339-30,Clean_Data!$A$2:$A$4314,1))-1)</f>
        <v>-0.38332468485086</v>
      </c>
    </row>
    <row r="2340" customFormat="false" ht="15" hidden="false" customHeight="false" outlineLevel="0" collapsed="false">
      <c r="A2340" s="16" t="n">
        <v>44347</v>
      </c>
      <c r="B2340" s="23" t="n">
        <f aca="false">YEAR(A2340)</f>
        <v>2021</v>
      </c>
      <c r="C2340" s="17" t="n">
        <v>37153.71</v>
      </c>
      <c r="D2340" s="23" t="n">
        <f aca="false">A2340-A2339</f>
        <v>1</v>
      </c>
      <c r="E2340" s="24" t="n">
        <f aca="false">LN(C2340)</f>
        <v>10.5228189105702</v>
      </c>
      <c r="F2340" s="25" t="n">
        <f aca="false">LN(C2340/C2339)</f>
        <v>0.0442565362303872</v>
      </c>
      <c r="G2340" s="25" t="n">
        <f aca="false">IF(AND(D2340=1,A2340&gt;=$R$2),F2340,"")</f>
        <v>0.0442565362303872</v>
      </c>
      <c r="H2340" s="27" t="n">
        <f aca="false">IF(G2340="","",G2340^2)</f>
        <v>0.00195864099911157</v>
      </c>
      <c r="I2340" s="25" t="n">
        <f aca="false">IF(G2340="","",C2340/C2339-1)</f>
        <v>0.0452504651111105</v>
      </c>
      <c r="J2340" s="17" t="n">
        <f aca="false">AVERAGE(C2141:C2340)</f>
        <v>41174.22285</v>
      </c>
      <c r="K2340" s="17" t="n">
        <f aca="false">MAX(K2339,C2340)</f>
        <v>63660.94</v>
      </c>
      <c r="L2340" s="25" t="n">
        <f aca="false">C2340/K2340-1</f>
        <v>-0.416381379225629</v>
      </c>
      <c r="M2340" s="25" t="n">
        <f aca="false">IF(COUNT(G2311:G2340)&lt;20,"",_xlfn.STDEV.S(G2311:G2340)*SQRT($R$3))</f>
        <v>1.11714732408494</v>
      </c>
      <c r="N2340" s="25" t="n">
        <f aca="false">IF(A2340-7&lt;$R$2,"",C2340/INDEX(Clean_Data!$C$2:$C$4314,MATCH(A2340-7,Clean_Data!$A$2:$A$4314,1))-1)</f>
        <v>-0.040577083676565</v>
      </c>
      <c r="O2340" s="25" t="n">
        <f aca="false">IF(A2340-30&lt;$R$2,"",C2340/INDEX(Clean_Data!$C$2:$C$4314,MATCH(A2340-30,Clean_Data!$A$2:$A$4314,1))-1)</f>
        <v>-0.357968022224012</v>
      </c>
    </row>
    <row r="2341" customFormat="false" ht="15" hidden="false" customHeight="false" outlineLevel="0" collapsed="false">
      <c r="A2341" s="16" t="n">
        <v>44348</v>
      </c>
      <c r="B2341" s="23" t="n">
        <f aca="false">YEAR(A2341)</f>
        <v>2021</v>
      </c>
      <c r="C2341" s="17" t="n">
        <v>36764.58</v>
      </c>
      <c r="D2341" s="23" t="n">
        <f aca="false">A2341-A2340</f>
        <v>1</v>
      </c>
      <c r="E2341" s="24" t="n">
        <f aca="false">LN(C2341)</f>
        <v>10.5122901606565</v>
      </c>
      <c r="F2341" s="25" t="n">
        <f aca="false">LN(C2341/C2340)</f>
        <v>-0.0105287499137244</v>
      </c>
      <c r="G2341" s="25" t="n">
        <f aca="false">IF(AND(D2341=1,A2341&gt;=$R$2),F2341,"")</f>
        <v>-0.0105287499137244</v>
      </c>
      <c r="H2341" s="27" t="n">
        <f aca="false">IF(G2341="","",G2341^2)</f>
        <v>0.000110854574745751</v>
      </c>
      <c r="I2341" s="25" t="n">
        <f aca="false">IF(G2341="","",C2341/C2340-1)</f>
        <v>-0.0104735166420795</v>
      </c>
      <c r="J2341" s="17" t="n">
        <f aca="false">AVERAGE(C2142:C2341)</f>
        <v>41276.3478</v>
      </c>
      <c r="K2341" s="17" t="n">
        <f aca="false">MAX(K2340,C2341)</f>
        <v>63660.94</v>
      </c>
      <c r="L2341" s="25" t="n">
        <f aca="false">C2341/K2341-1</f>
        <v>-0.422493918562937</v>
      </c>
      <c r="M2341" s="25" t="n">
        <f aca="false">IF(COUNT(G2312:G2341)&lt;20,"",_xlfn.STDEV.S(G2312:G2341)*SQRT($R$3))</f>
        <v>1.11696186112878</v>
      </c>
      <c r="N2341" s="25" t="n">
        <f aca="false">IF(A2341-7&lt;$R$2,"",C2341/INDEX(Clean_Data!$C$2:$C$4314,MATCH(A2341-7,Clean_Data!$A$2:$A$4314,1))-1)</f>
        <v>-0.0418405003909303</v>
      </c>
      <c r="O2341" s="25" t="n">
        <f aca="false">IF(A2341-30&lt;$R$2,"",C2341/INDEX(Clean_Data!$C$2:$C$4314,MATCH(A2341-30,Clean_Data!$A$2:$A$4314,1))-1)</f>
        <v>-0.350812019570685</v>
      </c>
    </row>
    <row r="2342" customFormat="false" ht="15" hidden="false" customHeight="false" outlineLevel="0" collapsed="false">
      <c r="A2342" s="16" t="n">
        <v>44349</v>
      </c>
      <c r="B2342" s="23" t="n">
        <f aca="false">YEAR(A2342)</f>
        <v>2021</v>
      </c>
      <c r="C2342" s="17" t="n">
        <v>37501.36</v>
      </c>
      <c r="D2342" s="23" t="n">
        <f aca="false">A2342-A2341</f>
        <v>1</v>
      </c>
      <c r="E2342" s="24" t="n">
        <f aca="false">LN(C2342)</f>
        <v>10.5321324779675</v>
      </c>
      <c r="F2342" s="25" t="n">
        <f aca="false">LN(C2342/C2341)</f>
        <v>0.0198423173110886</v>
      </c>
      <c r="G2342" s="25" t="n">
        <f aca="false">IF(AND(D2342=1,A2342&gt;=$R$2),F2342,"")</f>
        <v>0.0198423173110886</v>
      </c>
      <c r="H2342" s="27" t="n">
        <f aca="false">IF(G2342="","",G2342^2)</f>
        <v>0.000393717556273926</v>
      </c>
      <c r="I2342" s="25" t="n">
        <f aca="false">IF(G2342="","",C2342/C2341-1)</f>
        <v>0.0200404846186193</v>
      </c>
      <c r="J2342" s="17" t="n">
        <f aca="false">AVERAGE(C2143:C2342)</f>
        <v>41383.3881</v>
      </c>
      <c r="K2342" s="17" t="n">
        <f aca="false">MAX(K2341,C2342)</f>
        <v>63660.94</v>
      </c>
      <c r="L2342" s="25" t="n">
        <f aca="false">C2342/K2342-1</f>
        <v>-0.410920416820738</v>
      </c>
      <c r="M2342" s="25" t="n">
        <f aca="false">IF(COUNT(G2313:G2342)&lt;20,"",_xlfn.STDEV.S(G2313:G2342)*SQRT($R$3))</f>
        <v>1.1201316620844</v>
      </c>
      <c r="N2342" s="25" t="n">
        <f aca="false">IF(A2342-7&lt;$R$2,"",C2342/INDEX(Clean_Data!$C$2:$C$4314,MATCH(A2342-7,Clean_Data!$A$2:$A$4314,1))-1)</f>
        <v>-0.043659809233627</v>
      </c>
      <c r="O2342" s="25" t="n">
        <f aca="false">IF(A2342-30&lt;$R$2,"",C2342/INDEX(Clean_Data!$C$2:$C$4314,MATCH(A2342-30,Clean_Data!$A$2:$A$4314,1))-1)</f>
        <v>-0.344534110868297</v>
      </c>
    </row>
    <row r="2343" customFormat="false" ht="15" hidden="false" customHeight="false" outlineLevel="0" collapsed="false">
      <c r="A2343" s="16" t="n">
        <v>44350</v>
      </c>
      <c r="B2343" s="23" t="n">
        <f aca="false">YEAR(A2343)</f>
        <v>2021</v>
      </c>
      <c r="C2343" s="17" t="n">
        <v>39215.09</v>
      </c>
      <c r="D2343" s="23" t="n">
        <f aca="false">A2343-A2342</f>
        <v>1</v>
      </c>
      <c r="E2343" s="24" t="n">
        <f aca="false">LN(C2343)</f>
        <v>10.5768169006843</v>
      </c>
      <c r="F2343" s="25" t="n">
        <f aca="false">LN(C2343/C2342)</f>
        <v>0.0446844227167472</v>
      </c>
      <c r="G2343" s="25" t="n">
        <f aca="false">IF(AND(D2343=1,A2343&gt;=$R$2),F2343,"")</f>
        <v>0.0446844227167472</v>
      </c>
      <c r="H2343" s="27" t="n">
        <f aca="false">IF(G2343="","",G2343^2)</f>
        <v>0.00199669763352895</v>
      </c>
      <c r="I2343" s="25" t="n">
        <f aca="false">IF(G2343="","",C2343/C2342-1)</f>
        <v>0.0456978093594471</v>
      </c>
      <c r="J2343" s="17" t="n">
        <f aca="false">AVERAGE(C2144:C2343)</f>
        <v>41499.73035</v>
      </c>
      <c r="K2343" s="17" t="n">
        <f aca="false">MAX(K2342,C2343)</f>
        <v>63660.94</v>
      </c>
      <c r="L2343" s="25" t="n">
        <f aca="false">C2343/K2343-1</f>
        <v>-0.38400077033107</v>
      </c>
      <c r="M2343" s="25" t="n">
        <f aca="false">IF(COUNT(G2314:G2343)&lt;20,"",_xlfn.STDEV.S(G2314:G2343)*SQRT($R$3))</f>
        <v>1.1166684786675</v>
      </c>
      <c r="N2343" s="25" t="n">
        <f aca="false">IF(A2343-7&lt;$R$2,"",C2343/INDEX(Clean_Data!$C$2:$C$4314,MATCH(A2343-7,Clean_Data!$A$2:$A$4314,1))-1)</f>
        <v>0.0220735051997527</v>
      </c>
      <c r="O2343" s="25" t="n">
        <f aca="false">IF(A2343-30&lt;$R$2,"",C2343/INDEX(Clean_Data!$C$2:$C$4314,MATCH(A2343-30,Clean_Data!$A$2:$A$4314,1))-1)</f>
        <v>-0.261884729678961</v>
      </c>
    </row>
    <row r="2344" customFormat="false" ht="15" hidden="false" customHeight="false" outlineLevel="0" collapsed="false">
      <c r="A2344" s="16" t="n">
        <v>44351</v>
      </c>
      <c r="B2344" s="23" t="n">
        <f aca="false">YEAR(A2344)</f>
        <v>2021</v>
      </c>
      <c r="C2344" s="17" t="n">
        <v>36895.48</v>
      </c>
      <c r="D2344" s="23" t="n">
        <f aca="false">A2344-A2343</f>
        <v>1</v>
      </c>
      <c r="E2344" s="24" t="n">
        <f aca="false">LN(C2344)</f>
        <v>10.5158443293008</v>
      </c>
      <c r="F2344" s="25" t="n">
        <f aca="false">LN(C2344/C2343)</f>
        <v>-0.0609725713835177</v>
      </c>
      <c r="G2344" s="25" t="n">
        <f aca="false">IF(AND(D2344=1,A2344&gt;=$R$2),F2344,"")</f>
        <v>-0.0609725713835177</v>
      </c>
      <c r="H2344" s="27" t="n">
        <f aca="false">IF(G2344="","",G2344^2)</f>
        <v>0.00371765446111816</v>
      </c>
      <c r="I2344" s="25" t="n">
        <f aca="false">IF(G2344="","",C2344/C2343-1)</f>
        <v>-0.0591509543902613</v>
      </c>
      <c r="J2344" s="17" t="n">
        <f aca="false">AVERAGE(C2145:C2344)</f>
        <v>41600.63485</v>
      </c>
      <c r="K2344" s="17" t="n">
        <f aca="false">MAX(K2343,C2344)</f>
        <v>63660.94</v>
      </c>
      <c r="L2344" s="25" t="n">
        <f aca="false">C2344/K2344-1</f>
        <v>-0.420437712669653</v>
      </c>
      <c r="M2344" s="25" t="n">
        <f aca="false">IF(COUNT(G2315:G2344)&lt;20,"",_xlfn.STDEV.S(G2315:G2344)*SQRT($R$3))</f>
        <v>1.08185197517736</v>
      </c>
      <c r="N2344" s="25" t="n">
        <f aca="false">IF(A2344-7&lt;$R$2,"",C2344/INDEX(Clean_Data!$C$2:$C$4314,MATCH(A2344-7,Clean_Data!$A$2:$A$4314,1))-1)</f>
        <v>0.0314643556052558</v>
      </c>
      <c r="O2344" s="25" t="n">
        <f aca="false">IF(A2344-30&lt;$R$2,"",C2344/INDEX(Clean_Data!$C$2:$C$4314,MATCH(A2344-30,Clean_Data!$A$2:$A$4314,1))-1)</f>
        <v>-0.358540394565111</v>
      </c>
    </row>
    <row r="2345" customFormat="false" ht="15" hidden="false" customHeight="false" outlineLevel="0" collapsed="false">
      <c r="A2345" s="16" t="n">
        <v>44352</v>
      </c>
      <c r="B2345" s="23" t="n">
        <f aca="false">YEAR(A2345)</f>
        <v>2021</v>
      </c>
      <c r="C2345" s="17" t="n">
        <v>35565</v>
      </c>
      <c r="D2345" s="23" t="n">
        <f aca="false">A2345-A2344</f>
        <v>1</v>
      </c>
      <c r="E2345" s="24" t="n">
        <f aca="false">LN(C2345)</f>
        <v>10.4791172871676</v>
      </c>
      <c r="F2345" s="25" t="n">
        <f aca="false">LN(C2345/C2344)</f>
        <v>-0.0367270421331631</v>
      </c>
      <c r="G2345" s="25" t="n">
        <f aca="false">IF(AND(D2345=1,A2345&gt;=$R$2),F2345,"")</f>
        <v>-0.0367270421331631</v>
      </c>
      <c r="H2345" s="27" t="n">
        <f aca="false">IF(G2345="","",G2345^2)</f>
        <v>0.00134887562385114</v>
      </c>
      <c r="I2345" s="25" t="n">
        <f aca="false">IF(G2345="","",C2345/C2344-1)</f>
        <v>-0.0360607857656278</v>
      </c>
      <c r="J2345" s="17" t="n">
        <f aca="false">AVERAGE(C2146:C2345)</f>
        <v>41690.15535</v>
      </c>
      <c r="K2345" s="17" t="n">
        <f aca="false">MAX(K2344,C2345)</f>
        <v>63660.94</v>
      </c>
      <c r="L2345" s="25" t="n">
        <f aca="false">C2345/K2345-1</f>
        <v>-0.44133718415091</v>
      </c>
      <c r="M2345" s="25" t="n">
        <f aca="false">IF(COUNT(G2316:G2345)&lt;20,"",_xlfn.STDEV.S(G2316:G2345)*SQRT($R$3))</f>
        <v>1.08451448996144</v>
      </c>
      <c r="N2345" s="25" t="n">
        <f aca="false">IF(A2345-7&lt;$R$2,"",C2345/INDEX(Clean_Data!$C$2:$C$4314,MATCH(A2345-7,Clean_Data!$A$2:$A$4314,1))-1)</f>
        <v>0.0272476982603944</v>
      </c>
      <c r="O2345" s="25" t="n">
        <f aca="false">IF(A2345-30&lt;$R$2,"",C2345/INDEX(Clean_Data!$C$2:$C$4314,MATCH(A2345-30,Clean_Data!$A$2:$A$4314,1))-1)</f>
        <v>-0.370372396446043</v>
      </c>
    </row>
    <row r="2346" customFormat="false" ht="15" hidden="false" customHeight="false" outlineLevel="0" collapsed="false">
      <c r="A2346" s="16" t="n">
        <v>44353</v>
      </c>
      <c r="B2346" s="23" t="n">
        <f aca="false">YEAR(A2346)</f>
        <v>2021</v>
      </c>
      <c r="C2346" s="17" t="n">
        <v>35873.42</v>
      </c>
      <c r="D2346" s="23" t="n">
        <f aca="false">A2346-A2345</f>
        <v>1</v>
      </c>
      <c r="E2346" s="24" t="n">
        <f aca="false">LN(C2346)</f>
        <v>10.4877519102802</v>
      </c>
      <c r="F2346" s="25" t="n">
        <f aca="false">LN(C2346/C2345)</f>
        <v>0.00863462311259092</v>
      </c>
      <c r="G2346" s="25" t="n">
        <f aca="false">IF(AND(D2346=1,A2346&gt;=$R$2),F2346,"")</f>
        <v>0.00863462311259092</v>
      </c>
      <c r="H2346" s="27" t="n">
        <f aca="false">IF(G2346="","",G2346^2)</f>
        <v>7.45567162964893E-005</v>
      </c>
      <c r="I2346" s="25" t="n">
        <f aca="false">IF(G2346="","",C2346/C2345-1)</f>
        <v>0.00867200899761</v>
      </c>
      <c r="J2346" s="17" t="n">
        <f aca="false">AVERAGE(C2147:C2346)</f>
        <v>41780.50835</v>
      </c>
      <c r="K2346" s="17" t="n">
        <f aca="false">MAX(K2345,C2346)</f>
        <v>63660.94</v>
      </c>
      <c r="L2346" s="25" t="n">
        <f aca="false">C2346/K2346-1</f>
        <v>-0.436492455185236</v>
      </c>
      <c r="M2346" s="25" t="n">
        <f aca="false">IF(COUNT(G2317:G2346)&lt;20,"",_xlfn.STDEV.S(G2317:G2346)*SQRT($R$3))</f>
        <v>1.08227657723545</v>
      </c>
      <c r="N2346" s="25" t="n">
        <f aca="false">IF(A2346-7&lt;$R$2,"",C2346/INDEX(Clean_Data!$C$2:$C$4314,MATCH(A2346-7,Clean_Data!$A$2:$A$4314,1))-1)</f>
        <v>0.00923188936249475</v>
      </c>
      <c r="O2346" s="25" t="n">
        <f aca="false">IF(A2346-30&lt;$R$2,"",C2346/INDEX(Clean_Data!$C$2:$C$4314,MATCH(A2346-30,Clean_Data!$A$2:$A$4314,1))-1)</f>
        <v>-0.374743001519158</v>
      </c>
    </row>
    <row r="2347" customFormat="false" ht="15" hidden="false" customHeight="false" outlineLevel="0" collapsed="false">
      <c r="A2347" s="16" t="n">
        <v>44354</v>
      </c>
      <c r="B2347" s="23" t="n">
        <f aca="false">YEAR(A2347)</f>
        <v>2021</v>
      </c>
      <c r="C2347" s="17" t="n">
        <v>33816.09</v>
      </c>
      <c r="D2347" s="23" t="n">
        <f aca="false">A2347-A2346</f>
        <v>1</v>
      </c>
      <c r="E2347" s="24" t="n">
        <f aca="false">LN(C2347)</f>
        <v>10.4286920037051</v>
      </c>
      <c r="F2347" s="25" t="n">
        <f aca="false">LN(C2347/C2346)</f>
        <v>-0.0590599065750926</v>
      </c>
      <c r="G2347" s="25" t="n">
        <f aca="false">IF(AND(D2347=1,A2347&gt;=$R$2),F2347,"")</f>
        <v>-0.0590599065750926</v>
      </c>
      <c r="H2347" s="27" t="n">
        <f aca="false">IF(G2347="","",G2347^2)</f>
        <v>0.00348807256465866</v>
      </c>
      <c r="I2347" s="25" t="n">
        <f aca="false">IF(G2347="","",C2347/C2346-1)</f>
        <v>-0.0573497034851989</v>
      </c>
      <c r="J2347" s="17" t="n">
        <f aca="false">AVERAGE(C2148:C2347)</f>
        <v>41860.5666</v>
      </c>
      <c r="K2347" s="17" t="n">
        <f aca="false">MAX(K2346,C2347)</f>
        <v>63660.94</v>
      </c>
      <c r="L2347" s="25" t="n">
        <f aca="false">C2347/K2347-1</f>
        <v>-0.468809445792035</v>
      </c>
      <c r="M2347" s="25" t="n">
        <f aca="false">IF(COUNT(G2318:G2347)&lt;20,"",_xlfn.STDEV.S(G2318:G2347)*SQRT($R$3))</f>
        <v>1.08029161980532</v>
      </c>
      <c r="N2347" s="25" t="n">
        <f aca="false">IF(A2347-7&lt;$R$2,"",C2347/INDEX(Clean_Data!$C$2:$C$4314,MATCH(A2347-7,Clean_Data!$A$2:$A$4314,1))-1)</f>
        <v>-0.0898327515610151</v>
      </c>
      <c r="O2347" s="25" t="n">
        <f aca="false">IF(A2347-30&lt;$R$2,"",C2347/INDEX(Clean_Data!$C$2:$C$4314,MATCH(A2347-30,Clean_Data!$A$2:$A$4314,1))-1)</f>
        <v>-0.427284399384404</v>
      </c>
    </row>
    <row r="2348" customFormat="false" ht="15" hidden="false" customHeight="false" outlineLevel="0" collapsed="false">
      <c r="A2348" s="16" t="n">
        <v>44355</v>
      </c>
      <c r="B2348" s="23" t="n">
        <f aca="false">YEAR(A2348)</f>
        <v>2021</v>
      </c>
      <c r="C2348" s="17" t="n">
        <v>33432.26</v>
      </c>
      <c r="D2348" s="23" t="n">
        <f aca="false">A2348-A2347</f>
        <v>1</v>
      </c>
      <c r="E2348" s="24" t="n">
        <f aca="false">LN(C2348)</f>
        <v>10.4172765810777</v>
      </c>
      <c r="F2348" s="25" t="n">
        <f aca="false">LN(C2348/C2347)</f>
        <v>-0.0114154226274642</v>
      </c>
      <c r="G2348" s="25" t="n">
        <f aca="false">IF(AND(D2348=1,A2348&gt;=$R$2),F2348,"")</f>
        <v>-0.0114154226274642</v>
      </c>
      <c r="H2348" s="27" t="n">
        <f aca="false">IF(G2348="","",G2348^2)</f>
        <v>0.000130311873763622</v>
      </c>
      <c r="I2348" s="25" t="n">
        <f aca="false">IF(G2348="","",C2348/C2347-1)</f>
        <v>-0.0113505139121641</v>
      </c>
      <c r="J2348" s="17" t="n">
        <f aca="false">AVERAGE(C2149:C2348)</f>
        <v>41934.21355</v>
      </c>
      <c r="K2348" s="17" t="n">
        <f aca="false">MAX(K2347,C2348)</f>
        <v>63660.94</v>
      </c>
      <c r="L2348" s="25" t="n">
        <f aca="false">C2348/K2348-1</f>
        <v>-0.474838731567583</v>
      </c>
      <c r="M2348" s="25" t="n">
        <f aca="false">IF(COUNT(G2319:G2348)&lt;20,"",_xlfn.STDEV.S(G2319:G2348)*SQRT($R$3))</f>
        <v>1.08023886709614</v>
      </c>
      <c r="N2348" s="25" t="n">
        <f aca="false">IF(A2348-7&lt;$R$2,"",C2348/INDEX(Clean_Data!$C$2:$C$4314,MATCH(A2348-7,Clean_Data!$A$2:$A$4314,1))-1)</f>
        <v>-0.0906394143493547</v>
      </c>
      <c r="O2348" s="25" t="n">
        <f aca="false">IF(A2348-30&lt;$R$2,"",C2348/INDEX(Clean_Data!$C$2:$C$4314,MATCH(A2348-30,Clean_Data!$A$2:$A$4314,1))-1)</f>
        <v>-0.4276311351723</v>
      </c>
    </row>
    <row r="2349" customFormat="false" ht="15" hidden="false" customHeight="false" outlineLevel="0" collapsed="false">
      <c r="A2349" s="16" t="n">
        <v>44356</v>
      </c>
      <c r="B2349" s="23" t="n">
        <f aca="false">YEAR(A2349)</f>
        <v>2021</v>
      </c>
      <c r="C2349" s="17" t="n">
        <v>37357.02</v>
      </c>
      <c r="D2349" s="23" t="n">
        <f aca="false">A2349-A2348</f>
        <v>1</v>
      </c>
      <c r="E2349" s="24" t="n">
        <f aca="false">LN(C2349)</f>
        <v>10.5282761247075</v>
      </c>
      <c r="F2349" s="25" t="n">
        <f aca="false">LN(C2349/C2348)</f>
        <v>0.110999543629815</v>
      </c>
      <c r="G2349" s="25" t="n">
        <f aca="false">IF(AND(D2349=1,A2349&gt;=$R$2),F2349,"")</f>
        <v>0.110999543629815</v>
      </c>
      <c r="H2349" s="27" t="n">
        <f aca="false">IF(G2349="","",G2349^2)</f>
        <v>0.0123208986860271</v>
      </c>
      <c r="I2349" s="25" t="n">
        <f aca="false">IF(G2349="","",C2349/C2348-1)</f>
        <v>0.117394396908854</v>
      </c>
      <c r="J2349" s="17" t="n">
        <f aca="false">AVERAGE(C2150:C2349)</f>
        <v>42027.44795</v>
      </c>
      <c r="K2349" s="17" t="n">
        <f aca="false">MAX(K2348,C2349)</f>
        <v>63660.94</v>
      </c>
      <c r="L2349" s="25" t="n">
        <f aca="false">C2349/K2349-1</f>
        <v>-0.413187741180071</v>
      </c>
      <c r="M2349" s="25" t="n">
        <f aca="false">IF(COUNT(G2320:G2349)&lt;20,"",_xlfn.STDEV.S(G2320:G2349)*SQRT($R$3))</f>
        <v>1.16647558962346</v>
      </c>
      <c r="N2349" s="25" t="n">
        <f aca="false">IF(A2349-7&lt;$R$2,"",C2349/INDEX(Clean_Data!$C$2:$C$4314,MATCH(A2349-7,Clean_Data!$A$2:$A$4314,1))-1)</f>
        <v>-0.00384892707891138</v>
      </c>
      <c r="O2349" s="25" t="n">
        <f aca="false">IF(A2349-30&lt;$R$2,"",C2349/INDEX(Clean_Data!$C$2:$C$4314,MATCH(A2349-30,Clean_Data!$A$2:$A$4314,1))-1)</f>
        <v>-0.332156290039629</v>
      </c>
    </row>
    <row r="2350" customFormat="false" ht="15" hidden="false" customHeight="false" outlineLevel="0" collapsed="false">
      <c r="A2350" s="16" t="n">
        <v>44357</v>
      </c>
      <c r="B2350" s="23" t="n">
        <f aca="false">YEAR(A2350)</f>
        <v>2021</v>
      </c>
      <c r="C2350" s="17" t="n">
        <v>36717.51</v>
      </c>
      <c r="D2350" s="23" t="n">
        <f aca="false">A2350-A2349</f>
        <v>1</v>
      </c>
      <c r="E2350" s="24" t="n">
        <f aca="false">LN(C2350)</f>
        <v>10.5110090319777</v>
      </c>
      <c r="F2350" s="25" t="n">
        <f aca="false">LN(C2350/C2349)</f>
        <v>-0.0172670927297867</v>
      </c>
      <c r="G2350" s="25" t="n">
        <f aca="false">IF(AND(D2350=1,A2350&gt;=$R$2),F2350,"")</f>
        <v>-0.0172670927297867</v>
      </c>
      <c r="H2350" s="27" t="n">
        <f aca="false">IF(G2350="","",G2350^2)</f>
        <v>0.000298152491339053</v>
      </c>
      <c r="I2350" s="25" t="n">
        <f aca="false">IF(G2350="","",C2350/C2349-1)</f>
        <v>-0.0171188708307032</v>
      </c>
      <c r="J2350" s="17" t="n">
        <f aca="false">AVERAGE(C2151:C2350)</f>
        <v>42118.6481</v>
      </c>
      <c r="K2350" s="17" t="n">
        <f aca="false">MAX(K2349,C2350)</f>
        <v>63660.94</v>
      </c>
      <c r="L2350" s="25" t="n">
        <f aca="false">C2350/K2350-1</f>
        <v>-0.423233304440682</v>
      </c>
      <c r="M2350" s="25" t="n">
        <f aca="false">IF(COUNT(G2321:G2350)&lt;20,"",_xlfn.STDEV.S(G2321:G2350)*SQRT($R$3))</f>
        <v>1.16233824461136</v>
      </c>
      <c r="N2350" s="25" t="n">
        <f aca="false">IF(A2350-7&lt;$R$2,"",C2350/INDEX(Clean_Data!$C$2:$C$4314,MATCH(A2350-7,Clean_Data!$A$2:$A$4314,1))-1)</f>
        <v>-0.0636892583951738</v>
      </c>
      <c r="O2350" s="25" t="n">
        <f aca="false">IF(A2350-30&lt;$R$2,"",C2350/INDEX(Clean_Data!$C$2:$C$4314,MATCH(A2350-30,Clean_Data!$A$2:$A$4314,1))-1)</f>
        <v>-0.352641795518257</v>
      </c>
    </row>
    <row r="2351" customFormat="false" ht="15" hidden="false" customHeight="false" outlineLevel="0" collapsed="false">
      <c r="A2351" s="16" t="n">
        <v>44358</v>
      </c>
      <c r="B2351" s="23" t="n">
        <f aca="false">YEAR(A2351)</f>
        <v>2021</v>
      </c>
      <c r="C2351" s="17" t="n">
        <v>37282.15</v>
      </c>
      <c r="D2351" s="23" t="n">
        <f aca="false">A2351-A2350</f>
        <v>1</v>
      </c>
      <c r="E2351" s="24" t="n">
        <f aca="false">LN(C2351)</f>
        <v>10.5262699388104</v>
      </c>
      <c r="F2351" s="25" t="n">
        <f aca="false">LN(C2351/C2350)</f>
        <v>0.0152609068327229</v>
      </c>
      <c r="G2351" s="25" t="n">
        <f aca="false">IF(AND(D2351=1,A2351&gt;=$R$2),F2351,"")</f>
        <v>0.0152609068327229</v>
      </c>
      <c r="H2351" s="27" t="n">
        <f aca="false">IF(G2351="","",G2351^2)</f>
        <v>0.000232895277357047</v>
      </c>
      <c r="I2351" s="25" t="n">
        <f aca="false">IF(G2351="","",C2351/C2350-1)</f>
        <v>0.0153779491038473</v>
      </c>
      <c r="J2351" s="17" t="n">
        <f aca="false">AVERAGE(C2152:C2351)</f>
        <v>42213.1028</v>
      </c>
      <c r="K2351" s="17" t="n">
        <f aca="false">MAX(K2350,C2351)</f>
        <v>63660.94</v>
      </c>
      <c r="L2351" s="25" t="n">
        <f aca="false">C2351/K2351-1</f>
        <v>-0.414363815551577</v>
      </c>
      <c r="M2351" s="25" t="n">
        <f aca="false">IF(COUNT(G2322:G2351)&lt;20,"",_xlfn.STDEV.S(G2322:G2351)*SQRT($R$3))</f>
        <v>1.06737375322478</v>
      </c>
      <c r="N2351" s="25" t="n">
        <f aca="false">IF(A2351-7&lt;$R$2,"",C2351/INDEX(Clean_Data!$C$2:$C$4314,MATCH(A2351-7,Clean_Data!$A$2:$A$4314,1))-1)</f>
        <v>0.0104801455354422</v>
      </c>
      <c r="O2351" s="25" t="n">
        <f aca="false">IF(A2351-30&lt;$R$2,"",C2351/INDEX(Clean_Data!$C$2:$C$4314,MATCH(A2351-30,Clean_Data!$A$2:$A$4314,1))-1)</f>
        <v>-0.240620895123531</v>
      </c>
    </row>
    <row r="2352" customFormat="false" ht="15" hidden="false" customHeight="false" outlineLevel="0" collapsed="false">
      <c r="A2352" s="16" t="n">
        <v>44359</v>
      </c>
      <c r="B2352" s="23" t="n">
        <f aca="false">YEAR(A2352)</f>
        <v>2021</v>
      </c>
      <c r="C2352" s="17" t="n">
        <v>35609.66</v>
      </c>
      <c r="D2352" s="23" t="n">
        <f aca="false">A2352-A2351</f>
        <v>1</v>
      </c>
      <c r="E2352" s="24" t="n">
        <f aca="false">LN(C2352)</f>
        <v>10.4803722283464</v>
      </c>
      <c r="F2352" s="25" t="n">
        <f aca="false">LN(C2352/C2351)</f>
        <v>-0.0458977104639671</v>
      </c>
      <c r="G2352" s="25" t="n">
        <f aca="false">IF(AND(D2352=1,A2352&gt;=$R$2),F2352,"")</f>
        <v>-0.0458977104639671</v>
      </c>
      <c r="H2352" s="27" t="n">
        <f aca="false">IF(G2352="","",G2352^2)</f>
        <v>0.00210659982583415</v>
      </c>
      <c r="I2352" s="25" t="n">
        <f aca="false">IF(G2352="","",C2352/C2351-1)</f>
        <v>-0.0448603420135373</v>
      </c>
      <c r="J2352" s="17" t="n">
        <f aca="false">AVERAGE(C2153:C2352)</f>
        <v>42295.22575</v>
      </c>
      <c r="K2352" s="17" t="n">
        <f aca="false">MAX(K2351,C2352)</f>
        <v>63660.94</v>
      </c>
      <c r="L2352" s="25" t="n">
        <f aca="false">C2352/K2352-1</f>
        <v>-0.440635655081436</v>
      </c>
      <c r="M2352" s="25" t="n">
        <f aca="false">IF(COUNT(G2323:G2352)&lt;20,"",_xlfn.STDEV.S(G2323:G2352)*SQRT($R$3))</f>
        <v>1.07229371827382</v>
      </c>
      <c r="N2352" s="25" t="n">
        <f aca="false">IF(A2352-7&lt;$R$2,"",C2352/INDEX(Clean_Data!$C$2:$C$4314,MATCH(A2352-7,Clean_Data!$A$2:$A$4314,1))-1)</f>
        <v>0.00125572894699855</v>
      </c>
      <c r="O2352" s="25" t="n">
        <f aca="false">IF(A2352-30&lt;$R$2,"",C2352/INDEX(Clean_Data!$C$2:$C$4314,MATCH(A2352-30,Clean_Data!$A$2:$A$4314,1))-1)</f>
        <v>-0.282576062068542</v>
      </c>
    </row>
    <row r="2353" customFormat="false" ht="15" hidden="false" customHeight="false" outlineLevel="0" collapsed="false">
      <c r="A2353" s="16" t="n">
        <v>44360</v>
      </c>
      <c r="B2353" s="23" t="n">
        <f aca="false">YEAR(A2353)</f>
        <v>2021</v>
      </c>
      <c r="C2353" s="17" t="n">
        <v>39122.03</v>
      </c>
      <c r="D2353" s="23" t="n">
        <f aca="false">A2353-A2352</f>
        <v>1</v>
      </c>
      <c r="E2353" s="24" t="n">
        <f aca="false">LN(C2353)</f>
        <v>10.574441014418</v>
      </c>
      <c r="F2353" s="25" t="n">
        <f aca="false">LN(C2353/C2352)</f>
        <v>0.094068786071539</v>
      </c>
      <c r="G2353" s="25" t="n">
        <f aca="false">IF(AND(D2353=1,A2353&gt;=$R$2),F2353,"")</f>
        <v>0.094068786071539</v>
      </c>
      <c r="H2353" s="27" t="n">
        <f aca="false">IF(G2353="","",G2353^2)</f>
        <v>0.00884893651297298</v>
      </c>
      <c r="I2353" s="25" t="n">
        <f aca="false">IF(G2353="","",C2353/C2352-1)</f>
        <v>0.0986353141254366</v>
      </c>
      <c r="J2353" s="17" t="n">
        <f aca="false">AVERAGE(C2154:C2353)</f>
        <v>42397.30515</v>
      </c>
      <c r="K2353" s="17" t="n">
        <f aca="false">MAX(K2352,C2353)</f>
        <v>63660.94</v>
      </c>
      <c r="L2353" s="25" t="n">
        <f aca="false">C2353/K2353-1</f>
        <v>-0.385462577209824</v>
      </c>
      <c r="M2353" s="25" t="n">
        <f aca="false">IF(COUNT(G2324:G2353)&lt;20,"",_xlfn.STDEV.S(G2324:G2353)*SQRT($R$3))</f>
        <v>1.13229586782958</v>
      </c>
      <c r="N2353" s="25" t="n">
        <f aca="false">IF(A2353-7&lt;$R$2,"",C2353/INDEX(Clean_Data!$C$2:$C$4314,MATCH(A2353-7,Clean_Data!$A$2:$A$4314,1))-1)</f>
        <v>0.0905575771699492</v>
      </c>
      <c r="O2353" s="25" t="n">
        <f aca="false">IF(A2353-30&lt;$R$2,"",C2353/INDEX(Clean_Data!$C$2:$C$4314,MATCH(A2353-30,Clean_Data!$A$2:$A$4314,1))-1)</f>
        <v>-0.216367024063815</v>
      </c>
    </row>
    <row r="2354" customFormat="false" ht="15" hidden="false" customHeight="false" outlineLevel="0" collapsed="false">
      <c r="A2354" s="16" t="n">
        <v>44361</v>
      </c>
      <c r="B2354" s="23" t="n">
        <f aca="false">YEAR(A2354)</f>
        <v>2021</v>
      </c>
      <c r="C2354" s="17" t="n">
        <v>40496.92</v>
      </c>
      <c r="D2354" s="23" t="n">
        <f aca="false">A2354-A2353</f>
        <v>1</v>
      </c>
      <c r="E2354" s="24" t="n">
        <f aca="false">LN(C2354)</f>
        <v>10.60898120082</v>
      </c>
      <c r="F2354" s="25" t="n">
        <f aca="false">LN(C2354/C2353)</f>
        <v>0.0345401864020413</v>
      </c>
      <c r="G2354" s="25" t="n">
        <f aca="false">IF(AND(D2354=1,A2354&gt;=$R$2),F2354,"")</f>
        <v>0.0345401864020413</v>
      </c>
      <c r="H2354" s="27" t="n">
        <f aca="false">IF(G2354="","",G2354^2)</f>
        <v>0.00119302447668776</v>
      </c>
      <c r="I2354" s="25" t="n">
        <f aca="false">IF(G2354="","",C2354/C2353-1)</f>
        <v>0.035143626238209</v>
      </c>
      <c r="J2354" s="17" t="n">
        <f aca="false">AVERAGE(C2155:C2354)</f>
        <v>42513.92475</v>
      </c>
      <c r="K2354" s="17" t="n">
        <f aca="false">MAX(K2353,C2354)</f>
        <v>63660.94</v>
      </c>
      <c r="L2354" s="25" t="n">
        <f aca="false">C2354/K2354-1</f>
        <v>-0.363865503713894</v>
      </c>
      <c r="M2354" s="25" t="n">
        <f aca="false">IF(COUNT(G2325:G2354)&lt;20,"",_xlfn.STDEV.S(G2325:G2354)*SQRT($R$3))</f>
        <v>1.12536495670649</v>
      </c>
      <c r="N2354" s="25" t="n">
        <f aca="false">IF(A2354-7&lt;$R$2,"",C2354/INDEX(Clean_Data!$C$2:$C$4314,MATCH(A2354-7,Clean_Data!$A$2:$A$4314,1))-1)</f>
        <v>0.197563644998579</v>
      </c>
      <c r="O2354" s="25" t="n">
        <f aca="false">IF(A2354-30&lt;$R$2,"",C2354/INDEX(Clean_Data!$C$2:$C$4314,MATCH(A2354-30,Clean_Data!$A$2:$A$4314,1))-1)</f>
        <v>-0.138083556490895</v>
      </c>
    </row>
    <row r="2355" customFormat="false" ht="15" hidden="false" customHeight="false" outlineLevel="0" collapsed="false">
      <c r="A2355" s="16" t="n">
        <v>44362</v>
      </c>
      <c r="B2355" s="23" t="n">
        <f aca="false">YEAR(A2355)</f>
        <v>2021</v>
      </c>
      <c r="C2355" s="17" t="n">
        <v>40093.93</v>
      </c>
      <c r="D2355" s="23" t="n">
        <f aca="false">A2355-A2354</f>
        <v>1</v>
      </c>
      <c r="E2355" s="24" t="n">
        <f aca="false">LN(C2355)</f>
        <v>10.5989802302658</v>
      </c>
      <c r="F2355" s="25" t="n">
        <f aca="false">LN(C2355/C2354)</f>
        <v>-0.0100009705542577</v>
      </c>
      <c r="G2355" s="25" t="n">
        <f aca="false">IF(AND(D2355=1,A2355&gt;=$R$2),F2355,"")</f>
        <v>-0.0100009705542577</v>
      </c>
      <c r="H2355" s="27" t="n">
        <f aca="false">IF(G2355="","",G2355^2)</f>
        <v>0.00010001941202713</v>
      </c>
      <c r="I2355" s="25" t="n">
        <f aca="false">IF(G2355="","",C2355/C2354-1)</f>
        <v>-0.00995112714744717</v>
      </c>
      <c r="J2355" s="17" t="n">
        <f aca="false">AVERAGE(C2156:C2355)</f>
        <v>42628.60945</v>
      </c>
      <c r="K2355" s="17" t="n">
        <f aca="false">MAX(K2354,C2355)</f>
        <v>63660.94</v>
      </c>
      <c r="L2355" s="25" t="n">
        <f aca="false">C2355/K2355-1</f>
        <v>-0.370195758969315</v>
      </c>
      <c r="M2355" s="25" t="n">
        <f aca="false">IF(COUNT(G2326:G2355)&lt;20,"",_xlfn.STDEV.S(G2326:G2355)*SQRT($R$3))</f>
        <v>1.1253722849033</v>
      </c>
      <c r="N2355" s="25" t="n">
        <f aca="false">IF(A2355-7&lt;$R$2,"",C2355/INDEX(Clean_Data!$C$2:$C$4314,MATCH(A2355-7,Clean_Data!$A$2:$A$4314,1))-1)</f>
        <v>0.19925873991169</v>
      </c>
      <c r="O2355" s="25" t="n">
        <f aca="false">IF(A2355-30&lt;$R$2,"",C2355/INDEX(Clean_Data!$C$2:$C$4314,MATCH(A2355-30,Clean_Data!$A$2:$A$4314,1))-1)</f>
        <v>-0.138196959760602</v>
      </c>
    </row>
    <row r="2356" customFormat="false" ht="15" hidden="false" customHeight="false" outlineLevel="0" collapsed="false">
      <c r="A2356" s="16" t="n">
        <v>44363</v>
      </c>
      <c r="B2356" s="23" t="n">
        <f aca="false">YEAR(A2356)</f>
        <v>2021</v>
      </c>
      <c r="C2356" s="17" t="n">
        <v>38394.4</v>
      </c>
      <c r="D2356" s="23" t="n">
        <f aca="false">A2356-A2355</f>
        <v>1</v>
      </c>
      <c r="E2356" s="24" t="n">
        <f aca="false">LN(C2356)</f>
        <v>10.5556668946078</v>
      </c>
      <c r="F2356" s="25" t="n">
        <f aca="false">LN(C2356/C2355)</f>
        <v>-0.0433133356579852</v>
      </c>
      <c r="G2356" s="25" t="n">
        <f aca="false">IF(AND(D2356=1,A2356&gt;=$R$2),F2356,"")</f>
        <v>-0.0433133356579852</v>
      </c>
      <c r="H2356" s="27" t="n">
        <f aca="false">IF(G2356="","",G2356^2)</f>
        <v>0.0018760450458213</v>
      </c>
      <c r="I2356" s="25" t="n">
        <f aca="false">IF(G2356="","",C2356/C2355-1)</f>
        <v>-0.042388710710075</v>
      </c>
      <c r="J2356" s="17" t="n">
        <f aca="false">AVERAGE(C2157:C2356)</f>
        <v>42731.98995</v>
      </c>
      <c r="K2356" s="17" t="n">
        <f aca="false">MAX(K2355,C2356)</f>
        <v>63660.94</v>
      </c>
      <c r="L2356" s="25" t="n">
        <f aca="false">C2356/K2356-1</f>
        <v>-0.396892348746343</v>
      </c>
      <c r="M2356" s="25" t="n">
        <f aca="false">IF(COUNT(G2327:G2356)&lt;20,"",_xlfn.STDEV.S(G2327:G2356)*SQRT($R$3))</f>
        <v>1.115916588841</v>
      </c>
      <c r="N2356" s="25" t="n">
        <f aca="false">IF(A2356-7&lt;$R$2,"",C2356/INDEX(Clean_Data!$C$2:$C$4314,MATCH(A2356-7,Clean_Data!$A$2:$A$4314,1))-1)</f>
        <v>0.027769345627676</v>
      </c>
      <c r="O2356" s="25" t="n">
        <f aca="false">IF(A2356-30&lt;$R$2,"",C2356/INDEX(Clean_Data!$C$2:$C$4314,MATCH(A2356-30,Clean_Data!$A$2:$A$4314,1))-1)</f>
        <v>-0.122789461154239</v>
      </c>
    </row>
    <row r="2357" customFormat="false" ht="15" hidden="false" customHeight="false" outlineLevel="0" collapsed="false">
      <c r="A2357" s="16" t="n">
        <v>44364</v>
      </c>
      <c r="B2357" s="23" t="n">
        <f aca="false">YEAR(A2357)</f>
        <v>2021</v>
      </c>
      <c r="C2357" s="17" t="n">
        <v>38027.63</v>
      </c>
      <c r="D2357" s="23" t="n">
        <f aca="false">A2357-A2356</f>
        <v>1</v>
      </c>
      <c r="E2357" s="24" t="n">
        <f aca="false">LN(C2357)</f>
        <v>10.5460682797587</v>
      </c>
      <c r="F2357" s="25" t="n">
        <f aca="false">LN(C2357/C2356)</f>
        <v>-0.00959861484905567</v>
      </c>
      <c r="G2357" s="25" t="n">
        <f aca="false">IF(AND(D2357=1,A2357&gt;=$R$2),F2357,"")</f>
        <v>-0.00959861484905567</v>
      </c>
      <c r="H2357" s="27" t="n">
        <f aca="false">IF(G2357="","",G2357^2)</f>
        <v>9.21334070205121E-005</v>
      </c>
      <c r="I2357" s="25" t="n">
        <f aca="false">IF(G2357="","",C2357/C2356-1)</f>
        <v>-0.00955269518471458</v>
      </c>
      <c r="J2357" s="17" t="n">
        <f aca="false">AVERAGE(C2158:C2357)</f>
        <v>42830.9355</v>
      </c>
      <c r="K2357" s="17" t="n">
        <f aca="false">MAX(K2356,C2357)</f>
        <v>63660.94</v>
      </c>
      <c r="L2357" s="25" t="n">
        <f aca="false">C2357/K2357-1</f>
        <v>-0.402653652302338</v>
      </c>
      <c r="M2357" s="25" t="n">
        <f aca="false">IF(COUNT(G2328:G2357)&lt;20,"",_xlfn.STDEV.S(G2328:G2357)*SQRT($R$3))</f>
        <v>1.11501590797537</v>
      </c>
      <c r="N2357" s="25" t="n">
        <f aca="false">IF(A2357-7&lt;$R$2,"",C2357/INDEX(Clean_Data!$C$2:$C$4314,MATCH(A2357-7,Clean_Data!$A$2:$A$4314,1))-1)</f>
        <v>0.0356810687870717</v>
      </c>
      <c r="O2357" s="25" t="n">
        <f aca="false">IF(A2357-30&lt;$R$2,"",C2357/INDEX(Clean_Data!$C$2:$C$4314,MATCH(A2357-30,Clean_Data!$A$2:$A$4314,1))-1)</f>
        <v>-0.115426682608433</v>
      </c>
    </row>
    <row r="2358" customFormat="false" ht="15" hidden="false" customHeight="false" outlineLevel="0" collapsed="false">
      <c r="A2358" s="16" t="n">
        <v>44365</v>
      </c>
      <c r="B2358" s="23" t="n">
        <f aca="false">YEAR(A2358)</f>
        <v>2021</v>
      </c>
      <c r="C2358" s="17" t="n">
        <v>35777.39</v>
      </c>
      <c r="D2358" s="23" t="n">
        <f aca="false">A2358-A2357</f>
        <v>1</v>
      </c>
      <c r="E2358" s="24" t="n">
        <f aca="false">LN(C2358)</f>
        <v>10.4850714086223</v>
      </c>
      <c r="F2358" s="25" t="n">
        <f aca="false">LN(C2358/C2357)</f>
        <v>-0.0609968711364426</v>
      </c>
      <c r="G2358" s="25" t="n">
        <f aca="false">IF(AND(D2358=1,A2358&gt;=$R$2),F2358,"")</f>
        <v>-0.0609968711364426</v>
      </c>
      <c r="H2358" s="27" t="n">
        <f aca="false">IF(G2358="","",G2358^2)</f>
        <v>0.00372061828843579</v>
      </c>
      <c r="I2358" s="25" t="n">
        <f aca="false">IF(G2358="","",C2358/C2357-1)</f>
        <v>-0.0591738165118362</v>
      </c>
      <c r="J2358" s="17" t="n">
        <f aca="false">AVERAGE(C2159:C2358)</f>
        <v>42911.18745</v>
      </c>
      <c r="K2358" s="17" t="n">
        <f aca="false">MAX(K2357,C2358)</f>
        <v>63660.94</v>
      </c>
      <c r="L2358" s="25" t="n">
        <f aca="false">C2358/K2358-1</f>
        <v>-0.438000915475015</v>
      </c>
      <c r="M2358" s="25" t="n">
        <f aca="false">IF(COUNT(G2329:G2358)&lt;20,"",_xlfn.STDEV.S(G2329:G2358)*SQRT($R$3))</f>
        <v>1.01780901298745</v>
      </c>
      <c r="N2358" s="25" t="n">
        <f aca="false">IF(A2358-7&lt;$R$2,"",C2358/INDEX(Clean_Data!$C$2:$C$4314,MATCH(A2358-7,Clean_Data!$A$2:$A$4314,1))-1)</f>
        <v>-0.0403614061957265</v>
      </c>
      <c r="O2358" s="25" t="n">
        <f aca="false">IF(A2358-30&lt;$R$2,"",C2358/INDEX(Clean_Data!$C$2:$C$4314,MATCH(A2358-30,Clean_Data!$A$2:$A$4314,1))-1)</f>
        <v>-0.0391877778347707</v>
      </c>
    </row>
    <row r="2359" customFormat="false" ht="15" hidden="false" customHeight="false" outlineLevel="0" collapsed="false">
      <c r="A2359" s="16" t="n">
        <v>44366</v>
      </c>
      <c r="B2359" s="23" t="n">
        <f aca="false">YEAR(A2359)</f>
        <v>2021</v>
      </c>
      <c r="C2359" s="17" t="n">
        <v>35498.24</v>
      </c>
      <c r="D2359" s="23" t="n">
        <f aca="false">A2359-A2358</f>
        <v>1</v>
      </c>
      <c r="E2359" s="24" t="n">
        <f aca="false">LN(C2359)</f>
        <v>10.4772383967697</v>
      </c>
      <c r="F2359" s="25" t="n">
        <f aca="false">LN(C2359/C2358)</f>
        <v>-0.00783301185255689</v>
      </c>
      <c r="G2359" s="25" t="n">
        <f aca="false">IF(AND(D2359=1,A2359&gt;=$R$2),F2359,"")</f>
        <v>-0.00783301185255689</v>
      </c>
      <c r="H2359" s="27" t="n">
        <f aca="false">IF(G2359="","",G2359^2)</f>
        <v>6.13560746822968E-005</v>
      </c>
      <c r="I2359" s="25" t="n">
        <f aca="false">IF(G2359="","",C2359/C2358-1)</f>
        <v>-0.00780241375908086</v>
      </c>
      <c r="J2359" s="17" t="n">
        <f aca="false">AVERAGE(C2160:C2359)</f>
        <v>42994.8619</v>
      </c>
      <c r="K2359" s="17" t="n">
        <f aca="false">MAX(K2358,C2359)</f>
        <v>63660.94</v>
      </c>
      <c r="L2359" s="25" t="n">
        <f aca="false">C2359/K2359-1</f>
        <v>-0.442385864864704</v>
      </c>
      <c r="M2359" s="25" t="n">
        <f aca="false">IF(COUNT(G2330:G2359)&lt;20,"",_xlfn.STDEV.S(G2330:G2359)*SQRT($R$3))</f>
        <v>0.962852719429042</v>
      </c>
      <c r="N2359" s="25" t="n">
        <f aca="false">IF(A2359-7&lt;$R$2,"",C2359/INDEX(Clean_Data!$C$2:$C$4314,MATCH(A2359-7,Clean_Data!$A$2:$A$4314,1))-1)</f>
        <v>-0.00312892625203398</v>
      </c>
      <c r="O2359" s="25" t="n">
        <f aca="false">IF(A2359-30&lt;$R$2,"",C2359/INDEX(Clean_Data!$C$2:$C$4314,MATCH(A2359-30,Clean_Data!$A$2:$A$4314,1))-1)</f>
        <v>-0.12887284299449</v>
      </c>
    </row>
    <row r="2360" customFormat="false" ht="15" hidden="false" customHeight="false" outlineLevel="0" collapsed="false">
      <c r="A2360" s="16" t="n">
        <v>44367</v>
      </c>
      <c r="B2360" s="23" t="n">
        <f aca="false">YEAR(A2360)</f>
        <v>2021</v>
      </c>
      <c r="C2360" s="17" t="n">
        <v>35565.82</v>
      </c>
      <c r="D2360" s="23" t="n">
        <f aca="false">A2360-A2359</f>
        <v>1</v>
      </c>
      <c r="E2360" s="24" t="n">
        <f aca="false">LN(C2360)</f>
        <v>10.4791403432775</v>
      </c>
      <c r="F2360" s="25" t="n">
        <f aca="false">LN(C2360/C2359)</f>
        <v>0.00190194650775631</v>
      </c>
      <c r="G2360" s="25" t="n">
        <f aca="false">IF(AND(D2360=1,A2360&gt;=$R$2),F2360,"")</f>
        <v>0.00190194650775631</v>
      </c>
      <c r="H2360" s="27" t="n">
        <f aca="false">IF(G2360="","",G2360^2)</f>
        <v>3.61740051836642E-006</v>
      </c>
      <c r="I2360" s="25" t="n">
        <f aca="false">IF(G2360="","",C2360/C2359-1)</f>
        <v>0.00190375635524465</v>
      </c>
      <c r="J2360" s="17" t="n">
        <f aca="false">AVERAGE(C2161:C2360)</f>
        <v>43076.46295</v>
      </c>
      <c r="K2360" s="17" t="n">
        <f aca="false">MAX(K2359,C2360)</f>
        <v>63660.94</v>
      </c>
      <c r="L2360" s="25" t="n">
        <f aca="false">C2360/K2360-1</f>
        <v>-0.441324303411165</v>
      </c>
      <c r="M2360" s="25" t="n">
        <f aca="false">IF(COUNT(G2331:G2360)&lt;20,"",_xlfn.STDEV.S(G2331:G2360)*SQRT($R$3))</f>
        <v>0.918070521869656</v>
      </c>
      <c r="N2360" s="25" t="n">
        <f aca="false">IF(A2360-7&lt;$R$2,"",C2360/INDEX(Clean_Data!$C$2:$C$4314,MATCH(A2360-7,Clean_Data!$A$2:$A$4314,1))-1)</f>
        <v>-0.090900446628153</v>
      </c>
      <c r="O2360" s="25" t="n">
        <f aca="false">IF(A2360-30&lt;$R$2,"",C2360/INDEX(Clean_Data!$C$2:$C$4314,MATCH(A2360-30,Clean_Data!$A$2:$A$4314,1))-1)</f>
        <v>-0.0496774883099532</v>
      </c>
    </row>
    <row r="2361" customFormat="false" ht="15" hidden="false" customHeight="false" outlineLevel="0" collapsed="false">
      <c r="A2361" s="16" t="n">
        <v>44368</v>
      </c>
      <c r="B2361" s="23" t="n">
        <f aca="false">YEAR(A2361)</f>
        <v>2021</v>
      </c>
      <c r="C2361" s="17" t="n">
        <v>31686.69</v>
      </c>
      <c r="D2361" s="23" t="n">
        <f aca="false">A2361-A2360</f>
        <v>1</v>
      </c>
      <c r="E2361" s="24" t="n">
        <f aca="false">LN(C2361)</f>
        <v>10.3636519978766</v>
      </c>
      <c r="F2361" s="25" t="n">
        <f aca="false">LN(C2361/C2360)</f>
        <v>-0.115488345400827</v>
      </c>
      <c r="G2361" s="25" t="n">
        <f aca="false">IF(AND(D2361=1,A2361&gt;=$R$2),F2361,"")</f>
        <v>-0.115488345400827</v>
      </c>
      <c r="H2361" s="27" t="n">
        <f aca="false">IF(G2361="","",G2361^2)</f>
        <v>0.0133375579234207</v>
      </c>
      <c r="I2361" s="25" t="n">
        <f aca="false">IF(G2361="","",C2361/C2360-1)</f>
        <v>-0.109069044380251</v>
      </c>
      <c r="J2361" s="17" t="n">
        <f aca="false">AVERAGE(C2162:C2361)</f>
        <v>43137.74605</v>
      </c>
      <c r="K2361" s="17" t="n">
        <f aca="false">MAX(K2360,C2361)</f>
        <v>63660.94</v>
      </c>
      <c r="L2361" s="25" t="n">
        <f aca="false">C2361/K2361-1</f>
        <v>-0.502258527756581</v>
      </c>
      <c r="M2361" s="25" t="n">
        <f aca="false">IF(COUNT(G2332:G2361)&lt;20,"",_xlfn.STDEV.S(G2332:G2361)*SQRT($R$3))</f>
        <v>1.00016442917332</v>
      </c>
      <c r="N2361" s="25" t="n">
        <f aca="false">IF(A2361-7&lt;$R$2,"",C2361/INDEX(Clean_Data!$C$2:$C$4314,MATCH(A2361-7,Clean_Data!$A$2:$A$4314,1))-1)</f>
        <v>-0.217553087987926</v>
      </c>
      <c r="O2361" s="25" t="n">
        <f aca="false">IF(A2361-30&lt;$R$2,"",C2361/INDEX(Clean_Data!$C$2:$C$4314,MATCH(A2361-30,Clean_Data!$A$2:$A$4314,1))-1)</f>
        <v>-0.152384725388368</v>
      </c>
    </row>
    <row r="2362" customFormat="false" ht="15" hidden="false" customHeight="false" outlineLevel="0" collapsed="false">
      <c r="A2362" s="16" t="n">
        <v>44369</v>
      </c>
      <c r="B2362" s="23" t="n">
        <f aca="false">YEAR(A2362)</f>
        <v>2021</v>
      </c>
      <c r="C2362" s="17" t="n">
        <v>32508.26</v>
      </c>
      <c r="D2362" s="23" t="n">
        <f aca="false">A2362-A2361</f>
        <v>1</v>
      </c>
      <c r="E2362" s="24" t="n">
        <f aca="false">LN(C2362)</f>
        <v>10.3892494898724</v>
      </c>
      <c r="F2362" s="25" t="n">
        <f aca="false">LN(C2362/C2361)</f>
        <v>0.0255974919957205</v>
      </c>
      <c r="G2362" s="25" t="n">
        <f aca="false">IF(AND(D2362=1,A2362&gt;=$R$2),F2362,"")</f>
        <v>0.0255974919957205</v>
      </c>
      <c r="H2362" s="27" t="n">
        <f aca="false">IF(G2362="","",G2362^2)</f>
        <v>0.000655231596470975</v>
      </c>
      <c r="I2362" s="25" t="n">
        <f aca="false">IF(G2362="","",C2362/C2361-1)</f>
        <v>0.0259279211555388</v>
      </c>
      <c r="J2362" s="17" t="n">
        <f aca="false">AVERAGE(C2163:C2362)</f>
        <v>43206.82575</v>
      </c>
      <c r="K2362" s="17" t="n">
        <f aca="false">MAX(K2361,C2362)</f>
        <v>63660.94</v>
      </c>
      <c r="L2362" s="25" t="n">
        <f aca="false">C2362/K2362-1</f>
        <v>-0.489353126108411</v>
      </c>
      <c r="M2362" s="25" t="n">
        <f aca="false">IF(COUNT(G2333:G2362)&lt;20,"",_xlfn.STDEV.S(G2333:G2362)*SQRT($R$3))</f>
        <v>0.979674788975748</v>
      </c>
      <c r="N2362" s="25" t="n">
        <f aca="false">IF(A2362-7&lt;$R$2,"",C2362/INDEX(Clean_Data!$C$2:$C$4314,MATCH(A2362-7,Clean_Data!$A$2:$A$4314,1))-1)</f>
        <v>-0.189197467048005</v>
      </c>
      <c r="O2362" s="25" t="n">
        <f aca="false">IF(A2362-30&lt;$R$2,"",C2362/INDEX(Clean_Data!$C$2:$C$4314,MATCH(A2362-30,Clean_Data!$A$2:$A$4314,1))-1)</f>
        <v>-0.0692619547976661</v>
      </c>
    </row>
    <row r="2363" customFormat="false" ht="15" hidden="false" customHeight="false" outlineLevel="0" collapsed="false">
      <c r="A2363" s="16" t="n">
        <v>44370</v>
      </c>
      <c r="B2363" s="23" t="n">
        <f aca="false">YEAR(A2363)</f>
        <v>2021</v>
      </c>
      <c r="C2363" s="17" t="n">
        <v>33688.35</v>
      </c>
      <c r="D2363" s="23" t="n">
        <f aca="false">A2363-A2362</f>
        <v>1</v>
      </c>
      <c r="E2363" s="24" t="n">
        <f aca="false">LN(C2363)</f>
        <v>10.424907359244</v>
      </c>
      <c r="F2363" s="25" t="n">
        <f aca="false">LN(C2363/C2362)</f>
        <v>0.0356578693716147</v>
      </c>
      <c r="G2363" s="25" t="n">
        <f aca="false">IF(AND(D2363=1,A2363&gt;=$R$2),F2363,"")</f>
        <v>0.0356578693716147</v>
      </c>
      <c r="H2363" s="27" t="n">
        <f aca="false">IF(G2363="","",G2363^2)</f>
        <v>0.00127148364812314</v>
      </c>
      <c r="I2363" s="25" t="n">
        <f aca="false">IF(G2363="","",C2363/C2362-1)</f>
        <v>0.0363012354398544</v>
      </c>
      <c r="J2363" s="17" t="n">
        <f aca="false">AVERAGE(C2164:C2363)</f>
        <v>43279.4834</v>
      </c>
      <c r="K2363" s="17" t="n">
        <f aca="false">MAX(K2362,C2363)</f>
        <v>63660.94</v>
      </c>
      <c r="L2363" s="25" t="n">
        <f aca="false">C2363/K2363-1</f>
        <v>-0.470816013712647</v>
      </c>
      <c r="M2363" s="25" t="n">
        <f aca="false">IF(COUNT(G2334:G2363)&lt;20,"",_xlfn.STDEV.S(G2334:G2363)*SQRT($R$3))</f>
        <v>0.914164301022935</v>
      </c>
      <c r="N2363" s="25" t="n">
        <f aca="false">IF(A2363-7&lt;$R$2,"",C2363/INDEX(Clean_Data!$C$2:$C$4314,MATCH(A2363-7,Clean_Data!$A$2:$A$4314,1))-1)</f>
        <v>-0.122571260392141</v>
      </c>
      <c r="O2363" s="25" t="n">
        <f aca="false">IF(A2363-30&lt;$R$2,"",C2363/INDEX(Clean_Data!$C$2:$C$4314,MATCH(A2363-30,Clean_Data!$A$2:$A$4314,1))-1)</f>
        <v>-0.130063323336362</v>
      </c>
    </row>
    <row r="2364" customFormat="false" ht="15" hidden="false" customHeight="false" outlineLevel="0" collapsed="false">
      <c r="A2364" s="16" t="n">
        <v>44371</v>
      </c>
      <c r="B2364" s="23" t="n">
        <f aca="false">YEAR(A2364)</f>
        <v>2021</v>
      </c>
      <c r="C2364" s="17" t="n">
        <v>34695.34</v>
      </c>
      <c r="D2364" s="23" t="n">
        <f aca="false">A2364-A2363</f>
        <v>1</v>
      </c>
      <c r="E2364" s="24" t="n">
        <f aca="false">LN(C2364)</f>
        <v>10.4543606629686</v>
      </c>
      <c r="F2364" s="25" t="n">
        <f aca="false">LN(C2364/C2363)</f>
        <v>0.0294533037246043</v>
      </c>
      <c r="G2364" s="25" t="n">
        <f aca="false">IF(AND(D2364=1,A2364&gt;=$R$2),F2364,"")</f>
        <v>0.0294533037246043</v>
      </c>
      <c r="H2364" s="27" t="n">
        <f aca="false">IF(G2364="","",G2364^2)</f>
        <v>0.000867497100293789</v>
      </c>
      <c r="I2364" s="25" t="n">
        <f aca="false">IF(G2364="","",C2364/C2363-1)</f>
        <v>0.0298913422592677</v>
      </c>
      <c r="J2364" s="17" t="n">
        <f aca="false">AVERAGE(C2165:C2364)</f>
        <v>43355.9747</v>
      </c>
      <c r="K2364" s="17" t="n">
        <f aca="false">MAX(K2363,C2364)</f>
        <v>63660.94</v>
      </c>
      <c r="L2364" s="25" t="n">
        <f aca="false">C2364/K2364-1</f>
        <v>-0.454997994060408</v>
      </c>
      <c r="M2364" s="25" t="n">
        <f aca="false">IF(COUNT(G2335:G2364)&lt;20,"",_xlfn.STDEV.S(G2335:G2364)*SQRT($R$3))</f>
        <v>0.921650801668167</v>
      </c>
      <c r="N2364" s="25" t="n">
        <f aca="false">IF(A2364-7&lt;$R$2,"",C2364/INDEX(Clean_Data!$C$2:$C$4314,MATCH(A2364-7,Clean_Data!$A$2:$A$4314,1))-1)</f>
        <v>-0.0876281272327516</v>
      </c>
      <c r="O2364" s="25" t="n">
        <f aca="false">IF(A2364-30&lt;$R$2,"",C2364/INDEX(Clean_Data!$C$2:$C$4314,MATCH(A2364-30,Clean_Data!$A$2:$A$4314,1))-1)</f>
        <v>-0.095769090435236</v>
      </c>
    </row>
    <row r="2365" customFormat="false" ht="15" hidden="false" customHeight="false" outlineLevel="0" collapsed="false">
      <c r="A2365" s="16" t="n">
        <v>44372</v>
      </c>
      <c r="B2365" s="23" t="n">
        <f aca="false">YEAR(A2365)</f>
        <v>2021</v>
      </c>
      <c r="C2365" s="17" t="n">
        <v>31704.87</v>
      </c>
      <c r="D2365" s="23" t="n">
        <f aca="false">A2365-A2364</f>
        <v>1</v>
      </c>
      <c r="E2365" s="24" t="n">
        <f aca="false">LN(C2365)</f>
        <v>10.3642255758261</v>
      </c>
      <c r="F2365" s="25" t="n">
        <f aca="false">LN(C2365/C2364)</f>
        <v>-0.0901350871424956</v>
      </c>
      <c r="G2365" s="25" t="n">
        <f aca="false">IF(AND(D2365=1,A2365&gt;=$R$2),F2365,"")</f>
        <v>-0.0901350871424956</v>
      </c>
      <c r="H2365" s="27" t="n">
        <f aca="false">IF(G2365="","",G2365^2)</f>
        <v>0.00812433393418527</v>
      </c>
      <c r="I2365" s="25" t="n">
        <f aca="false">IF(G2365="","",C2365/C2364-1)</f>
        <v>-0.0861922667424501</v>
      </c>
      <c r="J2365" s="17" t="n">
        <f aca="false">AVERAGE(C2166:C2365)</f>
        <v>43418.48465</v>
      </c>
      <c r="K2365" s="17" t="n">
        <f aca="false">MAX(K2364,C2365)</f>
        <v>63660.94</v>
      </c>
      <c r="L2365" s="25" t="n">
        <f aca="false">C2365/K2365-1</f>
        <v>-0.501972952331524</v>
      </c>
      <c r="M2365" s="25" t="n">
        <f aca="false">IF(COUNT(G2336:G2365)&lt;20,"",_xlfn.STDEV.S(G2336:G2365)*SQRT($R$3))</f>
        <v>0.964905658088705</v>
      </c>
      <c r="N2365" s="25" t="n">
        <f aca="false">IF(A2365-7&lt;$R$2,"",C2365/INDEX(Clean_Data!$C$2:$C$4314,MATCH(A2365-7,Clean_Data!$A$2:$A$4314,1))-1)</f>
        <v>-0.113829432499129</v>
      </c>
      <c r="O2365" s="25" t="n">
        <f aca="false">IF(A2365-30&lt;$R$2,"",C2365/INDEX(Clean_Data!$C$2:$C$4314,MATCH(A2365-30,Clean_Data!$A$2:$A$4314,1))-1)</f>
        <v>-0.191478884391845</v>
      </c>
    </row>
    <row r="2366" customFormat="false" ht="15" hidden="false" customHeight="false" outlineLevel="0" collapsed="false">
      <c r="A2366" s="16" t="n">
        <v>44373</v>
      </c>
      <c r="B2366" s="23" t="n">
        <f aca="false">YEAR(A2366)</f>
        <v>2021</v>
      </c>
      <c r="C2366" s="17" t="n">
        <v>32265.95</v>
      </c>
      <c r="D2366" s="23" t="n">
        <f aca="false">A2366-A2365</f>
        <v>1</v>
      </c>
      <c r="E2366" s="24" t="n">
        <f aca="false">LN(C2366)</f>
        <v>10.3817677736061</v>
      </c>
      <c r="F2366" s="25" t="n">
        <f aca="false">LN(C2366/C2365)</f>
        <v>0.0175421977800063</v>
      </c>
      <c r="G2366" s="25" t="n">
        <f aca="false">IF(AND(D2366=1,A2366&gt;=$R$2),F2366,"")</f>
        <v>0.0175421977800063</v>
      </c>
      <c r="H2366" s="27" t="n">
        <f aca="false">IF(G2366="","",G2366^2)</f>
        <v>0.000307728702952859</v>
      </c>
      <c r="I2366" s="25" t="n">
        <f aca="false">IF(G2366="","",C2366/C2365-1)</f>
        <v>0.017696965797368</v>
      </c>
      <c r="J2366" s="17" t="n">
        <f aca="false">AVERAGE(C2167:C2366)</f>
        <v>43488.2556</v>
      </c>
      <c r="K2366" s="17" t="n">
        <f aca="false">MAX(K2365,C2366)</f>
        <v>63660.94</v>
      </c>
      <c r="L2366" s="25" t="n">
        <f aca="false">C2366/K2366-1</f>
        <v>-0.493159384702771</v>
      </c>
      <c r="M2366" s="25" t="n">
        <f aca="false">IF(COUNT(G2337:G2366)&lt;20,"",_xlfn.STDEV.S(G2337:G2366)*SQRT($R$3))</f>
        <v>0.967111951841336</v>
      </c>
      <c r="N2366" s="25" t="n">
        <f aca="false">IF(A2366-7&lt;$R$2,"",C2366/INDEX(Clean_Data!$C$2:$C$4314,MATCH(A2366-7,Clean_Data!$A$2:$A$4314,1))-1)</f>
        <v>-0.0910549368081346</v>
      </c>
      <c r="O2366" s="25" t="n">
        <f aca="false">IF(A2366-30&lt;$R$2,"",C2366/INDEX(Clean_Data!$C$2:$C$4314,MATCH(A2366-30,Clean_Data!$A$2:$A$4314,1))-1)</f>
        <v>-0.159043811576106</v>
      </c>
    </row>
    <row r="2367" customFormat="false" ht="15" hidden="false" customHeight="false" outlineLevel="0" collapsed="false">
      <c r="A2367" s="16" t="n">
        <v>44374</v>
      </c>
      <c r="B2367" s="23" t="n">
        <f aca="false">YEAR(A2367)</f>
        <v>2021</v>
      </c>
      <c r="C2367" s="17" t="n">
        <v>34596.99</v>
      </c>
      <c r="D2367" s="23" t="n">
        <f aca="false">A2367-A2366</f>
        <v>1</v>
      </c>
      <c r="E2367" s="24" t="n">
        <f aca="false">LN(C2367)</f>
        <v>10.4515219630419</v>
      </c>
      <c r="F2367" s="25" t="n">
        <f aca="false">LN(C2367/C2366)</f>
        <v>0.0697541894358509</v>
      </c>
      <c r="G2367" s="25" t="n">
        <f aca="false">IF(AND(D2367=1,A2367&gt;=$R$2),F2367,"")</f>
        <v>0.0697541894358509</v>
      </c>
      <c r="H2367" s="27" t="n">
        <f aca="false">IF(G2367="","",G2367^2)</f>
        <v>0.00486564694385257</v>
      </c>
      <c r="I2367" s="25" t="n">
        <f aca="false">IF(G2367="","",C2367/C2366-1)</f>
        <v>0.0722445798124647</v>
      </c>
      <c r="J2367" s="17" t="n">
        <f aca="false">AVERAGE(C2168:C2367)</f>
        <v>43568.4905</v>
      </c>
      <c r="K2367" s="17" t="n">
        <f aca="false">MAX(K2366,C2367)</f>
        <v>63660.94</v>
      </c>
      <c r="L2367" s="25" t="n">
        <f aca="false">C2367/K2367-1</f>
        <v>-0.456542897418731</v>
      </c>
      <c r="M2367" s="25" t="n">
        <f aca="false">IF(COUNT(G2338:G2367)&lt;20,"",_xlfn.STDEV.S(G2338:G2367)*SQRT($R$3))</f>
        <v>0.973028892042609</v>
      </c>
      <c r="N2367" s="25" t="n">
        <f aca="false">IF(A2367-7&lt;$R$2,"",C2367/INDEX(Clean_Data!$C$2:$C$4314,MATCH(A2367-7,Clean_Data!$A$2:$A$4314,1))-1)</f>
        <v>-0.0272404797639981</v>
      </c>
      <c r="O2367" s="25" t="n">
        <f aca="false">IF(A2367-30&lt;$R$2,"",C2367/INDEX(Clean_Data!$C$2:$C$4314,MATCH(A2367-30,Clean_Data!$A$2:$A$4314,1))-1)</f>
        <v>-0.0327931227285435</v>
      </c>
    </row>
    <row r="2368" customFormat="false" ht="15" hidden="false" customHeight="false" outlineLevel="0" collapsed="false">
      <c r="A2368" s="16" t="n">
        <v>44375</v>
      </c>
      <c r="B2368" s="23" t="n">
        <f aca="false">YEAR(A2368)</f>
        <v>2021</v>
      </c>
      <c r="C2368" s="17" t="n">
        <v>34541.8</v>
      </c>
      <c r="D2368" s="23" t="n">
        <f aca="false">A2368-A2367</f>
        <v>1</v>
      </c>
      <c r="E2368" s="24" t="n">
        <f aca="false">LN(C2368)</f>
        <v>10.4499254638344</v>
      </c>
      <c r="F2368" s="25" t="n">
        <f aca="false">LN(C2368/C2367)</f>
        <v>-0.00159649920753296</v>
      </c>
      <c r="G2368" s="25" t="n">
        <f aca="false">IF(AND(D2368=1,A2368&gt;=$R$2),F2368,"")</f>
        <v>-0.00159649920753296</v>
      </c>
      <c r="H2368" s="27" t="n">
        <f aca="false">IF(G2368="","",G2368^2)</f>
        <v>2.54880971965337E-006</v>
      </c>
      <c r="I2368" s="25" t="n">
        <f aca="false">IF(G2368="","",C2368/C2367-1)</f>
        <v>-0.00159522548059798</v>
      </c>
      <c r="J2368" s="17" t="n">
        <f aca="false">AVERAGE(C2169:C2368)</f>
        <v>43649.7655</v>
      </c>
      <c r="K2368" s="17" t="n">
        <f aca="false">MAX(K2367,C2368)</f>
        <v>63660.94</v>
      </c>
      <c r="L2368" s="25" t="n">
        <f aca="false">C2368/K2368-1</f>
        <v>-0.457409834036381</v>
      </c>
      <c r="M2368" s="25" t="n">
        <f aca="false">IF(COUNT(G2339:G2368)&lt;20,"",_xlfn.STDEV.S(G2339:G2368)*SQRT($R$3))</f>
        <v>0.966374784244485</v>
      </c>
      <c r="N2368" s="25" t="n">
        <f aca="false">IF(A2368-7&lt;$R$2,"",C2368/INDEX(Clean_Data!$C$2:$C$4314,MATCH(A2368-7,Clean_Data!$A$2:$A$4314,1))-1)</f>
        <v>0.0901043939900319</v>
      </c>
      <c r="O2368" s="25" t="n">
        <f aca="false">IF(A2368-30&lt;$R$2,"",C2368/INDEX(Clean_Data!$C$2:$C$4314,MATCH(A2368-30,Clean_Data!$A$2:$A$4314,1))-1)</f>
        <v>-0.00230607215602718</v>
      </c>
    </row>
    <row r="2369" customFormat="false" ht="15" hidden="false" customHeight="false" outlineLevel="0" collapsed="false">
      <c r="A2369" s="16" t="n">
        <v>44376</v>
      </c>
      <c r="B2369" s="23" t="n">
        <f aca="false">YEAR(A2369)</f>
        <v>2021</v>
      </c>
      <c r="C2369" s="17" t="n">
        <v>35928.75</v>
      </c>
      <c r="D2369" s="23" t="n">
        <f aca="false">A2369-A2368</f>
        <v>1</v>
      </c>
      <c r="E2369" s="24" t="n">
        <f aca="false">LN(C2369)</f>
        <v>10.4892930896332</v>
      </c>
      <c r="F2369" s="25" t="n">
        <f aca="false">LN(C2369/C2368)</f>
        <v>0.0393676257987799</v>
      </c>
      <c r="G2369" s="25" t="n">
        <f aca="false">IF(AND(D2369=1,A2369&gt;=$R$2),F2369,"")</f>
        <v>0.0393676257987799</v>
      </c>
      <c r="H2369" s="27" t="n">
        <f aca="false">IF(G2369="","",G2369^2)</f>
        <v>0.00154980996103276</v>
      </c>
      <c r="I2369" s="25" t="n">
        <f aca="false">IF(G2369="","",C2369/C2368-1)</f>
        <v>0.0401528003751974</v>
      </c>
      <c r="J2369" s="17" t="n">
        <f aca="false">AVERAGE(C2170:C2369)</f>
        <v>43739.16855</v>
      </c>
      <c r="K2369" s="17" t="n">
        <f aca="false">MAX(K2368,C2369)</f>
        <v>63660.94</v>
      </c>
      <c r="L2369" s="25" t="n">
        <f aca="false">C2369/K2369-1</f>
        <v>-0.435623319416898</v>
      </c>
      <c r="M2369" s="25" t="n">
        <f aca="false">IF(COUNT(G2340:G2369)&lt;20,"",_xlfn.STDEV.S(G2340:G2369)*SQRT($R$3))</f>
        <v>0.971913557338119</v>
      </c>
      <c r="N2369" s="25" t="n">
        <f aca="false">IF(A2369-7&lt;$R$2,"",C2369/INDEX(Clean_Data!$C$2:$C$4314,MATCH(A2369-7,Clean_Data!$A$2:$A$4314,1))-1)</f>
        <v>0.105219104313796</v>
      </c>
      <c r="O2369" s="25" t="n">
        <f aca="false">IF(A2369-30&lt;$R$2,"",C2369/INDEX(Clean_Data!$C$2:$C$4314,MATCH(A2369-30,Clean_Data!$A$2:$A$4314,1))-1)</f>
        <v>0.0107884959095825</v>
      </c>
    </row>
    <row r="2370" customFormat="false" ht="15" hidden="false" customHeight="false" outlineLevel="0" collapsed="false">
      <c r="A2370" s="16" t="n">
        <v>44377</v>
      </c>
      <c r="B2370" s="23" t="n">
        <f aca="false">YEAR(A2370)</f>
        <v>2021</v>
      </c>
      <c r="C2370" s="17" t="n">
        <v>34995.83</v>
      </c>
      <c r="D2370" s="23" t="n">
        <f aca="false">A2370-A2369</f>
        <v>1</v>
      </c>
      <c r="E2370" s="24" t="n">
        <f aca="false">LN(C2370)</f>
        <v>10.4629841905163</v>
      </c>
      <c r="F2370" s="25" t="n">
        <f aca="false">LN(C2370/C2369)</f>
        <v>-0.0263088991168588</v>
      </c>
      <c r="G2370" s="25" t="n">
        <f aca="false">IF(AND(D2370=1,A2370&gt;=$R$2),F2370,"")</f>
        <v>-0.0263088991168588</v>
      </c>
      <c r="H2370" s="27" t="n">
        <f aca="false">IF(G2370="","",G2370^2)</f>
        <v>0.000692158172741056</v>
      </c>
      <c r="I2370" s="25" t="n">
        <f aca="false">IF(G2370="","",C2370/C2369-1)</f>
        <v>-0.0259658351598649</v>
      </c>
      <c r="J2370" s="17" t="n">
        <f aca="false">AVERAGE(C2171:C2370)</f>
        <v>43820.0159</v>
      </c>
      <c r="K2370" s="17" t="n">
        <f aca="false">MAX(K2369,C2370)</f>
        <v>63660.94</v>
      </c>
      <c r="L2370" s="25" t="n">
        <f aca="false">C2370/K2370-1</f>
        <v>-0.450277831272991</v>
      </c>
      <c r="M2370" s="25" t="n">
        <f aca="false">IF(COUNT(G2341:G2370)&lt;20,"",_xlfn.STDEV.S(G2341:G2370)*SQRT($R$3))</f>
        <v>0.962923684452518</v>
      </c>
      <c r="N2370" s="25" t="n">
        <f aca="false">IF(A2370-7&lt;$R$2,"",C2370/INDEX(Clean_Data!$C$2:$C$4314,MATCH(A2370-7,Clean_Data!$A$2:$A$4314,1))-1)</f>
        <v>0.0388110429866706</v>
      </c>
      <c r="O2370" s="25" t="n">
        <f aca="false">IF(A2370-30&lt;$R$2,"",C2370/INDEX(Clean_Data!$C$2:$C$4314,MATCH(A2370-30,Clean_Data!$A$2:$A$4314,1))-1)</f>
        <v>-0.0580797987603391</v>
      </c>
    </row>
    <row r="2371" customFormat="false" ht="15" hidden="false" customHeight="false" outlineLevel="0" collapsed="false">
      <c r="A2371" s="16" t="n">
        <v>44378</v>
      </c>
      <c r="B2371" s="23" t="n">
        <f aca="false">YEAR(A2371)</f>
        <v>2021</v>
      </c>
      <c r="C2371" s="17" t="n">
        <v>33538.49</v>
      </c>
      <c r="D2371" s="23" t="n">
        <f aca="false">A2371-A2370</f>
        <v>1</v>
      </c>
      <c r="E2371" s="24" t="n">
        <f aca="false">LN(C2371)</f>
        <v>10.4204490134931</v>
      </c>
      <c r="F2371" s="25" t="n">
        <f aca="false">LN(C2371/C2370)</f>
        <v>-0.0425351770232062</v>
      </c>
      <c r="G2371" s="25" t="n">
        <f aca="false">IF(AND(D2371=1,A2371&gt;=$R$2),F2371,"")</f>
        <v>-0.0425351770232062</v>
      </c>
      <c r="H2371" s="27" t="n">
        <f aca="false">IF(G2371="","",G2371^2)</f>
        <v>0.00180924128439549</v>
      </c>
      <c r="I2371" s="25" t="n">
        <f aca="false">IF(G2371="","",C2371/C2370-1)</f>
        <v>-0.0416432472097391</v>
      </c>
      <c r="J2371" s="17" t="n">
        <f aca="false">AVERAGE(C2172:C2371)</f>
        <v>43892.04315</v>
      </c>
      <c r="K2371" s="17" t="n">
        <f aca="false">MAX(K2370,C2371)</f>
        <v>63660.94</v>
      </c>
      <c r="L2371" s="25" t="n">
        <f aca="false">C2371/K2371-1</f>
        <v>-0.473170047441964</v>
      </c>
      <c r="M2371" s="25" t="n">
        <f aca="false">IF(COUNT(G2342:G2371)&lt;20,"",_xlfn.STDEV.S(G2342:G2371)*SQRT($R$3))</f>
        <v>0.972913956890176</v>
      </c>
      <c r="N2371" s="25" t="n">
        <f aca="false">IF(A2371-7&lt;$R$2,"",C2371/INDEX(Clean_Data!$C$2:$C$4314,MATCH(A2371-7,Clean_Data!$A$2:$A$4314,1))-1)</f>
        <v>-0.0333430944904992</v>
      </c>
      <c r="O2371" s="25" t="n">
        <f aca="false">IF(A2371-30&lt;$R$2,"",C2371/INDEX(Clean_Data!$C$2:$C$4314,MATCH(A2371-30,Clean_Data!$A$2:$A$4314,1))-1)</f>
        <v>-0.0877499484558236</v>
      </c>
    </row>
    <row r="2372" customFormat="false" ht="15" hidden="false" customHeight="false" outlineLevel="0" collapsed="false">
      <c r="A2372" s="16" t="n">
        <v>44379</v>
      </c>
      <c r="B2372" s="23" t="n">
        <f aca="false">YEAR(A2372)</f>
        <v>2021</v>
      </c>
      <c r="C2372" s="17" t="n">
        <v>33832.49</v>
      </c>
      <c r="D2372" s="23" t="n">
        <f aca="false">A2372-A2371</f>
        <v>1</v>
      </c>
      <c r="E2372" s="24" t="n">
        <f aca="false">LN(C2372)</f>
        <v>10.4291768623768</v>
      </c>
      <c r="F2372" s="25" t="n">
        <f aca="false">LN(C2372/C2371)</f>
        <v>0.00872784888370673</v>
      </c>
      <c r="G2372" s="25" t="n">
        <f aca="false">IF(AND(D2372=1,A2372&gt;=$R$2),F2372,"")</f>
        <v>0.00872784888370673</v>
      </c>
      <c r="H2372" s="27" t="n">
        <f aca="false">IF(G2372="","",G2372^2)</f>
        <v>7.61753461368208E-005</v>
      </c>
      <c r="I2372" s="25" t="n">
        <f aca="false">IF(G2372="","",C2372/C2371-1)</f>
        <v>0.00876604760679456</v>
      </c>
      <c r="J2372" s="17" t="n">
        <f aca="false">AVERAGE(C2173:C2372)</f>
        <v>43964.76345</v>
      </c>
      <c r="K2372" s="17" t="n">
        <f aca="false">MAX(K2371,C2372)</f>
        <v>63660.94</v>
      </c>
      <c r="L2372" s="25" t="n">
        <f aca="false">C2372/K2372-1</f>
        <v>-0.468551830997155</v>
      </c>
      <c r="M2372" s="25" t="n">
        <f aca="false">IF(COUNT(G2343:G2372)&lt;20,"",_xlfn.STDEV.S(G2343:G2372)*SQRT($R$3))</f>
        <v>0.970389913771987</v>
      </c>
      <c r="N2372" s="25" t="n">
        <f aca="false">IF(A2372-7&lt;$R$2,"",C2372/INDEX(Clean_Data!$C$2:$C$4314,MATCH(A2372-7,Clean_Data!$A$2:$A$4314,1))-1)</f>
        <v>0.067107040653376</v>
      </c>
      <c r="O2372" s="25" t="n">
        <f aca="false">IF(A2372-30&lt;$R$2,"",C2372/INDEX(Clean_Data!$C$2:$C$4314,MATCH(A2372-30,Clean_Data!$A$2:$A$4314,1))-1)</f>
        <v>-0.0978329852570681</v>
      </c>
    </row>
    <row r="2373" customFormat="false" ht="15" hidden="false" customHeight="false" outlineLevel="0" collapsed="false">
      <c r="A2373" s="16" t="n">
        <v>44380</v>
      </c>
      <c r="B2373" s="23" t="n">
        <f aca="false">YEAR(A2373)</f>
        <v>2021</v>
      </c>
      <c r="C2373" s="17" t="n">
        <v>34633.93</v>
      </c>
      <c r="D2373" s="23" t="n">
        <f aca="false">A2373-A2372</f>
        <v>1</v>
      </c>
      <c r="E2373" s="24" t="n">
        <f aca="false">LN(C2373)</f>
        <v>10.4525891163748</v>
      </c>
      <c r="F2373" s="25" t="n">
        <f aca="false">LN(C2373/C2372)</f>
        <v>0.0234122539979187</v>
      </c>
      <c r="G2373" s="25" t="n">
        <f aca="false">IF(AND(D2373=1,A2373&gt;=$R$2),F2373,"")</f>
        <v>0.0234122539979187</v>
      </c>
      <c r="H2373" s="27" t="n">
        <f aca="false">IF(G2373="","",G2373^2)</f>
        <v>0.000548133637263061</v>
      </c>
      <c r="I2373" s="25" t="n">
        <f aca="false">IF(G2373="","",C2373/C2372-1)</f>
        <v>0.0236884722348252</v>
      </c>
      <c r="J2373" s="17" t="n">
        <f aca="false">AVERAGE(C2174:C2373)</f>
        <v>44040.6764</v>
      </c>
      <c r="K2373" s="17" t="n">
        <f aca="false">MAX(K2372,C2373)</f>
        <v>63660.94</v>
      </c>
      <c r="L2373" s="25" t="n">
        <f aca="false">C2373/K2373-1</f>
        <v>-0.455962635801482</v>
      </c>
      <c r="M2373" s="25" t="n">
        <f aca="false">IF(COUNT(G2344:G2373)&lt;20,"",_xlfn.STDEV.S(G2344:G2373)*SQRT($R$3))</f>
        <v>0.959894344913351</v>
      </c>
      <c r="N2373" s="25" t="n">
        <f aca="false">IF(A2373-7&lt;$R$2,"",C2373/INDEX(Clean_Data!$C$2:$C$4314,MATCH(A2373-7,Clean_Data!$A$2:$A$4314,1))-1)</f>
        <v>0.0733894399514039</v>
      </c>
      <c r="O2373" s="25" t="n">
        <f aca="false">IF(A2373-30&lt;$R$2,"",C2373/INDEX(Clean_Data!$C$2:$C$4314,MATCH(A2373-30,Clean_Data!$A$2:$A$4314,1))-1)</f>
        <v>-0.116821356268722</v>
      </c>
    </row>
    <row r="2374" customFormat="false" ht="15" hidden="false" customHeight="false" outlineLevel="0" collapsed="false">
      <c r="A2374" s="16" t="n">
        <v>44381</v>
      </c>
      <c r="B2374" s="23" t="n">
        <f aca="false">YEAR(A2374)</f>
        <v>2021</v>
      </c>
      <c r="C2374" s="17" t="n">
        <v>35126.9</v>
      </c>
      <c r="D2374" s="23" t="n">
        <f aca="false">A2374-A2373</f>
        <v>1</v>
      </c>
      <c r="E2374" s="24" t="n">
        <f aca="false">LN(C2374)</f>
        <v>10.4667224976998</v>
      </c>
      <c r="F2374" s="25" t="n">
        <f aca="false">LN(C2374/C2373)</f>
        <v>0.0141333813250362</v>
      </c>
      <c r="G2374" s="25" t="n">
        <f aca="false">IF(AND(D2374=1,A2374&gt;=$R$2),F2374,"")</f>
        <v>0.0141333813250362</v>
      </c>
      <c r="H2374" s="27" t="n">
        <f aca="false">IF(G2374="","",G2374^2)</f>
        <v>0.000199752467678883</v>
      </c>
      <c r="I2374" s="25" t="n">
        <f aca="false">IF(G2374="","",C2374/C2373-1)</f>
        <v>0.0142337297557626</v>
      </c>
      <c r="J2374" s="17" t="n">
        <f aca="false">AVERAGE(C2175:C2374)</f>
        <v>44109.38775</v>
      </c>
      <c r="K2374" s="17" t="n">
        <f aca="false">MAX(K2373,C2374)</f>
        <v>63660.94</v>
      </c>
      <c r="L2374" s="25" t="n">
        <f aca="false">C2374/K2374-1</f>
        <v>-0.448218954982443</v>
      </c>
      <c r="M2374" s="25" t="n">
        <f aca="false">IF(COUNT(G2345:G2374)&lt;20,"",_xlfn.STDEV.S(G2345:G2374)*SQRT($R$3))</f>
        <v>0.939458541943634</v>
      </c>
      <c r="N2374" s="25" t="n">
        <f aca="false">IF(A2374-7&lt;$R$2,"",C2374/INDEX(Clean_Data!$C$2:$C$4314,MATCH(A2374-7,Clean_Data!$A$2:$A$4314,1))-1)</f>
        <v>0.0153166503791227</v>
      </c>
      <c r="O2374" s="25" t="n">
        <f aca="false">IF(A2374-30&lt;$R$2,"",C2374/INDEX(Clean_Data!$C$2:$C$4314,MATCH(A2374-30,Clean_Data!$A$2:$A$4314,1))-1)</f>
        <v>-0.0479348689866618</v>
      </c>
    </row>
    <row r="2375" customFormat="false" ht="15" hidden="false" customHeight="false" outlineLevel="0" collapsed="false">
      <c r="A2375" s="16" t="n">
        <v>44382</v>
      </c>
      <c r="B2375" s="23" t="n">
        <f aca="false">YEAR(A2375)</f>
        <v>2021</v>
      </c>
      <c r="C2375" s="17" t="n">
        <v>33673.22</v>
      </c>
      <c r="D2375" s="23" t="n">
        <f aca="false">A2375-A2374</f>
        <v>1</v>
      </c>
      <c r="E2375" s="24" t="n">
        <f aca="false">LN(C2375)</f>
        <v>10.4244581416781</v>
      </c>
      <c r="F2375" s="25" t="n">
        <f aca="false">LN(C2375/C2374)</f>
        <v>-0.0422643560216837</v>
      </c>
      <c r="G2375" s="25" t="n">
        <f aca="false">IF(AND(D2375=1,A2375&gt;=$R$2),F2375,"")</f>
        <v>-0.0422643560216837</v>
      </c>
      <c r="H2375" s="27" t="n">
        <f aca="false">IF(G2375="","",G2375^2)</f>
        <v>0.00178627578992763</v>
      </c>
      <c r="I2375" s="25" t="n">
        <f aca="false">IF(G2375="","",C2375/C2374-1)</f>
        <v>-0.0413836689260937</v>
      </c>
      <c r="J2375" s="17" t="n">
        <f aca="false">AVERAGE(C2176:C2375)</f>
        <v>44163.60215</v>
      </c>
      <c r="K2375" s="17" t="n">
        <f aca="false">MAX(K2374,C2375)</f>
        <v>63660.94</v>
      </c>
      <c r="L2375" s="25" t="n">
        <f aca="false">C2375/K2375-1</f>
        <v>-0.471053679069144</v>
      </c>
      <c r="M2375" s="25" t="n">
        <f aca="false">IF(COUNT(G2346:G2375)&lt;20,"",_xlfn.STDEV.S(G2346:G2375)*SQRT($R$3))</f>
        <v>0.942256050517876</v>
      </c>
      <c r="N2375" s="25" t="n">
        <f aca="false">IF(A2375-7&lt;$R$2,"",C2375/INDEX(Clean_Data!$C$2:$C$4314,MATCH(A2375-7,Clean_Data!$A$2:$A$4314,1))-1)</f>
        <v>-0.0251457654204471</v>
      </c>
      <c r="O2375" s="25" t="n">
        <f aca="false">IF(A2375-30&lt;$R$2,"",C2375/INDEX(Clean_Data!$C$2:$C$4314,MATCH(A2375-30,Clean_Data!$A$2:$A$4314,1))-1)</f>
        <v>-0.0531921833263039</v>
      </c>
    </row>
    <row r="2376" customFormat="false" ht="15" hidden="false" customHeight="false" outlineLevel="0" collapsed="false">
      <c r="A2376" s="16" t="n">
        <v>44383</v>
      </c>
      <c r="B2376" s="23" t="n">
        <f aca="false">YEAR(A2376)</f>
        <v>2021</v>
      </c>
      <c r="C2376" s="17" t="n">
        <v>34193.9</v>
      </c>
      <c r="D2376" s="23" t="n">
        <f aca="false">A2376-A2375</f>
        <v>1</v>
      </c>
      <c r="E2376" s="24" t="n">
        <f aca="false">LN(C2376)</f>
        <v>10.4398025445691</v>
      </c>
      <c r="F2376" s="25" t="n">
        <f aca="false">LN(C2376/C2375)</f>
        <v>0.0153444028909959</v>
      </c>
      <c r="G2376" s="25" t="n">
        <f aca="false">IF(AND(D2376=1,A2376&gt;=$R$2),F2376,"")</f>
        <v>0.0153444028909959</v>
      </c>
      <c r="H2376" s="27" t="n">
        <f aca="false">IF(G2376="","",G2376^2)</f>
        <v>0.000235450700081205</v>
      </c>
      <c r="I2376" s="25" t="n">
        <f aca="false">IF(G2376="","",C2376/C2375-1)</f>
        <v>0.0154627326997536</v>
      </c>
      <c r="J2376" s="17" t="n">
        <f aca="false">AVERAGE(C2177:C2376)</f>
        <v>44218.72535</v>
      </c>
      <c r="K2376" s="17" t="n">
        <f aca="false">MAX(K2375,C2376)</f>
        <v>63660.94</v>
      </c>
      <c r="L2376" s="25" t="n">
        <f aca="false">C2376/K2376-1</f>
        <v>-0.462874723496072</v>
      </c>
      <c r="M2376" s="25" t="n">
        <f aca="false">IF(COUNT(G2347:G2376)&lt;20,"",_xlfn.STDEV.S(G2347:G2376)*SQRT($R$3))</f>
        <v>0.943483097346632</v>
      </c>
      <c r="N2376" s="25" t="n">
        <f aca="false">IF(A2376-7&lt;$R$2,"",C2376/INDEX(Clean_Data!$C$2:$C$4314,MATCH(A2376-7,Clean_Data!$A$2:$A$4314,1))-1)</f>
        <v>-0.0482858435097241</v>
      </c>
      <c r="O2376" s="25" t="n">
        <f aca="false">IF(A2376-30&lt;$R$2,"",C2376/INDEX(Clean_Data!$C$2:$C$4314,MATCH(A2376-30,Clean_Data!$A$2:$A$4314,1))-1)</f>
        <v>-0.0468179504491068</v>
      </c>
    </row>
    <row r="2377" customFormat="false" ht="15" hidden="false" customHeight="false" outlineLevel="0" collapsed="false">
      <c r="A2377" s="16" t="n">
        <v>44384</v>
      </c>
      <c r="B2377" s="23" t="n">
        <f aca="false">YEAR(A2377)</f>
        <v>2021</v>
      </c>
      <c r="C2377" s="17" t="n">
        <v>33791</v>
      </c>
      <c r="D2377" s="23" t="n">
        <f aca="false">A2377-A2376</f>
        <v>1</v>
      </c>
      <c r="E2377" s="24" t="n">
        <f aca="false">LN(C2377)</f>
        <v>10.427949773825</v>
      </c>
      <c r="F2377" s="25" t="n">
        <f aca="false">LN(C2377/C2376)</f>
        <v>-0.0118527707440744</v>
      </c>
      <c r="G2377" s="25" t="n">
        <f aca="false">IF(AND(D2377=1,A2377&gt;=$R$2),F2377,"")</f>
        <v>-0.0118527707440744</v>
      </c>
      <c r="H2377" s="27" t="n">
        <f aca="false">IF(G2377="","",G2377^2)</f>
        <v>0.000140488174311585</v>
      </c>
      <c r="I2377" s="25" t="n">
        <f aca="false">IF(G2377="","",C2377/C2376-1)</f>
        <v>-0.0117828033655126</v>
      </c>
      <c r="J2377" s="17" t="n">
        <f aca="false">AVERAGE(C2178:C2377)</f>
        <v>44268.6058</v>
      </c>
      <c r="K2377" s="17" t="n">
        <f aca="false">MAX(K2376,C2377)</f>
        <v>63660.94</v>
      </c>
      <c r="L2377" s="25" t="n">
        <f aca="false">C2377/K2377-1</f>
        <v>-0.469203565011764</v>
      </c>
      <c r="M2377" s="25" t="n">
        <f aca="false">IF(COUNT(G2348:G2377)&lt;20,"",_xlfn.STDEV.S(G2348:G2377)*SQRT($R$3))</f>
        <v>0.92140724792948</v>
      </c>
      <c r="N2377" s="25" t="n">
        <f aca="false">IF(A2377-7&lt;$R$2,"",C2377/INDEX(Clean_Data!$C$2:$C$4314,MATCH(A2377-7,Clean_Data!$A$2:$A$4314,1))-1)</f>
        <v>-0.0344278161140914</v>
      </c>
      <c r="O2377" s="25" t="n">
        <f aca="false">IF(A2377-30&lt;$R$2,"",C2377/INDEX(Clean_Data!$C$2:$C$4314,MATCH(A2377-30,Clean_Data!$A$2:$A$4314,1))-1)</f>
        <v>-0.000741954495626085</v>
      </c>
    </row>
    <row r="2378" customFormat="false" ht="15" hidden="false" customHeight="false" outlineLevel="0" collapsed="false">
      <c r="A2378" s="16" t="n">
        <v>44385</v>
      </c>
      <c r="B2378" s="23" t="n">
        <f aca="false">YEAR(A2378)</f>
        <v>2021</v>
      </c>
      <c r="C2378" s="17" t="n">
        <v>32878.23</v>
      </c>
      <c r="D2378" s="23" t="n">
        <f aca="false">A2378-A2377</f>
        <v>1</v>
      </c>
      <c r="E2378" s="24" t="n">
        <f aca="false">LN(C2378)</f>
        <v>10.4005660156043</v>
      </c>
      <c r="F2378" s="25" t="n">
        <f aca="false">LN(C2378/C2377)</f>
        <v>-0.0273837582206998</v>
      </c>
      <c r="G2378" s="25" t="n">
        <f aca="false">IF(AND(D2378=1,A2378&gt;=$R$2),F2378,"")</f>
        <v>-0.0273837582206998</v>
      </c>
      <c r="H2378" s="27" t="n">
        <f aca="false">IF(G2378="","",G2378^2)</f>
        <v>0.000749870214289746</v>
      </c>
      <c r="I2378" s="25" t="n">
        <f aca="false">IF(G2378="","",C2378/C2377-1)</f>
        <v>-0.0270122221893403</v>
      </c>
      <c r="J2378" s="17" t="n">
        <f aca="false">AVERAGE(C2179:C2378)</f>
        <v>44315.73855</v>
      </c>
      <c r="K2378" s="17" t="n">
        <f aca="false">MAX(K2377,C2378)</f>
        <v>63660.94</v>
      </c>
      <c r="L2378" s="25" t="n">
        <f aca="false">C2378/K2378-1</f>
        <v>-0.483541556250976</v>
      </c>
      <c r="M2378" s="25" t="n">
        <f aca="false">IF(COUNT(G2349:G2378)&lt;20,"",_xlfn.STDEV.S(G2349:G2378)*SQRT($R$3))</f>
        <v>0.925565926042255</v>
      </c>
      <c r="N2378" s="25" t="n">
        <f aca="false">IF(A2378-7&lt;$R$2,"",C2378/INDEX(Clean_Data!$C$2:$C$4314,MATCH(A2378-7,Clean_Data!$A$2:$A$4314,1))-1)</f>
        <v>-0.0196866346695989</v>
      </c>
      <c r="O2378" s="25" t="n">
        <f aca="false">IF(A2378-30&lt;$R$2,"",C2378/INDEX(Clean_Data!$C$2:$C$4314,MATCH(A2378-30,Clean_Data!$A$2:$A$4314,1))-1)</f>
        <v>-0.0165717184539723</v>
      </c>
    </row>
    <row r="2379" customFormat="false" ht="15" hidden="false" customHeight="false" outlineLevel="0" collapsed="false">
      <c r="A2379" s="16" t="n">
        <v>44386</v>
      </c>
      <c r="B2379" s="23" t="n">
        <f aca="false">YEAR(A2379)</f>
        <v>2021</v>
      </c>
      <c r="C2379" s="17" t="n">
        <v>33766.87</v>
      </c>
      <c r="D2379" s="23" t="n">
        <f aca="false">A2379-A2378</f>
        <v>1</v>
      </c>
      <c r="E2379" s="24" t="n">
        <f aca="false">LN(C2379)</f>
        <v>10.4272354232682</v>
      </c>
      <c r="F2379" s="25" t="n">
        <f aca="false">LN(C2379/C2378)</f>
        <v>0.0266694076638773</v>
      </c>
      <c r="G2379" s="25" t="n">
        <f aca="false">IF(AND(D2379=1,A2379&gt;=$R$2),F2379,"")</f>
        <v>0.0266694076638773</v>
      </c>
      <c r="H2379" s="27" t="n">
        <f aca="false">IF(G2379="","",G2379^2)</f>
        <v>0.000711257305142078</v>
      </c>
      <c r="I2379" s="25" t="n">
        <f aca="false">IF(G2379="","",C2379/C2378-1)</f>
        <v>0.0270282189765081</v>
      </c>
      <c r="J2379" s="17" t="n">
        <f aca="false">AVERAGE(C2180:C2379)</f>
        <v>44370.6866</v>
      </c>
      <c r="K2379" s="17" t="n">
        <f aca="false">MAX(K2378,C2379)</f>
        <v>63660.94</v>
      </c>
      <c r="L2379" s="25" t="n">
        <f aca="false">C2379/K2379-1</f>
        <v>-0.469582604341061</v>
      </c>
      <c r="M2379" s="25" t="n">
        <f aca="false">IF(COUNT(G2350:G2379)&lt;20,"",_xlfn.STDEV.S(G2350:G2379)*SQRT($R$3))</f>
        <v>0.840467077759467</v>
      </c>
      <c r="N2379" s="25" t="n">
        <f aca="false">IF(A2379-7&lt;$R$2,"",C2379/INDEX(Clean_Data!$C$2:$C$4314,MATCH(A2379-7,Clean_Data!$A$2:$A$4314,1))-1)</f>
        <v>-0.00193955573473892</v>
      </c>
      <c r="O2379" s="25" t="n">
        <f aca="false">IF(A2379-30&lt;$R$2,"",C2379/INDEX(Clean_Data!$C$2:$C$4314,MATCH(A2379-30,Clean_Data!$A$2:$A$4314,1))-1)</f>
        <v>-0.0961037577408475</v>
      </c>
    </row>
    <row r="2380" customFormat="false" ht="15" hidden="false" customHeight="false" outlineLevel="0" collapsed="false">
      <c r="A2380" s="16" t="n">
        <v>44387</v>
      </c>
      <c r="B2380" s="23" t="n">
        <f aca="false">YEAR(A2380)</f>
        <v>2021</v>
      </c>
      <c r="C2380" s="17" t="n">
        <v>33547.19</v>
      </c>
      <c r="D2380" s="23" t="n">
        <f aca="false">A2380-A2379</f>
        <v>1</v>
      </c>
      <c r="E2380" s="24" t="n">
        <f aca="false">LN(C2380)</f>
        <v>10.4207083833035</v>
      </c>
      <c r="F2380" s="25" t="n">
        <f aca="false">LN(C2380/C2379)</f>
        <v>-0.00652703996474583</v>
      </c>
      <c r="G2380" s="25" t="n">
        <f aca="false">IF(AND(D2380=1,A2380&gt;=$R$2),F2380,"")</f>
        <v>-0.00652703996474583</v>
      </c>
      <c r="H2380" s="27" t="n">
        <f aca="false">IF(G2380="","",G2380^2)</f>
        <v>4.26022507013892E-005</v>
      </c>
      <c r="I2380" s="25" t="n">
        <f aca="false">IF(G2380="","",C2380/C2379-1)</f>
        <v>-0.00650578510830291</v>
      </c>
      <c r="J2380" s="17" t="n">
        <f aca="false">AVERAGE(C2181:C2380)</f>
        <v>44419.2226</v>
      </c>
      <c r="K2380" s="17" t="n">
        <f aca="false">MAX(K2379,C2380)</f>
        <v>63660.94</v>
      </c>
      <c r="L2380" s="25" t="n">
        <f aca="false">C2380/K2380-1</f>
        <v>-0.473033385934923</v>
      </c>
      <c r="M2380" s="25" t="n">
        <f aca="false">IF(COUNT(G2351:G2380)&lt;20,"",_xlfn.STDEV.S(G2351:G2380)*SQRT($R$3))</f>
        <v>0.839065350591862</v>
      </c>
      <c r="N2380" s="25" t="n">
        <f aca="false">IF(A2380-7&lt;$R$2,"",C2380/INDEX(Clean_Data!$C$2:$C$4314,MATCH(A2380-7,Clean_Data!$A$2:$A$4314,1))-1)</f>
        <v>-0.0313779002267429</v>
      </c>
      <c r="O2380" s="25" t="n">
        <f aca="false">IF(A2380-30&lt;$R$2,"",C2380/INDEX(Clean_Data!$C$2:$C$4314,MATCH(A2380-30,Clean_Data!$A$2:$A$4314,1))-1)</f>
        <v>-0.0863435456271409</v>
      </c>
    </row>
    <row r="2381" customFormat="false" ht="15" hidden="false" customHeight="false" outlineLevel="0" collapsed="false">
      <c r="A2381" s="16" t="n">
        <v>44388</v>
      </c>
      <c r="B2381" s="23" t="n">
        <f aca="false">YEAR(A2381)</f>
        <v>2021</v>
      </c>
      <c r="C2381" s="17" t="n">
        <v>34236.21</v>
      </c>
      <c r="D2381" s="23" t="n">
        <f aca="false">A2381-A2380</f>
        <v>1</v>
      </c>
      <c r="E2381" s="24" t="n">
        <f aca="false">LN(C2381)</f>
        <v>10.4410391348768</v>
      </c>
      <c r="F2381" s="25" t="n">
        <f aca="false">LN(C2381/C2380)</f>
        <v>0.0203307515733755</v>
      </c>
      <c r="G2381" s="25" t="n">
        <f aca="false">IF(AND(D2381=1,A2381&gt;=$R$2),F2381,"")</f>
        <v>0.0203307515733755</v>
      </c>
      <c r="H2381" s="27" t="n">
        <f aca="false">IF(G2381="","",G2381^2)</f>
        <v>0.000413339459538311</v>
      </c>
      <c r="I2381" s="25" t="n">
        <f aca="false">IF(G2381="","",C2381/C2380-1)</f>
        <v>0.0205388290345629</v>
      </c>
      <c r="J2381" s="17" t="n">
        <f aca="false">AVERAGE(C2182:C2381)</f>
        <v>44474.4208</v>
      </c>
      <c r="K2381" s="17" t="n">
        <f aca="false">MAX(K2380,C2381)</f>
        <v>63660.94</v>
      </c>
      <c r="L2381" s="25" t="n">
        <f aca="false">C2381/K2381-1</f>
        <v>-0.462210108741718</v>
      </c>
      <c r="M2381" s="25" t="n">
        <f aca="false">IF(COUNT(G2352:G2381)&lt;20,"",_xlfn.STDEV.S(G2352:G2381)*SQRT($R$3))</f>
        <v>0.840639712627047</v>
      </c>
      <c r="N2381" s="25" t="n">
        <f aca="false">IF(A2381-7&lt;$R$2,"",C2381/INDEX(Clean_Data!$C$2:$C$4314,MATCH(A2381-7,Clean_Data!$A$2:$A$4314,1))-1)</f>
        <v>-0.0253563508308448</v>
      </c>
      <c r="O2381" s="25" t="n">
        <f aca="false">IF(A2381-30&lt;$R$2,"",C2381/INDEX(Clean_Data!$C$2:$C$4314,MATCH(A2381-30,Clean_Data!$A$2:$A$4314,1))-1)</f>
        <v>-0.081699687383909</v>
      </c>
    </row>
    <row r="2382" customFormat="false" ht="15" hidden="false" customHeight="false" outlineLevel="0" collapsed="false">
      <c r="A2382" s="16" t="n">
        <v>44389</v>
      </c>
      <c r="B2382" s="23" t="n">
        <f aca="false">YEAR(A2382)</f>
        <v>2021</v>
      </c>
      <c r="C2382" s="17" t="n">
        <v>33096.86</v>
      </c>
      <c r="D2382" s="23" t="n">
        <f aca="false">A2382-A2381</f>
        <v>1</v>
      </c>
      <c r="E2382" s="24" t="n">
        <f aca="false">LN(C2382)</f>
        <v>10.4071936928169</v>
      </c>
      <c r="F2382" s="25" t="n">
        <f aca="false">LN(C2382/C2381)</f>
        <v>-0.0338454420598971</v>
      </c>
      <c r="G2382" s="25" t="n">
        <f aca="false">IF(AND(D2382=1,A2382&gt;=$R$2),F2382,"")</f>
        <v>-0.0338454420598971</v>
      </c>
      <c r="H2382" s="27" t="n">
        <f aca="false">IF(G2382="","",G2382^2)</f>
        <v>0.00114551394822985</v>
      </c>
      <c r="I2382" s="25" t="n">
        <f aca="false">IF(G2382="","",C2382/C2381-1)</f>
        <v>-0.0332790925163737</v>
      </c>
      <c r="J2382" s="17" t="n">
        <f aca="false">AVERAGE(C2183:C2382)</f>
        <v>44521.20505</v>
      </c>
      <c r="K2382" s="17" t="n">
        <f aca="false">MAX(K2381,C2382)</f>
        <v>63660.94</v>
      </c>
      <c r="L2382" s="25" t="n">
        <f aca="false">C2382/K2382-1</f>
        <v>-0.480107268287273</v>
      </c>
      <c r="M2382" s="25" t="n">
        <f aca="false">IF(COUNT(G2353:G2382)&lt;20,"",_xlfn.STDEV.S(G2353:G2382)*SQRT($R$3))</f>
        <v>0.833894287990834</v>
      </c>
      <c r="N2382" s="25" t="n">
        <f aca="false">IF(A2382-7&lt;$R$2,"",C2382/INDEX(Clean_Data!$C$2:$C$4314,MATCH(A2382-7,Clean_Data!$A$2:$A$4314,1))-1)</f>
        <v>-0.0171162722186948</v>
      </c>
      <c r="O2382" s="25" t="n">
        <f aca="false">IF(A2382-30&lt;$R$2,"",C2382/INDEX(Clean_Data!$C$2:$C$4314,MATCH(A2382-30,Clean_Data!$A$2:$A$4314,1))-1)</f>
        <v>-0.0705651219360141</v>
      </c>
    </row>
    <row r="2383" customFormat="false" ht="15" hidden="false" customHeight="false" outlineLevel="0" collapsed="false">
      <c r="A2383" s="16" t="n">
        <v>44390</v>
      </c>
      <c r="B2383" s="23" t="n">
        <f aca="false">YEAR(A2383)</f>
        <v>2021</v>
      </c>
      <c r="C2383" s="17" t="n">
        <v>32768.54</v>
      </c>
      <c r="D2383" s="23" t="n">
        <f aca="false">A2383-A2382</f>
        <v>1</v>
      </c>
      <c r="E2383" s="24" t="n">
        <f aca="false">LN(C2383)</f>
        <v>10.3972241877556</v>
      </c>
      <c r="F2383" s="25" t="n">
        <f aca="false">LN(C2383/C2382)</f>
        <v>-0.00996950506135564</v>
      </c>
      <c r="G2383" s="25" t="n">
        <f aca="false">IF(AND(D2383=1,A2383&gt;=$R$2),F2383,"")</f>
        <v>-0.00996950506135564</v>
      </c>
      <c r="H2383" s="27" t="n">
        <f aca="false">IF(G2383="","",G2383^2)</f>
        <v>9.93910311683957E-005</v>
      </c>
      <c r="I2383" s="25" t="n">
        <f aca="false">IF(G2383="","",C2383/C2382-1)</f>
        <v>-0.00991997428154812</v>
      </c>
      <c r="J2383" s="17" t="n">
        <f aca="false">AVERAGE(C2184:C2383)</f>
        <v>44561.36565</v>
      </c>
      <c r="K2383" s="17" t="n">
        <f aca="false">MAX(K2382,C2383)</f>
        <v>63660.94</v>
      </c>
      <c r="L2383" s="25" t="n">
        <f aca="false">C2383/K2383-1</f>
        <v>-0.485264590815027</v>
      </c>
      <c r="M2383" s="25" t="n">
        <f aca="false">IF(COUNT(G2354:G2383)&lt;20,"",_xlfn.STDEV.S(G2354:G2383)*SQRT($R$3))</f>
        <v>0.757843502873147</v>
      </c>
      <c r="N2383" s="25" t="n">
        <f aca="false">IF(A2383-7&lt;$R$2,"",C2383/INDEX(Clean_Data!$C$2:$C$4314,MATCH(A2383-7,Clean_Data!$A$2:$A$4314,1))-1)</f>
        <v>-0.0416846279599578</v>
      </c>
      <c r="O2383" s="25" t="n">
        <f aca="false">IF(A2383-30&lt;$R$2,"",C2383/INDEX(Clean_Data!$C$2:$C$4314,MATCH(A2383-30,Clean_Data!$A$2:$A$4314,1))-1)</f>
        <v>-0.162401848779319</v>
      </c>
    </row>
    <row r="2384" customFormat="false" ht="15" hidden="false" customHeight="false" outlineLevel="0" collapsed="false">
      <c r="A2384" s="16" t="n">
        <v>44391</v>
      </c>
      <c r="B2384" s="23" t="n">
        <f aca="false">YEAR(A2384)</f>
        <v>2021</v>
      </c>
      <c r="C2384" s="17" t="n">
        <v>32817.18</v>
      </c>
      <c r="D2384" s="23" t="n">
        <f aca="false">A2384-A2383</f>
        <v>1</v>
      </c>
      <c r="E2384" s="24" t="n">
        <f aca="false">LN(C2384)</f>
        <v>10.3987074377349</v>
      </c>
      <c r="F2384" s="25" t="n">
        <f aca="false">LN(C2384/C2383)</f>
        <v>0.00148324997933861</v>
      </c>
      <c r="G2384" s="25" t="n">
        <f aca="false">IF(AND(D2384=1,A2384&gt;=$R$2),F2384,"")</f>
        <v>0.00148324997933861</v>
      </c>
      <c r="H2384" s="27" t="n">
        <f aca="false">IF(G2384="","",G2384^2)</f>
        <v>2.20003050120798E-006</v>
      </c>
      <c r="I2384" s="25" t="n">
        <f aca="false">IF(G2384="","",C2384/C2383-1)</f>
        <v>0.00148435053865681</v>
      </c>
      <c r="J2384" s="17" t="n">
        <f aca="false">AVERAGE(C2185:C2384)</f>
        <v>44592.85605</v>
      </c>
      <c r="K2384" s="17" t="n">
        <f aca="false">MAX(K2383,C2384)</f>
        <v>63660.94</v>
      </c>
      <c r="L2384" s="25" t="n">
        <f aca="false">C2384/K2384-1</f>
        <v>-0.484500543033138</v>
      </c>
      <c r="M2384" s="25" t="n">
        <f aca="false">IF(COUNT(G2355:G2384)&lt;20,"",_xlfn.STDEV.S(G2355:G2384)*SQRT($R$3))</f>
        <v>0.744288126701864</v>
      </c>
      <c r="N2384" s="25" t="n">
        <f aca="false">IF(A2384-7&lt;$R$2,"",C2384/INDEX(Clean_Data!$C$2:$C$4314,MATCH(A2384-7,Clean_Data!$A$2:$A$4314,1))-1)</f>
        <v>-0.0288189162794827</v>
      </c>
      <c r="O2384" s="25" t="n">
        <f aca="false">IF(A2384-30&lt;$R$2,"",C2384/INDEX(Clean_Data!$C$2:$C$4314,MATCH(A2384-30,Clean_Data!$A$2:$A$4314,1))-1)</f>
        <v>-0.189637631701374</v>
      </c>
    </row>
    <row r="2385" customFormat="false" ht="15" hidden="false" customHeight="false" outlineLevel="0" collapsed="false">
      <c r="A2385" s="16" t="n">
        <v>44392</v>
      </c>
      <c r="B2385" s="23" t="n">
        <f aca="false">YEAR(A2385)</f>
        <v>2021</v>
      </c>
      <c r="C2385" s="17" t="n">
        <v>31891.09</v>
      </c>
      <c r="D2385" s="23" t="n">
        <f aca="false">A2385-A2384</f>
        <v>1</v>
      </c>
      <c r="E2385" s="24" t="n">
        <f aca="false">LN(C2385)</f>
        <v>10.3700819394137</v>
      </c>
      <c r="F2385" s="25" t="n">
        <f aca="false">LN(C2385/C2384)</f>
        <v>-0.0286254983212114</v>
      </c>
      <c r="G2385" s="25" t="n">
        <f aca="false">IF(AND(D2385=1,A2385&gt;=$R$2),F2385,"")</f>
        <v>-0.0286254983212114</v>
      </c>
      <c r="H2385" s="27" t="n">
        <f aca="false">IF(G2385="","",G2385^2)</f>
        <v>0.000819419154137676</v>
      </c>
      <c r="I2385" s="25" t="n">
        <f aca="false">IF(G2385="","",C2385/C2384-1)</f>
        <v>-0.0282196703068331</v>
      </c>
      <c r="J2385" s="17" t="n">
        <f aca="false">AVERAGE(C2186:C2385)</f>
        <v>44620.7112</v>
      </c>
      <c r="K2385" s="17" t="n">
        <f aca="false">MAX(K2384,C2385)</f>
        <v>63660.94</v>
      </c>
      <c r="L2385" s="25" t="n">
        <f aca="false">C2385/K2385-1</f>
        <v>-0.499047767752094</v>
      </c>
      <c r="M2385" s="25" t="n">
        <f aca="false">IF(COUNT(G2356:G2385)&lt;20,"",_xlfn.STDEV.S(G2356:G2385)*SQRT($R$3))</f>
        <v>0.748055983124449</v>
      </c>
      <c r="N2385" s="25" t="n">
        <f aca="false">IF(A2385-7&lt;$R$2,"",C2385/INDEX(Clean_Data!$C$2:$C$4314,MATCH(A2385-7,Clean_Data!$A$2:$A$4314,1))-1)</f>
        <v>-0.0300241223447857</v>
      </c>
      <c r="O2385" s="25" t="n">
        <f aca="false">IF(A2385-30&lt;$R$2,"",C2385/INDEX(Clean_Data!$C$2:$C$4314,MATCH(A2385-30,Clean_Data!$A$2:$A$4314,1))-1)</f>
        <v>-0.204590570193543</v>
      </c>
    </row>
    <row r="2386" customFormat="false" ht="15" hidden="false" customHeight="false" outlineLevel="0" collapsed="false">
      <c r="A2386" s="16" t="n">
        <v>44393</v>
      </c>
      <c r="B2386" s="23" t="n">
        <f aca="false">YEAR(A2386)</f>
        <v>2021</v>
      </c>
      <c r="C2386" s="17" t="n">
        <v>31408.78</v>
      </c>
      <c r="D2386" s="23" t="n">
        <f aca="false">A2386-A2385</f>
        <v>1</v>
      </c>
      <c r="E2386" s="24" t="n">
        <f aca="false">LN(C2386)</f>
        <v>10.354842750645</v>
      </c>
      <c r="F2386" s="25" t="n">
        <f aca="false">LN(C2386/C2385)</f>
        <v>-0.0152391887687503</v>
      </c>
      <c r="G2386" s="25" t="n">
        <f aca="false">IF(AND(D2386=1,A2386&gt;=$R$2),F2386,"")</f>
        <v>-0.0152391887687503</v>
      </c>
      <c r="H2386" s="27" t="n">
        <f aca="false">IF(G2386="","",G2386^2)</f>
        <v>0.000232232874329605</v>
      </c>
      <c r="I2386" s="25" t="n">
        <f aca="false">IF(G2386="","",C2386/C2385-1)</f>
        <v>-0.0151236599313477</v>
      </c>
      <c r="J2386" s="17" t="n">
        <f aca="false">AVERAGE(C2187:C2386)</f>
        <v>44642.5344</v>
      </c>
      <c r="K2386" s="17" t="n">
        <f aca="false">MAX(K2385,C2386)</f>
        <v>63660.94</v>
      </c>
      <c r="L2386" s="25" t="n">
        <f aca="false">C2386/K2386-1</f>
        <v>-0.506623998954461</v>
      </c>
      <c r="M2386" s="25" t="n">
        <f aca="false">IF(COUNT(G2357:G2386)&lt;20,"",_xlfn.STDEV.S(G2357:G2386)*SQRT($R$3))</f>
        <v>0.737536280604688</v>
      </c>
      <c r="N2386" s="25" t="n">
        <f aca="false">IF(A2386-7&lt;$R$2,"",C2386/INDEX(Clean_Data!$C$2:$C$4314,MATCH(A2386-7,Clean_Data!$A$2:$A$4314,1))-1)</f>
        <v>-0.0698344264659414</v>
      </c>
      <c r="O2386" s="25" t="n">
        <f aca="false">IF(A2386-30&lt;$R$2,"",C2386/INDEX(Clean_Data!$C$2:$C$4314,MATCH(A2386-30,Clean_Data!$A$2:$A$4314,1))-1)</f>
        <v>-0.181943720959307</v>
      </c>
    </row>
    <row r="2387" customFormat="false" ht="15" hidden="false" customHeight="false" outlineLevel="0" collapsed="false">
      <c r="A2387" s="16" t="n">
        <v>44394</v>
      </c>
      <c r="B2387" s="23" t="n">
        <f aca="false">YEAR(A2387)</f>
        <v>2021</v>
      </c>
      <c r="C2387" s="17" t="n">
        <v>31503.78</v>
      </c>
      <c r="D2387" s="23" t="n">
        <f aca="false">A2387-A2386</f>
        <v>1</v>
      </c>
      <c r="E2387" s="24" t="n">
        <f aca="false">LN(C2387)</f>
        <v>10.3578628176143</v>
      </c>
      <c r="F2387" s="25" t="n">
        <f aca="false">LN(C2387/C2386)</f>
        <v>0.00302006696934145</v>
      </c>
      <c r="G2387" s="25" t="n">
        <f aca="false">IF(AND(D2387=1,A2387&gt;=$R$2),F2387,"")</f>
        <v>0.00302006696934145</v>
      </c>
      <c r="H2387" s="27" t="n">
        <f aca="false">IF(G2387="","",G2387^2)</f>
        <v>9.12080449930723E-006</v>
      </c>
      <c r="I2387" s="25" t="n">
        <f aca="false">IF(G2387="","",C2387/C2386-1)</f>
        <v>0.00302463196596614</v>
      </c>
      <c r="J2387" s="17" t="n">
        <f aca="false">AVERAGE(C2188:C2387)</f>
        <v>44663.01405</v>
      </c>
      <c r="K2387" s="17" t="n">
        <f aca="false">MAX(K2386,C2387)</f>
        <v>63660.94</v>
      </c>
      <c r="L2387" s="25" t="n">
        <f aca="false">C2387/K2387-1</f>
        <v>-0.505131718130458</v>
      </c>
      <c r="M2387" s="25" t="n">
        <f aca="false">IF(COUNT(G2358:G2387)&lt;20,"",_xlfn.STDEV.S(G2358:G2387)*SQRT($R$3))</f>
        <v>0.738223876294239</v>
      </c>
      <c r="N2387" s="25" t="n">
        <f aca="false">IF(A2387-7&lt;$R$2,"",C2387/INDEX(Clean_Data!$C$2:$C$4314,MATCH(A2387-7,Clean_Data!$A$2:$A$4314,1))-1)</f>
        <v>-0.0609115100251318</v>
      </c>
      <c r="O2387" s="25" t="n">
        <f aca="false">IF(A2387-30&lt;$R$2,"",C2387/INDEX(Clean_Data!$C$2:$C$4314,MATCH(A2387-30,Clean_Data!$A$2:$A$4314,1))-1)</f>
        <v>-0.171555524233301</v>
      </c>
    </row>
    <row r="2388" customFormat="false" ht="15" hidden="false" customHeight="false" outlineLevel="0" collapsed="false">
      <c r="A2388" s="16" t="n">
        <v>44395</v>
      </c>
      <c r="B2388" s="23" t="n">
        <f aca="false">YEAR(A2388)</f>
        <v>2021</v>
      </c>
      <c r="C2388" s="17" t="n">
        <v>31753.02</v>
      </c>
      <c r="D2388" s="23" t="n">
        <f aca="false">A2388-A2387</f>
        <v>1</v>
      </c>
      <c r="E2388" s="24" t="n">
        <f aca="false">LN(C2388)</f>
        <v>10.3657431179076</v>
      </c>
      <c r="F2388" s="25" t="n">
        <f aca="false">LN(C2388/C2387)</f>
        <v>0.00788030029333292</v>
      </c>
      <c r="G2388" s="25" t="n">
        <f aca="false">IF(AND(D2388=1,A2388&gt;=$R$2),F2388,"")</f>
        <v>0.00788030029333292</v>
      </c>
      <c r="H2388" s="27" t="n">
        <f aca="false">IF(G2388="","",G2388^2)</f>
        <v>6.2099132713103E-005</v>
      </c>
      <c r="I2388" s="25" t="n">
        <f aca="false">IF(G2388="","",C2388/C2387-1)</f>
        <v>0.00791143158059127</v>
      </c>
      <c r="J2388" s="17" t="n">
        <f aca="false">AVERAGE(C2189:C2388)</f>
        <v>44677.10635</v>
      </c>
      <c r="K2388" s="17" t="n">
        <f aca="false">MAX(K2387,C2388)</f>
        <v>63660.94</v>
      </c>
      <c r="L2388" s="25" t="n">
        <f aca="false">C2388/K2388-1</f>
        <v>-0.501216601577042</v>
      </c>
      <c r="M2388" s="25" t="n">
        <f aca="false">IF(COUNT(G2359:G2388)&lt;20,"",_xlfn.STDEV.S(G2359:G2388)*SQRT($R$3))</f>
        <v>0.712610929422828</v>
      </c>
      <c r="N2388" s="25" t="n">
        <f aca="false">IF(A2388-7&lt;$R$2,"",C2388/INDEX(Clean_Data!$C$2:$C$4314,MATCH(A2388-7,Clean_Data!$A$2:$A$4314,1))-1)</f>
        <v>-0.07253110084323</v>
      </c>
      <c r="O2388" s="25" t="n">
        <f aca="false">IF(A2388-30&lt;$R$2,"",C2388/INDEX(Clean_Data!$C$2:$C$4314,MATCH(A2388-30,Clean_Data!$A$2:$A$4314,1))-1)</f>
        <v>-0.112483610459008</v>
      </c>
    </row>
    <row r="2389" customFormat="false" ht="15" hidden="false" customHeight="false" outlineLevel="0" collapsed="false">
      <c r="A2389" s="16" t="n">
        <v>44396</v>
      </c>
      <c r="B2389" s="23" t="n">
        <f aca="false">YEAR(A2389)</f>
        <v>2021</v>
      </c>
      <c r="C2389" s="17" t="n">
        <v>30849.9</v>
      </c>
      <c r="D2389" s="23" t="n">
        <f aca="false">A2389-A2388</f>
        <v>1</v>
      </c>
      <c r="E2389" s="24" t="n">
        <f aca="false">LN(C2389)</f>
        <v>10.3368887878372</v>
      </c>
      <c r="F2389" s="25" t="n">
        <f aca="false">LN(C2389/C2388)</f>
        <v>-0.0288543300704389</v>
      </c>
      <c r="G2389" s="25" t="n">
        <f aca="false">IF(AND(D2389=1,A2389&gt;=$R$2),F2389,"")</f>
        <v>-0.0288543300704389</v>
      </c>
      <c r="H2389" s="27" t="n">
        <f aca="false">IF(G2389="","",G2389^2)</f>
        <v>0.000832572363813837</v>
      </c>
      <c r="I2389" s="25" t="n">
        <f aca="false">IF(G2389="","",C2389/C2388-1)</f>
        <v>-0.0284420190583446</v>
      </c>
      <c r="J2389" s="17" t="n">
        <f aca="false">AVERAGE(C2190:C2389)</f>
        <v>44686.221</v>
      </c>
      <c r="K2389" s="17" t="n">
        <f aca="false">MAX(K2388,C2389)</f>
        <v>63660.94</v>
      </c>
      <c r="L2389" s="25" t="n">
        <f aca="false">C2389/K2389-1</f>
        <v>-0.515403008500974</v>
      </c>
      <c r="M2389" s="25" t="n">
        <f aca="false">IF(COUNT(G2360:G2389)&lt;20,"",_xlfn.STDEV.S(G2360:G2389)*SQRT($R$3))</f>
        <v>0.717795827620698</v>
      </c>
      <c r="N2389" s="25" t="n">
        <f aca="false">IF(A2389-7&lt;$R$2,"",C2389/INDEX(Clean_Data!$C$2:$C$4314,MATCH(A2389-7,Clean_Data!$A$2:$A$4314,1))-1)</f>
        <v>-0.0678904282762776</v>
      </c>
      <c r="O2389" s="25" t="n">
        <f aca="false">IF(A2389-30&lt;$R$2,"",C2389/INDEX(Clean_Data!$C$2:$C$4314,MATCH(A2389-30,Clean_Data!$A$2:$A$4314,1))-1)</f>
        <v>-0.130945646882775</v>
      </c>
    </row>
    <row r="2390" customFormat="false" ht="15" hidden="false" customHeight="false" outlineLevel="0" collapsed="false">
      <c r="A2390" s="16" t="n">
        <v>44397</v>
      </c>
      <c r="B2390" s="23" t="n">
        <f aca="false">YEAR(A2390)</f>
        <v>2021</v>
      </c>
      <c r="C2390" s="17" t="n">
        <v>29788.61</v>
      </c>
      <c r="D2390" s="23" t="n">
        <f aca="false">A2390-A2389</f>
        <v>1</v>
      </c>
      <c r="E2390" s="24" t="n">
        <f aca="false">LN(C2390)</f>
        <v>10.3018813846657</v>
      </c>
      <c r="F2390" s="25" t="n">
        <f aca="false">LN(C2390/C2389)</f>
        <v>-0.0350074031714802</v>
      </c>
      <c r="G2390" s="25" t="n">
        <f aca="false">IF(AND(D2390=1,A2390&gt;=$R$2),F2390,"")</f>
        <v>-0.0350074031714802</v>
      </c>
      <c r="H2390" s="27" t="n">
        <f aca="false">IF(G2390="","",G2390^2)</f>
        <v>0.00122551827681056</v>
      </c>
      <c r="I2390" s="25" t="n">
        <f aca="false">IF(G2390="","",C2390/C2389-1)</f>
        <v>-0.0344017322584514</v>
      </c>
      <c r="J2390" s="17" t="n">
        <f aca="false">AVERAGE(C2191:C2390)</f>
        <v>44688.2086</v>
      </c>
      <c r="K2390" s="17" t="n">
        <f aca="false">MAX(K2389,C2390)</f>
        <v>63660.94</v>
      </c>
      <c r="L2390" s="25" t="n">
        <f aca="false">C2390/K2390-1</f>
        <v>-0.532073984455775</v>
      </c>
      <c r="M2390" s="25" t="n">
        <f aca="false">IF(COUNT(G2361:G2390)&lt;20,"",_xlfn.STDEV.S(G2361:G2390)*SQRT($R$3))</f>
        <v>0.725046062232497</v>
      </c>
      <c r="N2390" s="25" t="n">
        <f aca="false">IF(A2390-7&lt;$R$2,"",C2390/INDEX(Clean_Data!$C$2:$C$4314,MATCH(A2390-7,Clean_Data!$A$2:$A$4314,1))-1)</f>
        <v>-0.0909387479576448</v>
      </c>
      <c r="O2390" s="25" t="n">
        <f aca="false">IF(A2390-30&lt;$R$2,"",C2390/INDEX(Clean_Data!$C$2:$C$4314,MATCH(A2390-30,Clean_Data!$A$2:$A$4314,1))-1)</f>
        <v>-0.162437137678816</v>
      </c>
    </row>
    <row r="2391" customFormat="false" ht="15" hidden="false" customHeight="false" outlineLevel="0" collapsed="false">
      <c r="A2391" s="16" t="n">
        <v>44398</v>
      </c>
      <c r="B2391" s="23" t="n">
        <f aca="false">YEAR(A2391)</f>
        <v>2021</v>
      </c>
      <c r="C2391" s="17" t="n">
        <v>32086.04</v>
      </c>
      <c r="D2391" s="23" t="n">
        <f aca="false">A2391-A2390</f>
        <v>1</v>
      </c>
      <c r="E2391" s="24" t="n">
        <f aca="false">LN(C2391)</f>
        <v>10.3761763235599</v>
      </c>
      <c r="F2391" s="25" t="n">
        <f aca="false">LN(C2391/C2390)</f>
        <v>0.0742949388941591</v>
      </c>
      <c r="G2391" s="25" t="n">
        <f aca="false">IF(AND(D2391=1,A2391&gt;=$R$2),F2391,"")</f>
        <v>0.0742949388941591</v>
      </c>
      <c r="H2391" s="27" t="n">
        <f aca="false">IF(G2391="","",G2391^2)</f>
        <v>0.00551973794528683</v>
      </c>
      <c r="I2391" s="25" t="n">
        <f aca="false">IF(G2391="","",C2391/C2390-1)</f>
        <v>0.0771244445444081</v>
      </c>
      <c r="J2391" s="17" t="n">
        <f aca="false">AVERAGE(C2192:C2391)</f>
        <v>44687.41515</v>
      </c>
      <c r="K2391" s="17" t="n">
        <f aca="false">MAX(K2390,C2391)</f>
        <v>63660.94</v>
      </c>
      <c r="L2391" s="25" t="n">
        <f aca="false">C2391/K2391-1</f>
        <v>-0.495985450419048</v>
      </c>
      <c r="M2391" s="25" t="n">
        <f aca="false">IF(COUNT(G2362:G2391)&lt;20,"",_xlfn.STDEV.S(G2362:G2391)*SQRT($R$3))</f>
        <v>0.663635101467454</v>
      </c>
      <c r="N2391" s="25" t="n">
        <f aca="false">IF(A2391-7&lt;$R$2,"",C2391/INDEX(Clean_Data!$C$2:$C$4314,MATCH(A2391-7,Clean_Data!$A$2:$A$4314,1))-1)</f>
        <v>-0.0222791842565387</v>
      </c>
      <c r="O2391" s="25" t="n">
        <f aca="false">IF(A2391-30&lt;$R$2,"",C2391/INDEX(Clean_Data!$C$2:$C$4314,MATCH(A2391-30,Clean_Data!$A$2:$A$4314,1))-1)</f>
        <v>0.0126030835028841</v>
      </c>
    </row>
    <row r="2392" customFormat="false" ht="15" hidden="false" customHeight="false" outlineLevel="0" collapsed="false">
      <c r="A2392" s="16" t="n">
        <v>44399</v>
      </c>
      <c r="B2392" s="23" t="n">
        <f aca="false">YEAR(A2392)</f>
        <v>2021</v>
      </c>
      <c r="C2392" s="17" t="n">
        <v>32327.95</v>
      </c>
      <c r="D2392" s="23" t="n">
        <f aca="false">A2392-A2391</f>
        <v>1</v>
      </c>
      <c r="E2392" s="24" t="n">
        <f aca="false">LN(C2392)</f>
        <v>10.3836874601102</v>
      </c>
      <c r="F2392" s="25" t="n">
        <f aca="false">LN(C2392/C2391)</f>
        <v>0.00751113655037073</v>
      </c>
      <c r="G2392" s="25" t="n">
        <f aca="false">IF(AND(D2392=1,A2392&gt;=$R$2),F2392,"")</f>
        <v>0.00751113655037073</v>
      </c>
      <c r="H2392" s="27" t="n">
        <f aca="false">IF(G2392="","",G2392^2)</f>
        <v>5.64171722783151E-005</v>
      </c>
      <c r="I2392" s="25" t="n">
        <f aca="false">IF(G2392="","",C2392/C2391-1)</f>
        <v>0.00753941589551088</v>
      </c>
      <c r="J2392" s="17" t="n">
        <f aca="false">AVERAGE(C2193:C2392)</f>
        <v>44683.3844</v>
      </c>
      <c r="K2392" s="17" t="n">
        <f aca="false">MAX(K2391,C2392)</f>
        <v>63660.94</v>
      </c>
      <c r="L2392" s="25" t="n">
        <f aca="false">C2392/K2392-1</f>
        <v>-0.492185475112369</v>
      </c>
      <c r="M2392" s="25" t="n">
        <f aca="false">IF(COUNT(G2363:G2392)&lt;20,"",_xlfn.STDEV.S(G2363:G2392)*SQRT($R$3))</f>
        <v>0.657972321031389</v>
      </c>
      <c r="N2392" s="25" t="n">
        <f aca="false">IF(A2392-7&lt;$R$2,"",C2392/INDEX(Clean_Data!$C$2:$C$4314,MATCH(A2392-7,Clean_Data!$A$2:$A$4314,1))-1)</f>
        <v>0.0136984969783096</v>
      </c>
      <c r="O2392" s="25" t="n">
        <f aca="false">IF(A2392-30&lt;$R$2,"",C2392/INDEX(Clean_Data!$C$2:$C$4314,MATCH(A2392-30,Clean_Data!$A$2:$A$4314,1))-1)</f>
        <v>-0.00554659031273885</v>
      </c>
    </row>
    <row r="2393" customFormat="false" ht="15" hidden="false" customHeight="false" outlineLevel="0" collapsed="false">
      <c r="A2393" s="16" t="n">
        <v>44400</v>
      </c>
      <c r="B2393" s="23" t="n">
        <f aca="false">YEAR(A2393)</f>
        <v>2021</v>
      </c>
      <c r="C2393" s="17" t="n">
        <v>33700</v>
      </c>
      <c r="D2393" s="23" t="n">
        <f aca="false">A2393-A2392</f>
        <v>1</v>
      </c>
      <c r="E2393" s="24" t="n">
        <f aca="false">LN(C2393)</f>
        <v>10.4252531163405</v>
      </c>
      <c r="F2393" s="25" t="n">
        <f aca="false">LN(C2393/C2392)</f>
        <v>0.041565656230209</v>
      </c>
      <c r="G2393" s="25" t="n">
        <f aca="false">IF(AND(D2393=1,A2393&gt;=$R$2),F2393,"")</f>
        <v>0.041565656230209</v>
      </c>
      <c r="H2393" s="27" t="n">
        <f aca="false">IF(G2393="","",G2393^2)</f>
        <v>0.00172770377784791</v>
      </c>
      <c r="I2393" s="25" t="n">
        <f aca="false">IF(G2393="","",C2393/C2392-1)</f>
        <v>0.042441602390501</v>
      </c>
      <c r="J2393" s="17" t="n">
        <f aca="false">AVERAGE(C2194:C2393)</f>
        <v>44691.24785</v>
      </c>
      <c r="K2393" s="17" t="n">
        <f aca="false">MAX(K2392,C2393)</f>
        <v>63660.94</v>
      </c>
      <c r="L2393" s="25" t="n">
        <f aca="false">C2393/K2393-1</f>
        <v>-0.470633012958967</v>
      </c>
      <c r="M2393" s="25" t="n">
        <f aca="false">IF(COUNT(G2364:G2393)&lt;20,"",_xlfn.STDEV.S(G2364:G2393)*SQRT($R$3))</f>
        <v>0.662331174716501</v>
      </c>
      <c r="N2393" s="25" t="n">
        <f aca="false">IF(A2393-7&lt;$R$2,"",C2393/INDEX(Clean_Data!$C$2:$C$4314,MATCH(A2393-7,Clean_Data!$A$2:$A$4314,1))-1)</f>
        <v>0.0729483921374852</v>
      </c>
      <c r="O2393" s="25" t="n">
        <f aca="false">IF(A2393-30&lt;$R$2,"",C2393/INDEX(Clean_Data!$C$2:$C$4314,MATCH(A2393-30,Clean_Data!$A$2:$A$4314,1))-1)</f>
        <v>0.000345816877347804</v>
      </c>
    </row>
    <row r="2394" customFormat="false" ht="15" hidden="false" customHeight="false" outlineLevel="0" collapsed="false">
      <c r="A2394" s="16" t="n">
        <v>44401</v>
      </c>
      <c r="B2394" s="23" t="n">
        <f aca="false">YEAR(A2394)</f>
        <v>2021</v>
      </c>
      <c r="C2394" s="17" t="n">
        <v>34275.43</v>
      </c>
      <c r="D2394" s="23" t="n">
        <f aca="false">A2394-A2393</f>
        <v>1</v>
      </c>
      <c r="E2394" s="24" t="n">
        <f aca="false">LN(C2394)</f>
        <v>10.442184049939</v>
      </c>
      <c r="F2394" s="25" t="n">
        <f aca="false">LN(C2394/C2393)</f>
        <v>0.0169309335985295</v>
      </c>
      <c r="G2394" s="25" t="n">
        <f aca="false">IF(AND(D2394=1,A2394&gt;=$R$2),F2394,"")</f>
        <v>0.0169309335985295</v>
      </c>
      <c r="H2394" s="27" t="n">
        <f aca="false">IF(G2394="","",G2394^2)</f>
        <v>0.000286656512517814</v>
      </c>
      <c r="I2394" s="25" t="n">
        <f aca="false">IF(G2394="","",C2394/C2393-1)</f>
        <v>0.0170750741839762</v>
      </c>
      <c r="J2394" s="17" t="n">
        <f aca="false">AVERAGE(C2195:C2394)</f>
        <v>44691.96885</v>
      </c>
      <c r="K2394" s="17" t="n">
        <f aca="false">MAX(K2393,C2394)</f>
        <v>63660.94</v>
      </c>
      <c r="L2394" s="25" t="n">
        <f aca="false">C2394/K2394-1</f>
        <v>-0.461594032384693</v>
      </c>
      <c r="M2394" s="25" t="n">
        <f aca="false">IF(COUNT(G2365:G2394)&lt;20,"",_xlfn.STDEV.S(G2365:G2394)*SQRT($R$3))</f>
        <v>0.656741844376377</v>
      </c>
      <c r="N2394" s="25" t="n">
        <f aca="false">IF(A2394-7&lt;$R$2,"",C2394/INDEX(Clean_Data!$C$2:$C$4314,MATCH(A2394-7,Clean_Data!$A$2:$A$4314,1))-1)</f>
        <v>0.0879783314891103</v>
      </c>
      <c r="O2394" s="25" t="n">
        <f aca="false">IF(A2394-30&lt;$R$2,"",C2394/INDEX(Clean_Data!$C$2:$C$4314,MATCH(A2394-30,Clean_Data!$A$2:$A$4314,1))-1)</f>
        <v>-0.0121027780676021</v>
      </c>
    </row>
    <row r="2395" customFormat="false" ht="15" hidden="false" customHeight="false" outlineLevel="0" collapsed="false">
      <c r="A2395" s="16" t="n">
        <v>44402</v>
      </c>
      <c r="B2395" s="23" t="n">
        <f aca="false">YEAR(A2395)</f>
        <v>2021</v>
      </c>
      <c r="C2395" s="17" t="n">
        <v>35368.57</v>
      </c>
      <c r="D2395" s="23" t="n">
        <f aca="false">A2395-A2394</f>
        <v>1</v>
      </c>
      <c r="E2395" s="24" t="n">
        <f aca="false">LN(C2395)</f>
        <v>10.4735788516395</v>
      </c>
      <c r="F2395" s="25" t="n">
        <f aca="false">LN(C2395/C2394)</f>
        <v>0.0313948017005198</v>
      </c>
      <c r="G2395" s="25" t="n">
        <f aca="false">IF(AND(D2395=1,A2395&gt;=$R$2),F2395,"")</f>
        <v>0.0313948017005198</v>
      </c>
      <c r="H2395" s="27" t="n">
        <f aca="false">IF(G2395="","",G2395^2)</f>
        <v>0.000985633573814961</v>
      </c>
      <c r="I2395" s="25" t="n">
        <f aca="false">IF(G2395="","",C2395/C2394-1)</f>
        <v>0.0318928165160874</v>
      </c>
      <c r="J2395" s="17" t="n">
        <f aca="false">AVERAGE(C2196:C2395)</f>
        <v>44683.91265</v>
      </c>
      <c r="K2395" s="17" t="n">
        <f aca="false">MAX(K2394,C2395)</f>
        <v>63660.94</v>
      </c>
      <c r="L2395" s="25" t="n">
        <f aca="false">C2395/K2395-1</f>
        <v>-0.444422749648372</v>
      </c>
      <c r="M2395" s="25" t="n">
        <f aca="false">IF(COUNT(G2366:G2395)&lt;20,"",_xlfn.STDEV.S(G2366:G2395)*SQRT($R$3))</f>
        <v>0.580091350806569</v>
      </c>
      <c r="N2395" s="25" t="n">
        <f aca="false">IF(A2395-7&lt;$R$2,"",C2395/INDEX(Clean_Data!$C$2:$C$4314,MATCH(A2395-7,Clean_Data!$A$2:$A$4314,1))-1)</f>
        <v>0.113864759950392</v>
      </c>
      <c r="O2395" s="25" t="n">
        <f aca="false">IF(A2395-30&lt;$R$2,"",C2395/INDEX(Clean_Data!$C$2:$C$4314,MATCH(A2395-30,Clean_Data!$A$2:$A$4314,1))-1)</f>
        <v>0.115556379824298</v>
      </c>
    </row>
    <row r="2396" customFormat="false" ht="15" hidden="false" customHeight="false" outlineLevel="0" collapsed="false">
      <c r="A2396" s="16" t="n">
        <v>44403</v>
      </c>
      <c r="B2396" s="23" t="n">
        <f aca="false">YEAR(A2396)</f>
        <v>2021</v>
      </c>
      <c r="C2396" s="17" t="n">
        <v>37269.12</v>
      </c>
      <c r="D2396" s="23" t="n">
        <f aca="false">A2396-A2395</f>
        <v>1</v>
      </c>
      <c r="E2396" s="24" t="n">
        <f aca="false">LN(C2396)</f>
        <v>10.5259203807108</v>
      </c>
      <c r="F2396" s="25" t="n">
        <f aca="false">LN(C2396/C2395)</f>
        <v>0.0523415290712792</v>
      </c>
      <c r="G2396" s="25" t="n">
        <f aca="false">IF(AND(D2396=1,A2396&gt;=$R$2),F2396,"")</f>
        <v>0.0523415290712792</v>
      </c>
      <c r="H2396" s="27" t="n">
        <f aca="false">IF(G2396="","",G2396^2)</f>
        <v>0.00273963566551957</v>
      </c>
      <c r="I2396" s="25" t="n">
        <f aca="false">IF(G2396="","",C2396/C2395-1)</f>
        <v>0.0537355623933906</v>
      </c>
      <c r="J2396" s="17" t="n">
        <f aca="false">AVERAGE(C2197:C2396)</f>
        <v>44672.3913</v>
      </c>
      <c r="K2396" s="17" t="n">
        <f aca="false">MAX(K2395,C2396)</f>
        <v>63660.94</v>
      </c>
      <c r="L2396" s="25" t="n">
        <f aca="false">C2396/K2396-1</f>
        <v>-0.414568493647753</v>
      </c>
      <c r="M2396" s="25" t="n">
        <f aca="false">IF(COUNT(G2367:G2396)&lt;20,"",_xlfn.STDEV.S(G2367:G2396)*SQRT($R$3))</f>
        <v>0.60283774325696</v>
      </c>
      <c r="N2396" s="25" t="n">
        <f aca="false">IF(A2396-7&lt;$R$2,"",C2396/INDEX(Clean_Data!$C$2:$C$4314,MATCH(A2396-7,Clean_Data!$A$2:$A$4314,1))-1)</f>
        <v>0.208079118570887</v>
      </c>
      <c r="O2396" s="25" t="n">
        <f aca="false">IF(A2396-30&lt;$R$2,"",C2396/INDEX(Clean_Data!$C$2:$C$4314,MATCH(A2396-30,Clean_Data!$A$2:$A$4314,1))-1)</f>
        <v>0.155060365493655</v>
      </c>
    </row>
    <row r="2397" customFormat="false" ht="15" hidden="false" customHeight="false" outlineLevel="0" collapsed="false">
      <c r="A2397" s="16" t="n">
        <v>44404</v>
      </c>
      <c r="B2397" s="23" t="n">
        <f aca="false">YEAR(A2397)</f>
        <v>2021</v>
      </c>
      <c r="C2397" s="17" t="n">
        <v>39381.82</v>
      </c>
      <c r="D2397" s="23" t="n">
        <f aca="false">A2397-A2396</f>
        <v>1</v>
      </c>
      <c r="E2397" s="24" t="n">
        <f aca="false">LN(C2397)</f>
        <v>10.5810595674787</v>
      </c>
      <c r="F2397" s="25" t="n">
        <f aca="false">LN(C2397/C2396)</f>
        <v>0.055139186767871</v>
      </c>
      <c r="G2397" s="25" t="n">
        <f aca="false">IF(AND(D2397=1,A2397&gt;=$R$2),F2397,"")</f>
        <v>0.055139186767871</v>
      </c>
      <c r="H2397" s="27" t="n">
        <f aca="false">IF(G2397="","",G2397^2)</f>
        <v>0.00304032991742216</v>
      </c>
      <c r="I2397" s="25" t="n">
        <f aca="false">IF(G2397="","",C2397/C2396-1)</f>
        <v>0.0566876813834079</v>
      </c>
      <c r="J2397" s="17" t="n">
        <f aca="false">AVERAGE(C2198:C2397)</f>
        <v>44665.9668</v>
      </c>
      <c r="K2397" s="17" t="n">
        <f aca="false">MAX(K2396,C2397)</f>
        <v>63660.94</v>
      </c>
      <c r="L2397" s="25" t="n">
        <f aca="false">C2397/K2397-1</f>
        <v>-0.381381738943849</v>
      </c>
      <c r="M2397" s="25" t="n">
        <f aca="false">IF(COUNT(G2368:G2397)&lt;20,"",_xlfn.STDEV.S(G2368:G2397)*SQRT($R$3))</f>
        <v>0.584908267002748</v>
      </c>
      <c r="N2397" s="25" t="n">
        <f aca="false">IF(A2397-7&lt;$R$2,"",C2397/INDEX(Clean_Data!$C$2:$C$4314,MATCH(A2397-7,Clean_Data!$A$2:$A$4314,1))-1)</f>
        <v>0.322042888204586</v>
      </c>
      <c r="O2397" s="25" t="n">
        <f aca="false">IF(A2397-30&lt;$R$2,"",C2397/INDEX(Clean_Data!$C$2:$C$4314,MATCH(A2397-30,Clean_Data!$A$2:$A$4314,1))-1)</f>
        <v>0.138301915860311</v>
      </c>
    </row>
    <row r="2398" customFormat="false" ht="15" hidden="false" customHeight="false" outlineLevel="0" collapsed="false">
      <c r="A2398" s="16" t="n">
        <v>44405</v>
      </c>
      <c r="B2398" s="23" t="n">
        <f aca="false">YEAR(A2398)</f>
        <v>2021</v>
      </c>
      <c r="C2398" s="17" t="n">
        <v>40031.56</v>
      </c>
      <c r="D2398" s="23" t="n">
        <f aca="false">A2398-A2397</f>
        <v>1</v>
      </c>
      <c r="E2398" s="24" t="n">
        <f aca="false">LN(C2398)</f>
        <v>10.5974234219992</v>
      </c>
      <c r="F2398" s="25" t="n">
        <f aca="false">LN(C2398/C2397)</f>
        <v>0.0163638545205467</v>
      </c>
      <c r="G2398" s="25" t="n">
        <f aca="false">IF(AND(D2398=1,A2398&gt;=$R$2),F2398,"")</f>
        <v>0.0163638545205467</v>
      </c>
      <c r="H2398" s="27" t="n">
        <f aca="false">IF(G2398="","",G2398^2)</f>
        <v>0.000267775734769617</v>
      </c>
      <c r="I2398" s="25" t="n">
        <f aca="false">IF(G2398="","",C2398/C2397-1)</f>
        <v>0.016498475692591</v>
      </c>
      <c r="J2398" s="17" t="n">
        <f aca="false">AVERAGE(C2199:C2398)</f>
        <v>44664.3931</v>
      </c>
      <c r="K2398" s="17" t="n">
        <f aca="false">MAX(K2397,C2398)</f>
        <v>63660.94</v>
      </c>
      <c r="L2398" s="25" t="n">
        <f aca="false">C2398/K2398-1</f>
        <v>-0.371175480600821</v>
      </c>
      <c r="M2398" s="25" t="n">
        <f aca="false">IF(COUNT(G2369:G2398)&lt;20,"",_xlfn.STDEV.S(G2369:G2398)*SQRT($R$3))</f>
        <v>0.585976444582717</v>
      </c>
      <c r="N2398" s="25" t="n">
        <f aca="false">IF(A2398-7&lt;$R$2,"",C2398/INDEX(Clean_Data!$C$2:$C$4314,MATCH(A2398-7,Clean_Data!$A$2:$A$4314,1))-1)</f>
        <v>0.247631680319541</v>
      </c>
      <c r="O2398" s="25" t="n">
        <f aca="false">IF(A2398-30&lt;$R$2,"",C2398/INDEX(Clean_Data!$C$2:$C$4314,MATCH(A2398-30,Clean_Data!$A$2:$A$4314,1))-1)</f>
        <v>0.158930918481376</v>
      </c>
    </row>
    <row r="2399" customFormat="false" ht="15" hidden="false" customHeight="false" outlineLevel="0" collapsed="false">
      <c r="A2399" s="16" t="n">
        <v>44406</v>
      </c>
      <c r="B2399" s="23" t="n">
        <f aca="false">YEAR(A2399)</f>
        <v>2021</v>
      </c>
      <c r="C2399" s="17" t="n">
        <v>40024.94</v>
      </c>
      <c r="D2399" s="23" t="n">
        <f aca="false">A2399-A2398</f>
        <v>1</v>
      </c>
      <c r="E2399" s="24" t="n">
        <f aca="false">LN(C2399)</f>
        <v>10.5972580388007</v>
      </c>
      <c r="F2399" s="25" t="n">
        <f aca="false">LN(C2399/C2398)</f>
        <v>-0.000165383198493211</v>
      </c>
      <c r="G2399" s="25" t="n">
        <f aca="false">IF(AND(D2399=1,A2399&gt;=$R$2),F2399,"")</f>
        <v>-0.000165383198493211</v>
      </c>
      <c r="H2399" s="27" t="n">
        <f aca="false">IF(G2399="","",G2399^2)</f>
        <v>2.73516023438449E-008</v>
      </c>
      <c r="I2399" s="25" t="n">
        <f aca="false">IF(G2399="","",C2399/C2398-1)</f>
        <v>-0.000165369523445924</v>
      </c>
      <c r="J2399" s="17" t="n">
        <f aca="false">AVERAGE(C2200:C2399)</f>
        <v>44673.3077</v>
      </c>
      <c r="K2399" s="17" t="n">
        <f aca="false">MAX(K2398,C2399)</f>
        <v>63660.94</v>
      </c>
      <c r="L2399" s="25" t="n">
        <f aca="false">C2399/K2399-1</f>
        <v>-0.371279469011925</v>
      </c>
      <c r="M2399" s="25" t="n">
        <f aca="false">IF(COUNT(G2370:G2399)&lt;20,"",_xlfn.STDEV.S(G2370:G2399)*SQRT($R$3))</f>
        <v>0.572799735539724</v>
      </c>
      <c r="N2399" s="25" t="n">
        <f aca="false">IF(A2399-7&lt;$R$2,"",C2399/INDEX(Clean_Data!$C$2:$C$4314,MATCH(A2399-7,Clean_Data!$A$2:$A$4314,1))-1)</f>
        <v>0.238090878017319</v>
      </c>
      <c r="O2399" s="25" t="n">
        <f aca="false">IF(A2399-30&lt;$R$2,"",C2399/INDEX(Clean_Data!$C$2:$C$4314,MATCH(A2399-30,Clean_Data!$A$2:$A$4314,1))-1)</f>
        <v>0.114008697769892</v>
      </c>
    </row>
    <row r="2400" customFormat="false" ht="15" hidden="false" customHeight="false" outlineLevel="0" collapsed="false">
      <c r="A2400" s="16" t="n">
        <v>44407</v>
      </c>
      <c r="B2400" s="23" t="n">
        <f aca="false">YEAR(A2400)</f>
        <v>2021</v>
      </c>
      <c r="C2400" s="17" t="n">
        <v>42188.95</v>
      </c>
      <c r="D2400" s="23" t="n">
        <f aca="false">A2400-A2399</f>
        <v>1</v>
      </c>
      <c r="E2400" s="24" t="n">
        <f aca="false">LN(C2400)</f>
        <v>10.6499136173946</v>
      </c>
      <c r="F2400" s="25" t="n">
        <f aca="false">LN(C2400/C2399)</f>
        <v>0.0526555785939019</v>
      </c>
      <c r="G2400" s="25" t="n">
        <f aca="false">IF(AND(D2400=1,A2400&gt;=$R$2),F2400,"")</f>
        <v>0.0526555785939019</v>
      </c>
      <c r="H2400" s="27" t="n">
        <f aca="false">IF(G2400="","",G2400^2)</f>
        <v>0.00277260995705858</v>
      </c>
      <c r="I2400" s="25" t="n">
        <f aca="false">IF(G2400="","",C2400/C2399-1)</f>
        <v>0.0540665395126136</v>
      </c>
      <c r="J2400" s="17" t="n">
        <f aca="false">AVERAGE(C2201:C2400)</f>
        <v>44706.8809</v>
      </c>
      <c r="K2400" s="17" t="n">
        <f aca="false">MAX(K2399,C2400)</f>
        <v>63660.94</v>
      </c>
      <c r="L2400" s="25" t="n">
        <f aca="false">C2400/K2400-1</f>
        <v>-0.337286725580867</v>
      </c>
      <c r="M2400" s="25" t="n">
        <f aca="false">IF(COUNT(G2371:G2400)&lt;20,"",_xlfn.STDEV.S(G2371:G2400)*SQRT($R$3))</f>
        <v>0.586954039221578</v>
      </c>
      <c r="N2400" s="25" t="n">
        <f aca="false">IF(A2400-7&lt;$R$2,"",C2400/INDEX(Clean_Data!$C$2:$C$4314,MATCH(A2400-7,Clean_Data!$A$2:$A$4314,1))-1)</f>
        <v>0.251897626112759</v>
      </c>
      <c r="O2400" s="25" t="n">
        <f aca="false">IF(A2400-30&lt;$R$2,"",C2400/INDEX(Clean_Data!$C$2:$C$4314,MATCH(A2400-30,Clean_Data!$A$2:$A$4314,1))-1)</f>
        <v>0.205542203171063</v>
      </c>
    </row>
    <row r="2401" customFormat="false" ht="15" hidden="false" customHeight="false" outlineLevel="0" collapsed="false">
      <c r="A2401" s="16" t="n">
        <v>44408</v>
      </c>
      <c r="B2401" s="23" t="n">
        <f aca="false">YEAR(A2401)</f>
        <v>2021</v>
      </c>
      <c r="C2401" s="17" t="n">
        <v>41472.42</v>
      </c>
      <c r="D2401" s="23" t="n">
        <f aca="false">A2401-A2400</f>
        <v>1</v>
      </c>
      <c r="E2401" s="24" t="n">
        <f aca="false">LN(C2401)</f>
        <v>10.6327839069755</v>
      </c>
      <c r="F2401" s="25" t="n">
        <f aca="false">LN(C2401/C2400)</f>
        <v>-0.0171297104191279</v>
      </c>
      <c r="G2401" s="25" t="n">
        <f aca="false">IF(AND(D2401=1,A2401&gt;=$R$2),F2401,"")</f>
        <v>-0.0171297104191279</v>
      </c>
      <c r="H2401" s="27" t="n">
        <f aca="false">IF(G2401="","",G2401^2)</f>
        <v>0.00029342697904318</v>
      </c>
      <c r="I2401" s="25" t="n">
        <f aca="false">IF(G2401="","",C2401/C2400-1)</f>
        <v>-0.0169838310742505</v>
      </c>
      <c r="J2401" s="17" t="n">
        <f aca="false">AVERAGE(C2202:C2401)</f>
        <v>44744.40085</v>
      </c>
      <c r="K2401" s="17" t="n">
        <f aca="false">MAX(K2400,C2401)</f>
        <v>63660.94</v>
      </c>
      <c r="L2401" s="25" t="n">
        <f aca="false">C2401/K2401-1</f>
        <v>-0.348542135884264</v>
      </c>
      <c r="M2401" s="25" t="n">
        <f aca="false">IF(COUNT(G2372:G2401)&lt;20,"",_xlfn.STDEV.S(G2372:G2401)*SQRT($R$3))</f>
        <v>0.566728406647402</v>
      </c>
      <c r="N2401" s="25" t="n">
        <f aca="false">IF(A2401-7&lt;$R$2,"",C2401/INDEX(Clean_Data!$C$2:$C$4314,MATCH(A2401-7,Clean_Data!$A$2:$A$4314,1))-1)</f>
        <v>0.209975192142009</v>
      </c>
      <c r="O2401" s="25" t="n">
        <f aca="false">IF(A2401-30&lt;$R$2,"",C2401/INDEX(Clean_Data!$C$2:$C$4314,MATCH(A2401-30,Clean_Data!$A$2:$A$4314,1))-1)</f>
        <v>0.236561932275424</v>
      </c>
    </row>
    <row r="2402" customFormat="false" ht="15" hidden="false" customHeight="false" outlineLevel="0" collapsed="false">
      <c r="A2402" s="16" t="n">
        <v>44409</v>
      </c>
      <c r="B2402" s="23" t="n">
        <f aca="false">YEAR(A2402)</f>
        <v>2021</v>
      </c>
      <c r="C2402" s="17" t="n">
        <v>39816.76</v>
      </c>
      <c r="D2402" s="23" t="n">
        <f aca="false">A2402-A2401</f>
        <v>1</v>
      </c>
      <c r="E2402" s="24" t="n">
        <f aca="false">LN(C2402)</f>
        <v>10.5920432081601</v>
      </c>
      <c r="F2402" s="25" t="n">
        <f aca="false">LN(C2402/C2401)</f>
        <v>-0.0407406988153621</v>
      </c>
      <c r="G2402" s="25" t="n">
        <f aca="false">IF(AND(D2402=1,A2402&gt;=$R$2),F2402,"")</f>
        <v>-0.0407406988153621</v>
      </c>
      <c r="H2402" s="27" t="n">
        <f aca="false">IF(G2402="","",G2402^2)</f>
        <v>0.00165980453996405</v>
      </c>
      <c r="I2402" s="25" t="n">
        <f aca="false">IF(G2402="","",C2402/C2401-1)</f>
        <v>-0.0399219529509007</v>
      </c>
      <c r="J2402" s="17" t="n">
        <f aca="false">AVERAGE(C2203:C2402)</f>
        <v>44755.88135</v>
      </c>
      <c r="K2402" s="17" t="n">
        <f aca="false">MAX(K2401,C2402)</f>
        <v>63660.94</v>
      </c>
      <c r="L2402" s="25" t="n">
        <f aca="false">C2402/K2402-1</f>
        <v>-0.374549606084987</v>
      </c>
      <c r="M2402" s="25" t="n">
        <f aca="false">IF(COUNT(G2373:G2402)&lt;20,"",_xlfn.STDEV.S(G2373:G2402)*SQRT($R$3))</f>
        <v>0.590677505339113</v>
      </c>
      <c r="N2402" s="25" t="n">
        <f aca="false">IF(A2402-7&lt;$R$2,"",C2402/INDEX(Clean_Data!$C$2:$C$4314,MATCH(A2402-7,Clean_Data!$A$2:$A$4314,1))-1)</f>
        <v>0.125766747143014</v>
      </c>
      <c r="O2402" s="25" t="n">
        <f aca="false">IF(A2402-30&lt;$R$2,"",C2402/INDEX(Clean_Data!$C$2:$C$4314,MATCH(A2402-30,Clean_Data!$A$2:$A$4314,1))-1)</f>
        <v>0.17687938428416</v>
      </c>
    </row>
    <row r="2403" customFormat="false" ht="15" hidden="false" customHeight="false" outlineLevel="0" collapsed="false">
      <c r="A2403" s="16" t="n">
        <v>44410</v>
      </c>
      <c r="B2403" s="23" t="n">
        <f aca="false">YEAR(A2403)</f>
        <v>2021</v>
      </c>
      <c r="C2403" s="17" t="n">
        <v>39146.69</v>
      </c>
      <c r="D2403" s="23" t="n">
        <f aca="false">A2403-A2402</f>
        <v>1</v>
      </c>
      <c r="E2403" s="24" t="n">
        <f aca="false">LN(C2403)</f>
        <v>10.5750711512291</v>
      </c>
      <c r="F2403" s="25" t="n">
        <f aca="false">LN(C2403/C2402)</f>
        <v>-0.0169720569310167</v>
      </c>
      <c r="G2403" s="25" t="n">
        <f aca="false">IF(AND(D2403=1,A2403&gt;=$R$2),F2403,"")</f>
        <v>-0.0169720569310167</v>
      </c>
      <c r="H2403" s="27" t="n">
        <f aca="false">IF(G2403="","",G2403^2)</f>
        <v>0.000288050716469673</v>
      </c>
      <c r="I2403" s="25" t="n">
        <f aca="false">IF(G2403="","",C2403/C2402-1)</f>
        <v>-0.0168288429294599</v>
      </c>
      <c r="J2403" s="17" t="n">
        <f aca="false">AVERAGE(C2204:C2403)</f>
        <v>44755.7592</v>
      </c>
      <c r="K2403" s="17" t="n">
        <f aca="false">MAX(K2402,C2403)</f>
        <v>63660.94</v>
      </c>
      <c r="L2403" s="25" t="n">
        <f aca="false">C2403/K2403-1</f>
        <v>-0.385075212524352</v>
      </c>
      <c r="M2403" s="25" t="n">
        <f aca="false">IF(COUNT(G2374:G2403)&lt;20,"",_xlfn.STDEV.S(G2374:G2403)*SQRT($R$3))</f>
        <v>0.591997525925279</v>
      </c>
      <c r="N2403" s="25" t="n">
        <f aca="false">IF(A2403-7&lt;$R$2,"",C2403/INDEX(Clean_Data!$C$2:$C$4314,MATCH(A2403-7,Clean_Data!$A$2:$A$4314,1))-1)</f>
        <v>0.0503787049439322</v>
      </c>
      <c r="O2403" s="25" t="n">
        <f aca="false">IF(A2403-30&lt;$R$2,"",C2403/INDEX(Clean_Data!$C$2:$C$4314,MATCH(A2403-30,Clean_Data!$A$2:$A$4314,1))-1)</f>
        <v>0.130298813908788</v>
      </c>
    </row>
    <row r="2404" customFormat="false" ht="15" hidden="false" customHeight="false" outlineLevel="0" collapsed="false">
      <c r="A2404" s="16" t="n">
        <v>44411</v>
      </c>
      <c r="B2404" s="23" t="n">
        <f aca="false">YEAR(A2404)</f>
        <v>2021</v>
      </c>
      <c r="C2404" s="17" t="n">
        <v>38207.27</v>
      </c>
      <c r="D2404" s="23" t="n">
        <f aca="false">A2404-A2403</f>
        <v>1</v>
      </c>
      <c r="E2404" s="24" t="n">
        <f aca="false">LN(C2404)</f>
        <v>10.5507810906234</v>
      </c>
      <c r="F2404" s="25" t="n">
        <f aca="false">LN(C2404/C2403)</f>
        <v>-0.0242900606057473</v>
      </c>
      <c r="G2404" s="25" t="n">
        <f aca="false">IF(AND(D2404=1,A2404&gt;=$R$2),F2404,"")</f>
        <v>-0.0242900606057473</v>
      </c>
      <c r="H2404" s="27" t="n">
        <f aca="false">IF(G2404="","",G2404^2)</f>
        <v>0.000590007044230878</v>
      </c>
      <c r="I2404" s="25" t="n">
        <f aca="false">IF(G2404="","",C2404/C2403-1)</f>
        <v>-0.0239974312004414</v>
      </c>
      <c r="J2404" s="17" t="n">
        <f aca="false">AVERAGE(C2205:C2404)</f>
        <v>44762.4536</v>
      </c>
      <c r="K2404" s="17" t="n">
        <f aca="false">MAX(K2403,C2404)</f>
        <v>63660.94</v>
      </c>
      <c r="L2404" s="25" t="n">
        <f aca="false">C2404/K2404-1</f>
        <v>-0.399831827805245</v>
      </c>
      <c r="M2404" s="25" t="n">
        <f aca="false">IF(COUNT(G2375:G2404)&lt;20,"",_xlfn.STDEV.S(G2375:G2404)*SQRT($R$3))</f>
        <v>0.59891766343251</v>
      </c>
      <c r="N2404" s="25" t="n">
        <f aca="false">IF(A2404-7&lt;$R$2,"",C2404/INDEX(Clean_Data!$C$2:$C$4314,MATCH(A2404-7,Clean_Data!$A$2:$A$4314,1))-1)</f>
        <v>-0.029824675446691</v>
      </c>
      <c r="O2404" s="25" t="n">
        <f aca="false">IF(A2404-30&lt;$R$2,"",C2404/INDEX(Clean_Data!$C$2:$C$4314,MATCH(A2404-30,Clean_Data!$A$2:$A$4314,1))-1)</f>
        <v>0.0876926230324906</v>
      </c>
    </row>
    <row r="2405" customFormat="false" ht="15" hidden="false" customHeight="false" outlineLevel="0" collapsed="false">
      <c r="A2405" s="16" t="n">
        <v>44412</v>
      </c>
      <c r="B2405" s="23" t="n">
        <f aca="false">YEAR(A2405)</f>
        <v>2021</v>
      </c>
      <c r="C2405" s="17" t="n">
        <v>39730</v>
      </c>
      <c r="D2405" s="23" t="n">
        <f aca="false">A2405-A2404</f>
        <v>1</v>
      </c>
      <c r="E2405" s="24" t="n">
        <f aca="false">LN(C2405)</f>
        <v>10.5898618488086</v>
      </c>
      <c r="F2405" s="25" t="n">
        <f aca="false">LN(C2405/C2404)</f>
        <v>0.0390807581852903</v>
      </c>
      <c r="G2405" s="25" t="n">
        <f aca="false">IF(AND(D2405=1,A2405&gt;=$R$2),F2405,"")</f>
        <v>0.0390807581852903</v>
      </c>
      <c r="H2405" s="27" t="n">
        <f aca="false">IF(G2405="","",G2405^2)</f>
        <v>0.00152730566033714</v>
      </c>
      <c r="I2405" s="25" t="n">
        <f aca="false">IF(G2405="","",C2405/C2404-1)</f>
        <v>0.0398544570182586</v>
      </c>
      <c r="J2405" s="17" t="n">
        <f aca="false">AVERAGE(C2206:C2405)</f>
        <v>44781.75625</v>
      </c>
      <c r="K2405" s="17" t="n">
        <f aca="false">MAX(K2404,C2405)</f>
        <v>63660.94</v>
      </c>
      <c r="L2405" s="25" t="n">
        <f aca="false">C2405/K2405-1</f>
        <v>-0.375912451182782</v>
      </c>
      <c r="M2405" s="25" t="n">
        <f aca="false">IF(COUNT(G2376:G2405)&lt;20,"",_xlfn.STDEV.S(G2376:G2405)*SQRT($R$3))</f>
        <v>0.589007113150993</v>
      </c>
      <c r="N2405" s="25" t="n">
        <f aca="false">IF(A2405-7&lt;$R$2,"",C2405/INDEX(Clean_Data!$C$2:$C$4314,MATCH(A2405-7,Clean_Data!$A$2:$A$4314,1))-1)</f>
        <v>-0.00753305641848578</v>
      </c>
      <c r="O2405" s="25" t="n">
        <f aca="false">IF(A2405-30&lt;$R$2,"",C2405/INDEX(Clean_Data!$C$2:$C$4314,MATCH(A2405-30,Clean_Data!$A$2:$A$4314,1))-1)</f>
        <v>0.179869344244477</v>
      </c>
    </row>
    <row r="2406" customFormat="false" ht="15" hidden="false" customHeight="false" outlineLevel="0" collapsed="false">
      <c r="A2406" s="16" t="n">
        <v>44413</v>
      </c>
      <c r="B2406" s="23" t="n">
        <f aca="false">YEAR(A2406)</f>
        <v>2021</v>
      </c>
      <c r="C2406" s="17" t="n">
        <v>40893.75</v>
      </c>
      <c r="D2406" s="23" t="n">
        <f aca="false">A2406-A2405</f>
        <v>1</v>
      </c>
      <c r="E2406" s="24" t="n">
        <f aca="false">LN(C2406)</f>
        <v>10.6187325186181</v>
      </c>
      <c r="F2406" s="25" t="n">
        <f aca="false">LN(C2406/C2405)</f>
        <v>0.0288706698094042</v>
      </c>
      <c r="G2406" s="25" t="n">
        <f aca="false">IF(AND(D2406=1,A2406&gt;=$R$2),F2406,"")</f>
        <v>0.0288706698094042</v>
      </c>
      <c r="H2406" s="27" t="n">
        <f aca="false">IF(G2406="","",G2406^2)</f>
        <v>0.000833515575243642</v>
      </c>
      <c r="I2406" s="25" t="n">
        <f aca="false">IF(G2406="","",C2406/C2405-1)</f>
        <v>0.0292914674049836</v>
      </c>
      <c r="J2406" s="17" t="n">
        <f aca="false">AVERAGE(C2207:C2406)</f>
        <v>44806.56925</v>
      </c>
      <c r="K2406" s="17" t="n">
        <f aca="false">MAX(K2405,C2406)</f>
        <v>63660.94</v>
      </c>
      <c r="L2406" s="25" t="n">
        <f aca="false">C2406/K2406-1</f>
        <v>-0.357632011088746</v>
      </c>
      <c r="M2406" s="25" t="n">
        <f aca="false">IF(COUNT(G2377:G2406)&lt;20,"",_xlfn.STDEV.S(G2377:G2406)*SQRT($R$3))</f>
        <v>0.593719393571513</v>
      </c>
      <c r="N2406" s="25" t="n">
        <f aca="false">IF(A2406-7&lt;$R$2,"",C2406/INDEX(Clean_Data!$C$2:$C$4314,MATCH(A2406-7,Clean_Data!$A$2:$A$4314,1))-1)</f>
        <v>0.0217067158626596</v>
      </c>
      <c r="O2406" s="25" t="n">
        <f aca="false">IF(A2406-30&lt;$R$2,"",C2406/INDEX(Clean_Data!$C$2:$C$4314,MATCH(A2406-30,Clean_Data!$A$2:$A$4314,1))-1)</f>
        <v>0.19593699461015</v>
      </c>
    </row>
    <row r="2407" customFormat="false" ht="15" hidden="false" customHeight="false" outlineLevel="0" collapsed="false">
      <c r="A2407" s="16" t="n">
        <v>44414</v>
      </c>
      <c r="B2407" s="23" t="n">
        <f aca="false">YEAR(A2407)</f>
        <v>2021</v>
      </c>
      <c r="C2407" s="17" t="n">
        <v>42827.76</v>
      </c>
      <c r="D2407" s="23" t="n">
        <f aca="false">A2407-A2406</f>
        <v>1</v>
      </c>
      <c r="E2407" s="24" t="n">
        <f aca="false">LN(C2407)</f>
        <v>10.6649417694519</v>
      </c>
      <c r="F2407" s="25" t="n">
        <f aca="false">LN(C2407/C2406)</f>
        <v>0.0462092508338192</v>
      </c>
      <c r="G2407" s="25" t="n">
        <f aca="false">IF(AND(D2407=1,A2407&gt;=$R$2),F2407,"")</f>
        <v>0.0462092508338192</v>
      </c>
      <c r="H2407" s="27" t="n">
        <f aca="false">IF(G2407="","",G2407^2)</f>
        <v>0.00213529486262282</v>
      </c>
      <c r="I2407" s="25" t="n">
        <f aca="false">IF(G2407="","",C2407/C2406-1)</f>
        <v>0.0472935350756534</v>
      </c>
      <c r="J2407" s="17" t="n">
        <f aca="false">AVERAGE(C2208:C2407)</f>
        <v>44836.8782</v>
      </c>
      <c r="K2407" s="17" t="n">
        <f aca="false">MAX(K2406,C2407)</f>
        <v>63660.94</v>
      </c>
      <c r="L2407" s="25" t="n">
        <f aca="false">C2407/K2407-1</f>
        <v>-0.327252158073695</v>
      </c>
      <c r="M2407" s="25" t="n">
        <f aca="false">IF(COUNT(G2378:G2407)&lt;20,"",_xlfn.STDEV.S(G2378:G2407)*SQRT($R$3))</f>
        <v>0.606199783532358</v>
      </c>
      <c r="N2407" s="25" t="n">
        <f aca="false">IF(A2407-7&lt;$R$2,"",C2407/INDEX(Clean_Data!$C$2:$C$4314,MATCH(A2407-7,Clean_Data!$A$2:$A$4314,1))-1)</f>
        <v>0.0151416425391009</v>
      </c>
      <c r="O2407" s="25" t="n">
        <f aca="false">IF(A2407-30&lt;$R$2,"",C2407/INDEX(Clean_Data!$C$2:$C$4314,MATCH(A2407-30,Clean_Data!$A$2:$A$4314,1))-1)</f>
        <v>0.267430972744222</v>
      </c>
    </row>
    <row r="2408" customFormat="false" ht="15" hidden="false" customHeight="false" outlineLevel="0" collapsed="false">
      <c r="A2408" s="16" t="n">
        <v>44415</v>
      </c>
      <c r="B2408" s="23" t="n">
        <f aca="false">YEAR(A2408)</f>
        <v>2021</v>
      </c>
      <c r="C2408" s="17" t="n">
        <v>44488.87</v>
      </c>
      <c r="D2408" s="23" t="n">
        <f aca="false">A2408-A2407</f>
        <v>1</v>
      </c>
      <c r="E2408" s="24" t="n">
        <f aca="false">LN(C2408)</f>
        <v>10.7029943245115</v>
      </c>
      <c r="F2408" s="25" t="n">
        <f aca="false">LN(C2408/C2407)</f>
        <v>0.0380525550596005</v>
      </c>
      <c r="G2408" s="25" t="n">
        <f aca="false">IF(AND(D2408=1,A2408&gt;=$R$2),F2408,"")</f>
        <v>0.0380525550596005</v>
      </c>
      <c r="H2408" s="27" t="n">
        <f aca="false">IF(G2408="","",G2408^2)</f>
        <v>0.00144799694656393</v>
      </c>
      <c r="I2408" s="25" t="n">
        <f aca="false">IF(G2408="","",C2408/C2407-1)</f>
        <v>0.0387858248948814</v>
      </c>
      <c r="J2408" s="17" t="n">
        <f aca="false">AVERAGE(C2209:C2408)</f>
        <v>44880.9574</v>
      </c>
      <c r="K2408" s="17" t="n">
        <f aca="false">MAX(K2407,C2408)</f>
        <v>63660.94</v>
      </c>
      <c r="L2408" s="25" t="n">
        <f aca="false">C2408/K2408-1</f>
        <v>-0.301159078078332</v>
      </c>
      <c r="M2408" s="25" t="n">
        <f aca="false">IF(COUNT(G2379:G2408)&lt;20,"",_xlfn.STDEV.S(G2379:G2408)*SQRT($R$3))</f>
        <v>0.60121223368127</v>
      </c>
      <c r="N2408" s="25" t="n">
        <f aca="false">IF(A2408-7&lt;$R$2,"",C2408/INDEX(Clean_Data!$C$2:$C$4314,MATCH(A2408-7,Clean_Data!$A$2:$A$4314,1))-1)</f>
        <v>0.0727338795276475</v>
      </c>
      <c r="O2408" s="25" t="n">
        <f aca="false">IF(A2408-30&lt;$R$2,"",C2408/INDEX(Clean_Data!$C$2:$C$4314,MATCH(A2408-30,Clean_Data!$A$2:$A$4314,1))-1)</f>
        <v>0.353140664810727</v>
      </c>
    </row>
    <row r="2409" customFormat="false" ht="15" hidden="false" customHeight="false" outlineLevel="0" collapsed="false">
      <c r="A2409" s="16" t="n">
        <v>44416</v>
      </c>
      <c r="B2409" s="23" t="n">
        <f aca="false">YEAR(A2409)</f>
        <v>2021</v>
      </c>
      <c r="C2409" s="17" t="n">
        <v>43933.26</v>
      </c>
      <c r="D2409" s="23" t="n">
        <f aca="false">A2409-A2408</f>
        <v>1</v>
      </c>
      <c r="E2409" s="24" t="n">
        <f aca="false">LN(C2409)</f>
        <v>10.6904269431853</v>
      </c>
      <c r="F2409" s="25" t="n">
        <f aca="false">LN(C2409/C2408)</f>
        <v>-0.0125673813261785</v>
      </c>
      <c r="G2409" s="25" t="n">
        <f aca="false">IF(AND(D2409=1,A2409&gt;=$R$2),F2409,"")</f>
        <v>-0.0125673813261785</v>
      </c>
      <c r="H2409" s="27" t="n">
        <f aca="false">IF(G2409="","",G2409^2)</f>
        <v>0.00015793907339758</v>
      </c>
      <c r="I2409" s="25" t="n">
        <f aca="false">IF(G2409="","",C2409/C2408-1)</f>
        <v>-0.012488741566149</v>
      </c>
      <c r="J2409" s="17" t="n">
        <f aca="false">AVERAGE(C2210:C2409)</f>
        <v>44922.7715</v>
      </c>
      <c r="K2409" s="17" t="n">
        <f aca="false">MAX(K2408,C2409)</f>
        <v>63660.94</v>
      </c>
      <c r="L2409" s="25" t="n">
        <f aca="false">C2409/K2409-1</f>
        <v>-0.309886721748061</v>
      </c>
      <c r="M2409" s="25" t="n">
        <f aca="false">IF(COUNT(G2380:G2409)&lt;20,"",_xlfn.STDEV.S(G2380:G2409)*SQRT($R$3))</f>
        <v>0.603160735561529</v>
      </c>
      <c r="N2409" s="25" t="n">
        <f aca="false">IF(A2409-7&lt;$R$2,"",C2409/INDEX(Clean_Data!$C$2:$C$4314,MATCH(A2409-7,Clean_Data!$A$2:$A$4314,1))-1)</f>
        <v>0.103386111778055</v>
      </c>
      <c r="O2409" s="25" t="n">
        <f aca="false">IF(A2409-30&lt;$R$2,"",C2409/INDEX(Clean_Data!$C$2:$C$4314,MATCH(A2409-30,Clean_Data!$A$2:$A$4314,1))-1)</f>
        <v>0.301075877035686</v>
      </c>
    </row>
    <row r="2410" customFormat="false" ht="15" hidden="false" customHeight="false" outlineLevel="0" collapsed="false">
      <c r="A2410" s="16" t="n">
        <v>44417</v>
      </c>
      <c r="B2410" s="23" t="n">
        <f aca="false">YEAR(A2410)</f>
        <v>2021</v>
      </c>
      <c r="C2410" s="17" t="n">
        <v>46208.5</v>
      </c>
      <c r="D2410" s="23" t="n">
        <f aca="false">A2410-A2409</f>
        <v>1</v>
      </c>
      <c r="E2410" s="24" t="n">
        <f aca="false">LN(C2410)</f>
        <v>10.7409190428311</v>
      </c>
      <c r="F2410" s="25" t="n">
        <f aca="false">LN(C2410/C2409)</f>
        <v>0.0504920996457845</v>
      </c>
      <c r="G2410" s="25" t="n">
        <f aca="false">IF(AND(D2410=1,A2410&gt;=$R$2),F2410,"")</f>
        <v>0.0504920996457845</v>
      </c>
      <c r="H2410" s="27" t="n">
        <f aca="false">IF(G2410="","",G2410^2)</f>
        <v>0.00254945212663983</v>
      </c>
      <c r="I2410" s="25" t="n">
        <f aca="false">IF(G2410="","",C2410/C2409-1)</f>
        <v>0.0517885538200442</v>
      </c>
      <c r="J2410" s="17" t="n">
        <f aca="false">AVERAGE(C2211:C2410)</f>
        <v>45000.5777</v>
      </c>
      <c r="K2410" s="17" t="n">
        <f aca="false">MAX(K2409,C2410)</f>
        <v>63660.94</v>
      </c>
      <c r="L2410" s="25" t="n">
        <f aca="false">C2410/K2410-1</f>
        <v>-0.274146753095383</v>
      </c>
      <c r="M2410" s="25" t="n">
        <f aca="false">IF(COUNT(G2381:G2410)&lt;20,"",_xlfn.STDEV.S(G2381:G2410)*SQRT($R$3))</f>
        <v>0.617574740805326</v>
      </c>
      <c r="N2410" s="25" t="n">
        <f aca="false">IF(A2410-7&lt;$R$2,"",C2410/INDEX(Clean_Data!$C$2:$C$4314,MATCH(A2410-7,Clean_Data!$A$2:$A$4314,1))-1)</f>
        <v>0.180393540296766</v>
      </c>
      <c r="O2410" s="25" t="n">
        <f aca="false">IF(A2410-30&lt;$R$2,"",C2410/INDEX(Clean_Data!$C$2:$C$4314,MATCH(A2410-30,Clean_Data!$A$2:$A$4314,1))-1)</f>
        <v>0.377417899979104</v>
      </c>
    </row>
    <row r="2411" customFormat="false" ht="15" hidden="false" customHeight="false" outlineLevel="0" collapsed="false">
      <c r="A2411" s="16" t="n">
        <v>44418</v>
      </c>
      <c r="B2411" s="23" t="n">
        <f aca="false">YEAR(A2411)</f>
        <v>2021</v>
      </c>
      <c r="C2411" s="17" t="n">
        <v>45565.76</v>
      </c>
      <c r="D2411" s="23" t="n">
        <f aca="false">A2411-A2410</f>
        <v>1</v>
      </c>
      <c r="E2411" s="24" t="n">
        <f aca="false">LN(C2411)</f>
        <v>10.72691183626</v>
      </c>
      <c r="F2411" s="25" t="n">
        <f aca="false">LN(C2411/C2410)</f>
        <v>-0.0140072065710575</v>
      </c>
      <c r="G2411" s="25" t="n">
        <f aca="false">IF(AND(D2411=1,A2411&gt;=$R$2),F2411,"")</f>
        <v>-0.0140072065710575</v>
      </c>
      <c r="H2411" s="27" t="n">
        <f aca="false">IF(G2411="","",G2411^2)</f>
        <v>0.000196201835924277</v>
      </c>
      <c r="I2411" s="25" t="n">
        <f aca="false">IF(G2411="","",C2411/C2410-1)</f>
        <v>-0.0139095620935542</v>
      </c>
      <c r="J2411" s="17" t="n">
        <f aca="false">AVERAGE(C2212:C2411)</f>
        <v>45063.97895</v>
      </c>
      <c r="K2411" s="17" t="n">
        <f aca="false">MAX(K2410,C2411)</f>
        <v>63660.94</v>
      </c>
      <c r="L2411" s="25" t="n">
        <f aca="false">C2411/K2411-1</f>
        <v>-0.284243053904011</v>
      </c>
      <c r="M2411" s="25" t="n">
        <f aca="false">IF(COUNT(G2382:G2411)&lt;20,"",_xlfn.STDEV.S(G2382:G2411)*SQRT($R$3))</f>
        <v>0.622412204392286</v>
      </c>
      <c r="N2411" s="25" t="n">
        <f aca="false">IF(A2411-7&lt;$R$2,"",C2411/INDEX(Clean_Data!$C$2:$C$4314,MATCH(A2411-7,Clean_Data!$A$2:$A$4314,1))-1)</f>
        <v>0.192593974916292</v>
      </c>
      <c r="O2411" s="25" t="n">
        <f aca="false">IF(A2411-30&lt;$R$2,"",C2411/INDEX(Clean_Data!$C$2:$C$4314,MATCH(A2411-30,Clean_Data!$A$2:$A$4314,1))-1)</f>
        <v>0.33092301980856</v>
      </c>
    </row>
    <row r="2412" customFormat="false" ht="15" hidden="false" customHeight="false" outlineLevel="0" collapsed="false">
      <c r="A2412" s="16" t="n">
        <v>44419</v>
      </c>
      <c r="B2412" s="23" t="n">
        <f aca="false">YEAR(A2412)</f>
        <v>2021</v>
      </c>
      <c r="C2412" s="17" t="n">
        <v>45482.95</v>
      </c>
      <c r="D2412" s="23" t="n">
        <f aca="false">A2412-A2411</f>
        <v>1</v>
      </c>
      <c r="E2412" s="24" t="n">
        <f aca="false">LN(C2412)</f>
        <v>10.7250928094373</v>
      </c>
      <c r="F2412" s="25" t="n">
        <f aca="false">LN(C2412/C2411)</f>
        <v>-0.00181902682276085</v>
      </c>
      <c r="G2412" s="25" t="n">
        <f aca="false">IF(AND(D2412=1,A2412&gt;=$R$2),F2412,"")</f>
        <v>-0.00181902682276085</v>
      </c>
      <c r="H2412" s="27" t="n">
        <f aca="false">IF(G2412="","",G2412^2)</f>
        <v>3.30885858192342E-006</v>
      </c>
      <c r="I2412" s="25" t="n">
        <f aca="false">IF(G2412="","",C2412/C2411-1)</f>
        <v>-0.00181737339616428</v>
      </c>
      <c r="J2412" s="17" t="n">
        <f aca="false">AVERAGE(C2213:C2412)</f>
        <v>45131.28705</v>
      </c>
      <c r="K2412" s="17" t="n">
        <f aca="false">MAX(K2411,C2412)</f>
        <v>63660.94</v>
      </c>
      <c r="L2412" s="25" t="n">
        <f aca="false">C2412/K2412-1</f>
        <v>-0.285543851535965</v>
      </c>
      <c r="M2412" s="25" t="n">
        <f aca="false">IF(COUNT(G2383:G2412)&lt;20,"",_xlfn.STDEV.S(G2383:G2412)*SQRT($R$3))</f>
        <v>0.604076502847505</v>
      </c>
      <c r="N2412" s="25" t="n">
        <f aca="false">IF(A2412-7&lt;$R$2,"",C2412/INDEX(Clean_Data!$C$2:$C$4314,MATCH(A2412-7,Clean_Data!$A$2:$A$4314,1))-1)</f>
        <v>0.144801157815253</v>
      </c>
      <c r="O2412" s="25" t="n">
        <f aca="false">IF(A2412-30&lt;$R$2,"",C2412/INDEX(Clean_Data!$C$2:$C$4314,MATCH(A2412-30,Clean_Data!$A$2:$A$4314,1))-1)</f>
        <v>0.374237616498967</v>
      </c>
    </row>
    <row r="2413" customFormat="false" ht="15" hidden="false" customHeight="false" outlineLevel="0" collapsed="false">
      <c r="A2413" s="16" t="n">
        <v>44420</v>
      </c>
      <c r="B2413" s="23" t="n">
        <f aca="false">YEAR(A2413)</f>
        <v>2021</v>
      </c>
      <c r="C2413" s="17" t="n">
        <v>44454.37</v>
      </c>
      <c r="D2413" s="23" t="n">
        <f aca="false">A2413-A2412</f>
        <v>1</v>
      </c>
      <c r="E2413" s="24" t="n">
        <f aca="false">LN(C2413)</f>
        <v>10.7022185488206</v>
      </c>
      <c r="F2413" s="25" t="n">
        <f aca="false">LN(C2413/C2412)</f>
        <v>-0.0228742606166722</v>
      </c>
      <c r="G2413" s="25" t="n">
        <f aca="false">IF(AND(D2413=1,A2413&gt;=$R$2),F2413,"")</f>
        <v>-0.0228742606166722</v>
      </c>
      <c r="H2413" s="27" t="n">
        <f aca="false">IF(G2413="","",G2413^2)</f>
        <v>0.000523231798759442</v>
      </c>
      <c r="I2413" s="25" t="n">
        <f aca="false">IF(G2413="","",C2413/C2412-1)</f>
        <v>-0.0226146281188884</v>
      </c>
      <c r="J2413" s="17" t="n">
        <f aca="false">AVERAGE(C2214:C2413)</f>
        <v>45192.30885</v>
      </c>
      <c r="K2413" s="17" t="n">
        <f aca="false">MAX(K2412,C2413)</f>
        <v>63660.94</v>
      </c>
      <c r="L2413" s="25" t="n">
        <f aca="false">C2413/K2413-1</f>
        <v>-0.301701011640733</v>
      </c>
      <c r="M2413" s="25" t="n">
        <f aca="false">IF(COUNT(G2384:G2413)&lt;20,"",_xlfn.STDEV.S(G2384:G2413)*SQRT($R$3))</f>
        <v>0.611240831512326</v>
      </c>
      <c r="N2413" s="25" t="n">
        <f aca="false">IF(A2413-7&lt;$R$2,"",C2413/INDEX(Clean_Data!$C$2:$C$4314,MATCH(A2413-7,Clean_Data!$A$2:$A$4314,1))-1)</f>
        <v>0.0870700290386675</v>
      </c>
      <c r="O2413" s="25" t="n">
        <f aca="false">IF(A2413-30&lt;$R$2,"",C2413/INDEX(Clean_Data!$C$2:$C$4314,MATCH(A2413-30,Clean_Data!$A$2:$A$4314,1))-1)</f>
        <v>0.356617353107584</v>
      </c>
    </row>
    <row r="2414" customFormat="false" ht="15" hidden="false" customHeight="false" outlineLevel="0" collapsed="false">
      <c r="A2414" s="16" t="n">
        <v>44421</v>
      </c>
      <c r="B2414" s="23" t="n">
        <f aca="false">YEAR(A2414)</f>
        <v>2021</v>
      </c>
      <c r="C2414" s="17" t="n">
        <v>47765.41</v>
      </c>
      <c r="D2414" s="23" t="n">
        <f aca="false">A2414-A2413</f>
        <v>1</v>
      </c>
      <c r="E2414" s="24" t="n">
        <f aca="false">LN(C2414)</f>
        <v>10.7740570163583</v>
      </c>
      <c r="F2414" s="25" t="n">
        <f aca="false">LN(C2414/C2413)</f>
        <v>0.0718384675376724</v>
      </c>
      <c r="G2414" s="25" t="n">
        <f aca="false">IF(AND(D2414=1,A2414&gt;=$R$2),F2414,"")</f>
        <v>0.0718384675376724</v>
      </c>
      <c r="H2414" s="27" t="n">
        <f aca="false">IF(G2414="","",G2414^2)</f>
        <v>0.00516076541816121</v>
      </c>
      <c r="I2414" s="25" t="n">
        <f aca="false">IF(G2414="","",C2414/C2413-1)</f>
        <v>0.0744817663595279</v>
      </c>
      <c r="J2414" s="17" t="n">
        <f aca="false">AVERAGE(C2215:C2414)</f>
        <v>45271.2409</v>
      </c>
      <c r="K2414" s="17" t="n">
        <f aca="false">MAX(K2413,C2414)</f>
        <v>63660.94</v>
      </c>
      <c r="L2414" s="25" t="n">
        <f aca="false">C2414/K2414-1</f>
        <v>-0.249690469540663</v>
      </c>
      <c r="M2414" s="25" t="n">
        <f aca="false">IF(COUNT(G2385:G2414)&lt;20,"",_xlfn.STDEV.S(G2385:G2414)*SQRT($R$3))</f>
        <v>0.646885244329717</v>
      </c>
      <c r="N2414" s="25" t="n">
        <f aca="false">IF(A2414-7&lt;$R$2,"",C2414/INDEX(Clean_Data!$C$2:$C$4314,MATCH(A2414-7,Clean_Data!$A$2:$A$4314,1))-1)</f>
        <v>0.115290876758439</v>
      </c>
      <c r="O2414" s="25" t="n">
        <f aca="false">IF(A2414-30&lt;$R$2,"",C2414/INDEX(Clean_Data!$C$2:$C$4314,MATCH(A2414-30,Clean_Data!$A$2:$A$4314,1))-1)</f>
        <v>0.455500137428018</v>
      </c>
    </row>
    <row r="2415" customFormat="false" ht="15" hidden="false" customHeight="false" outlineLevel="0" collapsed="false">
      <c r="A2415" s="16" t="n">
        <v>44422</v>
      </c>
      <c r="B2415" s="23" t="n">
        <f aca="false">YEAR(A2415)</f>
        <v>2021</v>
      </c>
      <c r="C2415" s="17" t="n">
        <v>47134.61</v>
      </c>
      <c r="D2415" s="23" t="n">
        <f aca="false">A2415-A2414</f>
        <v>1</v>
      </c>
      <c r="E2415" s="24" t="n">
        <f aca="false">LN(C2415)</f>
        <v>10.7607628296897</v>
      </c>
      <c r="F2415" s="25" t="n">
        <f aca="false">LN(C2415/C2414)</f>
        <v>-0.0132941866685266</v>
      </c>
      <c r="G2415" s="25" t="n">
        <f aca="false">IF(AND(D2415=1,A2415&gt;=$R$2),F2415,"")</f>
        <v>-0.0132941866685266</v>
      </c>
      <c r="H2415" s="27" t="n">
        <f aca="false">IF(G2415="","",G2415^2)</f>
        <v>0.00017673539917763</v>
      </c>
      <c r="I2415" s="25" t="n">
        <f aca="false">IF(G2415="","",C2415/C2414-1)</f>
        <v>-0.0132062092631468</v>
      </c>
      <c r="J2415" s="17" t="n">
        <f aca="false">AVERAGE(C2216:C2415)</f>
        <v>45344.01485</v>
      </c>
      <c r="K2415" s="17" t="n">
        <f aca="false">MAX(K2414,C2415)</f>
        <v>63660.94</v>
      </c>
      <c r="L2415" s="25" t="n">
        <f aca="false">C2415/K2415-1</f>
        <v>-0.259599214212043</v>
      </c>
      <c r="M2415" s="25" t="n">
        <f aca="false">IF(COUNT(G2386:G2415)&lt;20,"",_xlfn.STDEV.S(G2386:G2415)*SQRT($R$3))</f>
        <v>0.636745147213405</v>
      </c>
      <c r="N2415" s="25" t="n">
        <f aca="false">IF(A2415-7&lt;$R$2,"",C2415/INDEX(Clean_Data!$C$2:$C$4314,MATCH(A2415-7,Clean_Data!$A$2:$A$4314,1))-1)</f>
        <v>0.0594697055690558</v>
      </c>
      <c r="O2415" s="25" t="n">
        <f aca="false">IF(A2415-30&lt;$R$2,"",C2415/INDEX(Clean_Data!$C$2:$C$4314,MATCH(A2415-30,Clean_Data!$A$2:$A$4314,1))-1)</f>
        <v>0.477986798193477</v>
      </c>
    </row>
    <row r="2416" customFormat="false" ht="15" hidden="false" customHeight="false" outlineLevel="0" collapsed="false">
      <c r="A2416" s="16" t="n">
        <v>44423</v>
      </c>
      <c r="B2416" s="23" t="n">
        <f aca="false">YEAR(A2416)</f>
        <v>2021</v>
      </c>
      <c r="C2416" s="17" t="n">
        <v>47090</v>
      </c>
      <c r="D2416" s="23" t="n">
        <f aca="false">A2416-A2415</f>
        <v>1</v>
      </c>
      <c r="E2416" s="24" t="n">
        <f aca="false">LN(C2416)</f>
        <v>10.7598159432376</v>
      </c>
      <c r="F2416" s="25" t="n">
        <f aca="false">LN(C2416/C2415)</f>
        <v>-0.000946886452129439</v>
      </c>
      <c r="G2416" s="25" t="n">
        <f aca="false">IF(AND(D2416=1,A2416&gt;=$R$2),F2416,"")</f>
        <v>-0.000946886452129439</v>
      </c>
      <c r="H2416" s="27" t="n">
        <f aca="false">IF(G2416="","",G2416^2)</f>
        <v>8.96593953226277E-007</v>
      </c>
      <c r="I2416" s="25" t="n">
        <f aca="false">IF(G2416="","",C2416/C2415-1)</f>
        <v>-0.000946438296614782</v>
      </c>
      <c r="J2416" s="17" t="n">
        <f aca="false">AVERAGE(C2217:C2416)</f>
        <v>45426.70455</v>
      </c>
      <c r="K2416" s="17" t="n">
        <f aca="false">MAX(K2415,C2416)</f>
        <v>63660.94</v>
      </c>
      <c r="L2416" s="25" t="n">
        <f aca="false">C2416/K2416-1</f>
        <v>-0.260299957870556</v>
      </c>
      <c r="M2416" s="25" t="n">
        <f aca="false">IF(COUNT(G2387:G2416)&lt;20,"",_xlfn.STDEV.S(G2387:G2416)*SQRT($R$3))</f>
        <v>0.630683627933032</v>
      </c>
      <c r="N2416" s="25" t="n">
        <f aca="false">IF(A2416-7&lt;$R$2,"",C2416/INDEX(Clean_Data!$C$2:$C$4314,MATCH(A2416-7,Clean_Data!$A$2:$A$4314,1))-1)</f>
        <v>0.0718530789656857</v>
      </c>
      <c r="O2416" s="25" t="n">
        <f aca="false">IF(A2416-30&lt;$R$2,"",C2416/INDEX(Clean_Data!$C$2:$C$4314,MATCH(A2416-30,Clean_Data!$A$2:$A$4314,1))-1)</f>
        <v>0.499262308182616</v>
      </c>
    </row>
    <row r="2417" customFormat="false" ht="15" hidden="false" customHeight="false" outlineLevel="0" collapsed="false">
      <c r="A2417" s="16" t="n">
        <v>44424</v>
      </c>
      <c r="B2417" s="23" t="n">
        <f aca="false">YEAR(A2417)</f>
        <v>2021</v>
      </c>
      <c r="C2417" s="17" t="n">
        <v>45930.71</v>
      </c>
      <c r="D2417" s="23" t="n">
        <f aca="false">A2417-A2416</f>
        <v>1</v>
      </c>
      <c r="E2417" s="24" t="n">
        <f aca="false">LN(C2417)</f>
        <v>10.7348892355065</v>
      </c>
      <c r="F2417" s="25" t="n">
        <f aca="false">LN(C2417/C2416)</f>
        <v>-0.0249267077311215</v>
      </c>
      <c r="G2417" s="25" t="n">
        <f aca="false">IF(AND(D2417=1,A2417&gt;=$R$2),F2417,"")</f>
        <v>-0.0249267077311215</v>
      </c>
      <c r="H2417" s="27" t="n">
        <f aca="false">IF(G2417="","",G2417^2)</f>
        <v>0.000621340758312754</v>
      </c>
      <c r="I2417" s="25" t="n">
        <f aca="false">IF(G2417="","",C2417/C2416-1)</f>
        <v>-0.0246186026757274</v>
      </c>
      <c r="J2417" s="17" t="n">
        <f aca="false">AVERAGE(C2218:C2417)</f>
        <v>45488.9341</v>
      </c>
      <c r="K2417" s="17" t="n">
        <f aca="false">MAX(K2416,C2417)</f>
        <v>63660.94</v>
      </c>
      <c r="L2417" s="25" t="n">
        <f aca="false">C2417/K2417-1</f>
        <v>-0.27851033930696</v>
      </c>
      <c r="M2417" s="25" t="n">
        <f aca="false">IF(COUNT(G2388:G2417)&lt;20,"",_xlfn.STDEV.S(G2388:G2417)*SQRT($R$3))</f>
        <v>0.643922473340928</v>
      </c>
      <c r="N2417" s="25" t="n">
        <f aca="false">IF(A2417-7&lt;$R$2,"",C2417/INDEX(Clean_Data!$C$2:$C$4314,MATCH(A2417-7,Clean_Data!$A$2:$A$4314,1))-1)</f>
        <v>-0.00601166452059687</v>
      </c>
      <c r="O2417" s="25" t="n">
        <f aca="false">IF(A2417-30&lt;$R$2,"",C2417/INDEX(Clean_Data!$C$2:$C$4314,MATCH(A2417-30,Clean_Data!$A$2:$A$4314,1))-1)</f>
        <v>0.457942824638821</v>
      </c>
    </row>
    <row r="2418" customFormat="false" ht="15" hidden="false" customHeight="false" outlineLevel="0" collapsed="false">
      <c r="A2418" s="16" t="n">
        <v>44425</v>
      </c>
      <c r="B2418" s="23" t="n">
        <f aca="false">YEAR(A2418)</f>
        <v>2021</v>
      </c>
      <c r="C2418" s="17" t="n">
        <v>44718.51</v>
      </c>
      <c r="D2418" s="23" t="n">
        <f aca="false">A2418-A2417</f>
        <v>1</v>
      </c>
      <c r="E2418" s="24" t="n">
        <f aca="false">LN(C2418)</f>
        <v>10.7081427888482</v>
      </c>
      <c r="F2418" s="25" t="n">
        <f aca="false">LN(C2418/C2417)</f>
        <v>-0.0267464466583292</v>
      </c>
      <c r="G2418" s="25" t="n">
        <f aca="false">IF(AND(D2418=1,A2418&gt;=$R$2),F2418,"")</f>
        <v>-0.0267464466583292</v>
      </c>
      <c r="H2418" s="27" t="n">
        <f aca="false">IF(G2418="","",G2418^2)</f>
        <v>0.000715372408846851</v>
      </c>
      <c r="I2418" s="25" t="n">
        <f aca="false">IF(G2418="","",C2418/C2417-1)</f>
        <v>-0.0263919281892223</v>
      </c>
      <c r="J2418" s="17" t="n">
        <f aca="false">AVERAGE(C2219:C2418)</f>
        <v>45540.87595</v>
      </c>
      <c r="K2418" s="17" t="n">
        <f aca="false">MAX(K2417,C2418)</f>
        <v>63660.94</v>
      </c>
      <c r="L2418" s="25" t="n">
        <f aca="false">C2418/K2418-1</f>
        <v>-0.297551842621237</v>
      </c>
      <c r="M2418" s="25" t="n">
        <f aca="false">IF(COUNT(G2389:G2418)&lt;20,"",_xlfn.STDEV.S(G2389:G2418)*SQRT($R$3))</f>
        <v>0.658262647072157</v>
      </c>
      <c r="N2418" s="25" t="n">
        <f aca="false">IF(A2418-7&lt;$R$2,"",C2418/INDEX(Clean_Data!$C$2:$C$4314,MATCH(A2418-7,Clean_Data!$A$2:$A$4314,1))-1)</f>
        <v>-0.0185940056744363</v>
      </c>
      <c r="O2418" s="25" t="n">
        <f aca="false">IF(A2418-30&lt;$R$2,"",C2418/INDEX(Clean_Data!$C$2:$C$4314,MATCH(A2418-30,Clean_Data!$A$2:$A$4314,1))-1)</f>
        <v>0.408323050846817</v>
      </c>
    </row>
    <row r="2419" customFormat="false" ht="15" hidden="false" customHeight="false" outlineLevel="0" collapsed="false">
      <c r="A2419" s="16" t="n">
        <v>44426</v>
      </c>
      <c r="B2419" s="23" t="n">
        <f aca="false">YEAR(A2419)</f>
        <v>2021</v>
      </c>
      <c r="C2419" s="17" t="n">
        <v>44735.2</v>
      </c>
      <c r="D2419" s="23" t="n">
        <f aca="false">A2419-A2418</f>
        <v>1</v>
      </c>
      <c r="E2419" s="24" t="n">
        <f aca="false">LN(C2419)</f>
        <v>10.708515942744</v>
      </c>
      <c r="F2419" s="25" t="n">
        <f aca="false">LN(C2419/C2418)</f>
        <v>0.000373153895878927</v>
      </c>
      <c r="G2419" s="25" t="n">
        <f aca="false">IF(AND(D2419=1,A2419&gt;=$R$2),F2419,"")</f>
        <v>0.000373153895878927</v>
      </c>
      <c r="H2419" s="27" t="n">
        <f aca="false">IF(G2419="","",G2419^2)</f>
        <v>1.39243830009621E-007</v>
      </c>
      <c r="I2419" s="25" t="n">
        <f aca="false">IF(G2419="","",C2419/C2418-1)</f>
        <v>0.000373223526454636</v>
      </c>
      <c r="J2419" s="17" t="n">
        <f aca="false">AVERAGE(C2220:C2419)</f>
        <v>45593.4057</v>
      </c>
      <c r="K2419" s="17" t="n">
        <f aca="false">MAX(K2418,C2419)</f>
        <v>63660.94</v>
      </c>
      <c r="L2419" s="25" t="n">
        <f aca="false">C2419/K2419-1</f>
        <v>-0.297289672442788</v>
      </c>
      <c r="M2419" s="25" t="n">
        <f aca="false">IF(COUNT(G2390:G2419)&lt;20,"",_xlfn.STDEV.S(G2390:G2419)*SQRT($R$3))</f>
        <v>0.643488201056627</v>
      </c>
      <c r="N2419" s="25" t="n">
        <f aca="false">IF(A2419-7&lt;$R$2,"",C2419/INDEX(Clean_Data!$C$2:$C$4314,MATCH(A2419-7,Clean_Data!$A$2:$A$4314,1))-1)</f>
        <v>-0.0164402265024586</v>
      </c>
      <c r="O2419" s="25" t="n">
        <f aca="false">IF(A2419-30&lt;$R$2,"",C2419/INDEX(Clean_Data!$C$2:$C$4314,MATCH(A2419-30,Clean_Data!$A$2:$A$4314,1))-1)</f>
        <v>0.450092220720326</v>
      </c>
    </row>
    <row r="2420" customFormat="false" ht="15" hidden="false" customHeight="false" outlineLevel="0" collapsed="false">
      <c r="A2420" s="16" t="n">
        <v>44427</v>
      </c>
      <c r="B2420" s="23" t="n">
        <f aca="false">YEAR(A2420)</f>
        <v>2021</v>
      </c>
      <c r="C2420" s="17" t="n">
        <v>46736.74</v>
      </c>
      <c r="D2420" s="23" t="n">
        <f aca="false">A2420-A2419</f>
        <v>1</v>
      </c>
      <c r="E2420" s="24" t="n">
        <f aca="false">LN(C2420)</f>
        <v>10.7522858581208</v>
      </c>
      <c r="F2420" s="25" t="n">
        <f aca="false">LN(C2420/C2419)</f>
        <v>0.0437699153767671</v>
      </c>
      <c r="G2420" s="25" t="n">
        <f aca="false">IF(AND(D2420=1,A2420&gt;=$R$2),F2420,"")</f>
        <v>0.0437699153767671</v>
      </c>
      <c r="H2420" s="27" t="n">
        <f aca="false">IF(G2420="","",G2420^2)</f>
        <v>0.00191580549208935</v>
      </c>
      <c r="I2420" s="25" t="n">
        <f aca="false">IF(G2420="","",C2420/C2419-1)</f>
        <v>0.0447419481750389</v>
      </c>
      <c r="J2420" s="17" t="n">
        <f aca="false">AVERAGE(C2221:C2420)</f>
        <v>45661.70895</v>
      </c>
      <c r="K2420" s="17" t="n">
        <f aca="false">MAX(K2419,C2420)</f>
        <v>63660.94</v>
      </c>
      <c r="L2420" s="25" t="n">
        <f aca="false">C2420/K2420-1</f>
        <v>-0.265849043385159</v>
      </c>
      <c r="M2420" s="25" t="n">
        <f aca="false">IF(COUNT(G2391:G2420)&lt;20,"",_xlfn.STDEV.S(G2391:G2420)*SQRT($R$3))</f>
        <v>0.628964870418951</v>
      </c>
      <c r="N2420" s="25" t="n">
        <f aca="false">IF(A2420-7&lt;$R$2,"",C2420/INDEX(Clean_Data!$C$2:$C$4314,MATCH(A2420-7,Clean_Data!$A$2:$A$4314,1))-1)</f>
        <v>0.0513418590793211</v>
      </c>
      <c r="O2420" s="25" t="n">
        <f aca="false">IF(A2420-30&lt;$R$2,"",C2420/INDEX(Clean_Data!$C$2:$C$4314,MATCH(A2420-30,Clean_Data!$A$2:$A$4314,1))-1)</f>
        <v>0.568946654442755</v>
      </c>
    </row>
    <row r="2421" customFormat="false" ht="15" hidden="false" customHeight="false" outlineLevel="0" collapsed="false">
      <c r="A2421" s="16" t="n">
        <v>44428</v>
      </c>
      <c r="B2421" s="23" t="n">
        <f aca="false">YEAR(A2421)</f>
        <v>2021</v>
      </c>
      <c r="C2421" s="17" t="n">
        <v>49350.99</v>
      </c>
      <c r="D2421" s="23" t="n">
        <f aca="false">A2421-A2420</f>
        <v>1</v>
      </c>
      <c r="E2421" s="24" t="n">
        <f aca="false">LN(C2421)</f>
        <v>10.8067131054507</v>
      </c>
      <c r="F2421" s="25" t="n">
        <f aca="false">LN(C2421/C2420)</f>
        <v>0.0544272473298906</v>
      </c>
      <c r="G2421" s="25" t="n">
        <f aca="false">IF(AND(D2421=1,A2421&gt;=$R$2),F2421,"")</f>
        <v>0.0544272473298906</v>
      </c>
      <c r="H2421" s="27" t="n">
        <f aca="false">IF(G2421="","",G2421^2)</f>
        <v>0.00296232525190908</v>
      </c>
      <c r="I2421" s="25" t="n">
        <f aca="false">IF(G2421="","",C2421/C2420-1)</f>
        <v>0.0559356514810403</v>
      </c>
      <c r="J2421" s="17" t="n">
        <f aca="false">AVERAGE(C2222:C2421)</f>
        <v>45741.1759</v>
      </c>
      <c r="K2421" s="17" t="n">
        <f aca="false">MAX(K2420,C2421)</f>
        <v>63660.94</v>
      </c>
      <c r="L2421" s="25" t="n">
        <f aca="false">C2421/K2421-1</f>
        <v>-0.224783831341479</v>
      </c>
      <c r="M2421" s="25" t="n">
        <f aca="false">IF(COUNT(G2392:G2421)&lt;20,"",_xlfn.STDEV.S(G2392:G2421)*SQRT($R$3))</f>
        <v>0.608893741932072</v>
      </c>
      <c r="N2421" s="25" t="n">
        <f aca="false">IF(A2421-7&lt;$R$2,"",C2421/INDEX(Clean_Data!$C$2:$C$4314,MATCH(A2421-7,Clean_Data!$A$2:$A$4314,1))-1)</f>
        <v>0.0331951510517756</v>
      </c>
      <c r="O2421" s="25" t="n">
        <f aca="false">IF(A2421-30&lt;$R$2,"",C2421/INDEX(Clean_Data!$C$2:$C$4314,MATCH(A2421-30,Clean_Data!$A$2:$A$4314,1))-1)</f>
        <v>0.538082917056764</v>
      </c>
    </row>
    <row r="2422" customFormat="false" ht="15" hidden="false" customHeight="false" outlineLevel="0" collapsed="false">
      <c r="A2422" s="16" t="n">
        <v>44429</v>
      </c>
      <c r="B2422" s="23" t="n">
        <f aca="false">YEAR(A2422)</f>
        <v>2021</v>
      </c>
      <c r="C2422" s="17" t="n">
        <v>48896.95</v>
      </c>
      <c r="D2422" s="23" t="n">
        <f aca="false">A2422-A2421</f>
        <v>1</v>
      </c>
      <c r="E2422" s="24" t="n">
        <f aca="false">LN(C2422)</f>
        <v>10.7974703013296</v>
      </c>
      <c r="F2422" s="25" t="n">
        <f aca="false">LN(C2422/C2421)</f>
        <v>-0.00924280412108769</v>
      </c>
      <c r="G2422" s="25" t="n">
        <f aca="false">IF(AND(D2422=1,A2422&gt;=$R$2),F2422,"")</f>
        <v>-0.00924280412108769</v>
      </c>
      <c r="H2422" s="27" t="n">
        <f aca="false">IF(G2422="","",G2422^2)</f>
        <v>8.54294280207955E-005</v>
      </c>
      <c r="I2422" s="25" t="n">
        <f aca="false">IF(G2422="","",C2422/C2421-1)</f>
        <v>-0.00920022070479232</v>
      </c>
      <c r="J2422" s="17" t="n">
        <f aca="false">AVERAGE(C2223:C2422)</f>
        <v>45808.1053</v>
      </c>
      <c r="K2422" s="17" t="n">
        <f aca="false">MAX(K2421,C2422)</f>
        <v>63660.94</v>
      </c>
      <c r="L2422" s="25" t="n">
        <f aca="false">C2422/K2422-1</f>
        <v>-0.231915991187061</v>
      </c>
      <c r="M2422" s="25" t="n">
        <f aca="false">IF(COUNT(G2393:G2422)&lt;20,"",_xlfn.STDEV.S(G2393:G2422)*SQRT($R$3))</f>
        <v>0.614045133050357</v>
      </c>
      <c r="N2422" s="25" t="n">
        <f aca="false">IF(A2422-7&lt;$R$2,"",C2422/INDEX(Clean_Data!$C$2:$C$4314,MATCH(A2422-7,Clean_Data!$A$2:$A$4314,1))-1)</f>
        <v>0.0373895105952928</v>
      </c>
      <c r="O2422" s="25" t="n">
        <f aca="false">IF(A2422-30&lt;$R$2,"",C2422/INDEX(Clean_Data!$C$2:$C$4314,MATCH(A2422-30,Clean_Data!$A$2:$A$4314,1))-1)</f>
        <v>0.512528632344457</v>
      </c>
    </row>
    <row r="2423" customFormat="false" ht="15" hidden="false" customHeight="false" outlineLevel="0" collapsed="false">
      <c r="A2423" s="16" t="n">
        <v>44430</v>
      </c>
      <c r="B2423" s="23" t="n">
        <f aca="false">YEAR(A2423)</f>
        <v>2021</v>
      </c>
      <c r="C2423" s="17" t="n">
        <v>49328.47</v>
      </c>
      <c r="D2423" s="23" t="n">
        <f aca="false">A2423-A2422</f>
        <v>1</v>
      </c>
      <c r="E2423" s="24" t="n">
        <f aca="false">LN(C2423)</f>
        <v>10.8062566781376</v>
      </c>
      <c r="F2423" s="25" t="n">
        <f aca="false">LN(C2423/C2422)</f>
        <v>0.00878637680802867</v>
      </c>
      <c r="G2423" s="25" t="n">
        <f aca="false">IF(AND(D2423=1,A2423&gt;=$R$2),F2423,"")</f>
        <v>0.00878637680802867</v>
      </c>
      <c r="H2423" s="27" t="n">
        <f aca="false">IF(G2423="","",G2423^2)</f>
        <v>7.72004174126641E-005</v>
      </c>
      <c r="I2423" s="25" t="n">
        <f aca="false">IF(G2423="","",C2423/C2422-1)</f>
        <v>0.00882509031749423</v>
      </c>
      <c r="J2423" s="17" t="n">
        <f aca="false">AVERAGE(C2224:C2423)</f>
        <v>45865.9006</v>
      </c>
      <c r="K2423" s="17" t="n">
        <f aca="false">MAX(K2422,C2423)</f>
        <v>63660.94</v>
      </c>
      <c r="L2423" s="25" t="n">
        <f aca="false">C2423/K2423-1</f>
        <v>-0.225137580437863</v>
      </c>
      <c r="M2423" s="25" t="n">
        <f aca="false">IF(COUNT(G2394:G2423)&lt;20,"",_xlfn.STDEV.S(G2394:G2423)*SQRT($R$3))</f>
        <v>0.605976840496513</v>
      </c>
      <c r="N2423" s="25" t="n">
        <f aca="false">IF(A2423-7&lt;$R$2,"",C2423/INDEX(Clean_Data!$C$2:$C$4314,MATCH(A2423-7,Clean_Data!$A$2:$A$4314,1))-1)</f>
        <v>0.0475359949033765</v>
      </c>
      <c r="O2423" s="25" t="n">
        <f aca="false">IF(A2423-30&lt;$R$2,"",C2423/INDEX(Clean_Data!$C$2:$C$4314,MATCH(A2423-30,Clean_Data!$A$2:$A$4314,1))-1)</f>
        <v>0.463752818991098</v>
      </c>
    </row>
    <row r="2424" customFormat="false" ht="15" hidden="false" customHeight="false" outlineLevel="0" collapsed="false">
      <c r="A2424" s="16" t="n">
        <v>44431</v>
      </c>
      <c r="B2424" s="23" t="n">
        <f aca="false">YEAR(A2424)</f>
        <v>2021</v>
      </c>
      <c r="C2424" s="17" t="n">
        <v>49464.66</v>
      </c>
      <c r="D2424" s="23" t="n">
        <f aca="false">A2424-A2423</f>
        <v>1</v>
      </c>
      <c r="E2424" s="24" t="n">
        <f aca="false">LN(C2424)</f>
        <v>10.8090137541867</v>
      </c>
      <c r="F2424" s="25" t="n">
        <f aca="false">LN(C2424/C2423)</f>
        <v>0.00275707604912043</v>
      </c>
      <c r="G2424" s="25" t="n">
        <f aca="false">IF(AND(D2424=1,A2424&gt;=$R$2),F2424,"")</f>
        <v>0.00275707604912043</v>
      </c>
      <c r="H2424" s="27" t="n">
        <f aca="false">IF(G2424="","",G2424^2)</f>
        <v>7.6014683406335E-006</v>
      </c>
      <c r="I2424" s="25" t="n">
        <f aca="false">IF(G2424="","",C2424/C2423-1)</f>
        <v>0.00276088027867072</v>
      </c>
      <c r="J2424" s="17" t="n">
        <f aca="false">AVERAGE(C2225:C2424)</f>
        <v>45927.86955</v>
      </c>
      <c r="K2424" s="17" t="n">
        <f aca="false">MAX(K2423,C2424)</f>
        <v>63660.94</v>
      </c>
      <c r="L2424" s="25" t="n">
        <f aca="false">C2424/K2424-1</f>
        <v>-0.222998278065011</v>
      </c>
      <c r="M2424" s="25" t="n">
        <f aca="false">IF(COUNT(G2395:G2424)&lt;20,"",_xlfn.STDEV.S(G2395:G2424)*SQRT($R$3))</f>
        <v>0.606747624467228</v>
      </c>
      <c r="N2424" s="25" t="n">
        <f aca="false">IF(A2424-7&lt;$R$2,"",C2424/INDEX(Clean_Data!$C$2:$C$4314,MATCH(A2424-7,Clean_Data!$A$2:$A$4314,1))-1)</f>
        <v>0.0769408964067833</v>
      </c>
      <c r="O2424" s="25" t="n">
        <f aca="false">IF(A2424-30&lt;$R$2,"",C2424/INDEX(Clean_Data!$C$2:$C$4314,MATCH(A2424-30,Clean_Data!$A$2:$A$4314,1))-1)</f>
        <v>0.443152135509314</v>
      </c>
    </row>
    <row r="2425" customFormat="false" ht="15" hidden="false" customHeight="false" outlineLevel="0" collapsed="false">
      <c r="A2425" s="16" t="n">
        <v>44432</v>
      </c>
      <c r="B2425" s="23" t="n">
        <f aca="false">YEAR(A2425)</f>
        <v>2021</v>
      </c>
      <c r="C2425" s="17" t="n">
        <v>47770.4</v>
      </c>
      <c r="D2425" s="23" t="n">
        <f aca="false">A2425-A2424</f>
        <v>1</v>
      </c>
      <c r="E2425" s="24" t="n">
        <f aca="false">LN(C2425)</f>
        <v>10.7741614798051</v>
      </c>
      <c r="F2425" s="25" t="n">
        <f aca="false">LN(C2425/C2424)</f>
        <v>-0.0348522743816533</v>
      </c>
      <c r="G2425" s="25" t="n">
        <f aca="false">IF(AND(D2425=1,A2425&gt;=$R$2),F2425,"")</f>
        <v>-0.0348522743816533</v>
      </c>
      <c r="H2425" s="27" t="n">
        <f aca="false">IF(G2425="","",G2425^2)</f>
        <v>0.00121468102957405</v>
      </c>
      <c r="I2425" s="25" t="n">
        <f aca="false">IF(G2425="","",C2425/C2424-1)</f>
        <v>-0.0342519285485841</v>
      </c>
      <c r="J2425" s="17" t="n">
        <f aca="false">AVERAGE(C2226:C2425)</f>
        <v>45974.83725</v>
      </c>
      <c r="K2425" s="17" t="n">
        <f aca="false">MAX(K2424,C2425)</f>
        <v>63660.94</v>
      </c>
      <c r="L2425" s="25" t="n">
        <f aca="false">C2425/K2425-1</f>
        <v>-0.249612085526855</v>
      </c>
      <c r="M2425" s="25" t="n">
        <f aca="false">IF(COUNT(G2396:G2425)&lt;20,"",_xlfn.STDEV.S(G2396:G2425)*SQRT($R$3))</f>
        <v>0.624159529825221</v>
      </c>
      <c r="N2425" s="25" t="n">
        <f aca="false">IF(A2425-7&lt;$R$2,"",C2425/INDEX(Clean_Data!$C$2:$C$4314,MATCH(A2425-7,Clean_Data!$A$2:$A$4314,1))-1)</f>
        <v>0.068246683532166</v>
      </c>
      <c r="O2425" s="25" t="n">
        <f aca="false">IF(A2425-30&lt;$R$2,"",C2425/INDEX(Clean_Data!$C$2:$C$4314,MATCH(A2425-30,Clean_Data!$A$2:$A$4314,1))-1)</f>
        <v>0.350645502489923</v>
      </c>
    </row>
    <row r="2426" customFormat="false" ht="15" hidden="false" customHeight="false" outlineLevel="0" collapsed="false">
      <c r="A2426" s="16" t="n">
        <v>44433</v>
      </c>
      <c r="B2426" s="23" t="n">
        <f aca="false">YEAR(A2426)</f>
        <v>2021</v>
      </c>
      <c r="C2426" s="17" t="n">
        <v>48985.05</v>
      </c>
      <c r="D2426" s="23" t="n">
        <f aca="false">A2426-A2425</f>
        <v>1</v>
      </c>
      <c r="E2426" s="24" t="n">
        <f aca="false">LN(C2426)</f>
        <v>10.7992704284989</v>
      </c>
      <c r="F2426" s="25" t="n">
        <f aca="false">LN(C2426/C2425)</f>
        <v>0.0251089486937562</v>
      </c>
      <c r="G2426" s="25" t="n">
        <f aca="false">IF(AND(D2426=1,A2426&gt;=$R$2),F2426,"")</f>
        <v>0.0251089486937562</v>
      </c>
      <c r="H2426" s="27" t="n">
        <f aca="false">IF(G2426="","",G2426^2)</f>
        <v>0.000630459304505681</v>
      </c>
      <c r="I2426" s="25" t="n">
        <f aca="false">IF(G2426="","",C2426/C2425-1)</f>
        <v>0.0254268333528713</v>
      </c>
      <c r="J2426" s="17" t="n">
        <f aca="false">AVERAGE(C2227:C2426)</f>
        <v>46024.7849</v>
      </c>
      <c r="K2426" s="17" t="n">
        <f aca="false">MAX(K2425,C2426)</f>
        <v>63660.94</v>
      </c>
      <c r="L2426" s="25" t="n">
        <f aca="false">C2426/K2426-1</f>
        <v>-0.230532097075538</v>
      </c>
      <c r="M2426" s="25" t="n">
        <f aca="false">IF(COUNT(G2397:G2426)&lt;20,"",_xlfn.STDEV.S(G2397:G2426)*SQRT($R$3))</f>
        <v>0.607935739205006</v>
      </c>
      <c r="N2426" s="25" t="n">
        <f aca="false">IF(A2426-7&lt;$R$2,"",C2426/INDEX(Clean_Data!$C$2:$C$4314,MATCH(A2426-7,Clean_Data!$A$2:$A$4314,1))-1)</f>
        <v>0.0950001341225704</v>
      </c>
      <c r="O2426" s="25" t="n">
        <f aca="false">IF(A2426-30&lt;$R$2,"",C2426/INDEX(Clean_Data!$C$2:$C$4314,MATCH(A2426-30,Clean_Data!$A$2:$A$4314,1))-1)</f>
        <v>0.314360253206945</v>
      </c>
    </row>
    <row r="2427" customFormat="false" ht="15" hidden="false" customHeight="false" outlineLevel="0" collapsed="false">
      <c r="A2427" s="16" t="n">
        <v>44434</v>
      </c>
      <c r="B2427" s="23" t="n">
        <f aca="false">YEAR(A2427)</f>
        <v>2021</v>
      </c>
      <c r="C2427" s="17" t="n">
        <v>46770.6</v>
      </c>
      <c r="D2427" s="23" t="n">
        <f aca="false">A2427-A2426</f>
        <v>1</v>
      </c>
      <c r="E2427" s="24" t="n">
        <f aca="false">LN(C2427)</f>
        <v>10.753010079374</v>
      </c>
      <c r="F2427" s="25" t="n">
        <f aca="false">LN(C2427/C2426)</f>
        <v>-0.0462603491248368</v>
      </c>
      <c r="G2427" s="25" t="n">
        <f aca="false">IF(AND(D2427=1,A2427&gt;=$R$2),F2427,"")</f>
        <v>-0.0462603491248368</v>
      </c>
      <c r="H2427" s="27" t="n">
        <f aca="false">IF(G2427="","",G2427^2)</f>
        <v>0.00214001990115179</v>
      </c>
      <c r="I2427" s="25" t="n">
        <f aca="false">IF(G2427="","",C2427/C2426-1)</f>
        <v>-0.0452066497839648</v>
      </c>
      <c r="J2427" s="17" t="n">
        <f aca="false">AVERAGE(C2228:C2427)</f>
        <v>46064.1942</v>
      </c>
      <c r="K2427" s="17" t="n">
        <f aca="false">MAX(K2426,C2427)</f>
        <v>63660.94</v>
      </c>
      <c r="L2427" s="25" t="n">
        <f aca="false">C2427/K2427-1</f>
        <v>-0.265317163083046</v>
      </c>
      <c r="M2427" s="25" t="n">
        <f aca="false">IF(COUNT(G2398:G2427)&lt;20,"",_xlfn.STDEV.S(G2398:G2427)*SQRT($R$3))</f>
        <v>0.614164463460971</v>
      </c>
      <c r="N2427" s="25" t="n">
        <f aca="false">IF(A2427-7&lt;$R$2,"",C2427/INDEX(Clean_Data!$C$2:$C$4314,MATCH(A2427-7,Clean_Data!$A$2:$A$4314,1))-1)</f>
        <v>0.000724483564750189</v>
      </c>
      <c r="O2427" s="25" t="n">
        <f aca="false">IF(A2427-30&lt;$R$2,"",C2427/INDEX(Clean_Data!$C$2:$C$4314,MATCH(A2427-30,Clean_Data!$A$2:$A$4314,1))-1)</f>
        <v>0.187619058743349</v>
      </c>
    </row>
    <row r="2428" customFormat="false" ht="15" hidden="false" customHeight="false" outlineLevel="0" collapsed="false">
      <c r="A2428" s="16" t="n">
        <v>44435</v>
      </c>
      <c r="B2428" s="23" t="n">
        <f aca="false">YEAR(A2428)</f>
        <v>2021</v>
      </c>
      <c r="C2428" s="17" t="n">
        <v>49082.04</v>
      </c>
      <c r="D2428" s="23" t="n">
        <f aca="false">A2428-A2427</f>
        <v>1</v>
      </c>
      <c r="E2428" s="24" t="n">
        <f aca="false">LN(C2428)</f>
        <v>10.8012484627532</v>
      </c>
      <c r="F2428" s="25" t="n">
        <f aca="false">LN(C2428/C2427)</f>
        <v>0.0482383833792179</v>
      </c>
      <c r="G2428" s="25" t="n">
        <f aca="false">IF(AND(D2428=1,A2428&gt;=$R$2),F2428,"")</f>
        <v>0.0482383833792179</v>
      </c>
      <c r="H2428" s="27" t="n">
        <f aca="false">IF(G2428="","",G2428^2)</f>
        <v>0.0023269416310404</v>
      </c>
      <c r="I2428" s="25" t="n">
        <f aca="false">IF(G2428="","",C2428/C2427-1)</f>
        <v>0.0494207899834511</v>
      </c>
      <c r="J2428" s="17" t="n">
        <f aca="false">AVERAGE(C2229:C2428)</f>
        <v>46076.2322</v>
      </c>
      <c r="K2428" s="17" t="n">
        <f aca="false">MAX(K2427,C2428)</f>
        <v>63660.94</v>
      </c>
      <c r="L2428" s="25" t="n">
        <f aca="false">C2428/K2428-1</f>
        <v>-0.229008556895327</v>
      </c>
      <c r="M2428" s="25" t="n">
        <f aca="false">IF(COUNT(G2399:G2428)&lt;20,"",_xlfn.STDEV.S(G2399:G2428)*SQRT($R$3))</f>
        <v>0.630943707714353</v>
      </c>
      <c r="N2428" s="25" t="n">
        <f aca="false">IF(A2428-7&lt;$R$2,"",C2428/INDEX(Clean_Data!$C$2:$C$4314,MATCH(A2428-7,Clean_Data!$A$2:$A$4314,1))-1)</f>
        <v>-0.00544973869825094</v>
      </c>
      <c r="O2428" s="25" t="n">
        <f aca="false">IF(A2428-30&lt;$R$2,"",C2428/INDEX(Clean_Data!$C$2:$C$4314,MATCH(A2428-30,Clean_Data!$A$2:$A$4314,1))-1)</f>
        <v>0.226083620023801</v>
      </c>
    </row>
    <row r="2429" customFormat="false" ht="15" hidden="false" customHeight="false" outlineLevel="0" collapsed="false">
      <c r="A2429" s="16" t="n">
        <v>44436</v>
      </c>
      <c r="B2429" s="23" t="n">
        <f aca="false">YEAR(A2429)</f>
        <v>2021</v>
      </c>
      <c r="C2429" s="17" t="n">
        <v>48963.41</v>
      </c>
      <c r="D2429" s="23" t="n">
        <f aca="false">A2429-A2428</f>
        <v>1</v>
      </c>
      <c r="E2429" s="24" t="n">
        <f aca="false">LN(C2429)</f>
        <v>10.7988285634537</v>
      </c>
      <c r="F2429" s="25" t="n">
        <f aca="false">LN(C2429/C2428)</f>
        <v>-0.00241989929957117</v>
      </c>
      <c r="G2429" s="25" t="n">
        <f aca="false">IF(AND(D2429=1,A2429&gt;=$R$2),F2429,"")</f>
        <v>-0.00241989929957117</v>
      </c>
      <c r="H2429" s="27" t="n">
        <f aca="false">IF(G2429="","",G2429^2)</f>
        <v>5.85591262006505E-006</v>
      </c>
      <c r="I2429" s="25" t="n">
        <f aca="false">IF(G2429="","",C2429/C2428-1)</f>
        <v>-0.00241697370361949</v>
      </c>
      <c r="J2429" s="17" t="n">
        <f aca="false">AVERAGE(C2230:C2429)</f>
        <v>46088.07205</v>
      </c>
      <c r="K2429" s="17" t="n">
        <f aca="false">MAX(K2428,C2429)</f>
        <v>63660.94</v>
      </c>
      <c r="L2429" s="25" t="n">
        <f aca="false">C2429/K2429-1</f>
        <v>-0.230872022939027</v>
      </c>
      <c r="M2429" s="25" t="n">
        <f aca="false">IF(COUNT(G2400:G2429)&lt;20,"",_xlfn.STDEV.S(G2400:G2429)*SQRT($R$3))</f>
        <v>0.631305606906145</v>
      </c>
      <c r="N2429" s="25" t="n">
        <f aca="false">IF(A2429-7&lt;$R$2,"",C2429/INDEX(Clean_Data!$C$2:$C$4314,MATCH(A2429-7,Clean_Data!$A$2:$A$4314,1))-1)</f>
        <v>0.00135918497984044</v>
      </c>
      <c r="O2429" s="25" t="n">
        <f aca="false">IF(A2429-30&lt;$R$2,"",C2429/INDEX(Clean_Data!$C$2:$C$4314,MATCH(A2429-30,Clean_Data!$A$2:$A$4314,1))-1)</f>
        <v>0.223322508416003</v>
      </c>
    </row>
    <row r="2430" customFormat="false" ht="15" hidden="false" customHeight="false" outlineLevel="0" collapsed="false">
      <c r="A2430" s="16" t="n">
        <v>44437</v>
      </c>
      <c r="B2430" s="23" t="n">
        <f aca="false">YEAR(A2430)</f>
        <v>2021</v>
      </c>
      <c r="C2430" s="17" t="n">
        <v>48770.78</v>
      </c>
      <c r="D2430" s="23" t="n">
        <f aca="false">A2430-A2429</f>
        <v>1</v>
      </c>
      <c r="E2430" s="24" t="n">
        <f aca="false">LN(C2430)</f>
        <v>10.7948866420148</v>
      </c>
      <c r="F2430" s="25" t="n">
        <f aca="false">LN(C2430/C2429)</f>
        <v>-0.00394192143886672</v>
      </c>
      <c r="G2430" s="25" t="n">
        <f aca="false">IF(AND(D2430=1,A2430&gt;=$R$2),F2430,"")</f>
        <v>-0.00394192143886672</v>
      </c>
      <c r="H2430" s="27" t="n">
        <f aca="false">IF(G2430="","",G2430^2)</f>
        <v>1.5538744630197E-005</v>
      </c>
      <c r="I2430" s="25" t="n">
        <f aca="false">IF(G2430="","",C2430/C2429-1)</f>
        <v>-0.00393416226525079</v>
      </c>
      <c r="J2430" s="17" t="n">
        <f aca="false">AVERAGE(C2231:C2430)</f>
        <v>46107.4895</v>
      </c>
      <c r="K2430" s="17" t="n">
        <f aca="false">MAX(K2429,C2430)</f>
        <v>63660.94</v>
      </c>
      <c r="L2430" s="25" t="n">
        <f aca="false">C2430/K2430-1</f>
        <v>-0.233897897203529</v>
      </c>
      <c r="M2430" s="25" t="n">
        <f aca="false">IF(COUNT(G2401:G2430)&lt;20,"",_xlfn.STDEV.S(G2401:G2430)*SQRT($R$3))</f>
        <v>0.609978976924509</v>
      </c>
      <c r="N2430" s="25" t="n">
        <f aca="false">IF(A2430-7&lt;$R$2,"",C2430/INDEX(Clean_Data!$C$2:$C$4314,MATCH(A2430-7,Clean_Data!$A$2:$A$4314,1))-1)</f>
        <v>-0.0113056415493933</v>
      </c>
      <c r="O2430" s="25" t="n">
        <f aca="false">IF(A2430-30&lt;$R$2,"",C2430/INDEX(Clean_Data!$C$2:$C$4314,MATCH(A2430-30,Clean_Data!$A$2:$A$4314,1))-1)</f>
        <v>0.156008386082138</v>
      </c>
    </row>
    <row r="2431" customFormat="false" ht="15" hidden="false" customHeight="false" outlineLevel="0" collapsed="false">
      <c r="A2431" s="16" t="n">
        <v>44438</v>
      </c>
      <c r="B2431" s="23" t="n">
        <f aca="false">YEAR(A2431)</f>
        <v>2021</v>
      </c>
      <c r="C2431" s="17" t="n">
        <v>46924.16</v>
      </c>
      <c r="D2431" s="23" t="n">
        <f aca="false">A2431-A2430</f>
        <v>1</v>
      </c>
      <c r="E2431" s="24" t="n">
        <f aca="false">LN(C2431)</f>
        <v>10.7562879603888</v>
      </c>
      <c r="F2431" s="25" t="n">
        <f aca="false">LN(C2431/C2430)</f>
        <v>-0.038598681626008</v>
      </c>
      <c r="G2431" s="25" t="n">
        <f aca="false">IF(AND(D2431=1,A2431&gt;=$R$2),F2431,"")</f>
        <v>-0.038598681626008</v>
      </c>
      <c r="H2431" s="27" t="n">
        <f aca="false">IF(G2431="","",G2431^2)</f>
        <v>0.00148985822326592</v>
      </c>
      <c r="I2431" s="25" t="n">
        <f aca="false">IF(G2431="","",C2431/C2430-1)</f>
        <v>-0.0378632451644201</v>
      </c>
      <c r="J2431" s="17" t="n">
        <f aca="false">AVERAGE(C2232:C2431)</f>
        <v>46101.5053</v>
      </c>
      <c r="K2431" s="17" t="n">
        <f aca="false">MAX(K2430,C2431)</f>
        <v>63660.94</v>
      </c>
      <c r="L2431" s="25" t="n">
        <f aca="false">C2431/K2431-1</f>
        <v>-0.262905008942689</v>
      </c>
      <c r="M2431" s="25" t="n">
        <f aca="false">IF(COUNT(G2402:G2431)&lt;20,"",_xlfn.STDEV.S(G2402:G2431)*SQRT($R$3))</f>
        <v>0.624140274763854</v>
      </c>
      <c r="N2431" s="25" t="n">
        <f aca="false">IF(A2431-7&lt;$R$2,"",C2431/INDEX(Clean_Data!$C$2:$C$4314,MATCH(A2431-7,Clean_Data!$A$2:$A$4314,1))-1)</f>
        <v>-0.0513599001792391</v>
      </c>
      <c r="O2431" s="25" t="n">
        <f aca="false">IF(A2431-30&lt;$R$2,"",C2431/INDEX(Clean_Data!$C$2:$C$4314,MATCH(A2431-30,Clean_Data!$A$2:$A$4314,1))-1)</f>
        <v>0.131454590785877</v>
      </c>
    </row>
    <row r="2432" customFormat="false" ht="15" hidden="false" customHeight="false" outlineLevel="0" collapsed="false">
      <c r="A2432" s="16" t="n">
        <v>44439</v>
      </c>
      <c r="B2432" s="23" t="n">
        <f aca="false">YEAR(A2432)</f>
        <v>2021</v>
      </c>
      <c r="C2432" s="17" t="n">
        <v>47065.73</v>
      </c>
      <c r="D2432" s="23" t="n">
        <f aca="false">A2432-A2431</f>
        <v>1</v>
      </c>
      <c r="E2432" s="24" t="n">
        <f aca="false">LN(C2432)</f>
        <v>10.7593004143253</v>
      </c>
      <c r="F2432" s="25" t="n">
        <f aca="false">LN(C2432/C2431)</f>
        <v>0.00301245393650034</v>
      </c>
      <c r="G2432" s="25" t="n">
        <f aca="false">IF(AND(D2432=1,A2432&gt;=$R$2),F2432,"")</f>
        <v>0.00301245393650034</v>
      </c>
      <c r="H2432" s="27" t="n">
        <f aca="false">IF(G2432="","",G2432^2)</f>
        <v>9.07487871953639E-006</v>
      </c>
      <c r="I2432" s="25" t="n">
        <f aca="false">IF(G2432="","",C2432/C2431-1)</f>
        <v>0.00301699593556926</v>
      </c>
      <c r="J2432" s="17" t="n">
        <f aca="false">AVERAGE(C2233:C2432)</f>
        <v>46099.21305</v>
      </c>
      <c r="K2432" s="17" t="n">
        <f aca="false">MAX(K2431,C2432)</f>
        <v>63660.94</v>
      </c>
      <c r="L2432" s="25" t="n">
        <f aca="false">C2432/K2432-1</f>
        <v>-0.260681196350541</v>
      </c>
      <c r="M2432" s="25" t="n">
        <f aca="false">IF(COUNT(G2403:G2432)&lt;20,"",_xlfn.STDEV.S(G2403:G2432)*SQRT($R$3))</f>
        <v>0.602857680920746</v>
      </c>
      <c r="N2432" s="25" t="n">
        <f aca="false">IF(A2432-7&lt;$R$2,"",C2432/INDEX(Clean_Data!$C$2:$C$4314,MATCH(A2432-7,Clean_Data!$A$2:$A$4314,1))-1)</f>
        <v>-0.0147511848341232</v>
      </c>
      <c r="O2432" s="25" t="n">
        <f aca="false">IF(A2432-30&lt;$R$2,"",C2432/INDEX(Clean_Data!$C$2:$C$4314,MATCH(A2432-30,Clean_Data!$A$2:$A$4314,1))-1)</f>
        <v>0.182058258883947</v>
      </c>
    </row>
    <row r="2433" customFormat="false" ht="15" hidden="false" customHeight="false" outlineLevel="0" collapsed="false">
      <c r="A2433" s="16" t="n">
        <v>44440</v>
      </c>
      <c r="B2433" s="23" t="n">
        <f aca="false">YEAR(A2433)</f>
        <v>2021</v>
      </c>
      <c r="C2433" s="17" t="n">
        <v>48889.19</v>
      </c>
      <c r="D2433" s="23" t="n">
        <f aca="false">A2433-A2432</f>
        <v>1</v>
      </c>
      <c r="E2433" s="24" t="n">
        <f aca="false">LN(C2433)</f>
        <v>10.7973115876302</v>
      </c>
      <c r="F2433" s="25" t="n">
        <f aca="false">LN(C2433/C2432)</f>
        <v>0.0380111733048804</v>
      </c>
      <c r="G2433" s="25" t="n">
        <f aca="false">IF(AND(D2433=1,A2433&gt;=$R$2),F2433,"")</f>
        <v>0.0380111733048804</v>
      </c>
      <c r="H2433" s="27" t="n">
        <f aca="false">IF(G2433="","",G2433^2)</f>
        <v>0.00144484929601365</v>
      </c>
      <c r="I2433" s="25" t="n">
        <f aca="false">IF(G2433="","",C2433/C2432-1)</f>
        <v>0.0387428390040907</v>
      </c>
      <c r="J2433" s="17" t="n">
        <f aca="false">AVERAGE(C2234:C2433)</f>
        <v>46107.28785</v>
      </c>
      <c r="K2433" s="17" t="n">
        <f aca="false">MAX(K2432,C2433)</f>
        <v>63660.94</v>
      </c>
      <c r="L2433" s="25" t="n">
        <f aca="false">C2433/K2433-1</f>
        <v>-0.232037886968053</v>
      </c>
      <c r="M2433" s="25" t="n">
        <f aca="false">IF(COUNT(G2404:G2433)&lt;20,"",_xlfn.STDEV.S(G2404:G2433)*SQRT($R$3))</f>
        <v>0.6074638128097</v>
      </c>
      <c r="N2433" s="25" t="n">
        <f aca="false">IF(A2433-7&lt;$R$2,"",C2433/INDEX(Clean_Data!$C$2:$C$4314,MATCH(A2433-7,Clean_Data!$A$2:$A$4314,1))-1)</f>
        <v>-0.00195692359199384</v>
      </c>
      <c r="O2433" s="25" t="n">
        <f aca="false">IF(A2433-30&lt;$R$2,"",C2433/INDEX(Clean_Data!$C$2:$C$4314,MATCH(A2433-30,Clean_Data!$A$2:$A$4314,1))-1)</f>
        <v>0.248871615965488</v>
      </c>
    </row>
    <row r="2434" customFormat="false" ht="15" hidden="false" customHeight="false" outlineLevel="0" collapsed="false">
      <c r="A2434" s="16" t="n">
        <v>44441</v>
      </c>
      <c r="B2434" s="23" t="n">
        <f aca="false">YEAR(A2434)</f>
        <v>2021</v>
      </c>
      <c r="C2434" s="17" t="n">
        <v>49273.33</v>
      </c>
      <c r="D2434" s="23" t="n">
        <f aca="false">A2434-A2433</f>
        <v>1</v>
      </c>
      <c r="E2434" s="24" t="n">
        <f aca="false">LN(C2434)</f>
        <v>10.8051382400209</v>
      </c>
      <c r="F2434" s="25" t="n">
        <f aca="false">LN(C2434/C2433)</f>
        <v>0.0078266523907549</v>
      </c>
      <c r="G2434" s="25" t="n">
        <f aca="false">IF(AND(D2434=1,A2434&gt;=$R$2),F2434,"")</f>
        <v>0.0078266523907549</v>
      </c>
      <c r="H2434" s="27" t="n">
        <f aca="false">IF(G2434="","",G2434^2)</f>
        <v>6.12564876457094E-005</v>
      </c>
      <c r="I2434" s="25" t="n">
        <f aca="false">IF(G2434="","",C2434/C2433-1)</f>
        <v>0.00785736069671028</v>
      </c>
      <c r="J2434" s="17" t="n">
        <f aca="false">AVERAGE(C2235:C2434)</f>
        <v>46110.1382</v>
      </c>
      <c r="K2434" s="17" t="n">
        <f aca="false">MAX(K2433,C2434)</f>
        <v>63660.94</v>
      </c>
      <c r="L2434" s="25" t="n">
        <f aca="false">C2434/K2434-1</f>
        <v>-0.226003731644553</v>
      </c>
      <c r="M2434" s="25" t="n">
        <f aca="false">IF(COUNT(G2405:G2434)&lt;20,"",_xlfn.STDEV.S(G2405:G2434)*SQRT($R$3))</f>
        <v>0.596603321686994</v>
      </c>
      <c r="N2434" s="25" t="n">
        <f aca="false">IF(A2434-7&lt;$R$2,"",C2434/INDEX(Clean_Data!$C$2:$C$4314,MATCH(A2434-7,Clean_Data!$A$2:$A$4314,1))-1)</f>
        <v>0.0535107524812597</v>
      </c>
      <c r="O2434" s="25" t="n">
        <f aca="false">IF(A2434-30&lt;$R$2,"",C2434/INDEX(Clean_Data!$C$2:$C$4314,MATCH(A2434-30,Clean_Data!$A$2:$A$4314,1))-1)</f>
        <v>0.289632313431449</v>
      </c>
    </row>
    <row r="2435" customFormat="false" ht="15" hidden="false" customHeight="false" outlineLevel="0" collapsed="false">
      <c r="A2435" s="16" t="n">
        <v>44442</v>
      </c>
      <c r="B2435" s="23" t="n">
        <f aca="false">YEAR(A2435)</f>
        <v>2021</v>
      </c>
      <c r="C2435" s="17" t="n">
        <v>49919.31</v>
      </c>
      <c r="D2435" s="23" t="n">
        <f aca="false">A2435-A2434</f>
        <v>1</v>
      </c>
      <c r="E2435" s="24" t="n">
        <f aca="false">LN(C2435)</f>
        <v>10.8181631808324</v>
      </c>
      <c r="F2435" s="25" t="n">
        <f aca="false">LN(C2435/C2434)</f>
        <v>0.013024940811477</v>
      </c>
      <c r="G2435" s="25" t="n">
        <f aca="false">IF(AND(D2435=1,A2435&gt;=$R$2),F2435,"")</f>
        <v>0.013024940811477</v>
      </c>
      <c r="H2435" s="27" t="n">
        <f aca="false">IF(G2435="","",G2435^2)</f>
        <v>0.000169649083142478</v>
      </c>
      <c r="I2435" s="25" t="n">
        <f aca="false">IF(G2435="","",C2435/C2434-1)</f>
        <v>0.0131101348335905</v>
      </c>
      <c r="J2435" s="17" t="n">
        <f aca="false">AVERAGE(C2236:C2435)</f>
        <v>46120.1754</v>
      </c>
      <c r="K2435" s="17" t="n">
        <f aca="false">MAX(K2434,C2435)</f>
        <v>63660.94</v>
      </c>
      <c r="L2435" s="25" t="n">
        <f aca="false">C2435/K2435-1</f>
        <v>-0.215856536205717</v>
      </c>
      <c r="M2435" s="25" t="n">
        <f aca="false">IF(COUNT(G2406:G2435)&lt;20,"",_xlfn.STDEV.S(G2406:G2435)*SQRT($R$3))</f>
        <v>0.586620780827823</v>
      </c>
      <c r="N2435" s="25" t="n">
        <f aca="false">IF(A2435-7&lt;$R$2,"",C2435/INDEX(Clean_Data!$C$2:$C$4314,MATCH(A2435-7,Clean_Data!$A$2:$A$4314,1))-1)</f>
        <v>0.0170585819171329</v>
      </c>
      <c r="O2435" s="25" t="n">
        <f aca="false">IF(A2435-30&lt;$R$2,"",C2435/INDEX(Clean_Data!$C$2:$C$4314,MATCH(A2435-30,Clean_Data!$A$2:$A$4314,1))-1)</f>
        <v>0.256463881198087</v>
      </c>
    </row>
    <row r="2436" customFormat="false" ht="15" hidden="false" customHeight="false" outlineLevel="0" collapsed="false">
      <c r="A2436" s="16" t="n">
        <v>44443</v>
      </c>
      <c r="B2436" s="23" t="n">
        <f aca="false">YEAR(A2436)</f>
        <v>2021</v>
      </c>
      <c r="C2436" s="17" t="n">
        <v>49949.07</v>
      </c>
      <c r="D2436" s="23" t="n">
        <f aca="false">A2436-A2435</f>
        <v>1</v>
      </c>
      <c r="E2436" s="24" t="n">
        <f aca="false">LN(C2436)</f>
        <v>10.8187591652848</v>
      </c>
      <c r="F2436" s="25" t="n">
        <f aca="false">LN(C2436/C2435)</f>
        <v>0.00059598445235402</v>
      </c>
      <c r="G2436" s="25" t="n">
        <f aca="false">IF(AND(D2436=1,A2436&gt;=$R$2),F2436,"")</f>
        <v>0.00059598445235402</v>
      </c>
      <c r="H2436" s="27" t="n">
        <f aca="false">IF(G2436="","",G2436^2)</f>
        <v>3.55197467447721E-007</v>
      </c>
      <c r="I2436" s="25" t="n">
        <f aca="false">IF(G2436="","",C2436/C2435-1)</f>
        <v>0.000596162086375029</v>
      </c>
      <c r="J2436" s="17" t="n">
        <f aca="false">AVERAGE(C2237:C2436)</f>
        <v>46123.6346</v>
      </c>
      <c r="K2436" s="17" t="n">
        <f aca="false">MAX(K2435,C2436)</f>
        <v>63660.94</v>
      </c>
      <c r="L2436" s="25" t="n">
        <f aca="false">C2436/K2436-1</f>
        <v>-0.215389059602324</v>
      </c>
      <c r="M2436" s="25" t="n">
        <f aca="false">IF(COUNT(G2407:G2436)&lt;20,"",_xlfn.STDEV.S(G2407:G2436)*SQRT($R$3))</f>
        <v>0.581995357122344</v>
      </c>
      <c r="N2436" s="25" t="n">
        <f aca="false">IF(A2436-7&lt;$R$2,"",C2436/INDEX(Clean_Data!$C$2:$C$4314,MATCH(A2436-7,Clean_Data!$A$2:$A$4314,1))-1)</f>
        <v>0.0201305423784821</v>
      </c>
      <c r="O2436" s="25" t="n">
        <f aca="false">IF(A2436-30&lt;$R$2,"",C2436/INDEX(Clean_Data!$C$2:$C$4314,MATCH(A2436-30,Clean_Data!$A$2:$A$4314,1))-1)</f>
        <v>0.221435304906007</v>
      </c>
    </row>
    <row r="2437" customFormat="false" ht="15" hidden="false" customHeight="false" outlineLevel="0" collapsed="false">
      <c r="A2437" s="16" t="n">
        <v>44444</v>
      </c>
      <c r="B2437" s="23" t="n">
        <f aca="false">YEAR(A2437)</f>
        <v>2021</v>
      </c>
      <c r="C2437" s="17" t="n">
        <v>51782.76</v>
      </c>
      <c r="D2437" s="23" t="n">
        <f aca="false">A2437-A2436</f>
        <v>1</v>
      </c>
      <c r="E2437" s="24" t="n">
        <f aca="false">LN(C2437)</f>
        <v>10.8548125543184</v>
      </c>
      <c r="F2437" s="25" t="n">
        <f aca="false">LN(C2437/C2436)</f>
        <v>0.0360533890336241</v>
      </c>
      <c r="G2437" s="25" t="n">
        <f aca="false">IF(AND(D2437=1,A2437&gt;=$R$2),F2437,"")</f>
        <v>0.0360533890336241</v>
      </c>
      <c r="H2437" s="27" t="n">
        <f aca="false">IF(G2437="","",G2437^2)</f>
        <v>0.00129984686080985</v>
      </c>
      <c r="I2437" s="25" t="n">
        <f aca="false">IF(G2437="","",C2437/C2436-1)</f>
        <v>0.0367111940222311</v>
      </c>
      <c r="J2437" s="17" t="n">
        <f aca="false">AVERAGE(C2238:C2437)</f>
        <v>46121.1992</v>
      </c>
      <c r="K2437" s="17" t="n">
        <f aca="false">MAX(K2436,C2437)</f>
        <v>63660.94</v>
      </c>
      <c r="L2437" s="25" t="n">
        <f aca="false">C2437/K2437-1</f>
        <v>-0.18658505513742</v>
      </c>
      <c r="M2437" s="25" t="n">
        <f aca="false">IF(COUNT(G2408:G2437)&lt;20,"",_xlfn.STDEV.S(G2408:G2437)*SQRT($R$3))</f>
        <v>0.574338529439443</v>
      </c>
      <c r="N2437" s="25" t="n">
        <f aca="false">IF(A2437-7&lt;$R$2,"",C2437/INDEX(Clean_Data!$C$2:$C$4314,MATCH(A2437-7,Clean_Data!$A$2:$A$4314,1))-1)</f>
        <v>0.0617578804357857</v>
      </c>
      <c r="O2437" s="25" t="n">
        <f aca="false">IF(A2437-30&lt;$R$2,"",C2437/INDEX(Clean_Data!$C$2:$C$4314,MATCH(A2437-30,Clean_Data!$A$2:$A$4314,1))-1)</f>
        <v>0.209093354403779</v>
      </c>
    </row>
    <row r="2438" customFormat="false" ht="15" hidden="false" customHeight="false" outlineLevel="0" collapsed="false">
      <c r="A2438" s="16" t="n">
        <v>44445</v>
      </c>
      <c r="B2438" s="23" t="n">
        <f aca="false">YEAR(A2438)</f>
        <v>2021</v>
      </c>
      <c r="C2438" s="17" t="n">
        <v>52691.2</v>
      </c>
      <c r="D2438" s="23" t="n">
        <f aca="false">A2438-A2437</f>
        <v>1</v>
      </c>
      <c r="E2438" s="24" t="n">
        <f aca="false">LN(C2438)</f>
        <v>10.8722037376641</v>
      </c>
      <c r="F2438" s="25" t="n">
        <f aca="false">LN(C2438/C2437)</f>
        <v>0.0173911833456758</v>
      </c>
      <c r="G2438" s="25" t="n">
        <f aca="false">IF(AND(D2438=1,A2438&gt;=$R$2),F2438,"")</f>
        <v>0.0173911833456758</v>
      </c>
      <c r="H2438" s="27" t="n">
        <f aca="false">IF(G2438="","",G2438^2)</f>
        <v>0.000302453258162912</v>
      </c>
      <c r="I2438" s="25" t="n">
        <f aca="false">IF(G2438="","",C2438/C2437-1)</f>
        <v>0.0175432904696466</v>
      </c>
      <c r="J2438" s="17" t="n">
        <f aca="false">AVERAGE(C2239:C2438)</f>
        <v>46126.4344</v>
      </c>
      <c r="K2438" s="17" t="n">
        <f aca="false">MAX(K2437,C2438)</f>
        <v>63660.94</v>
      </c>
      <c r="L2438" s="25" t="n">
        <f aca="false">C2438/K2438-1</f>
        <v>-0.172315080487344</v>
      </c>
      <c r="M2438" s="25" t="n">
        <f aca="false">IF(COUNT(G2409:G2438)&lt;20,"",_xlfn.STDEV.S(G2409:G2438)*SQRT($R$3))</f>
        <v>0.564410580180139</v>
      </c>
      <c r="N2438" s="25" t="n">
        <f aca="false">IF(A2438-7&lt;$R$2,"",C2438/INDEX(Clean_Data!$C$2:$C$4314,MATCH(A2438-7,Clean_Data!$A$2:$A$4314,1))-1)</f>
        <v>0.122901294343894</v>
      </c>
      <c r="O2438" s="25" t="n">
        <f aca="false">IF(A2438-30&lt;$R$2,"",C2438/INDEX(Clean_Data!$C$2:$C$4314,MATCH(A2438-30,Clean_Data!$A$2:$A$4314,1))-1)</f>
        <v>0.184368135221236</v>
      </c>
    </row>
    <row r="2439" customFormat="false" ht="15" hidden="false" customHeight="false" outlineLevel="0" collapsed="false">
      <c r="A2439" s="16" t="n">
        <v>44446</v>
      </c>
      <c r="B2439" s="23" t="n">
        <f aca="false">YEAR(A2439)</f>
        <v>2021</v>
      </c>
      <c r="C2439" s="17" t="n">
        <v>46943.82</v>
      </c>
      <c r="D2439" s="23" t="n">
        <f aca="false">A2439-A2438</f>
        <v>1</v>
      </c>
      <c r="E2439" s="24" t="n">
        <f aca="false">LN(C2439)</f>
        <v>10.7567068465795</v>
      </c>
      <c r="F2439" s="25" t="n">
        <f aca="false">LN(C2439/C2438)</f>
        <v>-0.115496891084523</v>
      </c>
      <c r="G2439" s="25" t="n">
        <f aca="false">IF(AND(D2439=1,A2439&gt;=$R$2),F2439,"")</f>
        <v>-0.115496891084523</v>
      </c>
      <c r="H2439" s="27" t="n">
        <f aca="false">IF(G2439="","",G2439^2)</f>
        <v>0.0133395318501902</v>
      </c>
      <c r="I2439" s="25" t="n">
        <f aca="false">IF(G2439="","",C2439/C2438-1)</f>
        <v>-0.109076657961861</v>
      </c>
      <c r="J2439" s="17" t="n">
        <f aca="false">AVERAGE(C2240:C2439)</f>
        <v>46081.00595</v>
      </c>
      <c r="K2439" s="17" t="n">
        <f aca="false">MAX(K2438,C2439)</f>
        <v>63660.94</v>
      </c>
      <c r="L2439" s="25" t="n">
        <f aca="false">C2439/K2439-1</f>
        <v>-0.262596185353217</v>
      </c>
      <c r="M2439" s="25" t="n">
        <f aca="false">IF(COUNT(G2410:G2439)&lt;20,"",_xlfn.STDEV.S(G2410:G2439)*SQRT($R$3))</f>
        <v>0.703302714781177</v>
      </c>
      <c r="N2439" s="25" t="n">
        <f aca="false">IF(A2439-7&lt;$R$2,"",C2439/INDEX(Clean_Data!$C$2:$C$4314,MATCH(A2439-7,Clean_Data!$A$2:$A$4314,1))-1)</f>
        <v>-0.00259020735469317</v>
      </c>
      <c r="O2439" s="25" t="n">
        <f aca="false">IF(A2439-30&lt;$R$2,"",C2439/INDEX(Clean_Data!$C$2:$C$4314,MATCH(A2439-30,Clean_Data!$A$2:$A$4314,1))-1)</f>
        <v>0.0685257592994464</v>
      </c>
    </row>
    <row r="2440" customFormat="false" ht="15" hidden="false" customHeight="false" outlineLevel="0" collapsed="false">
      <c r="A2440" s="16" t="n">
        <v>44447</v>
      </c>
      <c r="B2440" s="23" t="n">
        <f aca="false">YEAR(A2440)</f>
        <v>2021</v>
      </c>
      <c r="C2440" s="17" t="n">
        <v>46022.48</v>
      </c>
      <c r="D2440" s="23" t="n">
        <f aca="false">A2440-A2439</f>
        <v>1</v>
      </c>
      <c r="E2440" s="24" t="n">
        <f aca="false">LN(C2440)</f>
        <v>10.7368852517506</v>
      </c>
      <c r="F2440" s="25" t="n">
        <f aca="false">LN(C2440/C2439)</f>
        <v>-0.0198215948289533</v>
      </c>
      <c r="G2440" s="25" t="n">
        <f aca="false">IF(AND(D2440=1,A2440&gt;=$R$2),F2440,"")</f>
        <v>-0.0198215948289533</v>
      </c>
      <c r="H2440" s="27" t="n">
        <f aca="false">IF(G2440="","",G2440^2)</f>
        <v>0.000392895621563189</v>
      </c>
      <c r="I2440" s="25" t="n">
        <f aca="false">IF(G2440="","",C2440/C2439-1)</f>
        <v>-0.0196264385812658</v>
      </c>
      <c r="J2440" s="17" t="n">
        <f aca="false">AVERAGE(C2241:C2440)</f>
        <v>46031.3181</v>
      </c>
      <c r="K2440" s="17" t="n">
        <f aca="false">MAX(K2439,C2440)</f>
        <v>63660.94</v>
      </c>
      <c r="L2440" s="25" t="n">
        <f aca="false">C2440/K2440-1</f>
        <v>-0.277068796030973</v>
      </c>
      <c r="M2440" s="25" t="n">
        <f aca="false">IF(COUNT(G2411:G2440)&lt;20,"",_xlfn.STDEV.S(G2411:G2440)*SQRT($R$3))</f>
        <v>0.685075227031809</v>
      </c>
      <c r="N2440" s="25" t="n">
        <f aca="false">IF(A2440-7&lt;$R$2,"",C2440/INDEX(Clean_Data!$C$2:$C$4314,MATCH(A2440-7,Clean_Data!$A$2:$A$4314,1))-1)</f>
        <v>-0.0586368888500709</v>
      </c>
      <c r="O2440" s="25" t="n">
        <f aca="false">IF(A2440-30&lt;$R$2,"",C2440/INDEX(Clean_Data!$C$2:$C$4314,MATCH(A2440-30,Clean_Data!$A$2:$A$4314,1))-1)</f>
        <v>-0.00402566627352108</v>
      </c>
    </row>
    <row r="2441" customFormat="false" ht="15" hidden="false" customHeight="false" outlineLevel="0" collapsed="false">
      <c r="A2441" s="16" t="n">
        <v>44448</v>
      </c>
      <c r="B2441" s="23" t="n">
        <f aca="false">YEAR(A2441)</f>
        <v>2021</v>
      </c>
      <c r="C2441" s="17" t="n">
        <v>46414.58</v>
      </c>
      <c r="D2441" s="23" t="n">
        <f aca="false">A2441-A2440</f>
        <v>1</v>
      </c>
      <c r="E2441" s="24" t="n">
        <f aca="false">LN(C2441)</f>
        <v>10.7453689129942</v>
      </c>
      <c r="F2441" s="25" t="n">
        <f aca="false">LN(C2441/C2440)</f>
        <v>0.00848366124363705</v>
      </c>
      <c r="G2441" s="25" t="n">
        <f aca="false">IF(AND(D2441=1,A2441&gt;=$R$2),F2441,"")</f>
        <v>0.00848366124363705</v>
      </c>
      <c r="H2441" s="27" t="n">
        <f aca="false">IF(G2441="","",G2441^2)</f>
        <v>7.19725080967893E-005</v>
      </c>
      <c r="I2441" s="25" t="n">
        <f aca="false">IF(G2441="","",C2441/C2440-1)</f>
        <v>0.00851974947895018</v>
      </c>
      <c r="J2441" s="17" t="n">
        <f aca="false">AVERAGE(C2242:C2441)</f>
        <v>45975.69865</v>
      </c>
      <c r="K2441" s="17" t="n">
        <f aca="false">MAX(K2440,C2441)</f>
        <v>63660.94</v>
      </c>
      <c r="L2441" s="25" t="n">
        <f aca="false">C2441/K2441-1</f>
        <v>-0.270909603282641</v>
      </c>
      <c r="M2441" s="25" t="n">
        <f aca="false">IF(COUNT(G2412:G2441)&lt;20,"",_xlfn.STDEV.S(G2412:G2441)*SQRT($R$3))</f>
        <v>0.683833601899771</v>
      </c>
      <c r="N2441" s="25" t="n">
        <f aca="false">IF(A2441-7&lt;$R$2,"",C2441/INDEX(Clean_Data!$C$2:$C$4314,MATCH(A2441-7,Clean_Data!$A$2:$A$4314,1))-1)</f>
        <v>-0.0580182017330674</v>
      </c>
      <c r="O2441" s="25" t="n">
        <f aca="false">IF(A2441-30&lt;$R$2,"",C2441/INDEX(Clean_Data!$C$2:$C$4314,MATCH(A2441-30,Clean_Data!$A$2:$A$4314,1))-1)</f>
        <v>0.0186284613709944</v>
      </c>
    </row>
    <row r="2442" customFormat="false" ht="15" hidden="false" customHeight="false" outlineLevel="0" collapsed="false">
      <c r="A2442" s="16" t="n">
        <v>44449</v>
      </c>
      <c r="B2442" s="23" t="n">
        <f aca="false">YEAR(A2442)</f>
        <v>2021</v>
      </c>
      <c r="C2442" s="17" t="n">
        <v>44897.75</v>
      </c>
      <c r="D2442" s="23" t="n">
        <f aca="false">A2442-A2441</f>
        <v>1</v>
      </c>
      <c r="E2442" s="24" t="n">
        <f aca="false">LN(C2442)</f>
        <v>10.7121429611162</v>
      </c>
      <c r="F2442" s="25" t="n">
        <f aca="false">LN(C2442/C2441)</f>
        <v>-0.0332259518780577</v>
      </c>
      <c r="G2442" s="25" t="n">
        <f aca="false">IF(AND(D2442=1,A2442&gt;=$R$2),F2442,"")</f>
        <v>-0.0332259518780577</v>
      </c>
      <c r="H2442" s="27" t="n">
        <f aca="false">IF(G2442="","",G2442^2)</f>
        <v>0.001103963878203</v>
      </c>
      <c r="I2442" s="25" t="n">
        <f aca="false">IF(G2442="","",C2442/C2441-1)</f>
        <v>-0.0326800328689821</v>
      </c>
      <c r="J2442" s="17" t="n">
        <f aca="false">AVERAGE(C2243:C2442)</f>
        <v>45929.53575</v>
      </c>
      <c r="K2442" s="17" t="n">
        <f aca="false">MAX(K2441,C2442)</f>
        <v>63660.94</v>
      </c>
      <c r="L2442" s="25" t="n">
        <f aca="false">C2442/K2442-1</f>
        <v>-0.294736301411823</v>
      </c>
      <c r="M2442" s="25" t="n">
        <f aca="false">IF(COUNT(G2413:G2442)&lt;20,"",_xlfn.STDEV.S(G2413:G2442)*SQRT($R$3))</f>
        <v>0.693940943242232</v>
      </c>
      <c r="N2442" s="25" t="n">
        <f aca="false">IF(A2442-7&lt;$R$2,"",C2442/INDEX(Clean_Data!$C$2:$C$4314,MATCH(A2442-7,Clean_Data!$A$2:$A$4314,1))-1)</f>
        <v>-0.100593537851384</v>
      </c>
      <c r="O2442" s="25" t="n">
        <f aca="false">IF(A2442-30&lt;$R$2,"",C2442/INDEX(Clean_Data!$C$2:$C$4314,MATCH(A2442-30,Clean_Data!$A$2:$A$4314,1))-1)</f>
        <v>-0.0128663598117535</v>
      </c>
    </row>
    <row r="2443" customFormat="false" ht="15" hidden="false" customHeight="false" outlineLevel="0" collapsed="false">
      <c r="A2443" s="16" t="n">
        <v>44450</v>
      </c>
      <c r="B2443" s="23" t="n">
        <f aca="false">YEAR(A2443)</f>
        <v>2021</v>
      </c>
      <c r="C2443" s="17" t="n">
        <v>45127.48</v>
      </c>
      <c r="D2443" s="23" t="n">
        <f aca="false">A2443-A2442</f>
        <v>1</v>
      </c>
      <c r="E2443" s="24" t="n">
        <f aca="false">LN(C2443)</f>
        <v>10.7172466525738</v>
      </c>
      <c r="F2443" s="25" t="n">
        <f aca="false">LN(C2443/C2442)</f>
        <v>0.00510369145762047</v>
      </c>
      <c r="G2443" s="25" t="n">
        <f aca="false">IF(AND(D2443=1,A2443&gt;=$R$2),F2443,"")</f>
        <v>0.00510369145762047</v>
      </c>
      <c r="H2443" s="27" t="n">
        <f aca="false">IF(G2443="","",G2443^2)</f>
        <v>2.60476664945881E-005</v>
      </c>
      <c r="I2443" s="25" t="n">
        <f aca="false">IF(G2443="","",C2443/C2442-1)</f>
        <v>0.00511673747570884</v>
      </c>
      <c r="J2443" s="17" t="n">
        <f aca="false">AVERAGE(C2244:C2443)</f>
        <v>45910.3126</v>
      </c>
      <c r="K2443" s="17" t="n">
        <f aca="false">MAX(K2442,C2443)</f>
        <v>63660.94</v>
      </c>
      <c r="L2443" s="25" t="n">
        <f aca="false">C2443/K2443-1</f>
        <v>-0.291127652215</v>
      </c>
      <c r="M2443" s="25" t="n">
        <f aca="false">IF(COUNT(G2414:G2443)&lt;20,"",_xlfn.STDEV.S(G2414:G2443)*SQRT($R$3))</f>
        <v>0.689399721531759</v>
      </c>
      <c r="N2443" s="25" t="n">
        <f aca="false">IF(A2443-7&lt;$R$2,"",C2443/INDEX(Clean_Data!$C$2:$C$4314,MATCH(A2443-7,Clean_Data!$A$2:$A$4314,1))-1)</f>
        <v>-0.0965301255859218</v>
      </c>
      <c r="O2443" s="25" t="n">
        <f aca="false">IF(A2443-30&lt;$R$2,"",C2443/INDEX(Clean_Data!$C$2:$C$4314,MATCH(A2443-30,Clean_Data!$A$2:$A$4314,1))-1)</f>
        <v>0.0151415935036308</v>
      </c>
    </row>
    <row r="2444" customFormat="false" ht="15" hidden="false" customHeight="false" outlineLevel="0" collapsed="false">
      <c r="A2444" s="16" t="n">
        <v>44451</v>
      </c>
      <c r="B2444" s="23" t="n">
        <f aca="false">YEAR(A2444)</f>
        <v>2021</v>
      </c>
      <c r="C2444" s="17" t="n">
        <v>46010.13</v>
      </c>
      <c r="D2444" s="23" t="n">
        <f aca="false">A2444-A2443</f>
        <v>1</v>
      </c>
      <c r="E2444" s="24" t="n">
        <f aca="false">LN(C2444)</f>
        <v>10.7366168686182</v>
      </c>
      <c r="F2444" s="25" t="n">
        <f aca="false">LN(C2444/C2443)</f>
        <v>0.0193702160444704</v>
      </c>
      <c r="G2444" s="25" t="n">
        <f aca="false">IF(AND(D2444=1,A2444&gt;=$R$2),F2444,"")</f>
        <v>0.0193702160444704</v>
      </c>
      <c r="H2444" s="27" t="n">
        <f aca="false">IF(G2444="","",G2444^2)</f>
        <v>0.00037520526960946</v>
      </c>
      <c r="I2444" s="25" t="n">
        <f aca="false">IF(G2444="","",C2444/C2443-1)</f>
        <v>0.0195590358690534</v>
      </c>
      <c r="J2444" s="17" t="n">
        <f aca="false">AVERAGE(C2245:C2444)</f>
        <v>45891.4133</v>
      </c>
      <c r="K2444" s="17" t="n">
        <f aca="false">MAX(K2443,C2444)</f>
        <v>63660.94</v>
      </c>
      <c r="L2444" s="25" t="n">
        <f aca="false">C2444/K2444-1</f>
        <v>-0.277262792538093</v>
      </c>
      <c r="M2444" s="25" t="n">
        <f aca="false">IF(COUNT(G2415:G2444)&lt;20,"",_xlfn.STDEV.S(G2415:G2444)*SQRT($R$3))</f>
        <v>0.643852917859636</v>
      </c>
      <c r="N2444" s="25" t="n">
        <f aca="false">IF(A2444-7&lt;$R$2,"",C2444/INDEX(Clean_Data!$C$2:$C$4314,MATCH(A2444-7,Clean_Data!$A$2:$A$4314,1))-1)</f>
        <v>-0.11147783548038</v>
      </c>
      <c r="O2444" s="25" t="n">
        <f aca="false">IF(A2444-30&lt;$R$2,"",C2444/INDEX(Clean_Data!$C$2:$C$4314,MATCH(A2444-30,Clean_Data!$A$2:$A$4314,1))-1)</f>
        <v>-0.0367479311912116</v>
      </c>
    </row>
    <row r="2445" customFormat="false" ht="15" hidden="false" customHeight="false" outlineLevel="0" collapsed="false">
      <c r="A2445" s="16" t="n">
        <v>44452</v>
      </c>
      <c r="B2445" s="23" t="n">
        <f aca="false">YEAR(A2445)</f>
        <v>2021</v>
      </c>
      <c r="C2445" s="17" t="n">
        <v>44969.02</v>
      </c>
      <c r="D2445" s="23" t="n">
        <f aca="false">A2445-A2444</f>
        <v>1</v>
      </c>
      <c r="E2445" s="24" t="n">
        <f aca="false">LN(C2445)</f>
        <v>10.7137290872213</v>
      </c>
      <c r="F2445" s="25" t="n">
        <f aca="false">LN(C2445/C2444)</f>
        <v>-0.0228877813969304</v>
      </c>
      <c r="G2445" s="25" t="n">
        <f aca="false">IF(AND(D2445=1,A2445&gt;=$R$2),F2445,"")</f>
        <v>-0.0228877813969304</v>
      </c>
      <c r="H2445" s="27" t="n">
        <f aca="false">IF(G2445="","",G2445^2)</f>
        <v>0.000523850537273672</v>
      </c>
      <c r="I2445" s="25" t="n">
        <f aca="false">IF(G2445="","",C2445/C2444-1)</f>
        <v>-0.0226278430423909</v>
      </c>
      <c r="J2445" s="17" t="n">
        <f aca="false">AVERAGE(C2246:C2445)</f>
        <v>45881.61975</v>
      </c>
      <c r="K2445" s="17" t="n">
        <f aca="false">MAX(K2444,C2445)</f>
        <v>63660.94</v>
      </c>
      <c r="L2445" s="25" t="n">
        <f aca="false">C2445/K2445-1</f>
        <v>-0.293616776629437</v>
      </c>
      <c r="M2445" s="25" t="n">
        <f aca="false">IF(COUNT(G2416:G2445)&lt;20,"",_xlfn.STDEV.S(G2416:G2445)*SQRT($R$3))</f>
        <v>0.646974067417234</v>
      </c>
      <c r="N2445" s="25" t="n">
        <f aca="false">IF(A2445-7&lt;$R$2,"",C2445/INDEX(Clean_Data!$C$2:$C$4314,MATCH(A2445-7,Clean_Data!$A$2:$A$4314,1))-1)</f>
        <v>-0.146555402040569</v>
      </c>
      <c r="O2445" s="25" t="n">
        <f aca="false">IF(A2445-30&lt;$R$2,"",C2445/INDEX(Clean_Data!$C$2:$C$4314,MATCH(A2445-30,Clean_Data!$A$2:$A$4314,1))-1)</f>
        <v>-0.0459447951303724</v>
      </c>
    </row>
    <row r="2446" customFormat="false" ht="15" hidden="false" customHeight="false" outlineLevel="0" collapsed="false">
      <c r="A2446" s="16" t="n">
        <v>44453</v>
      </c>
      <c r="B2446" s="23" t="n">
        <f aca="false">YEAR(A2446)</f>
        <v>2021</v>
      </c>
      <c r="C2446" s="17" t="n">
        <v>47096.48</v>
      </c>
      <c r="D2446" s="23" t="n">
        <f aca="false">A2446-A2445</f>
        <v>1</v>
      </c>
      <c r="E2446" s="24" t="n">
        <f aca="false">LN(C2446)</f>
        <v>10.7599535426045</v>
      </c>
      <c r="F2446" s="25" t="n">
        <f aca="false">LN(C2446/C2445)</f>
        <v>0.0462244553832051</v>
      </c>
      <c r="G2446" s="25" t="n">
        <f aca="false">IF(AND(D2446=1,A2446&gt;=$R$2),F2446,"")</f>
        <v>0.0462244553832051</v>
      </c>
      <c r="H2446" s="27" t="n">
        <f aca="false">IF(G2446="","",G2446^2)</f>
        <v>0.00213670027547392</v>
      </c>
      <c r="I2446" s="25" t="n">
        <f aca="false">IF(G2446="","",C2446/C2445-1)</f>
        <v>0.0473094588229854</v>
      </c>
      <c r="J2446" s="17" t="n">
        <f aca="false">AVERAGE(C2247:C2446)</f>
        <v>45885.3013</v>
      </c>
      <c r="K2446" s="17" t="n">
        <f aca="false">MAX(K2445,C2446)</f>
        <v>63660.94</v>
      </c>
      <c r="L2446" s="25" t="n">
        <f aca="false">C2446/K2446-1</f>
        <v>-0.26019816861014</v>
      </c>
      <c r="M2446" s="25" t="n">
        <f aca="false">IF(COUNT(G2417:G2446)&lt;20,"",_xlfn.STDEV.S(G2417:G2446)*SQRT($R$3))</f>
        <v>0.668120646689562</v>
      </c>
      <c r="N2446" s="25" t="n">
        <f aca="false">IF(A2446-7&lt;$R$2,"",C2446/INDEX(Clean_Data!$C$2:$C$4314,MATCH(A2446-7,Clean_Data!$A$2:$A$4314,1))-1)</f>
        <v>0.00325197225108664</v>
      </c>
      <c r="O2446" s="25" t="n">
        <f aca="false">IF(A2446-30&lt;$R$2,"",C2446/INDEX(Clean_Data!$C$2:$C$4314,MATCH(A2446-30,Clean_Data!$A$2:$A$4314,1))-1)</f>
        <v>0.000137608834147374</v>
      </c>
    </row>
    <row r="2447" customFormat="false" ht="15" hidden="false" customHeight="false" outlineLevel="0" collapsed="false">
      <c r="A2447" s="16" t="n">
        <v>44454</v>
      </c>
      <c r="B2447" s="23" t="n">
        <f aca="false">YEAR(A2447)</f>
        <v>2021</v>
      </c>
      <c r="C2447" s="17" t="n">
        <v>48106.71</v>
      </c>
      <c r="D2447" s="23" t="n">
        <f aca="false">A2447-A2446</f>
        <v>1</v>
      </c>
      <c r="E2447" s="24" t="n">
        <f aca="false">LN(C2447)</f>
        <v>10.781176947404</v>
      </c>
      <c r="F2447" s="25" t="n">
        <f aca="false">LN(C2447/C2446)</f>
        <v>0.0212234047994678</v>
      </c>
      <c r="G2447" s="25" t="n">
        <f aca="false">IF(AND(D2447=1,A2447&gt;=$R$2),F2447,"")</f>
        <v>0.0212234047994678</v>
      </c>
      <c r="H2447" s="27" t="n">
        <f aca="false">IF(G2447="","",G2447^2)</f>
        <v>0.000450432911282073</v>
      </c>
      <c r="I2447" s="25" t="n">
        <f aca="false">IF(G2447="","",C2447/C2446-1)</f>
        <v>0.0214502230315301</v>
      </c>
      <c r="J2447" s="17" t="n">
        <f aca="false">AVERAGE(C2248:C2447)</f>
        <v>45895.96705</v>
      </c>
      <c r="K2447" s="17" t="n">
        <f aca="false">MAX(K2446,C2447)</f>
        <v>63660.94</v>
      </c>
      <c r="L2447" s="25" t="n">
        <f aca="false">C2447/K2447-1</f>
        <v>-0.244329254327693</v>
      </c>
      <c r="M2447" s="25" t="n">
        <f aca="false">IF(COUNT(G2418:G2447)&lt;20,"",_xlfn.STDEV.S(G2418:G2447)*SQRT($R$3))</f>
        <v>0.665834242195664</v>
      </c>
      <c r="N2447" s="25" t="n">
        <f aca="false">IF(A2447-7&lt;$R$2,"",C2447/INDEX(Clean_Data!$C$2:$C$4314,MATCH(A2447-7,Clean_Data!$A$2:$A$4314,1))-1)</f>
        <v>0.0452872161604503</v>
      </c>
      <c r="O2447" s="25" t="n">
        <f aca="false">IF(A2447-30&lt;$R$2,"",C2447/INDEX(Clean_Data!$C$2:$C$4314,MATCH(A2447-30,Clean_Data!$A$2:$A$4314,1))-1)</f>
        <v>0.0473757100641379</v>
      </c>
    </row>
    <row r="2448" customFormat="false" ht="15" hidden="false" customHeight="false" outlineLevel="0" collapsed="false">
      <c r="A2448" s="16" t="n">
        <v>44455</v>
      </c>
      <c r="B2448" s="23" t="n">
        <f aca="false">YEAR(A2448)</f>
        <v>2021</v>
      </c>
      <c r="C2448" s="17" t="n">
        <v>47772.7</v>
      </c>
      <c r="D2448" s="23" t="n">
        <f aca="false">A2448-A2447</f>
        <v>1</v>
      </c>
      <c r="E2448" s="24" t="n">
        <f aca="false">LN(C2448)</f>
        <v>10.7742096256157</v>
      </c>
      <c r="F2448" s="25" t="n">
        <f aca="false">LN(C2448/C2447)</f>
        <v>-0.00696732178825061</v>
      </c>
      <c r="G2448" s="25" t="n">
        <f aca="false">IF(AND(D2448=1,A2448&gt;=$R$2),F2448,"")</f>
        <v>-0.00696732178825061</v>
      </c>
      <c r="H2448" s="27" t="n">
        <f aca="false">IF(G2448="","",G2448^2)</f>
        <v>4.85435729010316E-005</v>
      </c>
      <c r="I2448" s="25" t="n">
        <f aca="false">IF(G2448="","",C2448/C2447-1)</f>
        <v>-0.00694310627353234</v>
      </c>
      <c r="J2448" s="17" t="n">
        <f aca="false">AVERAGE(C2249:C2448)</f>
        <v>45908.0691</v>
      </c>
      <c r="K2448" s="17" t="n">
        <f aca="false">MAX(K2447,C2448)</f>
        <v>63660.94</v>
      </c>
      <c r="L2448" s="25" t="n">
        <f aca="false">C2448/K2448-1</f>
        <v>-0.249575956622695</v>
      </c>
      <c r="M2448" s="25" t="n">
        <f aca="false">IF(COUNT(G2419:G2448)&lt;20,"",_xlfn.STDEV.S(G2419:G2448)*SQRT($R$3))</f>
        <v>0.65879439794968</v>
      </c>
      <c r="N2448" s="25" t="n">
        <f aca="false">IF(A2448-7&lt;$R$2,"",C2448/INDEX(Clean_Data!$C$2:$C$4314,MATCH(A2448-7,Clean_Data!$A$2:$A$4314,1))-1)</f>
        <v>0.0292606331889678</v>
      </c>
      <c r="O2448" s="25" t="n">
        <f aca="false">IF(A2448-30&lt;$R$2,"",C2448/INDEX(Clean_Data!$C$2:$C$4314,MATCH(A2448-30,Clean_Data!$A$2:$A$4314,1))-1)</f>
        <v>0.0682981163728398</v>
      </c>
    </row>
    <row r="2449" customFormat="false" ht="15" hidden="false" customHeight="false" outlineLevel="0" collapsed="false">
      <c r="A2449" s="16" t="n">
        <v>44456</v>
      </c>
      <c r="B2449" s="23" t="n">
        <f aca="false">YEAR(A2449)</f>
        <v>2021</v>
      </c>
      <c r="C2449" s="17" t="n">
        <v>47337.8</v>
      </c>
      <c r="D2449" s="23" t="n">
        <f aca="false">A2449-A2448</f>
        <v>1</v>
      </c>
      <c r="E2449" s="24" t="n">
        <f aca="false">LN(C2449)</f>
        <v>10.7650644096603</v>
      </c>
      <c r="F2449" s="25" t="n">
        <f aca="false">LN(C2449/C2448)</f>
        <v>-0.00914521595547597</v>
      </c>
      <c r="G2449" s="25" t="n">
        <f aca="false">IF(AND(D2449=1,A2449&gt;=$R$2),F2449,"")</f>
        <v>-0.00914521595547597</v>
      </c>
      <c r="H2449" s="27" t="n">
        <f aca="false">IF(G2449="","",G2449^2)</f>
        <v>8.36349748722922E-005</v>
      </c>
      <c r="I2449" s="25" t="n">
        <f aca="false">IF(G2449="","",C2449/C2448-1)</f>
        <v>-0.00910352565377282</v>
      </c>
      <c r="J2449" s="17" t="n">
        <f aca="false">AVERAGE(C2250:C2449)</f>
        <v>45896.49715</v>
      </c>
      <c r="K2449" s="17" t="n">
        <f aca="false">MAX(K2448,C2449)</f>
        <v>63660.94</v>
      </c>
      <c r="L2449" s="25" t="n">
        <f aca="false">C2449/K2449-1</f>
        <v>-0.256407461152788</v>
      </c>
      <c r="M2449" s="25" t="n">
        <f aca="false">IF(COUNT(G2420:G2449)&lt;20,"",_xlfn.STDEV.S(G2420:G2449)*SQRT($R$3))</f>
        <v>0.659962573029123</v>
      </c>
      <c r="N2449" s="25" t="n">
        <f aca="false">IF(A2449-7&lt;$R$2,"",C2449/INDEX(Clean_Data!$C$2:$C$4314,MATCH(A2449-7,Clean_Data!$A$2:$A$4314,1))-1)</f>
        <v>0.0543468213885998</v>
      </c>
      <c r="O2449" s="25" t="n">
        <f aca="false">IF(A2449-30&lt;$R$2,"",C2449/INDEX(Clean_Data!$C$2:$C$4314,MATCH(A2449-30,Clean_Data!$A$2:$A$4314,1))-1)</f>
        <v>0.0581779001770419</v>
      </c>
    </row>
    <row r="2450" customFormat="false" ht="15" hidden="false" customHeight="false" outlineLevel="0" collapsed="false">
      <c r="A2450" s="16" t="n">
        <v>44457</v>
      </c>
      <c r="B2450" s="23" t="n">
        <f aca="false">YEAR(A2450)</f>
        <v>2021</v>
      </c>
      <c r="C2450" s="17" t="n">
        <v>48300.04</v>
      </c>
      <c r="D2450" s="23" t="n">
        <f aca="false">A2450-A2449</f>
        <v>1</v>
      </c>
      <c r="E2450" s="24" t="n">
        <f aca="false">LN(C2450)</f>
        <v>10.7851876677977</v>
      </c>
      <c r="F2450" s="25" t="n">
        <f aca="false">LN(C2450/C2449)</f>
        <v>0.0201232581374094</v>
      </c>
      <c r="G2450" s="25" t="n">
        <f aca="false">IF(AND(D2450=1,A2450&gt;=$R$2),F2450,"")</f>
        <v>0.0201232581374094</v>
      </c>
      <c r="H2450" s="27" t="n">
        <f aca="false">IF(G2450="","",G2450^2)</f>
        <v>0.000404945518064812</v>
      </c>
      <c r="I2450" s="25" t="n">
        <f aca="false">IF(G2450="","",C2450/C2449-1)</f>
        <v>0.0203270958937678</v>
      </c>
      <c r="J2450" s="17" t="n">
        <f aca="false">AVERAGE(C2251:C2450)</f>
        <v>45896.15625</v>
      </c>
      <c r="K2450" s="17" t="n">
        <f aca="false">MAX(K2449,C2450)</f>
        <v>63660.94</v>
      </c>
      <c r="L2450" s="25" t="n">
        <f aca="false">C2450/K2450-1</f>
        <v>-0.241292384309751</v>
      </c>
      <c r="M2450" s="25" t="n">
        <f aca="false">IF(COUNT(G2421:G2450)&lt;20,"",_xlfn.STDEV.S(G2421:G2450)*SQRT($R$3))</f>
        <v>0.646082048258195</v>
      </c>
      <c r="N2450" s="25" t="n">
        <f aca="false">IF(A2450-7&lt;$R$2,"",C2450/INDEX(Clean_Data!$C$2:$C$4314,MATCH(A2450-7,Clean_Data!$A$2:$A$4314,1))-1)</f>
        <v>0.0703021750826769</v>
      </c>
      <c r="O2450" s="25" t="n">
        <f aca="false">IF(A2450-30&lt;$R$2,"",C2450/INDEX(Clean_Data!$C$2:$C$4314,MATCH(A2450-30,Clean_Data!$A$2:$A$4314,1))-1)</f>
        <v>0.0334490595621346</v>
      </c>
    </row>
    <row r="2451" customFormat="false" ht="15" hidden="false" customHeight="false" outlineLevel="0" collapsed="false">
      <c r="A2451" s="16" t="n">
        <v>44458</v>
      </c>
      <c r="B2451" s="23" t="n">
        <f aca="false">YEAR(A2451)</f>
        <v>2021</v>
      </c>
      <c r="C2451" s="17" t="n">
        <v>47270.75</v>
      </c>
      <c r="D2451" s="23" t="n">
        <f aca="false">A2451-A2450</f>
        <v>1</v>
      </c>
      <c r="E2451" s="24" t="n">
        <f aca="false">LN(C2451)</f>
        <v>10.7636469899614</v>
      </c>
      <c r="F2451" s="25" t="n">
        <f aca="false">LN(C2451/C2450)</f>
        <v>-0.0215406778362786</v>
      </c>
      <c r="G2451" s="25" t="n">
        <f aca="false">IF(AND(D2451=1,A2451&gt;=$R$2),F2451,"")</f>
        <v>-0.0215406778362786</v>
      </c>
      <c r="H2451" s="27" t="n">
        <f aca="false">IF(G2451="","",G2451^2)</f>
        <v>0.000464000801646345</v>
      </c>
      <c r="I2451" s="25" t="n">
        <f aca="false">IF(G2451="","",C2451/C2450-1)</f>
        <v>-0.0213103343185638</v>
      </c>
      <c r="J2451" s="17" t="n">
        <f aca="false">AVERAGE(C2252:C2451)</f>
        <v>45881.68665</v>
      </c>
      <c r="K2451" s="17" t="n">
        <f aca="false">MAX(K2450,C2451)</f>
        <v>63660.94</v>
      </c>
      <c r="L2451" s="25" t="n">
        <f aca="false">C2451/K2451-1</f>
        <v>-0.257460697250151</v>
      </c>
      <c r="M2451" s="25" t="n">
        <f aca="false">IF(COUNT(G2422:G2451)&lt;20,"",_xlfn.STDEV.S(G2422:G2451)*SQRT($R$3))</f>
        <v>0.621010170575847</v>
      </c>
      <c r="N2451" s="25" t="n">
        <f aca="false">IF(A2451-7&lt;$R$2,"",C2451/INDEX(Clean_Data!$C$2:$C$4314,MATCH(A2451-7,Clean_Data!$A$2:$A$4314,1))-1)</f>
        <v>0.0273987489276819</v>
      </c>
      <c r="O2451" s="25" t="n">
        <f aca="false">IF(A2451-30&lt;$R$2,"",C2451/INDEX(Clean_Data!$C$2:$C$4314,MATCH(A2451-30,Clean_Data!$A$2:$A$4314,1))-1)</f>
        <v>-0.0421519406196309</v>
      </c>
    </row>
    <row r="2452" customFormat="false" ht="15" hidden="false" customHeight="false" outlineLevel="0" collapsed="false">
      <c r="A2452" s="16" t="n">
        <v>44459</v>
      </c>
      <c r="B2452" s="23" t="n">
        <f aca="false">YEAR(A2452)</f>
        <v>2021</v>
      </c>
      <c r="C2452" s="17" t="n">
        <v>42991.14</v>
      </c>
      <c r="D2452" s="23" t="n">
        <f aca="false">A2452-A2451</f>
        <v>1</v>
      </c>
      <c r="E2452" s="24" t="n">
        <f aca="false">LN(C2452)</f>
        <v>10.6687493269336</v>
      </c>
      <c r="F2452" s="25" t="n">
        <f aca="false">LN(C2452/C2451)</f>
        <v>-0.0948976630278197</v>
      </c>
      <c r="G2452" s="25" t="n">
        <f aca="false">IF(AND(D2452=1,A2452&gt;=$R$2),F2452,"")</f>
        <v>-0.0948976630278197</v>
      </c>
      <c r="H2452" s="27" t="n">
        <f aca="false">IF(G2452="","",G2452^2)</f>
        <v>0.00900556644814162</v>
      </c>
      <c r="I2452" s="25" t="n">
        <f aca="false">IF(G2452="","",C2452/C2451-1)</f>
        <v>-0.0905339982970441</v>
      </c>
      <c r="J2452" s="17" t="n">
        <f aca="false">AVERAGE(C2253:C2452)</f>
        <v>45855.0054</v>
      </c>
      <c r="K2452" s="17" t="n">
        <f aca="false">MAX(K2451,C2452)</f>
        <v>63660.94</v>
      </c>
      <c r="L2452" s="25" t="n">
        <f aca="false">C2452/K2452-1</f>
        <v>-0.324685749220794</v>
      </c>
      <c r="M2452" s="25" t="n">
        <f aca="false">IF(COUNT(G2423:G2452)&lt;20,"",_xlfn.STDEV.S(G2423:G2452)*SQRT($R$3))</f>
        <v>0.701249627253374</v>
      </c>
      <c r="N2452" s="25" t="n">
        <f aca="false">IF(A2452-7&lt;$R$2,"",C2452/INDEX(Clean_Data!$C$2:$C$4314,MATCH(A2452-7,Clean_Data!$A$2:$A$4314,1))-1)</f>
        <v>-0.0439831688571376</v>
      </c>
      <c r="O2452" s="25" t="n">
        <f aca="false">IF(A2452-30&lt;$R$2,"",C2452/INDEX(Clean_Data!$C$2:$C$4314,MATCH(A2452-30,Clean_Data!$A$2:$A$4314,1))-1)</f>
        <v>-0.120780743993235</v>
      </c>
    </row>
    <row r="2453" customFormat="false" ht="15" hidden="false" customHeight="false" outlineLevel="0" collapsed="false">
      <c r="A2453" s="16" t="n">
        <v>44460</v>
      </c>
      <c r="B2453" s="23" t="n">
        <f aca="false">YEAR(A2453)</f>
        <v>2021</v>
      </c>
      <c r="C2453" s="17" t="n">
        <v>40656.13</v>
      </c>
      <c r="D2453" s="23" t="n">
        <f aca="false">A2453-A2452</f>
        <v>1</v>
      </c>
      <c r="E2453" s="24" t="n">
        <f aca="false">LN(C2453)</f>
        <v>10.6129049031148</v>
      </c>
      <c r="F2453" s="25" t="n">
        <f aca="false">LN(C2453/C2452)</f>
        <v>-0.0558444238187239</v>
      </c>
      <c r="G2453" s="25" t="n">
        <f aca="false">IF(AND(D2453=1,A2453&gt;=$R$2),F2453,"")</f>
        <v>-0.0558444238187239</v>
      </c>
      <c r="H2453" s="27" t="n">
        <f aca="false">IF(G2453="","",G2453^2)</f>
        <v>0.00311859967164526</v>
      </c>
      <c r="I2453" s="25" t="n">
        <f aca="false">IF(G2453="","",C2453/C2452-1)</f>
        <v>-0.0543137492981113</v>
      </c>
      <c r="J2453" s="17" t="n">
        <f aca="false">AVERAGE(C2254:C2453)</f>
        <v>45813.7456</v>
      </c>
      <c r="K2453" s="17" t="n">
        <f aca="false">MAX(K2452,C2453)</f>
        <v>63660.94</v>
      </c>
      <c r="L2453" s="25" t="n">
        <f aca="false">C2453/K2453-1</f>
        <v>-0.361364598135058</v>
      </c>
      <c r="M2453" s="25" t="n">
        <f aca="false">IF(COUNT(G2424:G2453)&lt;20,"",_xlfn.STDEV.S(G2424:G2453)*SQRT($R$3))</f>
        <v>0.722009450234886</v>
      </c>
      <c r="N2453" s="25" t="n">
        <f aca="false">IF(A2453-7&lt;$R$2,"",C2453/INDEX(Clean_Data!$C$2:$C$4314,MATCH(A2453-7,Clean_Data!$A$2:$A$4314,1))-1)</f>
        <v>-0.136748011741005</v>
      </c>
      <c r="O2453" s="25" t="n">
        <f aca="false">IF(A2453-30&lt;$R$2,"",C2453/INDEX(Clean_Data!$C$2:$C$4314,MATCH(A2453-30,Clean_Data!$A$2:$A$4314,1))-1)</f>
        <v>-0.17580800701907</v>
      </c>
    </row>
    <row r="2454" customFormat="false" ht="15" hidden="false" customHeight="false" outlineLevel="0" collapsed="false">
      <c r="A2454" s="16" t="n">
        <v>44461</v>
      </c>
      <c r="B2454" s="23" t="n">
        <f aca="false">YEAR(A2454)</f>
        <v>2021</v>
      </c>
      <c r="C2454" s="17" t="n">
        <v>43544.09</v>
      </c>
      <c r="D2454" s="23" t="n">
        <f aca="false">A2454-A2453</f>
        <v>1</v>
      </c>
      <c r="E2454" s="24" t="n">
        <f aca="false">LN(C2454)</f>
        <v>10.6815292669868</v>
      </c>
      <c r="F2454" s="25" t="n">
        <f aca="false">LN(C2454/C2453)</f>
        <v>0.0686243638719362</v>
      </c>
      <c r="G2454" s="25" t="n">
        <f aca="false">IF(AND(D2454=1,A2454&gt;=$R$2),F2454,"")</f>
        <v>0.0686243638719362</v>
      </c>
      <c r="H2454" s="27" t="n">
        <f aca="false">IF(G2454="","",G2454^2)</f>
        <v>0.0047093033168279</v>
      </c>
      <c r="I2454" s="25" t="n">
        <f aca="false">IF(G2454="","",C2454/C2453-1)</f>
        <v>0.0710338145809746</v>
      </c>
      <c r="J2454" s="17" t="n">
        <f aca="false">AVERAGE(C2255:C2454)</f>
        <v>45786.5318</v>
      </c>
      <c r="K2454" s="17" t="n">
        <f aca="false">MAX(K2453,C2454)</f>
        <v>63660.94</v>
      </c>
      <c r="L2454" s="25" t="n">
        <f aca="false">C2454/K2454-1</f>
        <v>-0.315999889414137</v>
      </c>
      <c r="M2454" s="25" t="n">
        <f aca="false">IF(COUNT(G2425:G2454)&lt;20,"",_xlfn.STDEV.S(G2425:G2454)*SQRT($R$3))</f>
        <v>0.767684974696368</v>
      </c>
      <c r="N2454" s="25" t="n">
        <f aca="false">IF(A2454-7&lt;$R$2,"",C2454/INDEX(Clean_Data!$C$2:$C$4314,MATCH(A2454-7,Clean_Data!$A$2:$A$4314,1))-1)</f>
        <v>-0.0948437338575014</v>
      </c>
      <c r="O2454" s="25" t="n">
        <f aca="false">IF(A2454-30&lt;$R$2,"",C2454/INDEX(Clean_Data!$C$2:$C$4314,MATCH(A2454-30,Clean_Data!$A$2:$A$4314,1))-1)</f>
        <v>-0.119692928244124</v>
      </c>
    </row>
    <row r="2455" customFormat="false" ht="15" hidden="false" customHeight="false" outlineLevel="0" collapsed="false">
      <c r="A2455" s="16" t="n">
        <v>44462</v>
      </c>
      <c r="B2455" s="23" t="n">
        <f aca="false">YEAR(A2455)</f>
        <v>2021</v>
      </c>
      <c r="C2455" s="17" t="n">
        <v>44892.71</v>
      </c>
      <c r="D2455" s="23" t="n">
        <f aca="false">A2455-A2454</f>
        <v>1</v>
      </c>
      <c r="E2455" s="24" t="n">
        <f aca="false">LN(C2455)</f>
        <v>10.7120306997466</v>
      </c>
      <c r="F2455" s="25" t="n">
        <f aca="false">LN(C2455/C2454)</f>
        <v>0.0305014327598369</v>
      </c>
      <c r="G2455" s="25" t="n">
        <f aca="false">IF(AND(D2455=1,A2455&gt;=$R$2),F2455,"")</f>
        <v>0.0305014327598369</v>
      </c>
      <c r="H2455" s="27" t="n">
        <f aca="false">IF(G2455="","",G2455^2)</f>
        <v>0.000930337400402854</v>
      </c>
      <c r="I2455" s="25" t="n">
        <f aca="false">IF(G2455="","",C2455/C2454-1)</f>
        <v>0.0309713671820906</v>
      </c>
      <c r="J2455" s="17" t="n">
        <f aca="false">AVERAGE(C2256:C2455)</f>
        <v>45756.70365</v>
      </c>
      <c r="K2455" s="17" t="n">
        <f aca="false">MAX(K2454,C2455)</f>
        <v>63660.94</v>
      </c>
      <c r="L2455" s="25" t="n">
        <f aca="false">C2455/K2455-1</f>
        <v>-0.294815470836592</v>
      </c>
      <c r="M2455" s="25" t="n">
        <f aca="false">IF(COUNT(G2426:G2455)&lt;20,"",_xlfn.STDEV.S(G2426:G2455)*SQRT($R$3))</f>
        <v>0.76873947511511</v>
      </c>
      <c r="N2455" s="25" t="n">
        <f aca="false">IF(A2455-7&lt;$R$2,"",C2455/INDEX(Clean_Data!$C$2:$C$4314,MATCH(A2455-7,Clean_Data!$A$2:$A$4314,1))-1)</f>
        <v>-0.0602852675272697</v>
      </c>
      <c r="O2455" s="25" t="n">
        <f aca="false">IF(A2455-30&lt;$R$2,"",C2455/INDEX(Clean_Data!$C$2:$C$4314,MATCH(A2455-30,Clean_Data!$A$2:$A$4314,1))-1)</f>
        <v>-0.0602400231105454</v>
      </c>
    </row>
    <row r="2456" customFormat="false" ht="15" hidden="false" customHeight="false" outlineLevel="0" collapsed="false">
      <c r="A2456" s="16" t="n">
        <v>44463</v>
      </c>
      <c r="B2456" s="23" t="n">
        <f aca="false">YEAR(A2456)</f>
        <v>2021</v>
      </c>
      <c r="C2456" s="17" t="n">
        <v>42816.65</v>
      </c>
      <c r="D2456" s="23" t="n">
        <f aca="false">A2456-A2455</f>
        <v>1</v>
      </c>
      <c r="E2456" s="24" t="n">
        <f aca="false">LN(C2456)</f>
        <v>10.6646823246133</v>
      </c>
      <c r="F2456" s="25" t="n">
        <f aca="false">LN(C2456/C2455)</f>
        <v>-0.0473483751332979</v>
      </c>
      <c r="G2456" s="25" t="n">
        <f aca="false">IF(AND(D2456=1,A2456&gt;=$R$2),F2456,"")</f>
        <v>-0.0473483751332979</v>
      </c>
      <c r="H2456" s="27" t="n">
        <f aca="false">IF(G2456="","",G2456^2)</f>
        <v>0.0022418686277635</v>
      </c>
      <c r="I2456" s="25" t="n">
        <f aca="false">IF(G2456="","",C2456/C2455-1)</f>
        <v>-0.046244924844145</v>
      </c>
      <c r="J2456" s="17" t="n">
        <f aca="false">AVERAGE(C2257:C2456)</f>
        <v>45708.42395</v>
      </c>
      <c r="K2456" s="17" t="n">
        <f aca="false">MAX(K2455,C2456)</f>
        <v>63660.94</v>
      </c>
      <c r="L2456" s="25" t="n">
        <f aca="false">C2456/K2456-1</f>
        <v>-0.327426676389007</v>
      </c>
      <c r="M2456" s="25" t="n">
        <f aca="false">IF(COUNT(G2427:G2456)&lt;20,"",_xlfn.STDEV.S(G2427:G2456)*SQRT($R$3))</f>
        <v>0.777985797521914</v>
      </c>
      <c r="N2456" s="25" t="n">
        <f aca="false">IF(A2456-7&lt;$R$2,"",C2456/INDEX(Clean_Data!$C$2:$C$4314,MATCH(A2456-7,Clean_Data!$A$2:$A$4314,1))-1)</f>
        <v>-0.0955082407716456</v>
      </c>
      <c r="O2456" s="25" t="n">
        <f aca="false">IF(A2456-30&lt;$R$2,"",C2456/INDEX(Clean_Data!$C$2:$C$4314,MATCH(A2456-30,Clean_Data!$A$2:$A$4314,1))-1)</f>
        <v>-0.125924133995985</v>
      </c>
    </row>
    <row r="2457" customFormat="false" ht="15" hidden="false" customHeight="false" outlineLevel="0" collapsed="false">
      <c r="A2457" s="16" t="n">
        <v>44464</v>
      </c>
      <c r="B2457" s="23" t="n">
        <f aca="false">YEAR(A2457)</f>
        <v>2021</v>
      </c>
      <c r="C2457" s="17" t="n">
        <v>42682.26</v>
      </c>
      <c r="D2457" s="23" t="n">
        <f aca="false">A2457-A2456</f>
        <v>1</v>
      </c>
      <c r="E2457" s="24" t="n">
        <f aca="false">LN(C2457)</f>
        <v>10.6615386562162</v>
      </c>
      <c r="F2457" s="25" t="n">
        <f aca="false">LN(C2457/C2456)</f>
        <v>-0.00314366839711611</v>
      </c>
      <c r="G2457" s="25" t="n">
        <f aca="false">IF(AND(D2457=1,A2457&gt;=$R$2),F2457,"")</f>
        <v>-0.00314366839711611</v>
      </c>
      <c r="H2457" s="27" t="n">
        <f aca="false">IF(G2457="","",G2457^2)</f>
        <v>9.88265099102659E-006</v>
      </c>
      <c r="I2457" s="25" t="n">
        <f aca="false">IF(G2457="","",C2457/C2456-1)</f>
        <v>-0.00313873224551664</v>
      </c>
      <c r="J2457" s="17" t="n">
        <f aca="false">AVERAGE(C2258:C2457)</f>
        <v>45646.8353</v>
      </c>
      <c r="K2457" s="17" t="n">
        <f aca="false">MAX(K2456,C2457)</f>
        <v>63660.94</v>
      </c>
      <c r="L2457" s="25" t="n">
        <f aca="false">C2457/K2457-1</f>
        <v>-0.329537703967299</v>
      </c>
      <c r="M2457" s="25" t="n">
        <f aca="false">IF(COUNT(G2428:G2457)&lt;20,"",_xlfn.STDEV.S(G2428:G2457)*SQRT($R$3))</f>
        <v>0.763243594769976</v>
      </c>
      <c r="N2457" s="25" t="n">
        <f aca="false">IF(A2457-7&lt;$R$2,"",C2457/INDEX(Clean_Data!$C$2:$C$4314,MATCH(A2457-7,Clean_Data!$A$2:$A$4314,1))-1)</f>
        <v>-0.116310048604515</v>
      </c>
      <c r="O2457" s="25" t="n">
        <f aca="false">IF(A2457-30&lt;$R$2,"",C2457/INDEX(Clean_Data!$C$2:$C$4314,MATCH(A2457-30,Clean_Data!$A$2:$A$4314,1))-1)</f>
        <v>-0.0874126053546458</v>
      </c>
    </row>
    <row r="2458" customFormat="false" ht="15" hidden="false" customHeight="false" outlineLevel="0" collapsed="false">
      <c r="A2458" s="16" t="n">
        <v>44465</v>
      </c>
      <c r="B2458" s="23" t="n">
        <f aca="false">YEAR(A2458)</f>
        <v>2021</v>
      </c>
      <c r="C2458" s="17" t="n">
        <v>43142.04</v>
      </c>
      <c r="D2458" s="23" t="n">
        <f aca="false">A2458-A2457</f>
        <v>1</v>
      </c>
      <c r="E2458" s="24" t="n">
        <f aca="false">LN(C2458)</f>
        <v>10.672253206725</v>
      </c>
      <c r="F2458" s="25" t="n">
        <f aca="false">LN(C2458/C2457)</f>
        <v>0.0107145505087628</v>
      </c>
      <c r="G2458" s="25" t="n">
        <f aca="false">IF(AND(D2458=1,A2458&gt;=$R$2),F2458,"")</f>
        <v>0.0107145505087628</v>
      </c>
      <c r="H2458" s="27" t="n">
        <f aca="false">IF(G2458="","",G2458^2)</f>
        <v>0.000114801592604828</v>
      </c>
      <c r="I2458" s="25" t="n">
        <f aca="false">IF(G2458="","",C2458/C2457-1)</f>
        <v>0.0107721568632964</v>
      </c>
      <c r="J2458" s="17" t="n">
        <f aca="false">AVERAGE(C2259:C2458)</f>
        <v>45582.31415</v>
      </c>
      <c r="K2458" s="17" t="n">
        <f aca="false">MAX(K2457,C2458)</f>
        <v>63660.94</v>
      </c>
      <c r="L2458" s="25" t="n">
        <f aca="false">C2458/K2458-1</f>
        <v>-0.322315378943509</v>
      </c>
      <c r="M2458" s="25" t="n">
        <f aca="false">IF(COUNT(G2429:G2458)&lt;20,"",_xlfn.STDEV.S(G2429:G2458)*SQRT($R$3))</f>
        <v>0.742447021200271</v>
      </c>
      <c r="N2458" s="25" t="n">
        <f aca="false">IF(A2458-7&lt;$R$2,"",C2458/INDEX(Clean_Data!$C$2:$C$4314,MATCH(A2458-7,Clean_Data!$A$2:$A$4314,1))-1)</f>
        <v>-0.0873417493904793</v>
      </c>
      <c r="O2458" s="25" t="n">
        <f aca="false">IF(A2458-30&lt;$R$2,"",C2458/INDEX(Clean_Data!$C$2:$C$4314,MATCH(A2458-30,Clean_Data!$A$2:$A$4314,1))-1)</f>
        <v>-0.121021864616874</v>
      </c>
    </row>
    <row r="2459" customFormat="false" ht="15" hidden="false" customHeight="false" outlineLevel="0" collapsed="false">
      <c r="A2459" s="16" t="n">
        <v>44466</v>
      </c>
      <c r="B2459" s="23" t="n">
        <f aca="false">YEAR(A2459)</f>
        <v>2021</v>
      </c>
      <c r="C2459" s="17" t="n">
        <v>42214.52</v>
      </c>
      <c r="D2459" s="23" t="n">
        <f aca="false">A2459-A2458</f>
        <v>1</v>
      </c>
      <c r="E2459" s="24" t="n">
        <f aca="false">LN(C2459)</f>
        <v>10.650519516673</v>
      </c>
      <c r="F2459" s="25" t="n">
        <f aca="false">LN(C2459/C2458)</f>
        <v>-0.0217336900519973</v>
      </c>
      <c r="G2459" s="25" t="n">
        <f aca="false">IF(AND(D2459=1,A2459&gt;=$R$2),F2459,"")</f>
        <v>-0.0217336900519973</v>
      </c>
      <c r="H2459" s="27" t="n">
        <f aca="false">IF(G2459="","",G2459^2)</f>
        <v>0.000472353283276288</v>
      </c>
      <c r="I2459" s="25" t="n">
        <f aca="false">IF(G2459="","",C2459/C2458-1)</f>
        <v>-0.0214992151506976</v>
      </c>
      <c r="J2459" s="17" t="n">
        <f aca="false">AVERAGE(C2260:C2459)</f>
        <v>45503.83165</v>
      </c>
      <c r="K2459" s="17" t="n">
        <f aca="false">MAX(K2458,C2459)</f>
        <v>63660.94</v>
      </c>
      <c r="L2459" s="25" t="n">
        <f aca="false">C2459/K2459-1</f>
        <v>-0.336885066415922</v>
      </c>
      <c r="M2459" s="25" t="n">
        <f aca="false">IF(COUNT(G2430:G2459)&lt;20,"",_xlfn.STDEV.S(G2430:G2459)*SQRT($R$3))</f>
        <v>0.744883909942482</v>
      </c>
      <c r="N2459" s="25" t="n">
        <f aca="false">IF(A2459-7&lt;$R$2,"",C2459/INDEX(Clean_Data!$C$2:$C$4314,MATCH(A2459-7,Clean_Data!$A$2:$A$4314,1))-1)</f>
        <v>-0.0180646523911672</v>
      </c>
      <c r="O2459" s="25" t="n">
        <f aca="false">IF(A2459-30&lt;$R$2,"",C2459/INDEX(Clean_Data!$C$2:$C$4314,MATCH(A2459-30,Clean_Data!$A$2:$A$4314,1))-1)</f>
        <v>-0.137835375436474</v>
      </c>
    </row>
    <row r="2460" customFormat="false" ht="15" hidden="false" customHeight="false" outlineLevel="0" collapsed="false">
      <c r="A2460" s="16" t="n">
        <v>44467</v>
      </c>
      <c r="B2460" s="23" t="n">
        <f aca="false">YEAR(A2460)</f>
        <v>2021</v>
      </c>
      <c r="C2460" s="17" t="n">
        <v>41006.19</v>
      </c>
      <c r="D2460" s="23" t="n">
        <f aca="false">A2460-A2459</f>
        <v>1</v>
      </c>
      <c r="E2460" s="24" t="n">
        <f aca="false">LN(C2460)</f>
        <v>10.6214783099005</v>
      </c>
      <c r="F2460" s="25" t="n">
        <f aca="false">LN(C2460/C2459)</f>
        <v>-0.0290412067724429</v>
      </c>
      <c r="G2460" s="25" t="n">
        <f aca="false">IF(AND(D2460=1,A2460&gt;=$R$2),F2460,"")</f>
        <v>-0.0290412067724429</v>
      </c>
      <c r="H2460" s="27" t="n">
        <f aca="false">IF(G2460="","",G2460^2)</f>
        <v>0.000843391690799781</v>
      </c>
      <c r="I2460" s="25" t="n">
        <f aca="false">IF(G2460="","",C2460/C2459-1)</f>
        <v>-0.0286235636458734</v>
      </c>
      <c r="J2460" s="17" t="n">
        <f aca="false">AVERAGE(C2261:C2460)</f>
        <v>45422.98815</v>
      </c>
      <c r="K2460" s="17" t="n">
        <f aca="false">MAX(K2459,C2460)</f>
        <v>63660.94</v>
      </c>
      <c r="L2460" s="25" t="n">
        <f aca="false">C2460/K2460-1</f>
        <v>-0.355865778921895</v>
      </c>
      <c r="M2460" s="25" t="n">
        <f aca="false">IF(COUNT(G2431:G2460)&lt;20,"",_xlfn.STDEV.S(G2431:G2460)*SQRT($R$3))</f>
        <v>0.749589108976881</v>
      </c>
      <c r="N2460" s="25" t="n">
        <f aca="false">IF(A2460-7&lt;$R$2,"",C2460/INDEX(Clean_Data!$C$2:$C$4314,MATCH(A2460-7,Clean_Data!$A$2:$A$4314,1))-1)</f>
        <v>0.00861026369209283</v>
      </c>
      <c r="O2460" s="25" t="n">
        <f aca="false">IF(A2460-30&lt;$R$2,"",C2460/INDEX(Clean_Data!$C$2:$C$4314,MATCH(A2460-30,Clean_Data!$A$2:$A$4314,1))-1)</f>
        <v>-0.159205778541988</v>
      </c>
    </row>
    <row r="2461" customFormat="false" ht="15" hidden="false" customHeight="false" outlineLevel="0" collapsed="false">
      <c r="A2461" s="16" t="n">
        <v>44468</v>
      </c>
      <c r="B2461" s="23" t="n">
        <f aca="false">YEAR(A2461)</f>
        <v>2021</v>
      </c>
      <c r="C2461" s="17" t="n">
        <v>41522.49</v>
      </c>
      <c r="D2461" s="23" t="n">
        <f aca="false">A2461-A2460</f>
        <v>1</v>
      </c>
      <c r="E2461" s="24" t="n">
        <f aca="false">LN(C2461)</f>
        <v>10.6339904871398</v>
      </c>
      <c r="F2461" s="25" t="n">
        <f aca="false">LN(C2461/C2460)</f>
        <v>0.0125121772393111</v>
      </c>
      <c r="G2461" s="25" t="n">
        <f aca="false">IF(AND(D2461=1,A2461&gt;=$R$2),F2461,"")</f>
        <v>0.0125121772393111</v>
      </c>
      <c r="H2461" s="27" t="n">
        <f aca="false">IF(G2461="","",G2461^2)</f>
        <v>0.000156554579267935</v>
      </c>
      <c r="I2461" s="25" t="n">
        <f aca="false">IF(G2461="","",C2461/C2460-1)</f>
        <v>0.0125907820258355</v>
      </c>
      <c r="J2461" s="17" t="n">
        <f aca="false">AVERAGE(C2262:C2461)</f>
        <v>45324.9495</v>
      </c>
      <c r="K2461" s="17" t="n">
        <f aca="false">MAX(K2460,C2461)</f>
        <v>63660.94</v>
      </c>
      <c r="L2461" s="25" t="n">
        <f aca="false">C2461/K2461-1</f>
        <v>-0.347755625348919</v>
      </c>
      <c r="M2461" s="25" t="n">
        <f aca="false">IF(COUNT(G2432:G2461)&lt;20,"",_xlfn.STDEV.S(G2432:G2461)*SQRT($R$3))</f>
        <v>0.74259237441632</v>
      </c>
      <c r="N2461" s="25" t="n">
        <f aca="false">IF(A2461-7&lt;$R$2,"",C2461/INDEX(Clean_Data!$C$2:$C$4314,MATCH(A2461-7,Clean_Data!$A$2:$A$4314,1))-1)</f>
        <v>-0.0464265070185185</v>
      </c>
      <c r="O2461" s="25" t="n">
        <f aca="false">IF(A2461-30&lt;$R$2,"",C2461/INDEX(Clean_Data!$C$2:$C$4314,MATCH(A2461-30,Clean_Data!$A$2:$A$4314,1))-1)</f>
        <v>-0.115114900298695</v>
      </c>
    </row>
    <row r="2462" customFormat="false" ht="15" hidden="false" customHeight="false" outlineLevel="0" collapsed="false">
      <c r="A2462" s="16" t="n">
        <v>44469</v>
      </c>
      <c r="B2462" s="23" t="n">
        <f aca="false">YEAR(A2462)</f>
        <v>2021</v>
      </c>
      <c r="C2462" s="17" t="n">
        <v>43834.03</v>
      </c>
      <c r="D2462" s="23" t="n">
        <f aca="false">A2462-A2461</f>
        <v>1</v>
      </c>
      <c r="E2462" s="24" t="n">
        <f aca="false">LN(C2462)</f>
        <v>10.6881657353417</v>
      </c>
      <c r="F2462" s="25" t="n">
        <f aca="false">LN(C2462/C2461)</f>
        <v>0.0541752482018256</v>
      </c>
      <c r="G2462" s="25" t="n">
        <f aca="false">IF(AND(D2462=1,A2462&gt;=$R$2),F2462,"")</f>
        <v>0.0541752482018256</v>
      </c>
      <c r="H2462" s="27" t="n">
        <f aca="false">IF(G2462="","",G2462^2)</f>
        <v>0.00293495751772941</v>
      </c>
      <c r="I2462" s="25" t="n">
        <f aca="false">IF(G2462="","",C2462/C2461-1)</f>
        <v>0.055669590142595</v>
      </c>
      <c r="J2462" s="17" t="n">
        <f aca="false">AVERAGE(C2263:C2462)</f>
        <v>45248.15475</v>
      </c>
      <c r="K2462" s="17" t="n">
        <f aca="false">MAX(K2461,C2462)</f>
        <v>63660.94</v>
      </c>
      <c r="L2462" s="25" t="n">
        <f aca="false">C2462/K2462-1</f>
        <v>-0.31144544833928</v>
      </c>
      <c r="M2462" s="25" t="n">
        <f aca="false">IF(COUNT(G2433:G2462)&lt;20,"",_xlfn.STDEV.S(G2433:G2462)*SQRT($R$3))</f>
        <v>0.769689022277296</v>
      </c>
      <c r="N2462" s="25" t="n">
        <f aca="false">IF(A2462-7&lt;$R$2,"",C2462/INDEX(Clean_Data!$C$2:$C$4314,MATCH(A2462-7,Clean_Data!$A$2:$A$4314,1))-1)</f>
        <v>-0.0235824480188431</v>
      </c>
      <c r="O2462" s="25" t="n">
        <f aca="false">IF(A2462-30&lt;$R$2,"",C2462/INDEX(Clean_Data!$C$2:$C$4314,MATCH(A2462-30,Clean_Data!$A$2:$A$4314,1))-1)</f>
        <v>-0.0686635477660711</v>
      </c>
    </row>
    <row r="2463" customFormat="false" ht="15" hidden="false" customHeight="false" outlineLevel="0" collapsed="false">
      <c r="A2463" s="16" t="n">
        <v>44470</v>
      </c>
      <c r="B2463" s="23" t="n">
        <f aca="false">YEAR(A2463)</f>
        <v>2021</v>
      </c>
      <c r="C2463" s="17" t="n">
        <v>48145.34</v>
      </c>
      <c r="D2463" s="23" t="n">
        <f aca="false">A2463-A2462</f>
        <v>1</v>
      </c>
      <c r="E2463" s="24" t="n">
        <f aca="false">LN(C2463)</f>
        <v>10.7819796316497</v>
      </c>
      <c r="F2463" s="25" t="n">
        <f aca="false">LN(C2463/C2462)</f>
        <v>0.0938138963079888</v>
      </c>
      <c r="G2463" s="25" t="n">
        <f aca="false">IF(AND(D2463=1,A2463&gt;=$R$2),F2463,"")</f>
        <v>0.0938138963079888</v>
      </c>
      <c r="H2463" s="27" t="n">
        <f aca="false">IF(G2463="","",G2463^2)</f>
        <v>0.00880104714048607</v>
      </c>
      <c r="I2463" s="25" t="n">
        <f aca="false">IF(G2463="","",C2463/C2462-1)</f>
        <v>0.0983553189154636</v>
      </c>
      <c r="J2463" s="17" t="n">
        <f aca="false">AVERAGE(C2264:C2463)</f>
        <v>45211.7305</v>
      </c>
      <c r="K2463" s="17" t="n">
        <f aca="false">MAX(K2462,C2463)</f>
        <v>63660.94</v>
      </c>
      <c r="L2463" s="25" t="n">
        <f aca="false">C2463/K2463-1</f>
        <v>-0.243722445819996</v>
      </c>
      <c r="M2463" s="25" t="n">
        <f aca="false">IF(COUNT(G2434:G2463)&lt;20,"",_xlfn.STDEV.S(G2434:G2463)*SQRT($R$3))</f>
        <v>0.828874014297445</v>
      </c>
      <c r="N2463" s="25" t="n">
        <f aca="false">IF(A2463-7&lt;$R$2,"",C2463/INDEX(Clean_Data!$C$2:$C$4314,MATCH(A2463-7,Clean_Data!$A$2:$A$4314,1))-1)</f>
        <v>0.124453687992872</v>
      </c>
      <c r="O2463" s="25" t="n">
        <f aca="false">IF(A2463-30&lt;$R$2,"",C2463/INDEX(Clean_Data!$C$2:$C$4314,MATCH(A2463-30,Clean_Data!$A$2:$A$4314,1))-1)</f>
        <v>-0.0152150199256729</v>
      </c>
    </row>
    <row r="2464" customFormat="false" ht="15" hidden="false" customHeight="false" outlineLevel="0" collapsed="false">
      <c r="A2464" s="16" t="n">
        <v>44471</v>
      </c>
      <c r="B2464" s="23" t="n">
        <f aca="false">YEAR(A2464)</f>
        <v>2021</v>
      </c>
      <c r="C2464" s="17" t="n">
        <v>47692.85</v>
      </c>
      <c r="D2464" s="23" t="n">
        <f aca="false">A2464-A2463</f>
        <v>1</v>
      </c>
      <c r="E2464" s="24" t="n">
        <f aca="false">LN(C2464)</f>
        <v>10.7725367704628</v>
      </c>
      <c r="F2464" s="25" t="n">
        <f aca="false">LN(C2464/C2463)</f>
        <v>-0.00944286118682564</v>
      </c>
      <c r="G2464" s="25" t="n">
        <f aca="false">IF(AND(D2464=1,A2464&gt;=$R$2),F2464,"")</f>
        <v>-0.00944286118682564</v>
      </c>
      <c r="H2464" s="27" t="n">
        <f aca="false">IF(G2464="","",G2464^2)</f>
        <v>8.9167627393658E-005</v>
      </c>
      <c r="I2464" s="25" t="n">
        <f aca="false">IF(G2464="","",C2464/C2463-1)</f>
        <v>-0.00939841737538871</v>
      </c>
      <c r="J2464" s="17" t="n">
        <f aca="false">AVERAGE(C2265:C2464)</f>
        <v>45164.56215</v>
      </c>
      <c r="K2464" s="17" t="n">
        <f aca="false">MAX(K2463,C2464)</f>
        <v>63660.94</v>
      </c>
      <c r="L2464" s="25" t="n">
        <f aca="false">C2464/K2464-1</f>
        <v>-0.250830257925818</v>
      </c>
      <c r="M2464" s="25" t="n">
        <f aca="false">IF(COUNT(G2435:G2464)&lt;20,"",_xlfn.STDEV.S(G2435:G2464)*SQRT($R$3))</f>
        <v>0.82887643049656</v>
      </c>
      <c r="N2464" s="25" t="n">
        <f aca="false">IF(A2464-7&lt;$R$2,"",C2464/INDEX(Clean_Data!$C$2:$C$4314,MATCH(A2464-7,Clean_Data!$A$2:$A$4314,1))-1)</f>
        <v>0.117392799725225</v>
      </c>
      <c r="O2464" s="25" t="n">
        <f aca="false">IF(A2464-30&lt;$R$2,"",C2464/INDEX(Clean_Data!$C$2:$C$4314,MATCH(A2464-30,Clean_Data!$A$2:$A$4314,1))-1)</f>
        <v>-0.0320757699956549</v>
      </c>
    </row>
    <row r="2465" customFormat="false" ht="15" hidden="false" customHeight="false" outlineLevel="0" collapsed="false">
      <c r="A2465" s="16" t="n">
        <v>44472</v>
      </c>
      <c r="B2465" s="23" t="n">
        <f aca="false">YEAR(A2465)</f>
        <v>2021</v>
      </c>
      <c r="C2465" s="17" t="n">
        <v>48179.83</v>
      </c>
      <c r="D2465" s="23" t="n">
        <f aca="false">A2465-A2464</f>
        <v>1</v>
      </c>
      <c r="E2465" s="24" t="n">
        <f aca="false">LN(C2465)</f>
        <v>10.7826957477276</v>
      </c>
      <c r="F2465" s="25" t="n">
        <f aca="false">LN(C2465/C2464)</f>
        <v>0.0101589772647716</v>
      </c>
      <c r="G2465" s="25" t="n">
        <f aca="false">IF(AND(D2465=1,A2465&gt;=$R$2),F2465,"")</f>
        <v>0.0101589772647716</v>
      </c>
      <c r="H2465" s="27" t="n">
        <f aca="false">IF(G2465="","",G2465^2)</f>
        <v>0.000103204819066146</v>
      </c>
      <c r="I2465" s="25" t="n">
        <f aca="false">IF(G2465="","",C2465/C2464-1)</f>
        <v>0.0102107548615777</v>
      </c>
      <c r="J2465" s="17" t="n">
        <f aca="false">AVERAGE(C2266:C2465)</f>
        <v>45109.35515</v>
      </c>
      <c r="K2465" s="17" t="n">
        <f aca="false">MAX(K2464,C2465)</f>
        <v>63660.94</v>
      </c>
      <c r="L2465" s="25" t="n">
        <f aca="false">C2465/K2465-1</f>
        <v>-0.243180669339787</v>
      </c>
      <c r="M2465" s="25" t="n">
        <f aca="false">IF(COUNT(G2436:G2465)&lt;20,"",_xlfn.STDEV.S(G2436:G2465)*SQRT($R$3))</f>
        <v>0.828322407407854</v>
      </c>
      <c r="N2465" s="25" t="n">
        <f aca="false">IF(A2465-7&lt;$R$2,"",C2465/INDEX(Clean_Data!$C$2:$C$4314,MATCH(A2465-7,Clean_Data!$A$2:$A$4314,1))-1)</f>
        <v>0.116772178598879</v>
      </c>
      <c r="O2465" s="25" t="n">
        <f aca="false">IF(A2465-30&lt;$R$2,"",C2465/INDEX(Clean_Data!$C$2:$C$4314,MATCH(A2465-30,Clean_Data!$A$2:$A$4314,1))-1)</f>
        <v>-0.0348458342072435</v>
      </c>
    </row>
    <row r="2466" customFormat="false" ht="15" hidden="false" customHeight="false" outlineLevel="0" collapsed="false">
      <c r="A2466" s="16" t="n">
        <v>44473</v>
      </c>
      <c r="B2466" s="23" t="n">
        <f aca="false">YEAR(A2466)</f>
        <v>2021</v>
      </c>
      <c r="C2466" s="17" t="n">
        <v>49248.68</v>
      </c>
      <c r="D2466" s="23" t="n">
        <f aca="false">A2466-A2465</f>
        <v>1</v>
      </c>
      <c r="E2466" s="24" t="n">
        <f aca="false">LN(C2466)</f>
        <v>10.8046378442106</v>
      </c>
      <c r="F2466" s="25" t="n">
        <f aca="false">LN(C2466/C2465)</f>
        <v>0.0219420964829951</v>
      </c>
      <c r="G2466" s="25" t="n">
        <f aca="false">IF(AND(D2466=1,A2466&gt;=$R$2),F2466,"")</f>
        <v>0.0219420964829951</v>
      </c>
      <c r="H2466" s="27" t="n">
        <f aca="false">IF(G2466="","",G2466^2)</f>
        <v>0.000481455598069066</v>
      </c>
      <c r="I2466" s="25" t="n">
        <f aca="false">IF(G2466="","",C2466/C2465-1)</f>
        <v>0.0221845946737462</v>
      </c>
      <c r="J2466" s="17" t="n">
        <f aca="false">AVERAGE(C2267:C2466)</f>
        <v>45067.78625</v>
      </c>
      <c r="K2466" s="17" t="n">
        <f aca="false">MAX(K2465,C2466)</f>
        <v>63660.94</v>
      </c>
      <c r="L2466" s="25" t="n">
        <f aca="false">C2466/K2466-1</f>
        <v>-0.226390939247834</v>
      </c>
      <c r="M2466" s="25" t="n">
        <f aca="false">IF(COUNT(G2437:G2466)&lt;20,"",_xlfn.STDEV.S(G2437:G2466)*SQRT($R$3))</f>
        <v>0.832236345335693</v>
      </c>
      <c r="N2466" s="25" t="n">
        <f aca="false">IF(A2466-7&lt;$R$2,"",C2466/INDEX(Clean_Data!$C$2:$C$4314,MATCH(A2466-7,Clean_Data!$A$2:$A$4314,1))-1)</f>
        <v>0.166628922939311</v>
      </c>
      <c r="O2466" s="25" t="n">
        <f aca="false">IF(A2466-30&lt;$R$2,"",C2466/INDEX(Clean_Data!$C$2:$C$4314,MATCH(A2466-30,Clean_Data!$A$2:$A$4314,1))-1)</f>
        <v>-0.0140220828936355</v>
      </c>
    </row>
    <row r="2467" customFormat="false" ht="15" hidden="false" customHeight="false" outlineLevel="0" collapsed="false">
      <c r="A2467" s="16" t="n">
        <v>44474</v>
      </c>
      <c r="B2467" s="23" t="n">
        <f aca="false">YEAR(A2467)</f>
        <v>2021</v>
      </c>
      <c r="C2467" s="17" t="n">
        <v>51441.74</v>
      </c>
      <c r="D2467" s="23" t="n">
        <f aca="false">A2467-A2466</f>
        <v>1</v>
      </c>
      <c r="E2467" s="24" t="n">
        <f aca="false">LN(C2467)</f>
        <v>10.8482051841559</v>
      </c>
      <c r="F2467" s="25" t="n">
        <f aca="false">LN(C2467/C2466)</f>
        <v>0.0435673399453089</v>
      </c>
      <c r="G2467" s="25" t="n">
        <f aca="false">IF(AND(D2467=1,A2467&gt;=$R$2),F2467,"")</f>
        <v>0.0435673399453089</v>
      </c>
      <c r="H2467" s="27" t="n">
        <f aca="false">IF(G2467="","",G2467^2)</f>
        <v>0.00189811310991011</v>
      </c>
      <c r="I2467" s="25" t="n">
        <f aca="false">IF(G2467="","",C2467/C2466-1)</f>
        <v>0.0445303305591134</v>
      </c>
      <c r="J2467" s="17" t="n">
        <f aca="false">AVERAGE(C2268:C2467)</f>
        <v>45034.9885</v>
      </c>
      <c r="K2467" s="17" t="n">
        <f aca="false">MAX(K2466,C2467)</f>
        <v>63660.94</v>
      </c>
      <c r="L2467" s="25" t="n">
        <f aca="false">C2467/K2467-1</f>
        <v>-0.191941872049015</v>
      </c>
      <c r="M2467" s="25" t="n">
        <f aca="false">IF(COUNT(G2438:G2467)&lt;20,"",_xlfn.STDEV.S(G2438:G2467)*SQRT($R$3))</f>
        <v>0.836787059240068</v>
      </c>
      <c r="N2467" s="25" t="n">
        <f aca="false">IF(A2467-7&lt;$R$2,"",C2467/INDEX(Clean_Data!$C$2:$C$4314,MATCH(A2467-7,Clean_Data!$A$2:$A$4314,1))-1)</f>
        <v>0.254487188397654</v>
      </c>
      <c r="O2467" s="25" t="n">
        <f aca="false">IF(A2467-30&lt;$R$2,"",C2467/INDEX(Clean_Data!$C$2:$C$4314,MATCH(A2467-30,Clean_Data!$A$2:$A$4314,1))-1)</f>
        <v>-0.0065855894896294</v>
      </c>
    </row>
    <row r="2468" customFormat="false" ht="15" hidden="false" customHeight="false" outlineLevel="0" collapsed="false">
      <c r="A2468" s="16" t="n">
        <v>44475</v>
      </c>
      <c r="B2468" s="23" t="n">
        <f aca="false">YEAR(A2468)</f>
        <v>2021</v>
      </c>
      <c r="C2468" s="17" t="n">
        <v>55278.64</v>
      </c>
      <c r="D2468" s="23" t="n">
        <f aca="false">A2468-A2467</f>
        <v>1</v>
      </c>
      <c r="E2468" s="24" t="n">
        <f aca="false">LN(C2468)</f>
        <v>10.9201418561129</v>
      </c>
      <c r="F2468" s="25" t="n">
        <f aca="false">LN(C2468/C2467)</f>
        <v>0.0719366719569614</v>
      </c>
      <c r="G2468" s="25" t="n">
        <f aca="false">IF(AND(D2468=1,A2468&gt;=$R$2),F2468,"")</f>
        <v>0.0719366719569614</v>
      </c>
      <c r="H2468" s="27" t="n">
        <f aca="false">IF(G2468="","",G2468^2)</f>
        <v>0.00517488477224347</v>
      </c>
      <c r="I2468" s="25" t="n">
        <f aca="false">IF(G2468="","",C2468/C2467-1)</f>
        <v>0.0745872903988085</v>
      </c>
      <c r="J2468" s="17" t="n">
        <f aca="false">AVERAGE(C2269:C2468)</f>
        <v>45021.12665</v>
      </c>
      <c r="K2468" s="17" t="n">
        <f aca="false">MAX(K2467,C2468)</f>
        <v>63660.94</v>
      </c>
      <c r="L2468" s="25" t="n">
        <f aca="false">C2468/K2468-1</f>
        <v>-0.131671005800417</v>
      </c>
      <c r="M2468" s="25" t="n">
        <f aca="false">IF(COUNT(G2439:G2468)&lt;20,"",_xlfn.STDEV.S(G2439:G2468)*SQRT($R$3))</f>
        <v>0.872119372382245</v>
      </c>
      <c r="N2468" s="25" t="n">
        <f aca="false">IF(A2468-7&lt;$R$2,"",C2468/INDEX(Clean_Data!$C$2:$C$4314,MATCH(A2468-7,Clean_Data!$A$2:$A$4314,1))-1)</f>
        <v>0.331293956600387</v>
      </c>
      <c r="O2468" s="25" t="n">
        <f aca="false">IF(A2468-30&lt;$R$2,"",C2468/INDEX(Clean_Data!$C$2:$C$4314,MATCH(A2468-30,Clean_Data!$A$2:$A$4314,1))-1)</f>
        <v>0.0491057330256286</v>
      </c>
    </row>
    <row r="2469" customFormat="false" ht="15" hidden="false" customHeight="false" outlineLevel="0" collapsed="false">
      <c r="A2469" s="16" t="n">
        <v>44476</v>
      </c>
      <c r="B2469" s="23" t="n">
        <f aca="false">YEAR(A2469)</f>
        <v>2021</v>
      </c>
      <c r="C2469" s="17" t="n">
        <v>53844.74</v>
      </c>
      <c r="D2469" s="23" t="n">
        <f aca="false">A2469-A2468</f>
        <v>1</v>
      </c>
      <c r="E2469" s="24" t="n">
        <f aca="false">LN(C2469)</f>
        <v>10.8938599990764</v>
      </c>
      <c r="F2469" s="25" t="n">
        <f aca="false">LN(C2469/C2468)</f>
        <v>-0.0262818570364445</v>
      </c>
      <c r="G2469" s="25" t="n">
        <f aca="false">IF(AND(D2469=1,A2469&gt;=$R$2),F2469,"")</f>
        <v>-0.0262818570364445</v>
      </c>
      <c r="H2469" s="27" t="n">
        <f aca="false">IF(G2469="","",G2469^2)</f>
        <v>0.000690736009284105</v>
      </c>
      <c r="I2469" s="25" t="n">
        <f aca="false">IF(G2469="","",C2469/C2468-1)</f>
        <v>-0.0259394948935068</v>
      </c>
      <c r="J2469" s="17" t="n">
        <f aca="false">AVERAGE(C2270:C2469)</f>
        <v>45003.3402</v>
      </c>
      <c r="K2469" s="17" t="n">
        <f aca="false">MAX(K2468,C2469)</f>
        <v>63660.94</v>
      </c>
      <c r="L2469" s="25" t="n">
        <f aca="false">C2469/K2469-1</f>
        <v>-0.154195021311341</v>
      </c>
      <c r="M2469" s="25" t="n">
        <f aca="false">IF(COUNT(G2440:G2469)&lt;20,"",_xlfn.STDEV.S(G2440:G2469)*SQRT($R$3))</f>
        <v>0.771014917035293</v>
      </c>
      <c r="N2469" s="25" t="n">
        <f aca="false">IF(A2469-7&lt;$R$2,"",C2469/INDEX(Clean_Data!$C$2:$C$4314,MATCH(A2469-7,Clean_Data!$A$2:$A$4314,1))-1)</f>
        <v>0.22837758700261</v>
      </c>
      <c r="O2469" s="25" t="n">
        <f aca="false">IF(A2469-30&lt;$R$2,"",C2469/INDEX(Clean_Data!$C$2:$C$4314,MATCH(A2469-30,Clean_Data!$A$2:$A$4314,1))-1)</f>
        <v>0.147003801565361</v>
      </c>
    </row>
    <row r="2470" customFormat="false" ht="15" hidden="false" customHeight="false" outlineLevel="0" collapsed="false">
      <c r="A2470" s="16" t="n">
        <v>44477</v>
      </c>
      <c r="B2470" s="23" t="n">
        <f aca="false">YEAR(A2470)</f>
        <v>2021</v>
      </c>
      <c r="C2470" s="17" t="n">
        <v>53983.21</v>
      </c>
      <c r="D2470" s="23" t="n">
        <f aca="false">A2470-A2469</f>
        <v>1</v>
      </c>
      <c r="E2470" s="24" t="n">
        <f aca="false">LN(C2470)</f>
        <v>10.896428351273</v>
      </c>
      <c r="F2470" s="25" t="n">
        <f aca="false">LN(C2470/C2469)</f>
        <v>0.00256835219657491</v>
      </c>
      <c r="G2470" s="25" t="n">
        <f aca="false">IF(AND(D2470=1,A2470&gt;=$R$2),F2470,"")</f>
        <v>0.00256835219657491</v>
      </c>
      <c r="H2470" s="27" t="n">
        <f aca="false">IF(G2470="","",G2470^2)</f>
        <v>6.59643300565117E-006</v>
      </c>
      <c r="I2470" s="25" t="n">
        <f aca="false">IF(G2470="","",C2470/C2469-1)</f>
        <v>0.00257165323855224</v>
      </c>
      <c r="J2470" s="17" t="n">
        <f aca="false">AVERAGE(C2271:C2470)</f>
        <v>45002.1052</v>
      </c>
      <c r="K2470" s="17" t="n">
        <f aca="false">MAX(K2469,C2470)</f>
        <v>63660.94</v>
      </c>
      <c r="L2470" s="25" t="n">
        <f aca="false">C2470/K2470-1</f>
        <v>-0.152019904198713</v>
      </c>
      <c r="M2470" s="25" t="n">
        <f aca="false">IF(COUNT(G2441:G2470)&lt;20,"",_xlfn.STDEV.S(G2441:G2470)*SQRT($R$3))</f>
        <v>0.766038477770758</v>
      </c>
      <c r="N2470" s="25" t="n">
        <f aca="false">IF(A2470-7&lt;$R$2,"",C2470/INDEX(Clean_Data!$C$2:$C$4314,MATCH(A2470-7,Clean_Data!$A$2:$A$4314,1))-1)</f>
        <v>0.121255141203697</v>
      </c>
      <c r="O2470" s="25" t="n">
        <f aca="false">IF(A2470-30&lt;$R$2,"",C2470/INDEX(Clean_Data!$C$2:$C$4314,MATCH(A2470-30,Clean_Data!$A$2:$A$4314,1))-1)</f>
        <v>0.172974815785677</v>
      </c>
    </row>
    <row r="2471" customFormat="false" ht="15" hidden="false" customHeight="false" outlineLevel="0" collapsed="false">
      <c r="A2471" s="16" t="n">
        <v>44478</v>
      </c>
      <c r="B2471" s="23" t="n">
        <f aca="false">YEAR(A2471)</f>
        <v>2021</v>
      </c>
      <c r="C2471" s="17" t="n">
        <v>54951.3</v>
      </c>
      <c r="D2471" s="23" t="n">
        <f aca="false">A2471-A2470</f>
        <v>1</v>
      </c>
      <c r="E2471" s="24" t="n">
        <f aca="false">LN(C2471)</f>
        <v>10.9142026174227</v>
      </c>
      <c r="F2471" s="25" t="n">
        <f aca="false">LN(C2471/C2470)</f>
        <v>0.0177742661497182</v>
      </c>
      <c r="G2471" s="25" t="n">
        <f aca="false">IF(AND(D2471=1,A2471&gt;=$R$2),F2471,"")</f>
        <v>0.0177742661497182</v>
      </c>
      <c r="H2471" s="27" t="n">
        <f aca="false">IF(G2471="","",G2471^2)</f>
        <v>0.000315924537161017</v>
      </c>
      <c r="I2471" s="25" t="n">
        <f aca="false">IF(G2471="","",C2471/C2470-1)</f>
        <v>0.0179331684796069</v>
      </c>
      <c r="J2471" s="17" t="n">
        <f aca="false">AVERAGE(C2272:C2471)</f>
        <v>45005.51765</v>
      </c>
      <c r="K2471" s="17" t="n">
        <f aca="false">MAX(K2470,C2471)</f>
        <v>63660.94</v>
      </c>
      <c r="L2471" s="25" t="n">
        <f aca="false">C2471/K2471-1</f>
        <v>-0.136812934273355</v>
      </c>
      <c r="M2471" s="25" t="n">
        <f aca="false">IF(COUNT(G2442:G2471)&lt;20,"",_xlfn.STDEV.S(G2442:G2471)*SQRT($R$3))</f>
        <v>0.767206255690214</v>
      </c>
      <c r="N2471" s="25" t="n">
        <f aca="false">IF(A2471-7&lt;$R$2,"",C2471/INDEX(Clean_Data!$C$2:$C$4314,MATCH(A2471-7,Clean_Data!$A$2:$A$4314,1))-1)</f>
        <v>0.152191575886113</v>
      </c>
      <c r="O2471" s="25" t="n">
        <f aca="false">IF(A2471-30&lt;$R$2,"",C2471/INDEX(Clean_Data!$C$2:$C$4314,MATCH(A2471-30,Clean_Data!$A$2:$A$4314,1))-1)</f>
        <v>0.183923241360797</v>
      </c>
    </row>
    <row r="2472" customFormat="false" ht="15" hidden="false" customHeight="false" outlineLevel="0" collapsed="false">
      <c r="A2472" s="16" t="n">
        <v>44479</v>
      </c>
      <c r="B2472" s="23" t="n">
        <f aca="false">YEAR(A2472)</f>
        <v>2021</v>
      </c>
      <c r="C2472" s="17" t="n">
        <v>54655.3</v>
      </c>
      <c r="D2472" s="23" t="n">
        <f aca="false">A2472-A2471</f>
        <v>1</v>
      </c>
      <c r="E2472" s="24" t="n">
        <f aca="false">LN(C2472)</f>
        <v>10.9088014696892</v>
      </c>
      <c r="F2472" s="25" t="n">
        <f aca="false">LN(C2472/C2471)</f>
        <v>-0.00540114773353861</v>
      </c>
      <c r="G2472" s="25" t="n">
        <f aca="false">IF(AND(D2472=1,A2472&gt;=$R$2),F2472,"")</f>
        <v>-0.00540114773353861</v>
      </c>
      <c r="H2472" s="27" t="n">
        <f aca="false">IF(G2472="","",G2472^2)</f>
        <v>2.91723968395092E-005</v>
      </c>
      <c r="I2472" s="25" t="n">
        <f aca="false">IF(G2472="","",C2472/C2471-1)</f>
        <v>-0.0053865877604351</v>
      </c>
      <c r="J2472" s="17" t="n">
        <f aca="false">AVERAGE(C2273:C2472)</f>
        <v>45017.3209</v>
      </c>
      <c r="K2472" s="17" t="n">
        <f aca="false">MAX(K2471,C2472)</f>
        <v>63660.94</v>
      </c>
      <c r="L2472" s="25" t="n">
        <f aca="false">C2472/K2472-1</f>
        <v>-0.141462567156564</v>
      </c>
      <c r="M2472" s="25" t="n">
        <f aca="false">IF(COUNT(G2443:G2472)&lt;20,"",_xlfn.STDEV.S(G2443:G2472)*SQRT($R$3))</f>
        <v>0.755520530415802</v>
      </c>
      <c r="N2472" s="25" t="n">
        <f aca="false">IF(A2472-7&lt;$R$2,"",C2472/INDEX(Clean_Data!$C$2:$C$4314,MATCH(A2472-7,Clean_Data!$A$2:$A$4314,1))-1)</f>
        <v>0.134402093158071</v>
      </c>
      <c r="O2472" s="25" t="n">
        <f aca="false">IF(A2472-30&lt;$R$2,"",C2472/INDEX(Clean_Data!$C$2:$C$4314,MATCH(A2472-30,Clean_Data!$A$2:$A$4314,1))-1)</f>
        <v>0.217328262552132</v>
      </c>
    </row>
    <row r="2473" customFormat="false" ht="15" hidden="false" customHeight="false" outlineLevel="0" collapsed="false">
      <c r="A2473" s="16" t="n">
        <v>44480</v>
      </c>
      <c r="B2473" s="23" t="n">
        <f aca="false">YEAR(A2473)</f>
        <v>2021</v>
      </c>
      <c r="C2473" s="17" t="n">
        <v>57440.05</v>
      </c>
      <c r="D2473" s="23" t="n">
        <f aca="false">A2473-A2472</f>
        <v>1</v>
      </c>
      <c r="E2473" s="24" t="n">
        <f aca="false">LN(C2473)</f>
        <v>10.9584970741953</v>
      </c>
      <c r="F2473" s="25" t="n">
        <f aca="false">LN(C2473/C2472)</f>
        <v>0.0496956045060872</v>
      </c>
      <c r="G2473" s="25" t="n">
        <f aca="false">IF(AND(D2473=1,A2473&gt;=$R$2),F2473,"")</f>
        <v>0.0496956045060872</v>
      </c>
      <c r="H2473" s="27" t="n">
        <f aca="false">IF(G2473="","",G2473^2)</f>
        <v>0.00246965310722544</v>
      </c>
      <c r="I2473" s="25" t="n">
        <f aca="false">IF(G2473="","",C2473/C2472-1)</f>
        <v>0.0509511428900766</v>
      </c>
      <c r="J2473" s="17" t="n">
        <f aca="false">AVERAGE(C2274:C2473)</f>
        <v>45047.59015</v>
      </c>
      <c r="K2473" s="17" t="n">
        <f aca="false">MAX(K2472,C2473)</f>
        <v>63660.94</v>
      </c>
      <c r="L2473" s="25" t="n">
        <f aca="false">C2473/K2473-1</f>
        <v>-0.0977191037392787</v>
      </c>
      <c r="M2473" s="25" t="n">
        <f aca="false">IF(COUNT(G2444:G2473)&lt;20,"",_xlfn.STDEV.S(G2444:G2473)*SQRT($R$3))</f>
        <v>0.770308088259376</v>
      </c>
      <c r="N2473" s="25" t="n">
        <f aca="false">IF(A2473-7&lt;$R$2,"",C2473/INDEX(Clean_Data!$C$2:$C$4314,MATCH(A2473-7,Clean_Data!$A$2:$A$4314,1))-1)</f>
        <v>0.166326691395587</v>
      </c>
      <c r="O2473" s="25" t="n">
        <f aca="false">IF(A2473-30&lt;$R$2,"",C2473/INDEX(Clean_Data!$C$2:$C$4314,MATCH(A2473-30,Clean_Data!$A$2:$A$4314,1))-1)</f>
        <v>0.272839741993127</v>
      </c>
    </row>
    <row r="2474" customFormat="false" ht="15" hidden="false" customHeight="false" outlineLevel="0" collapsed="false">
      <c r="A2474" s="16" t="n">
        <v>44481</v>
      </c>
      <c r="B2474" s="23" t="n">
        <f aca="false">YEAR(A2474)</f>
        <v>2021</v>
      </c>
      <c r="C2474" s="17" t="n">
        <v>56019.29</v>
      </c>
      <c r="D2474" s="23" t="n">
        <f aca="false">A2474-A2473</f>
        <v>1</v>
      </c>
      <c r="E2474" s="24" t="n">
        <f aca="false">LN(C2474)</f>
        <v>10.9334513746888</v>
      </c>
      <c r="F2474" s="25" t="n">
        <f aca="false">LN(C2474/C2473)</f>
        <v>-0.0250456995064654</v>
      </c>
      <c r="G2474" s="25" t="n">
        <f aca="false">IF(AND(D2474=1,A2474&gt;=$R$2),F2474,"")</f>
        <v>-0.0250456995064654</v>
      </c>
      <c r="H2474" s="27" t="n">
        <f aca="false">IF(G2474="","",G2474^2)</f>
        <v>0.000627287063768162</v>
      </c>
      <c r="I2474" s="25" t="n">
        <f aca="false">IF(G2474="","",C2474/C2473-1)</f>
        <v>-0.0247346581348729</v>
      </c>
      <c r="J2474" s="17" t="n">
        <f aca="false">AVERAGE(C2275:C2474)</f>
        <v>45051.11605</v>
      </c>
      <c r="K2474" s="17" t="n">
        <f aca="false">MAX(K2473,C2474)</f>
        <v>63660.94</v>
      </c>
      <c r="L2474" s="25" t="n">
        <f aca="false">C2474/K2474-1</f>
        <v>-0.120036713249914</v>
      </c>
      <c r="M2474" s="25" t="n">
        <f aca="false">IF(COUNT(G2445:G2474)&lt;20,"",_xlfn.STDEV.S(G2445:G2474)*SQRT($R$3))</f>
        <v>0.777631464382225</v>
      </c>
      <c r="N2474" s="25" t="n">
        <f aca="false">IF(A2474-7&lt;$R$2,"",C2474/INDEX(Clean_Data!$C$2:$C$4314,MATCH(A2474-7,Clean_Data!$A$2:$A$4314,1))-1)</f>
        <v>0.0889851315293768</v>
      </c>
      <c r="O2474" s="25" t="n">
        <f aca="false">IF(A2474-30&lt;$R$2,"",C2474/INDEX(Clean_Data!$C$2:$C$4314,MATCH(A2474-30,Clean_Data!$A$2:$A$4314,1))-1)</f>
        <v>0.217542528134565</v>
      </c>
    </row>
    <row r="2475" customFormat="false" ht="15" hidden="false" customHeight="false" outlineLevel="0" collapsed="false">
      <c r="A2475" s="16" t="n">
        <v>44482</v>
      </c>
      <c r="B2475" s="23" t="n">
        <f aca="false">YEAR(A2475)</f>
        <v>2021</v>
      </c>
      <c r="C2475" s="17" t="n">
        <v>57372.59</v>
      </c>
      <c r="D2475" s="23" t="n">
        <f aca="false">A2475-A2474</f>
        <v>1</v>
      </c>
      <c r="E2475" s="24" t="n">
        <f aca="false">LN(C2475)</f>
        <v>10.9573219421233</v>
      </c>
      <c r="F2475" s="25" t="n">
        <f aca="false">LN(C2475/C2474)</f>
        <v>0.0238705674345408</v>
      </c>
      <c r="G2475" s="25" t="n">
        <f aca="false">IF(AND(D2475=1,A2475&gt;=$R$2),F2475,"")</f>
        <v>0.0238705674345408</v>
      </c>
      <c r="H2475" s="27" t="n">
        <f aca="false">IF(G2475="","",G2475^2)</f>
        <v>0.00056980398964696</v>
      </c>
      <c r="I2475" s="25" t="n">
        <f aca="false">IF(G2475="","",C2475/C2474-1)</f>
        <v>0.0241577499464916</v>
      </c>
      <c r="J2475" s="17" t="n">
        <f aca="false">AVERAGE(C2276:C2475)</f>
        <v>45058.3181</v>
      </c>
      <c r="K2475" s="17" t="n">
        <f aca="false">MAX(K2474,C2475)</f>
        <v>63660.94</v>
      </c>
      <c r="L2475" s="25" t="n">
        <f aca="false">C2475/K2475-1</f>
        <v>-0.0987787802065129</v>
      </c>
      <c r="M2475" s="25" t="n">
        <f aca="false">IF(COUNT(G2446:G2475)&lt;20,"",_xlfn.STDEV.S(G2446:G2475)*SQRT($R$3))</f>
        <v>0.77243071327388</v>
      </c>
      <c r="N2475" s="25" t="n">
        <f aca="false">IF(A2475-7&lt;$R$2,"",C2475/INDEX(Clean_Data!$C$2:$C$4314,MATCH(A2475-7,Clean_Data!$A$2:$A$4314,1))-1)</f>
        <v>0.0378799116620814</v>
      </c>
      <c r="O2475" s="25" t="n">
        <f aca="false">IF(A2475-30&lt;$R$2,"",C2475/INDEX(Clean_Data!$C$2:$C$4314,MATCH(A2475-30,Clean_Data!$A$2:$A$4314,1))-1)</f>
        <v>0.27582477892558</v>
      </c>
    </row>
    <row r="2476" customFormat="false" ht="15" hidden="false" customHeight="false" outlineLevel="0" collapsed="false">
      <c r="A2476" s="16" t="n">
        <v>44483</v>
      </c>
      <c r="B2476" s="23" t="n">
        <f aca="false">YEAR(A2476)</f>
        <v>2021</v>
      </c>
      <c r="C2476" s="17" t="n">
        <v>57327.09</v>
      </c>
      <c r="D2476" s="23" t="n">
        <f aca="false">A2476-A2475</f>
        <v>1</v>
      </c>
      <c r="E2476" s="24" t="n">
        <f aca="false">LN(C2476)</f>
        <v>10.9565285658491</v>
      </c>
      <c r="F2476" s="25" t="n">
        <f aca="false">LN(C2476/C2475)</f>
        <v>-0.000793376274225854</v>
      </c>
      <c r="G2476" s="25" t="n">
        <f aca="false">IF(AND(D2476=1,A2476&gt;=$R$2),F2476,"")</f>
        <v>-0.000793376274225854</v>
      </c>
      <c r="H2476" s="27" t="n">
        <f aca="false">IF(G2476="","",G2476^2)</f>
        <v>6.29445912504497E-007</v>
      </c>
      <c r="I2476" s="25" t="n">
        <f aca="false">IF(G2476="","",C2476/C2475-1)</f>
        <v>-0.000793061634484338</v>
      </c>
      <c r="J2476" s="17" t="n">
        <f aca="false">AVERAGE(C2277:C2476)</f>
        <v>45065.8456</v>
      </c>
      <c r="K2476" s="17" t="n">
        <f aca="false">MAX(K2475,C2476)</f>
        <v>63660.94</v>
      </c>
      <c r="L2476" s="25" t="n">
        <f aca="false">C2476/K2476-1</f>
        <v>-0.0994935041801143</v>
      </c>
      <c r="M2476" s="25" t="n">
        <f aca="false">IF(COUNT(G2447:G2476)&lt;20,"",_xlfn.STDEV.S(G2447:G2476)*SQRT($R$3))</f>
        <v>0.760556948940744</v>
      </c>
      <c r="N2476" s="25" t="n">
        <f aca="false">IF(A2476-7&lt;$R$2,"",C2476/INDEX(Clean_Data!$C$2:$C$4314,MATCH(A2476-7,Clean_Data!$A$2:$A$4314,1))-1)</f>
        <v>0.0646739124378724</v>
      </c>
      <c r="O2476" s="25" t="n">
        <f aca="false">IF(A2476-30&lt;$R$2,"",C2476/INDEX(Clean_Data!$C$2:$C$4314,MATCH(A2476-30,Clean_Data!$A$2:$A$4314,1))-1)</f>
        <v>0.217226637744477</v>
      </c>
    </row>
    <row r="2477" customFormat="false" ht="15" hidden="false" customHeight="false" outlineLevel="0" collapsed="false">
      <c r="A2477" s="16" t="n">
        <v>44484</v>
      </c>
      <c r="B2477" s="23" t="n">
        <f aca="false">YEAR(A2477)</f>
        <v>2021</v>
      </c>
      <c r="C2477" s="17" t="n">
        <v>61682.48</v>
      </c>
      <c r="D2477" s="23" t="n">
        <f aca="false">A2477-A2476</f>
        <v>1</v>
      </c>
      <c r="E2477" s="24" t="n">
        <f aca="false">LN(C2477)</f>
        <v>11.0297552149516</v>
      </c>
      <c r="F2477" s="25" t="n">
        <f aca="false">LN(C2477/C2476)</f>
        <v>0.0732266491024941</v>
      </c>
      <c r="G2477" s="25" t="n">
        <f aca="false">IF(AND(D2477=1,A2477&gt;=$R$2),F2477,"")</f>
        <v>0.0732266491024941</v>
      </c>
      <c r="H2477" s="27" t="n">
        <f aca="false">IF(G2477="","",G2477^2)</f>
        <v>0.0053621421387798</v>
      </c>
      <c r="I2477" s="25" t="n">
        <f aca="false">IF(G2477="","",C2477/C2476-1)</f>
        <v>0.0759743779075479</v>
      </c>
      <c r="J2477" s="17" t="n">
        <f aca="false">AVERAGE(C2278:C2477)</f>
        <v>45086.1044</v>
      </c>
      <c r="K2477" s="17" t="n">
        <f aca="false">MAX(K2476,C2477)</f>
        <v>63660.94</v>
      </c>
      <c r="L2477" s="25" t="n">
        <f aca="false">C2477/K2477-1</f>
        <v>-0.0310780833584926</v>
      </c>
      <c r="M2477" s="25" t="n">
        <f aca="false">IF(COUNT(G2448:G2477)&lt;20,"",_xlfn.STDEV.S(G2448:G2477)*SQRT($R$3))</f>
        <v>0.794074650208895</v>
      </c>
      <c r="N2477" s="25" t="n">
        <f aca="false">IF(A2477-7&lt;$R$2,"",C2477/INDEX(Clean_Data!$C$2:$C$4314,MATCH(A2477-7,Clean_Data!$A$2:$A$4314,1))-1)</f>
        <v>0.142623419392808</v>
      </c>
      <c r="O2477" s="25" t="n">
        <f aca="false">IF(A2477-30&lt;$R$2,"",C2477/INDEX(Clean_Data!$C$2:$C$4314,MATCH(A2477-30,Clean_Data!$A$2:$A$4314,1))-1)</f>
        <v>0.282201173183533</v>
      </c>
    </row>
    <row r="2478" customFormat="false" ht="15" hidden="false" customHeight="false" outlineLevel="0" collapsed="false">
      <c r="A2478" s="16" t="n">
        <v>44485</v>
      </c>
      <c r="B2478" s="23" t="n">
        <f aca="false">YEAR(A2478)</f>
        <v>2021</v>
      </c>
      <c r="C2478" s="17" t="n">
        <v>60880.85</v>
      </c>
      <c r="D2478" s="23" t="n">
        <f aca="false">A2478-A2477</f>
        <v>1</v>
      </c>
      <c r="E2478" s="24" t="n">
        <f aca="false">LN(C2478)</f>
        <v>11.0166739543303</v>
      </c>
      <c r="F2478" s="25" t="n">
        <f aca="false">LN(C2478/C2477)</f>
        <v>-0.0130812606212601</v>
      </c>
      <c r="G2478" s="25" t="n">
        <f aca="false">IF(AND(D2478=1,A2478&gt;=$R$2),F2478,"")</f>
        <v>-0.0130812606212601</v>
      </c>
      <c r="H2478" s="27" t="n">
        <f aca="false">IF(G2478="","",G2478^2)</f>
        <v>0.000171119379441329</v>
      </c>
      <c r="I2478" s="25" t="n">
        <f aca="false">IF(G2478="","",C2478/C2477-1)</f>
        <v>-0.0129960727908477</v>
      </c>
      <c r="J2478" s="17" t="n">
        <f aca="false">AVERAGE(C2279:C2478)</f>
        <v>45096.50865</v>
      </c>
      <c r="K2478" s="17" t="n">
        <f aca="false">MAX(K2477,C2478)</f>
        <v>63660.94</v>
      </c>
      <c r="L2478" s="25" t="n">
        <f aca="false">C2478/K2478-1</f>
        <v>-0.0436702631158133</v>
      </c>
      <c r="M2478" s="25" t="n">
        <f aca="false">IF(COUNT(G2449:G2478)&lt;20,"",_xlfn.STDEV.S(G2449:G2478)*SQRT($R$3))</f>
        <v>0.79583720702747</v>
      </c>
      <c r="N2478" s="25" t="n">
        <f aca="false">IF(A2478-7&lt;$R$2,"",C2478/INDEX(Clean_Data!$C$2:$C$4314,MATCH(A2478-7,Clean_Data!$A$2:$A$4314,1))-1)</f>
        <v>0.107905545455703</v>
      </c>
      <c r="O2478" s="25" t="n">
        <f aca="false">IF(A2478-30&lt;$R$2,"",C2478/INDEX(Clean_Data!$C$2:$C$4314,MATCH(A2478-30,Clean_Data!$A$2:$A$4314,1))-1)</f>
        <v>0.274385789373429</v>
      </c>
    </row>
    <row r="2479" customFormat="false" ht="15" hidden="false" customHeight="false" outlineLevel="0" collapsed="false">
      <c r="A2479" s="16" t="n">
        <v>44486</v>
      </c>
      <c r="B2479" s="23" t="n">
        <f aca="false">YEAR(A2479)</f>
        <v>2021</v>
      </c>
      <c r="C2479" s="17" t="n">
        <v>61541.01</v>
      </c>
      <c r="D2479" s="23" t="n">
        <f aca="false">A2479-A2478</f>
        <v>1</v>
      </c>
      <c r="E2479" s="24" t="n">
        <f aca="false">LN(C2479)</f>
        <v>11.0274590608311</v>
      </c>
      <c r="F2479" s="25" t="n">
        <f aca="false">LN(C2479/C2478)</f>
        <v>0.0107851065007057</v>
      </c>
      <c r="G2479" s="25" t="n">
        <f aca="false">IF(AND(D2479=1,A2479&gt;=$R$2),F2479,"")</f>
        <v>0.0107851065007057</v>
      </c>
      <c r="H2479" s="27" t="n">
        <f aca="false">IF(G2479="","",G2479^2)</f>
        <v>0.000116318522231563</v>
      </c>
      <c r="I2479" s="25" t="n">
        <f aca="false">IF(G2479="","",C2479/C2478-1)</f>
        <v>0.010843475411398</v>
      </c>
      <c r="J2479" s="17" t="n">
        <f aca="false">AVERAGE(C2280:C2479)</f>
        <v>45110.02515</v>
      </c>
      <c r="K2479" s="17" t="n">
        <f aca="false">MAX(K2478,C2479)</f>
        <v>63660.94</v>
      </c>
      <c r="L2479" s="25" t="n">
        <f aca="false">C2479/K2479-1</f>
        <v>-0.0333003251287211</v>
      </c>
      <c r="M2479" s="25" t="n">
        <f aca="false">IF(COUNT(G2450:G2479)&lt;20,"",_xlfn.STDEV.S(G2450:G2479)*SQRT($R$3))</f>
        <v>0.793439857352473</v>
      </c>
      <c r="N2479" s="25" t="n">
        <f aca="false">IF(A2479-7&lt;$R$2,"",C2479/INDEX(Clean_Data!$C$2:$C$4314,MATCH(A2479-7,Clean_Data!$A$2:$A$4314,1))-1)</f>
        <v>0.125984305273231</v>
      </c>
      <c r="O2479" s="25" t="n">
        <f aca="false">IF(A2479-30&lt;$R$2,"",C2479/INDEX(Clean_Data!$C$2:$C$4314,MATCH(A2479-30,Clean_Data!$A$2:$A$4314,1))-1)</f>
        <v>0.300039503314476</v>
      </c>
    </row>
    <row r="2480" customFormat="false" ht="15" hidden="false" customHeight="false" outlineLevel="0" collapsed="false">
      <c r="A2480" s="16" t="n">
        <v>44487</v>
      </c>
      <c r="B2480" s="23" t="n">
        <f aca="false">YEAR(A2480)</f>
        <v>2021</v>
      </c>
      <c r="C2480" s="17" t="n">
        <v>62036.95</v>
      </c>
      <c r="D2480" s="23" t="n">
        <f aca="false">A2480-A2479</f>
        <v>1</v>
      </c>
      <c r="E2480" s="24" t="n">
        <f aca="false">LN(C2480)</f>
        <v>11.0354854542509</v>
      </c>
      <c r="F2480" s="25" t="n">
        <f aca="false">LN(C2480/C2479)</f>
        <v>0.00802639341986227</v>
      </c>
      <c r="G2480" s="25" t="n">
        <f aca="false">IF(AND(D2480=1,A2480&gt;=$R$2),F2480,"")</f>
        <v>0.00802639341986227</v>
      </c>
      <c r="H2480" s="27" t="n">
        <f aca="false">IF(G2480="","",G2480^2)</f>
        <v>6.44229913304083E-005</v>
      </c>
      <c r="I2480" s="25" t="n">
        <f aca="false">IF(G2480="","",C2480/C2479-1)</f>
        <v>0.0080586912694478</v>
      </c>
      <c r="J2480" s="17" t="n">
        <f aca="false">AVERAGE(C2281:C2480)</f>
        <v>45126.3657</v>
      </c>
      <c r="K2480" s="17" t="n">
        <f aca="false">MAX(K2479,C2480)</f>
        <v>63660.94</v>
      </c>
      <c r="L2480" s="25" t="n">
        <f aca="false">C2480/K2480-1</f>
        <v>-0.0255099908986579</v>
      </c>
      <c r="M2480" s="25" t="n">
        <f aca="false">IF(COUNT(G2451:G2480)&lt;20,"",_xlfn.STDEV.S(G2451:G2480)*SQRT($R$3))</f>
        <v>0.792378001098719</v>
      </c>
      <c r="N2480" s="25" t="n">
        <f aca="false">IF(A2480-7&lt;$R$2,"",C2480/INDEX(Clean_Data!$C$2:$C$4314,MATCH(A2480-7,Clean_Data!$A$2:$A$4314,1))-1)</f>
        <v>0.0800295264366935</v>
      </c>
      <c r="O2480" s="25" t="n">
        <f aca="false">IF(A2480-30&lt;$R$2,"",C2480/INDEX(Clean_Data!$C$2:$C$4314,MATCH(A2480-30,Clean_Data!$A$2:$A$4314,1))-1)</f>
        <v>0.284407838999719</v>
      </c>
    </row>
    <row r="2481" customFormat="false" ht="15" hidden="false" customHeight="false" outlineLevel="0" collapsed="false">
      <c r="A2481" s="16" t="n">
        <v>44488</v>
      </c>
      <c r="B2481" s="23" t="n">
        <f aca="false">YEAR(A2481)</f>
        <v>2021</v>
      </c>
      <c r="C2481" s="17" t="n">
        <v>64353.53</v>
      </c>
      <c r="D2481" s="23" t="n">
        <f aca="false">A2481-A2480</f>
        <v>1</v>
      </c>
      <c r="E2481" s="24" t="n">
        <f aca="false">LN(C2481)</f>
        <v>11.0721470677746</v>
      </c>
      <c r="F2481" s="25" t="n">
        <f aca="false">LN(C2481/C2480)</f>
        <v>0.0366616135236638</v>
      </c>
      <c r="G2481" s="25" t="n">
        <f aca="false">IF(AND(D2481=1,A2481&gt;=$R$2),F2481,"")</f>
        <v>0.0366616135236638</v>
      </c>
      <c r="H2481" s="27" t="n">
        <f aca="false">IF(G2481="","",G2481^2)</f>
        <v>0.00134407390615849</v>
      </c>
      <c r="I2481" s="25" t="n">
        <f aca="false">IF(G2481="","",C2481/C2480-1)</f>
        <v>0.0373419389573473</v>
      </c>
      <c r="J2481" s="17" t="n">
        <f aca="false">AVERAGE(C2282:C2481)</f>
        <v>45153.0356</v>
      </c>
      <c r="K2481" s="17" t="n">
        <f aca="false">MAX(K2480,C2481)</f>
        <v>64353.53</v>
      </c>
      <c r="L2481" s="25" t="n">
        <f aca="false">C2481/K2481-1</f>
        <v>0</v>
      </c>
      <c r="M2481" s="25" t="n">
        <f aca="false">IF(COUNT(G2452:G2481)&lt;20,"",_xlfn.STDEV.S(G2452:G2481)*SQRT($R$3))</f>
        <v>0.790755865793217</v>
      </c>
      <c r="N2481" s="25" t="n">
        <f aca="false">IF(A2481-7&lt;$R$2,"",C2481/INDEX(Clean_Data!$C$2:$C$4314,MATCH(A2481-7,Clean_Data!$A$2:$A$4314,1))-1)</f>
        <v>0.148774466795277</v>
      </c>
      <c r="O2481" s="25" t="n">
        <f aca="false">IF(A2481-30&lt;$R$2,"",C2481/INDEX(Clean_Data!$C$2:$C$4314,MATCH(A2481-30,Clean_Data!$A$2:$A$4314,1))-1)</f>
        <v>0.361381615481032</v>
      </c>
    </row>
    <row r="2482" customFormat="false" ht="15" hidden="false" customHeight="false" outlineLevel="0" collapsed="false">
      <c r="A2482" s="16" t="n">
        <v>44489</v>
      </c>
      <c r="B2482" s="23" t="n">
        <f aca="false">YEAR(A2482)</f>
        <v>2021</v>
      </c>
      <c r="C2482" s="17" t="n">
        <v>66005.17</v>
      </c>
      <c r="D2482" s="23" t="n">
        <f aca="false">A2482-A2481</f>
        <v>1</v>
      </c>
      <c r="E2482" s="24" t="n">
        <f aca="false">LN(C2482)</f>
        <v>11.097488351274</v>
      </c>
      <c r="F2482" s="25" t="n">
        <f aca="false">LN(C2482/C2481)</f>
        <v>0.025341283499421</v>
      </c>
      <c r="G2482" s="25" t="n">
        <f aca="false">IF(AND(D2482=1,A2482&gt;=$R$2),F2482,"")</f>
        <v>0.025341283499421</v>
      </c>
      <c r="H2482" s="27" t="n">
        <f aca="false">IF(G2482="","",G2482^2)</f>
        <v>0.000642180649398027</v>
      </c>
      <c r="I2482" s="25" t="n">
        <f aca="false">IF(G2482="","",C2482/C2481-1)</f>
        <v>0.0256651033750597</v>
      </c>
      <c r="J2482" s="17" t="n">
        <f aca="false">AVERAGE(C2283:C2482)</f>
        <v>45199.40645</v>
      </c>
      <c r="K2482" s="17" t="n">
        <f aca="false">MAX(K2481,C2482)</f>
        <v>66005.17</v>
      </c>
      <c r="L2482" s="25" t="n">
        <f aca="false">C2482/K2482-1</f>
        <v>0</v>
      </c>
      <c r="M2482" s="25" t="n">
        <f aca="false">IF(COUNT(G2453:G2482)&lt;20,"",_xlfn.STDEV.S(G2453:G2482)*SQRT($R$3))</f>
        <v>0.694867939445811</v>
      </c>
      <c r="N2482" s="25" t="n">
        <f aca="false">IF(A2482-7&lt;$R$2,"",C2482/INDEX(Clean_Data!$C$2:$C$4314,MATCH(A2482-7,Clean_Data!$A$2:$A$4314,1))-1)</f>
        <v>0.1504652308707</v>
      </c>
      <c r="O2482" s="25" t="n">
        <f aca="false">IF(A2482-30&lt;$R$2,"",C2482/INDEX(Clean_Data!$C$2:$C$4314,MATCH(A2482-30,Clean_Data!$A$2:$A$4314,1))-1)</f>
        <v>0.5353203008806</v>
      </c>
    </row>
    <row r="2483" customFormat="false" ht="15" hidden="false" customHeight="false" outlineLevel="0" collapsed="false">
      <c r="A2483" s="16" t="n">
        <v>44490</v>
      </c>
      <c r="B2483" s="23" t="n">
        <f aca="false">YEAR(A2483)</f>
        <v>2021</v>
      </c>
      <c r="C2483" s="17" t="n">
        <v>62152.09</v>
      </c>
      <c r="D2483" s="23" t="n">
        <f aca="false">A2483-A2482</f>
        <v>1</v>
      </c>
      <c r="E2483" s="24" t="n">
        <f aca="false">LN(C2483)</f>
        <v>11.037339724692</v>
      </c>
      <c r="F2483" s="25" t="n">
        <f aca="false">LN(C2483/C2482)</f>
        <v>-0.0601486265819786</v>
      </c>
      <c r="G2483" s="25" t="n">
        <f aca="false">IF(AND(D2483=1,A2483&gt;=$R$2),F2483,"")</f>
        <v>-0.0601486265819786</v>
      </c>
      <c r="H2483" s="27" t="n">
        <f aca="false">IF(G2483="","",G2483^2)</f>
        <v>0.0036178572796983</v>
      </c>
      <c r="I2483" s="25" t="n">
        <f aca="false">IF(G2483="","",C2483/C2482-1)</f>
        <v>-0.0583754272581981</v>
      </c>
      <c r="J2483" s="17" t="n">
        <f aca="false">AVERAGE(C2284:C2483)</f>
        <v>45218.83495</v>
      </c>
      <c r="K2483" s="17" t="n">
        <f aca="false">MAX(K2482,C2483)</f>
        <v>66005.17</v>
      </c>
      <c r="L2483" s="25" t="n">
        <f aca="false">C2483/K2483-1</f>
        <v>-0.0583754272581981</v>
      </c>
      <c r="M2483" s="25" t="n">
        <f aca="false">IF(COUNT(G2454:G2483)&lt;20,"",_xlfn.STDEV.S(G2454:G2483)*SQRT($R$3))</f>
        <v>0.700475454524115</v>
      </c>
      <c r="N2483" s="25" t="n">
        <f aca="false">IF(A2483-7&lt;$R$2,"",C2483/INDEX(Clean_Data!$C$2:$C$4314,MATCH(A2483-7,Clean_Data!$A$2:$A$4314,1))-1)</f>
        <v>0.0841661420455844</v>
      </c>
      <c r="O2483" s="25" t="n">
        <f aca="false">IF(A2483-30&lt;$R$2,"",C2483/INDEX(Clean_Data!$C$2:$C$4314,MATCH(A2483-30,Clean_Data!$A$2:$A$4314,1))-1)</f>
        <v>0.528726172412377</v>
      </c>
    </row>
    <row r="2484" customFormat="false" ht="15" hidden="false" customHeight="false" outlineLevel="0" collapsed="false">
      <c r="A2484" s="16" t="n">
        <v>44491</v>
      </c>
      <c r="B2484" s="23" t="n">
        <f aca="false">YEAR(A2484)</f>
        <v>2021</v>
      </c>
      <c r="C2484" s="17" t="n">
        <v>60671.75</v>
      </c>
      <c r="D2484" s="23" t="n">
        <f aca="false">A2484-A2483</f>
        <v>1</v>
      </c>
      <c r="E2484" s="24" t="n">
        <f aca="false">LN(C2484)</f>
        <v>11.0132334650893</v>
      </c>
      <c r="F2484" s="25" t="n">
        <f aca="false">LN(C2484/C2483)</f>
        <v>-0.0241062596026953</v>
      </c>
      <c r="G2484" s="25" t="n">
        <f aca="false">IF(AND(D2484=1,A2484&gt;=$R$2),F2484,"")</f>
        <v>-0.0241062596026953</v>
      </c>
      <c r="H2484" s="27" t="n">
        <f aca="false">IF(G2484="","",G2484^2)</f>
        <v>0.00058111175203254</v>
      </c>
      <c r="I2484" s="25" t="n">
        <f aca="false">IF(G2484="","",C2484/C2483-1)</f>
        <v>-0.0238180244622506</v>
      </c>
      <c r="J2484" s="17" t="n">
        <f aca="false">AVERAGE(C2285:C2484)</f>
        <v>45226.1937</v>
      </c>
      <c r="K2484" s="17" t="n">
        <f aca="false">MAX(K2483,C2484)</f>
        <v>66005.17</v>
      </c>
      <c r="L2484" s="25" t="n">
        <f aca="false">C2484/K2484-1</f>
        <v>-0.0808030643660186</v>
      </c>
      <c r="M2484" s="25" t="n">
        <f aca="false">IF(COUNT(G2455:G2484)&lt;20,"",_xlfn.STDEV.S(G2455:G2484)*SQRT($R$3))</f>
        <v>0.684196312019313</v>
      </c>
      <c r="N2484" s="25" t="n">
        <f aca="false">IF(A2484-7&lt;$R$2,"",C2484/INDEX(Clean_Data!$C$2:$C$4314,MATCH(A2484-7,Clean_Data!$A$2:$A$4314,1))-1)</f>
        <v>-0.0163860143107087</v>
      </c>
      <c r="O2484" s="25" t="n">
        <f aca="false">IF(A2484-30&lt;$R$2,"",C2484/INDEX(Clean_Data!$C$2:$C$4314,MATCH(A2484-30,Clean_Data!$A$2:$A$4314,1))-1)</f>
        <v>0.393340634745152</v>
      </c>
    </row>
    <row r="2485" customFormat="false" ht="15" hidden="false" customHeight="false" outlineLevel="0" collapsed="false">
      <c r="A2485" s="16" t="n">
        <v>44492</v>
      </c>
      <c r="B2485" s="23" t="n">
        <f aca="false">YEAR(A2485)</f>
        <v>2021</v>
      </c>
      <c r="C2485" s="17" t="n">
        <v>61308.09</v>
      </c>
      <c r="D2485" s="23" t="n">
        <f aca="false">A2485-A2484</f>
        <v>1</v>
      </c>
      <c r="E2485" s="24" t="n">
        <f aca="false">LN(C2485)</f>
        <v>11.0236670871154</v>
      </c>
      <c r="F2485" s="25" t="n">
        <f aca="false">LN(C2485/C2484)</f>
        <v>0.0104336220260452</v>
      </c>
      <c r="G2485" s="25" t="n">
        <f aca="false">IF(AND(D2485=1,A2485&gt;=$R$2),F2485,"")</f>
        <v>0.0104336220260452</v>
      </c>
      <c r="H2485" s="27" t="n">
        <f aca="false">IF(G2485="","",G2485^2)</f>
        <v>0.000108860468582376</v>
      </c>
      <c r="I2485" s="25" t="n">
        <f aca="false">IF(G2485="","",C2485/C2484-1)</f>
        <v>0.0104882420566408</v>
      </c>
      <c r="J2485" s="17" t="n">
        <f aca="false">AVERAGE(C2286:C2485)</f>
        <v>45242.6426</v>
      </c>
      <c r="K2485" s="17" t="n">
        <f aca="false">MAX(K2484,C2485)</f>
        <v>66005.17</v>
      </c>
      <c r="L2485" s="25" t="n">
        <f aca="false">C2485/K2485-1</f>
        <v>-0.0711623044073669</v>
      </c>
      <c r="M2485" s="25" t="n">
        <f aca="false">IF(COUNT(G2456:G2485)&lt;20,"",_xlfn.STDEV.S(G2456:G2485)*SQRT($R$3))</f>
        <v>0.680589275927716</v>
      </c>
      <c r="N2485" s="25" t="n">
        <f aca="false">IF(A2485-7&lt;$R$2,"",C2485/INDEX(Clean_Data!$C$2:$C$4314,MATCH(A2485-7,Clean_Data!$A$2:$A$4314,1))-1)</f>
        <v>0.00701764183647247</v>
      </c>
      <c r="O2485" s="25" t="n">
        <f aca="false">IF(A2485-30&lt;$R$2,"",C2485/INDEX(Clean_Data!$C$2:$C$4314,MATCH(A2485-30,Clean_Data!$A$2:$A$4314,1))-1)</f>
        <v>0.365658032228395</v>
      </c>
    </row>
    <row r="2486" customFormat="false" ht="15" hidden="false" customHeight="false" outlineLevel="0" collapsed="false">
      <c r="A2486" s="16" t="n">
        <v>44493</v>
      </c>
      <c r="B2486" s="23" t="n">
        <f aca="false">YEAR(A2486)</f>
        <v>2021</v>
      </c>
      <c r="C2486" s="17" t="n">
        <v>60889.41</v>
      </c>
      <c r="D2486" s="23" t="n">
        <f aca="false">A2486-A2485</f>
        <v>1</v>
      </c>
      <c r="E2486" s="24" t="n">
        <f aca="false">LN(C2486)</f>
        <v>11.0168145469515</v>
      </c>
      <c r="F2486" s="25" t="n">
        <f aca="false">LN(C2486/C2485)</f>
        <v>-0.00685254016390089</v>
      </c>
      <c r="G2486" s="25" t="n">
        <f aca="false">IF(AND(D2486=1,A2486&gt;=$R$2),F2486,"")</f>
        <v>-0.00685254016390089</v>
      </c>
      <c r="H2486" s="27" t="n">
        <f aca="false">IF(G2486="","",G2486^2)</f>
        <v>4.69573066978748E-005</v>
      </c>
      <c r="I2486" s="25" t="n">
        <f aca="false">IF(G2486="","",C2486/C2485-1)</f>
        <v>-0.00682911504827488</v>
      </c>
      <c r="J2486" s="17" t="n">
        <f aca="false">AVERAGE(C2287:C2486)</f>
        <v>45267.2791</v>
      </c>
      <c r="K2486" s="17" t="n">
        <f aca="false">MAX(K2485,C2486)</f>
        <v>66005.17</v>
      </c>
      <c r="L2486" s="25" t="n">
        <f aca="false">C2486/K2486-1</f>
        <v>-0.0775054438917435</v>
      </c>
      <c r="M2486" s="25" t="n">
        <f aca="false">IF(COUNT(G2457:G2486)&lt;20,"",_xlfn.STDEV.S(G2457:G2486)*SQRT($R$3))</f>
        <v>0.651382353266758</v>
      </c>
      <c r="N2486" s="25" t="n">
        <f aca="false">IF(A2486-7&lt;$R$2,"",C2486/INDEX(Clean_Data!$C$2:$C$4314,MATCH(A2486-7,Clean_Data!$A$2:$A$4314,1))-1)</f>
        <v>-0.0105880615219022</v>
      </c>
      <c r="O2486" s="25" t="n">
        <f aca="false">IF(A2486-30&lt;$R$2,"",C2486/INDEX(Clean_Data!$C$2:$C$4314,MATCH(A2486-30,Clean_Data!$A$2:$A$4314,1))-1)</f>
        <v>0.422096544218195</v>
      </c>
    </row>
    <row r="2487" customFormat="false" ht="15" hidden="false" customHeight="false" outlineLevel="0" collapsed="false">
      <c r="A2487" s="16" t="n">
        <v>44494</v>
      </c>
      <c r="B2487" s="23" t="n">
        <f aca="false">YEAR(A2487)</f>
        <v>2021</v>
      </c>
      <c r="C2487" s="17" t="n">
        <v>63102.83</v>
      </c>
      <c r="D2487" s="23" t="n">
        <f aca="false">A2487-A2486</f>
        <v>1</v>
      </c>
      <c r="E2487" s="24" t="n">
        <f aca="false">LN(C2487)</f>
        <v>11.0525208969689</v>
      </c>
      <c r="F2487" s="25" t="n">
        <f aca="false">LN(C2487/C2486)</f>
        <v>0.0357063500174521</v>
      </c>
      <c r="G2487" s="25" t="n">
        <f aca="false">IF(AND(D2487=1,A2487&gt;=$R$2),F2487,"")</f>
        <v>0.0357063500174521</v>
      </c>
      <c r="H2487" s="27" t="n">
        <f aca="false">IF(G2487="","",G2487^2)</f>
        <v>0.0012749434315688</v>
      </c>
      <c r="I2487" s="25" t="n">
        <f aca="false">IF(G2487="","",C2487/C2486-1)</f>
        <v>0.0363514772108975</v>
      </c>
      <c r="J2487" s="17" t="n">
        <f aca="false">AVERAGE(C2288:C2487)</f>
        <v>45292.25</v>
      </c>
      <c r="K2487" s="17" t="n">
        <f aca="false">MAX(K2486,C2487)</f>
        <v>66005.17</v>
      </c>
      <c r="L2487" s="25" t="n">
        <f aca="false">C2487/K2487-1</f>
        <v>-0.0439714040581972</v>
      </c>
      <c r="M2487" s="25" t="n">
        <f aca="false">IF(COUNT(G2458:G2487)&lt;20,"",_xlfn.STDEV.S(G2458:G2487)*SQRT($R$3))</f>
        <v>0.654300508936755</v>
      </c>
      <c r="N2487" s="25" t="n">
        <f aca="false">IF(A2487-7&lt;$R$2,"",C2487/INDEX(Clean_Data!$C$2:$C$4314,MATCH(A2487-7,Clean_Data!$A$2:$A$4314,1))-1)</f>
        <v>0.0171813733589419</v>
      </c>
      <c r="O2487" s="25" t="n">
        <f aca="false">IF(A2487-30&lt;$R$2,"",C2487/INDEX(Clean_Data!$C$2:$C$4314,MATCH(A2487-30,Clean_Data!$A$2:$A$4314,1))-1)</f>
        <v>0.478432257335952</v>
      </c>
    </row>
    <row r="2488" customFormat="false" ht="15" hidden="false" customHeight="false" outlineLevel="0" collapsed="false">
      <c r="A2488" s="16" t="n">
        <v>44495</v>
      </c>
      <c r="B2488" s="23" t="n">
        <f aca="false">YEAR(A2488)</f>
        <v>2021</v>
      </c>
      <c r="C2488" s="17" t="n">
        <v>60341.21</v>
      </c>
      <c r="D2488" s="23" t="n">
        <f aca="false">A2488-A2487</f>
        <v>1</v>
      </c>
      <c r="E2488" s="24" t="n">
        <f aca="false">LN(C2488)</f>
        <v>11.0077705655448</v>
      </c>
      <c r="F2488" s="25" t="n">
        <f aca="false">LN(C2488/C2487)</f>
        <v>-0.0447503314241164</v>
      </c>
      <c r="G2488" s="25" t="n">
        <f aca="false">IF(AND(D2488=1,A2488&gt;=$R$2),F2488,"")</f>
        <v>-0.0447503314241164</v>
      </c>
      <c r="H2488" s="27" t="n">
        <f aca="false">IF(G2488="","",G2488^2)</f>
        <v>0.00200259216256826</v>
      </c>
      <c r="I2488" s="25" t="n">
        <f aca="false">IF(G2488="","",C2488/C2487-1)</f>
        <v>-0.043763805838819</v>
      </c>
      <c r="J2488" s="17" t="n">
        <f aca="false">AVERAGE(C2289:C2488)</f>
        <v>45303.32535</v>
      </c>
      <c r="K2488" s="17" t="n">
        <f aca="false">MAX(K2487,C2488)</f>
        <v>66005.17</v>
      </c>
      <c r="L2488" s="25" t="n">
        <f aca="false">C2488/K2488-1</f>
        <v>-0.085810853907353</v>
      </c>
      <c r="M2488" s="25" t="n">
        <f aca="false">IF(COUNT(G2459:G2488)&lt;20,"",_xlfn.STDEV.S(G2459:G2488)*SQRT($R$3))</f>
        <v>0.684671265825088</v>
      </c>
      <c r="N2488" s="25" t="n">
        <f aca="false">IF(A2488-7&lt;$R$2,"",C2488/INDEX(Clean_Data!$C$2:$C$4314,MATCH(A2488-7,Clean_Data!$A$2:$A$4314,1))-1)</f>
        <v>-0.0623480949685278</v>
      </c>
      <c r="O2488" s="25" t="n">
        <f aca="false">IF(A2488-30&lt;$R$2,"",C2488/INDEX(Clean_Data!$C$2:$C$4314,MATCH(A2488-30,Clean_Data!$A$2:$A$4314,1))-1)</f>
        <v>0.3986638091291</v>
      </c>
    </row>
    <row r="2489" customFormat="false" ht="15" hidden="false" customHeight="false" outlineLevel="0" collapsed="false">
      <c r="A2489" s="16" t="n">
        <v>44496</v>
      </c>
      <c r="B2489" s="23" t="n">
        <f aca="false">YEAR(A2489)</f>
        <v>2021</v>
      </c>
      <c r="C2489" s="17" t="n">
        <v>58517.61</v>
      </c>
      <c r="D2489" s="23" t="n">
        <f aca="false">A2489-A2488</f>
        <v>1</v>
      </c>
      <c r="E2489" s="24" t="n">
        <f aca="false">LN(C2489)</f>
        <v>10.9770830135618</v>
      </c>
      <c r="F2489" s="25" t="n">
        <f aca="false">LN(C2489/C2488)</f>
        <v>-0.0306875519829609</v>
      </c>
      <c r="G2489" s="25" t="n">
        <f aca="false">IF(AND(D2489=1,A2489&gt;=$R$2),F2489,"")</f>
        <v>-0.0306875519829609</v>
      </c>
      <c r="H2489" s="27" t="n">
        <f aca="false">IF(G2489="","",G2489^2)</f>
        <v>0.000941725846706927</v>
      </c>
      <c r="I2489" s="25" t="n">
        <f aca="false">IF(G2489="","",C2489/C2488-1)</f>
        <v>-0.0302214688767427</v>
      </c>
      <c r="J2489" s="17" t="n">
        <f aca="false">AVERAGE(C2290:C2489)</f>
        <v>45295.71665</v>
      </c>
      <c r="K2489" s="17" t="n">
        <f aca="false">MAX(K2488,C2489)</f>
        <v>66005.17</v>
      </c>
      <c r="L2489" s="25" t="n">
        <f aca="false">C2489/K2489-1</f>
        <v>-0.113438992733448</v>
      </c>
      <c r="M2489" s="25" t="n">
        <f aca="false">IF(COUNT(G2460:G2489)&lt;20,"",_xlfn.STDEV.S(G2460:G2489)*SQRT($R$3))</f>
        <v>0.69077454547791</v>
      </c>
      <c r="N2489" s="25" t="n">
        <f aca="false">IF(A2489-7&lt;$R$2,"",C2489/INDEX(Clean_Data!$C$2:$C$4314,MATCH(A2489-7,Clean_Data!$A$2:$A$4314,1))-1)</f>
        <v>-0.113438992733448</v>
      </c>
      <c r="O2489" s="25" t="n">
        <f aca="false">IF(A2489-30&lt;$R$2,"",C2489/INDEX(Clean_Data!$C$2:$C$4314,MATCH(A2489-30,Clean_Data!$A$2:$A$4314,1))-1)</f>
        <v>0.386196266118862</v>
      </c>
    </row>
    <row r="2490" customFormat="false" ht="15" hidden="false" customHeight="false" outlineLevel="0" collapsed="false">
      <c r="A2490" s="16" t="n">
        <v>44497</v>
      </c>
      <c r="B2490" s="23" t="n">
        <f aca="false">YEAR(A2490)</f>
        <v>2021</v>
      </c>
      <c r="C2490" s="17" t="n">
        <v>60577.62</v>
      </c>
      <c r="D2490" s="23" t="n">
        <f aca="false">A2490-A2489</f>
        <v>1</v>
      </c>
      <c r="E2490" s="24" t="n">
        <f aca="false">LN(C2490)</f>
        <v>11.0116807969161</v>
      </c>
      <c r="F2490" s="25" t="n">
        <f aca="false">LN(C2490/C2489)</f>
        <v>0.0345977833542681</v>
      </c>
      <c r="G2490" s="25" t="n">
        <f aca="false">IF(AND(D2490=1,A2490&gt;=$R$2),F2490,"")</f>
        <v>0.0345977833542681</v>
      </c>
      <c r="H2490" s="27" t="n">
        <f aca="false">IF(G2490="","",G2490^2)</f>
        <v>0.00119700661302887</v>
      </c>
      <c r="I2490" s="25" t="n">
        <f aca="false">IF(G2490="","",C2490/C2489-1)</f>
        <v>0.0352032490732277</v>
      </c>
      <c r="J2490" s="17" t="n">
        <f aca="false">AVERAGE(C2291:C2490)</f>
        <v>45297.9379</v>
      </c>
      <c r="K2490" s="17" t="n">
        <f aca="false">MAX(K2489,C2490)</f>
        <v>66005.17</v>
      </c>
      <c r="L2490" s="25" t="n">
        <f aca="false">C2490/K2490-1</f>
        <v>-0.0822291647760319</v>
      </c>
      <c r="M2490" s="25" t="n">
        <f aca="false">IF(COUNT(G2461:G2490)&lt;20,"",_xlfn.STDEV.S(G2461:G2490)*SQRT($R$3))</f>
        <v>0.68006111836482</v>
      </c>
      <c r="N2490" s="25" t="n">
        <f aca="false">IF(A2490-7&lt;$R$2,"",C2490/INDEX(Clean_Data!$C$2:$C$4314,MATCH(A2490-7,Clean_Data!$A$2:$A$4314,1))-1)</f>
        <v>-0.0253325350764551</v>
      </c>
      <c r="O2490" s="25" t="n">
        <f aca="false">IF(A2490-30&lt;$R$2,"",C2490/INDEX(Clean_Data!$C$2:$C$4314,MATCH(A2490-30,Clean_Data!$A$2:$A$4314,1))-1)</f>
        <v>0.477279893596552</v>
      </c>
    </row>
    <row r="2491" customFormat="false" ht="15" hidden="false" customHeight="false" outlineLevel="0" collapsed="false">
      <c r="A2491" s="16" t="n">
        <v>44498</v>
      </c>
      <c r="B2491" s="23" t="n">
        <f aca="false">YEAR(A2491)</f>
        <v>2021</v>
      </c>
      <c r="C2491" s="17" t="n">
        <v>62316.4</v>
      </c>
      <c r="D2491" s="23" t="n">
        <f aca="false">A2491-A2490</f>
        <v>1</v>
      </c>
      <c r="E2491" s="24" t="n">
        <f aca="false">LN(C2491)</f>
        <v>11.039979912509</v>
      </c>
      <c r="F2491" s="25" t="n">
        <f aca="false">LN(C2491/C2490)</f>
        <v>0.0282991155928378</v>
      </c>
      <c r="G2491" s="25" t="n">
        <f aca="false">IF(AND(D2491=1,A2491&gt;=$R$2),F2491,"")</f>
        <v>0.0282991155928378</v>
      </c>
      <c r="H2491" s="27" t="n">
        <f aca="false">IF(G2491="","",G2491^2)</f>
        <v>0.000800839943336797</v>
      </c>
      <c r="I2491" s="25" t="n">
        <f aca="false">IF(G2491="","",C2491/C2490-1)</f>
        <v>0.0287033396161818</v>
      </c>
      <c r="J2491" s="17" t="n">
        <f aca="false">AVERAGE(C2292:C2491)</f>
        <v>45310.0047</v>
      </c>
      <c r="K2491" s="17" t="n">
        <f aca="false">MAX(K2490,C2491)</f>
        <v>66005.17</v>
      </c>
      <c r="L2491" s="25" t="n">
        <f aca="false">C2491/K2491-1</f>
        <v>-0.0558860768027716</v>
      </c>
      <c r="M2491" s="25" t="n">
        <f aca="false">IF(COUNT(G2462:G2491)&lt;20,"",_xlfn.STDEV.S(G2462:G2491)*SQRT($R$3))</f>
        <v>0.682142837641475</v>
      </c>
      <c r="N2491" s="25" t="n">
        <f aca="false">IF(A2491-7&lt;$R$2,"",C2491/INDEX(Clean_Data!$C$2:$C$4314,MATCH(A2491-7,Clean_Data!$A$2:$A$4314,1))-1)</f>
        <v>0.0271073440274923</v>
      </c>
      <c r="O2491" s="25" t="n">
        <f aca="false">IF(A2491-30&lt;$R$2,"",C2491/INDEX(Clean_Data!$C$2:$C$4314,MATCH(A2491-30,Clean_Data!$A$2:$A$4314,1))-1)</f>
        <v>0.500786682108901</v>
      </c>
    </row>
    <row r="2492" customFormat="false" ht="15" hidden="false" customHeight="false" outlineLevel="0" collapsed="false">
      <c r="A2492" s="16" t="n">
        <v>44499</v>
      </c>
      <c r="B2492" s="23" t="n">
        <f aca="false">YEAR(A2492)</f>
        <v>2021</v>
      </c>
      <c r="C2492" s="17" t="n">
        <v>62062.88</v>
      </c>
      <c r="D2492" s="23" t="n">
        <f aca="false">A2492-A2491</f>
        <v>1</v>
      </c>
      <c r="E2492" s="24" t="n">
        <f aca="false">LN(C2492)</f>
        <v>11.0359033436288</v>
      </c>
      <c r="F2492" s="25" t="n">
        <f aca="false">LN(C2492/C2491)</f>
        <v>-0.00407656888014782</v>
      </c>
      <c r="G2492" s="25" t="n">
        <f aca="false">IF(AND(D2492=1,A2492&gt;=$R$2),F2492,"")</f>
        <v>-0.00407656888014782</v>
      </c>
      <c r="H2492" s="27" t="n">
        <f aca="false">IF(G2492="","",G2492^2)</f>
        <v>1.66184138345897E-005</v>
      </c>
      <c r="I2492" s="25" t="n">
        <f aca="false">IF(G2492="","",C2492/C2491-1)</f>
        <v>-0.00406827095275086</v>
      </c>
      <c r="J2492" s="17" t="n">
        <f aca="false">AVERAGE(C2293:C2492)</f>
        <v>45302.0144</v>
      </c>
      <c r="K2492" s="17" t="n">
        <f aca="false">MAX(K2491,C2492)</f>
        <v>66005.17</v>
      </c>
      <c r="L2492" s="25" t="n">
        <f aca="false">C2492/K2492-1</f>
        <v>-0.0597269880526026</v>
      </c>
      <c r="M2492" s="25" t="n">
        <f aca="false">IF(COUNT(G2463:G2492)&lt;20,"",_xlfn.STDEV.S(G2463:G2492)*SQRT($R$3))</f>
        <v>0.668586831788285</v>
      </c>
      <c r="N2492" s="25" t="n">
        <f aca="false">IF(A2492-7&lt;$R$2,"",C2492/INDEX(Clean_Data!$C$2:$C$4314,MATCH(A2492-7,Clean_Data!$A$2:$A$4314,1))-1)</f>
        <v>0.0123114257841013</v>
      </c>
      <c r="O2492" s="25" t="n">
        <f aca="false">IF(A2492-30&lt;$R$2,"",C2492/INDEX(Clean_Data!$C$2:$C$4314,MATCH(A2492-30,Clean_Data!$A$2:$A$4314,1))-1)</f>
        <v>0.415860690883316</v>
      </c>
    </row>
    <row r="2493" customFormat="false" ht="15" hidden="false" customHeight="false" outlineLevel="0" collapsed="false">
      <c r="A2493" s="16" t="n">
        <v>44500</v>
      </c>
      <c r="B2493" s="23" t="n">
        <f aca="false">YEAR(A2493)</f>
        <v>2021</v>
      </c>
      <c r="C2493" s="17" t="n">
        <v>61333.45</v>
      </c>
      <c r="D2493" s="23" t="n">
        <f aca="false">A2493-A2492</f>
        <v>1</v>
      </c>
      <c r="E2493" s="24" t="n">
        <f aca="false">LN(C2493)</f>
        <v>11.0240806500951</v>
      </c>
      <c r="F2493" s="25" t="n">
        <f aca="false">LN(C2493/C2492)</f>
        <v>-0.0118226935336871</v>
      </c>
      <c r="G2493" s="25" t="n">
        <f aca="false">IF(AND(D2493=1,A2493&gt;=$R$2),F2493,"")</f>
        <v>-0.0118226935336871</v>
      </c>
      <c r="H2493" s="27" t="n">
        <f aca="false">IF(G2493="","",G2493^2)</f>
        <v>0.000139776082391486</v>
      </c>
      <c r="I2493" s="25" t="n">
        <f aca="false">IF(G2493="","",C2493/C2492-1)</f>
        <v>-0.0117530801019869</v>
      </c>
      <c r="J2493" s="17" t="n">
        <f aca="false">AVERAGE(C2294:C2493)</f>
        <v>45292.2645</v>
      </c>
      <c r="K2493" s="17" t="n">
        <f aca="false">MAX(K2492,C2493)</f>
        <v>66005.17</v>
      </c>
      <c r="L2493" s="25" t="n">
        <f aca="false">C2493/K2493-1</f>
        <v>-0.0707780920797568</v>
      </c>
      <c r="M2493" s="25" t="n">
        <f aca="false">IF(COUNT(G2464:G2493)&lt;20,"",_xlfn.STDEV.S(G2464:G2493)*SQRT($R$3))</f>
        <v>0.603437438154922</v>
      </c>
      <c r="N2493" s="25" t="n">
        <f aca="false">IF(A2493-7&lt;$R$2,"",C2493/INDEX(Clean_Data!$C$2:$C$4314,MATCH(A2493-7,Clean_Data!$A$2:$A$4314,1))-1)</f>
        <v>0.00729256532457767</v>
      </c>
      <c r="O2493" s="25" t="n">
        <f aca="false">IF(A2493-30&lt;$R$2,"",C2493/INDEX(Clean_Data!$C$2:$C$4314,MATCH(A2493-30,Clean_Data!$A$2:$A$4314,1))-1)</f>
        <v>0.273922876024969</v>
      </c>
    </row>
    <row r="2494" customFormat="false" ht="15" hidden="false" customHeight="false" outlineLevel="0" collapsed="false">
      <c r="A2494" s="16" t="n">
        <v>44501</v>
      </c>
      <c r="B2494" s="23" t="n">
        <f aca="false">YEAR(A2494)</f>
        <v>2021</v>
      </c>
      <c r="C2494" s="17" t="n">
        <v>60950</v>
      </c>
      <c r="D2494" s="23" t="n">
        <f aca="false">A2494-A2493</f>
        <v>1</v>
      </c>
      <c r="E2494" s="24" t="n">
        <f aca="false">LN(C2494)</f>
        <v>11.0178091349094</v>
      </c>
      <c r="F2494" s="25" t="n">
        <f aca="false">LN(C2494/C2493)</f>
        <v>-0.00627151518569921</v>
      </c>
      <c r="G2494" s="25" t="n">
        <f aca="false">IF(AND(D2494=1,A2494&gt;=$R$2),F2494,"")</f>
        <v>-0.00627151518569921</v>
      </c>
      <c r="H2494" s="27" t="n">
        <f aca="false">IF(G2494="","",G2494^2)</f>
        <v>3.93319027244558E-005</v>
      </c>
      <c r="I2494" s="25" t="n">
        <f aca="false">IF(G2494="","",C2494/C2493-1)</f>
        <v>-0.00625189028173034</v>
      </c>
      <c r="J2494" s="17" t="n">
        <f aca="false">AVERAGE(C2295:C2494)</f>
        <v>45280.27985</v>
      </c>
      <c r="K2494" s="17" t="n">
        <f aca="false">MAX(K2493,C2494)</f>
        <v>66005.17</v>
      </c>
      <c r="L2494" s="25" t="n">
        <f aca="false">C2494/K2494-1</f>
        <v>-0.0765874854954544</v>
      </c>
      <c r="M2494" s="25" t="n">
        <f aca="false">IF(COUNT(G2465:G2494)&lt;20,"",_xlfn.STDEV.S(G2465:G2494)*SQRT($R$3))</f>
        <v>0.602379486051465</v>
      </c>
      <c r="N2494" s="25" t="n">
        <f aca="false">IF(A2494-7&lt;$R$2,"",C2494/INDEX(Clean_Data!$C$2:$C$4314,MATCH(A2494-7,Clean_Data!$A$2:$A$4314,1))-1)</f>
        <v>-0.0341162195102819</v>
      </c>
      <c r="O2494" s="25" t="n">
        <f aca="false">IF(A2494-30&lt;$R$2,"",C2494/INDEX(Clean_Data!$C$2:$C$4314,MATCH(A2494-30,Clean_Data!$A$2:$A$4314,1))-1)</f>
        <v>0.277969339219611</v>
      </c>
    </row>
    <row r="2495" customFormat="false" ht="15" hidden="false" customHeight="false" outlineLevel="0" collapsed="false">
      <c r="A2495" s="16" t="n">
        <v>44502</v>
      </c>
      <c r="B2495" s="23" t="n">
        <f aca="false">YEAR(A2495)</f>
        <v>2021</v>
      </c>
      <c r="C2495" s="17" t="n">
        <v>63357.2</v>
      </c>
      <c r="D2495" s="23" t="n">
        <f aca="false">A2495-A2494</f>
        <v>1</v>
      </c>
      <c r="E2495" s="24" t="n">
        <f aca="false">LN(C2495)</f>
        <v>11.0565438335926</v>
      </c>
      <c r="F2495" s="25" t="n">
        <f aca="false">LN(C2495/C2494)</f>
        <v>0.0387346986832062</v>
      </c>
      <c r="G2495" s="25" t="n">
        <f aca="false">IF(AND(D2495=1,A2495&gt;=$R$2),F2495,"")</f>
        <v>0.0387346986832062</v>
      </c>
      <c r="H2495" s="27" t="n">
        <f aca="false">IF(G2495="","",G2495^2)</f>
        <v>0.00150037688207878</v>
      </c>
      <c r="I2495" s="25" t="n">
        <f aca="false">IF(G2495="","",C2495/C2494-1)</f>
        <v>0.0394946677604593</v>
      </c>
      <c r="J2495" s="17" t="n">
        <f aca="false">AVERAGE(C2296:C2495)</f>
        <v>45289.63545</v>
      </c>
      <c r="K2495" s="17" t="n">
        <f aca="false">MAX(K2494,C2495)</f>
        <v>66005.17</v>
      </c>
      <c r="L2495" s="25" t="n">
        <f aca="false">C2495/K2495-1</f>
        <v>-0.0401176150292469</v>
      </c>
      <c r="M2495" s="25" t="n">
        <f aca="false">IF(COUNT(G2466:G2495)&lt;20,"",_xlfn.STDEV.S(G2466:G2495)*SQRT($R$3))</f>
        <v>0.611737346281838</v>
      </c>
      <c r="N2495" s="25" t="n">
        <f aca="false">IF(A2495-7&lt;$R$2,"",C2495/INDEX(Clean_Data!$C$2:$C$4314,MATCH(A2495-7,Clean_Data!$A$2:$A$4314,1))-1)</f>
        <v>0.0499822592221799</v>
      </c>
      <c r="O2495" s="25" t="n">
        <f aca="false">IF(A2495-30&lt;$R$2,"",C2495/INDEX(Clean_Data!$C$2:$C$4314,MATCH(A2495-30,Clean_Data!$A$2:$A$4314,1))-1)</f>
        <v>0.315015017695164</v>
      </c>
    </row>
    <row r="2496" customFormat="false" ht="15" hidden="false" customHeight="false" outlineLevel="0" collapsed="false">
      <c r="A2496" s="16" t="n">
        <v>44503</v>
      </c>
      <c r="B2496" s="23" t="n">
        <f aca="false">YEAR(A2496)</f>
        <v>2021</v>
      </c>
      <c r="C2496" s="17" t="n">
        <v>62944.4</v>
      </c>
      <c r="D2496" s="23" t="n">
        <f aca="false">A2496-A2495</f>
        <v>1</v>
      </c>
      <c r="E2496" s="24" t="n">
        <f aca="false">LN(C2496)</f>
        <v>11.0500070760237</v>
      </c>
      <c r="F2496" s="25" t="n">
        <f aca="false">LN(C2496/C2495)</f>
        <v>-0.00653675756892098</v>
      </c>
      <c r="G2496" s="25" t="n">
        <f aca="false">IF(AND(D2496=1,A2496&gt;=$R$2),F2496,"")</f>
        <v>-0.00653675756892098</v>
      </c>
      <c r="H2496" s="27" t="n">
        <f aca="false">IF(G2496="","",G2496^2)</f>
        <v>4.27291995148457E-005</v>
      </c>
      <c r="I2496" s="25" t="n">
        <f aca="false">IF(G2496="","",C2496/C2495-1)</f>
        <v>-0.00651543944492494</v>
      </c>
      <c r="J2496" s="17" t="n">
        <f aca="false">AVERAGE(C2297:C2496)</f>
        <v>45303.3608</v>
      </c>
      <c r="K2496" s="17" t="n">
        <f aca="false">MAX(K2495,C2496)</f>
        <v>66005.17</v>
      </c>
      <c r="L2496" s="25" t="n">
        <f aca="false">C2496/K2496-1</f>
        <v>-0.046371670582774</v>
      </c>
      <c r="M2496" s="25" t="n">
        <f aca="false">IF(COUNT(G2467:G2496)&lt;20,"",_xlfn.STDEV.S(G2467:G2496)*SQRT($R$3))</f>
        <v>0.612294292879046</v>
      </c>
      <c r="N2496" s="25" t="n">
        <f aca="false">IF(A2496-7&lt;$R$2,"",C2496/INDEX(Clean_Data!$C$2:$C$4314,MATCH(A2496-7,Clean_Data!$A$2:$A$4314,1))-1)</f>
        <v>0.0756488516875518</v>
      </c>
      <c r="O2496" s="25" t="n">
        <f aca="false">IF(A2496-30&lt;$R$2,"",C2496/INDEX(Clean_Data!$C$2:$C$4314,MATCH(A2496-30,Clean_Data!$A$2:$A$4314,1))-1)</f>
        <v>0.278093138739962</v>
      </c>
    </row>
    <row r="2497" customFormat="false" ht="15" hidden="false" customHeight="false" outlineLevel="0" collapsed="false">
      <c r="A2497" s="16" t="n">
        <v>44504</v>
      </c>
      <c r="B2497" s="23" t="n">
        <f aca="false">YEAR(A2497)</f>
        <v>2021</v>
      </c>
      <c r="C2497" s="17" t="n">
        <v>61499.24</v>
      </c>
      <c r="D2497" s="23" t="n">
        <f aca="false">A2497-A2496</f>
        <v>1</v>
      </c>
      <c r="E2497" s="24" t="n">
        <f aca="false">LN(C2497)</f>
        <v>11.0267800959947</v>
      </c>
      <c r="F2497" s="25" t="n">
        <f aca="false">LN(C2497/C2496)</f>
        <v>-0.0232269800290283</v>
      </c>
      <c r="G2497" s="25" t="n">
        <f aca="false">IF(AND(D2497=1,A2497&gt;=$R$2),F2497,"")</f>
        <v>-0.0232269800290283</v>
      </c>
      <c r="H2497" s="27" t="n">
        <f aca="false">IF(G2497="","",G2497^2)</f>
        <v>0.000539492601268878</v>
      </c>
      <c r="I2497" s="25" t="n">
        <f aca="false">IF(G2497="","",C2497/C2496-1)</f>
        <v>-0.0229593101213135</v>
      </c>
      <c r="J2497" s="17" t="n">
        <f aca="false">AVERAGE(C2298:C2497)</f>
        <v>45329.101</v>
      </c>
      <c r="K2497" s="17" t="n">
        <f aca="false">MAX(K2496,C2497)</f>
        <v>66005.17</v>
      </c>
      <c r="L2497" s="25" t="n">
        <f aca="false">C2497/K2497-1</f>
        <v>-0.0682663191383341</v>
      </c>
      <c r="M2497" s="25" t="n">
        <f aca="false">IF(COUNT(G2468:G2497)&lt;20,"",_xlfn.STDEV.S(G2468:G2497)*SQRT($R$3))</f>
        <v>0.60801691462235</v>
      </c>
      <c r="N2497" s="25" t="n">
        <f aca="false">IF(A2497-7&lt;$R$2,"",C2497/INDEX(Clean_Data!$C$2:$C$4314,MATCH(A2497-7,Clean_Data!$A$2:$A$4314,1))-1)</f>
        <v>0.015213869412499</v>
      </c>
      <c r="O2497" s="25" t="n">
        <f aca="false">IF(A2497-30&lt;$R$2,"",C2497/INDEX(Clean_Data!$C$2:$C$4314,MATCH(A2497-30,Clean_Data!$A$2:$A$4314,1))-1)</f>
        <v>0.195512437954082</v>
      </c>
    </row>
    <row r="2498" customFormat="false" ht="15" hidden="false" customHeight="false" outlineLevel="0" collapsed="false">
      <c r="A2498" s="16" t="n">
        <v>44505</v>
      </c>
      <c r="B2498" s="23" t="n">
        <f aca="false">YEAR(A2498)</f>
        <v>2021</v>
      </c>
      <c r="C2498" s="17" t="n">
        <v>61000.01</v>
      </c>
      <c r="D2498" s="23" t="n">
        <f aca="false">A2498-A2497</f>
        <v>1</v>
      </c>
      <c r="E2498" s="24" t="n">
        <f aca="false">LN(C2498)</f>
        <v>11.0186293070899</v>
      </c>
      <c r="F2498" s="25" t="n">
        <f aca="false">LN(C2498/C2497)</f>
        <v>-0.00815078890481352</v>
      </c>
      <c r="G2498" s="25" t="n">
        <f aca="false">IF(AND(D2498=1,A2498&gt;=$R$2),F2498,"")</f>
        <v>-0.00815078890481352</v>
      </c>
      <c r="H2498" s="27" t="n">
        <f aca="false">IF(G2498="","",G2498^2)</f>
        <v>6.64353597708312E-005</v>
      </c>
      <c r="I2498" s="25" t="n">
        <f aca="false">IF(G2498="","",C2498/C2497-1)</f>
        <v>-0.00811766129142399</v>
      </c>
      <c r="J2498" s="17" t="n">
        <f aca="false">AVERAGE(C2299:C2498)</f>
        <v>45355.1141</v>
      </c>
      <c r="K2498" s="17" t="n">
        <f aca="false">MAX(K2497,C2498)</f>
        <v>66005.17</v>
      </c>
      <c r="L2498" s="25" t="n">
        <f aca="false">C2498/K2498-1</f>
        <v>-0.0758298175733809</v>
      </c>
      <c r="M2498" s="25" t="n">
        <f aca="false">IF(COUNT(G2469:G2498)&lt;20,"",_xlfn.STDEV.S(G2469:G2498)*SQRT($R$3))</f>
        <v>0.560979356285289</v>
      </c>
      <c r="N2498" s="25" t="n">
        <f aca="false">IF(A2498-7&lt;$R$2,"",C2498/INDEX(Clean_Data!$C$2:$C$4314,MATCH(A2498-7,Clean_Data!$A$2:$A$4314,1))-1)</f>
        <v>-0.0211242947281936</v>
      </c>
      <c r="O2498" s="25" t="n">
        <f aca="false">IF(A2498-30&lt;$R$2,"",C2498/INDEX(Clean_Data!$C$2:$C$4314,MATCH(A2498-30,Clean_Data!$A$2:$A$4314,1))-1)</f>
        <v>0.103500556453632</v>
      </c>
    </row>
    <row r="2499" customFormat="false" ht="15" hidden="false" customHeight="false" outlineLevel="0" collapsed="false">
      <c r="A2499" s="16" t="n">
        <v>44506</v>
      </c>
      <c r="B2499" s="23" t="n">
        <f aca="false">YEAR(A2499)</f>
        <v>2021</v>
      </c>
      <c r="C2499" s="17" t="n">
        <v>61539.3</v>
      </c>
      <c r="D2499" s="23" t="n">
        <f aca="false">A2499-A2498</f>
        <v>1</v>
      </c>
      <c r="E2499" s="24" t="n">
        <f aca="false">LN(C2499)</f>
        <v>11.0274312740957</v>
      </c>
      <c r="F2499" s="25" t="n">
        <f aca="false">LN(C2499/C2498)</f>
        <v>0.00880196700584716</v>
      </c>
      <c r="G2499" s="25" t="n">
        <f aca="false">IF(AND(D2499=1,A2499&gt;=$R$2),F2499,"")</f>
        <v>0.00880196700584716</v>
      </c>
      <c r="H2499" s="27" t="n">
        <f aca="false">IF(G2499="","",G2499^2)</f>
        <v>7.7474623172022E-005</v>
      </c>
      <c r="I2499" s="25" t="n">
        <f aca="false">IF(G2499="","",C2499/C2498-1)</f>
        <v>0.00884081822281679</v>
      </c>
      <c r="J2499" s="17" t="n">
        <f aca="false">AVERAGE(C2300:C2499)</f>
        <v>45380.2361</v>
      </c>
      <c r="K2499" s="17" t="n">
        <f aca="false">MAX(K2498,C2499)</f>
        <v>66005.17</v>
      </c>
      <c r="L2499" s="25" t="n">
        <f aca="false">C2499/K2499-1</f>
        <v>-0.0676593969835999</v>
      </c>
      <c r="M2499" s="25" t="n">
        <f aca="false">IF(COUNT(G2470:G2499)&lt;20,"",_xlfn.STDEV.S(G2470:G2499)*SQRT($R$3))</f>
        <v>0.550965982215317</v>
      </c>
      <c r="N2499" s="25" t="n">
        <f aca="false">IF(A2499-7&lt;$R$2,"",C2499/INDEX(Clean_Data!$C$2:$C$4314,MATCH(A2499-7,Clean_Data!$A$2:$A$4314,1))-1)</f>
        <v>-0.00843628268620467</v>
      </c>
      <c r="O2499" s="25" t="n">
        <f aca="false">IF(A2499-30&lt;$R$2,"",C2499/INDEX(Clean_Data!$C$2:$C$4314,MATCH(A2499-30,Clean_Data!$A$2:$A$4314,1))-1)</f>
        <v>0.142902723645801</v>
      </c>
    </row>
    <row r="2500" customFormat="false" ht="15" hidden="false" customHeight="false" outlineLevel="0" collapsed="false">
      <c r="A2500" s="16" t="n">
        <v>44507</v>
      </c>
      <c r="B2500" s="23" t="n">
        <f aca="false">YEAR(A2500)</f>
        <v>2021</v>
      </c>
      <c r="C2500" s="17" t="n">
        <v>63433.66</v>
      </c>
      <c r="D2500" s="23" t="n">
        <f aca="false">A2500-A2499</f>
        <v>1</v>
      </c>
      <c r="E2500" s="24" t="n">
        <f aca="false">LN(C2500)</f>
        <v>11.0577499143664</v>
      </c>
      <c r="F2500" s="25" t="n">
        <f aca="false">LN(C2500/C2499)</f>
        <v>0.0303186402706944</v>
      </c>
      <c r="G2500" s="25" t="n">
        <f aca="false">IF(AND(D2500=1,A2500&gt;=$R$2),F2500,"")</f>
        <v>0.0303186402706944</v>
      </c>
      <c r="H2500" s="27" t="n">
        <f aca="false">IF(G2500="","",G2500^2)</f>
        <v>0.00091921994786377</v>
      </c>
      <c r="I2500" s="25" t="n">
        <f aca="false">IF(G2500="","",C2500/C2499-1)</f>
        <v>0.0307829305825709</v>
      </c>
      <c r="J2500" s="17" t="n">
        <f aca="false">AVERAGE(C2301:C2500)</f>
        <v>45427.807</v>
      </c>
      <c r="K2500" s="17" t="n">
        <f aca="false">MAX(K2499,C2500)</f>
        <v>66005.17</v>
      </c>
      <c r="L2500" s="25" t="n">
        <f aca="false">C2500/K2500-1</f>
        <v>-0.0389592209216338</v>
      </c>
      <c r="M2500" s="25" t="n">
        <f aca="false">IF(COUNT(G2471:G2500)&lt;20,"",_xlfn.STDEV.S(G2471:G2500)*SQRT($R$3))</f>
        <v>0.558226417049976</v>
      </c>
      <c r="N2500" s="25" t="n">
        <f aca="false">IF(A2500-7&lt;$R$2,"",C2500/INDEX(Clean_Data!$C$2:$C$4314,MATCH(A2500-7,Clean_Data!$A$2:$A$4314,1))-1)</f>
        <v>0.0342424892126565</v>
      </c>
      <c r="O2500" s="25" t="n">
        <f aca="false">IF(A2500-30&lt;$R$2,"",C2500/INDEX(Clean_Data!$C$2:$C$4314,MATCH(A2500-30,Clean_Data!$A$2:$A$4314,1))-1)</f>
        <v>0.175062764885601</v>
      </c>
    </row>
    <row r="2501" customFormat="false" ht="15" hidden="false" customHeight="false" outlineLevel="0" collapsed="false">
      <c r="A2501" s="16" t="n">
        <v>44508</v>
      </c>
      <c r="B2501" s="23" t="n">
        <f aca="false">YEAR(A2501)</f>
        <v>2021</v>
      </c>
      <c r="C2501" s="17" t="n">
        <v>67510.06</v>
      </c>
      <c r="D2501" s="23" t="n">
        <f aca="false">A2501-A2500</f>
        <v>1</v>
      </c>
      <c r="E2501" s="24" t="n">
        <f aca="false">LN(C2501)</f>
        <v>11.1200319027927</v>
      </c>
      <c r="F2501" s="25" t="n">
        <f aca="false">LN(C2501/C2500)</f>
        <v>0.0622819884263398</v>
      </c>
      <c r="G2501" s="25" t="n">
        <f aca="false">IF(AND(D2501=1,A2501&gt;=$R$2),F2501,"")</f>
        <v>0.0622819884263398</v>
      </c>
      <c r="H2501" s="27" t="n">
        <f aca="false">IF(G2501="","",G2501^2)</f>
        <v>0.00387904608233872</v>
      </c>
      <c r="I2501" s="25" t="n">
        <f aca="false">IF(G2501="","",C2501/C2500-1)</f>
        <v>0.0642624121010831</v>
      </c>
      <c r="J2501" s="17" t="n">
        <f aca="false">AVERAGE(C2302:C2501)</f>
        <v>45507.09095</v>
      </c>
      <c r="K2501" s="17" t="n">
        <f aca="false">MAX(K2500,C2501)</f>
        <v>67510.06</v>
      </c>
      <c r="L2501" s="25" t="n">
        <f aca="false">C2501/K2501-1</f>
        <v>0</v>
      </c>
      <c r="M2501" s="25" t="n">
        <f aca="false">IF(COUNT(G2472:G2501)&lt;20,"",_xlfn.STDEV.S(G2472:G2501)*SQRT($R$3))</f>
        <v>0.591275900594961</v>
      </c>
      <c r="N2501" s="25" t="n">
        <f aca="false">IF(A2501-7&lt;$R$2,"",C2501/INDEX(Clean_Data!$C$2:$C$4314,MATCH(A2501-7,Clean_Data!$A$2:$A$4314,1))-1)</f>
        <v>0.107630188679245</v>
      </c>
      <c r="O2501" s="25" t="n">
        <f aca="false">IF(A2501-30&lt;$R$2,"",C2501/INDEX(Clean_Data!$C$2:$C$4314,MATCH(A2501-30,Clean_Data!$A$2:$A$4314,1))-1)</f>
        <v>0.228543455750819</v>
      </c>
    </row>
    <row r="2502" customFormat="false" ht="15" hidden="false" customHeight="false" outlineLevel="0" collapsed="false">
      <c r="A2502" s="16" t="n">
        <v>44509</v>
      </c>
      <c r="B2502" s="23" t="n">
        <f aca="false">YEAR(A2502)</f>
        <v>2021</v>
      </c>
      <c r="C2502" s="17" t="n">
        <v>66967.98</v>
      </c>
      <c r="D2502" s="23" t="n">
        <f aca="false">A2502-A2501</f>
        <v>1</v>
      </c>
      <c r="E2502" s="24" t="n">
        <f aca="false">LN(C2502)</f>
        <v>11.1119698736897</v>
      </c>
      <c r="F2502" s="25" t="n">
        <f aca="false">LN(C2502/C2501)</f>
        <v>-0.0080620291029962</v>
      </c>
      <c r="G2502" s="25" t="n">
        <f aca="false">IF(AND(D2502=1,A2502&gt;=$R$2),F2502,"")</f>
        <v>-0.0080620291029962</v>
      </c>
      <c r="H2502" s="27" t="n">
        <f aca="false">IF(G2502="","",G2502^2)</f>
        <v>6.49963132575578E-005</v>
      </c>
      <c r="I2502" s="25" t="n">
        <f aca="false">IF(G2502="","",C2502/C2501-1)</f>
        <v>-0.00802961810432401</v>
      </c>
      <c r="J2502" s="17" t="n">
        <f aca="false">AVERAGE(C2303:C2502)</f>
        <v>45585.7724</v>
      </c>
      <c r="K2502" s="17" t="n">
        <f aca="false">MAX(K2501,C2502)</f>
        <v>67510.06</v>
      </c>
      <c r="L2502" s="25" t="n">
        <f aca="false">C2502/K2502-1</f>
        <v>-0.00802961810432401</v>
      </c>
      <c r="M2502" s="25" t="n">
        <f aca="false">IF(COUNT(G2473:G2502)&lt;20,"",_xlfn.STDEV.S(G2473:G2502)*SQRT($R$3))</f>
        <v>0.592042786547061</v>
      </c>
      <c r="N2502" s="25" t="n">
        <f aca="false">IF(A2502-7&lt;$R$2,"",C2502/INDEX(Clean_Data!$C$2:$C$4314,MATCH(A2502-7,Clean_Data!$A$2:$A$4314,1))-1)</f>
        <v>0.0569908392416332</v>
      </c>
      <c r="O2502" s="25" t="n">
        <f aca="false">IF(A2502-30&lt;$R$2,"",C2502/INDEX(Clean_Data!$C$2:$C$4314,MATCH(A2502-30,Clean_Data!$A$2:$A$4314,1))-1)</f>
        <v>0.225278792724585</v>
      </c>
    </row>
    <row r="2503" customFormat="false" ht="15" hidden="false" customHeight="false" outlineLevel="0" collapsed="false">
      <c r="A2503" s="16" t="n">
        <v>44510</v>
      </c>
      <c r="B2503" s="23" t="n">
        <f aca="false">YEAR(A2503)</f>
        <v>2021</v>
      </c>
      <c r="C2503" s="17" t="n">
        <v>64896.86</v>
      </c>
      <c r="D2503" s="23" t="n">
        <f aca="false">A2503-A2502</f>
        <v>1</v>
      </c>
      <c r="E2503" s="24" t="n">
        <f aca="false">LN(C2503)</f>
        <v>11.0805545193954</v>
      </c>
      <c r="F2503" s="25" t="n">
        <f aca="false">LN(C2503/C2502)</f>
        <v>-0.0314153542943658</v>
      </c>
      <c r="G2503" s="25" t="n">
        <f aca="false">IF(AND(D2503=1,A2503&gt;=$R$2),F2503,"")</f>
        <v>-0.0314153542943658</v>
      </c>
      <c r="H2503" s="27" t="n">
        <f aca="false">IF(G2503="","",G2503^2)</f>
        <v>0.000986924485440528</v>
      </c>
      <c r="I2503" s="25" t="n">
        <f aca="false">IF(G2503="","",C2503/C2502-1)</f>
        <v>-0.0309270191515407</v>
      </c>
      <c r="J2503" s="17" t="n">
        <f aca="false">AVERAGE(C2304:C2503)</f>
        <v>45659.4192</v>
      </c>
      <c r="K2503" s="17" t="n">
        <f aca="false">MAX(K2502,C2503)</f>
        <v>67510.06</v>
      </c>
      <c r="L2503" s="25" t="n">
        <f aca="false">C2503/K2503-1</f>
        <v>-0.0387083051029727</v>
      </c>
      <c r="M2503" s="25" t="n">
        <f aca="false">IF(COUNT(G2474:G2503)&lt;20,"",_xlfn.STDEV.S(G2474:G2503)*SQRT($R$3))</f>
        <v>0.585593667347634</v>
      </c>
      <c r="N2503" s="25" t="n">
        <f aca="false">IF(A2503-7&lt;$R$2,"",C2503/INDEX(Clean_Data!$C$2:$C$4314,MATCH(A2503-7,Clean_Data!$A$2:$A$4314,1))-1)</f>
        <v>0.0310188038967725</v>
      </c>
      <c r="O2503" s="25" t="n">
        <f aca="false">IF(A2503-30&lt;$R$2,"",C2503/INDEX(Clean_Data!$C$2:$C$4314,MATCH(A2503-30,Clean_Data!$A$2:$A$4314,1))-1)</f>
        <v>0.129819002594879</v>
      </c>
    </row>
    <row r="2504" customFormat="false" ht="15" hidden="false" customHeight="false" outlineLevel="0" collapsed="false">
      <c r="A2504" s="16" t="n">
        <v>44511</v>
      </c>
      <c r="B2504" s="23" t="n">
        <f aca="false">YEAR(A2504)</f>
        <v>2021</v>
      </c>
      <c r="C2504" s="17" t="n">
        <v>64793.69</v>
      </c>
      <c r="D2504" s="23" t="n">
        <f aca="false">A2504-A2503</f>
        <v>1</v>
      </c>
      <c r="E2504" s="24" t="n">
        <f aca="false">LN(C2504)</f>
        <v>11.0789635010558</v>
      </c>
      <c r="F2504" s="25" t="n">
        <f aca="false">LN(C2504/C2503)</f>
        <v>-0.00159101833962746</v>
      </c>
      <c r="G2504" s="25" t="n">
        <f aca="false">IF(AND(D2504=1,A2504&gt;=$R$2),F2504,"")</f>
        <v>-0.00159101833962746</v>
      </c>
      <c r="H2504" s="27" t="n">
        <f aca="false">IF(G2504="","",G2504^2)</f>
        <v>2.53133935703092E-006</v>
      </c>
      <c r="I2504" s="25" t="n">
        <f aca="false">IF(G2504="","",C2504/C2503-1)</f>
        <v>-0.0015897533409166</v>
      </c>
      <c r="J2504" s="17" t="n">
        <f aca="false">AVERAGE(C2305:C2504)</f>
        <v>45737.02735</v>
      </c>
      <c r="K2504" s="17" t="n">
        <f aca="false">MAX(K2503,C2504)</f>
        <v>67510.06</v>
      </c>
      <c r="L2504" s="25" t="n">
        <f aca="false">C2504/K2504-1</f>
        <v>-0.0402365217865307</v>
      </c>
      <c r="M2504" s="25" t="n">
        <f aca="false">IF(COUNT(G2475:G2504)&lt;20,"",_xlfn.STDEV.S(G2475:G2504)*SQRT($R$3))</f>
        <v>0.576561969835506</v>
      </c>
      <c r="N2504" s="25" t="n">
        <f aca="false">IF(A2504-7&lt;$R$2,"",C2504/INDEX(Clean_Data!$C$2:$C$4314,MATCH(A2504-7,Clean_Data!$A$2:$A$4314,1))-1)</f>
        <v>0.0535689546732612</v>
      </c>
      <c r="O2504" s="25" t="n">
        <f aca="false">IF(A2504-30&lt;$R$2,"",C2504/INDEX(Clean_Data!$C$2:$C$4314,MATCH(A2504-30,Clean_Data!$A$2:$A$4314,1))-1)</f>
        <v>0.156631760238304</v>
      </c>
    </row>
    <row r="2505" customFormat="false" ht="15" hidden="false" customHeight="false" outlineLevel="0" collapsed="false">
      <c r="A2505" s="16" t="n">
        <v>44512</v>
      </c>
      <c r="B2505" s="23" t="n">
        <f aca="false">YEAR(A2505)</f>
        <v>2021</v>
      </c>
      <c r="C2505" s="17" t="n">
        <v>64158.51</v>
      </c>
      <c r="D2505" s="23" t="n">
        <f aca="false">A2505-A2504</f>
        <v>1</v>
      </c>
      <c r="E2505" s="24" t="n">
        <f aca="false">LN(C2505)</f>
        <v>11.0691120190787</v>
      </c>
      <c r="F2505" s="25" t="n">
        <f aca="false">LN(C2505/C2504)</f>
        <v>-0.00985148197703913</v>
      </c>
      <c r="G2505" s="25" t="n">
        <f aca="false">IF(AND(D2505=1,A2505&gt;=$R$2),F2505,"")</f>
        <v>-0.00985148197703913</v>
      </c>
      <c r="H2505" s="27" t="n">
        <f aca="false">IF(G2505="","",G2505^2)</f>
        <v>9.70516971439268E-005</v>
      </c>
      <c r="I2505" s="25" t="n">
        <f aca="false">IF(G2505="","",C2505/C2504-1)</f>
        <v>-0.00980311508728704</v>
      </c>
      <c r="J2505" s="17" t="n">
        <f aca="false">AVERAGE(C2306:C2505)</f>
        <v>45787.97135</v>
      </c>
      <c r="K2505" s="17" t="n">
        <f aca="false">MAX(K2504,C2505)</f>
        <v>67510.06</v>
      </c>
      <c r="L2505" s="25" t="n">
        <f aca="false">C2505/K2505-1</f>
        <v>-0.0496451936200323</v>
      </c>
      <c r="M2505" s="25" t="n">
        <f aca="false">IF(COUNT(G2476:G2505)&lt;20,"",_xlfn.STDEV.S(G2476:G2505)*SQRT($R$3))</f>
        <v>0.574555302630157</v>
      </c>
      <c r="N2505" s="25" t="n">
        <f aca="false">IF(A2505-7&lt;$R$2,"",C2505/INDEX(Clean_Data!$C$2:$C$4314,MATCH(A2505-7,Clean_Data!$A$2:$A$4314,1))-1)</f>
        <v>0.0517786800362821</v>
      </c>
      <c r="O2505" s="25" t="n">
        <f aca="false">IF(A2505-30&lt;$R$2,"",C2505/INDEX(Clean_Data!$C$2:$C$4314,MATCH(A2505-30,Clean_Data!$A$2:$A$4314,1))-1)</f>
        <v>0.118278083663296</v>
      </c>
    </row>
    <row r="2506" customFormat="false" ht="15" hidden="false" customHeight="false" outlineLevel="0" collapsed="false">
      <c r="A2506" s="16" t="n">
        <v>44513</v>
      </c>
      <c r="B2506" s="23" t="n">
        <f aca="false">YEAR(A2506)</f>
        <v>2021</v>
      </c>
      <c r="C2506" s="17" t="n">
        <v>64482.54</v>
      </c>
      <c r="D2506" s="23" t="n">
        <f aca="false">A2506-A2505</f>
        <v>1</v>
      </c>
      <c r="E2506" s="24" t="n">
        <f aca="false">LN(C2506)</f>
        <v>11.0741497684642</v>
      </c>
      <c r="F2506" s="25" t="n">
        <f aca="false">LN(C2506/C2505)</f>
        <v>0.00503774938550268</v>
      </c>
      <c r="G2506" s="25" t="n">
        <f aca="false">IF(AND(D2506=1,A2506&gt;=$R$2),F2506,"")</f>
        <v>0.00503774938550268</v>
      </c>
      <c r="H2506" s="27" t="n">
        <f aca="false">IF(G2506="","",G2506^2)</f>
        <v>2.53789188711327E-005</v>
      </c>
      <c r="I2506" s="25" t="n">
        <f aca="false">IF(G2506="","",C2506/C2505-1)</f>
        <v>0.00505046018057453</v>
      </c>
      <c r="J2506" s="17" t="n">
        <f aca="false">AVERAGE(C2307:C2506)</f>
        <v>45834.78</v>
      </c>
      <c r="K2506" s="17" t="n">
        <f aca="false">MAX(K2505,C2506)</f>
        <v>67510.06</v>
      </c>
      <c r="L2506" s="25" t="n">
        <f aca="false">C2506/K2506-1</f>
        <v>-0.0448454645129925</v>
      </c>
      <c r="M2506" s="25" t="n">
        <f aca="false">IF(COUNT(G2477:G2506)&lt;20,"",_xlfn.STDEV.S(G2477:G2506)*SQRT($R$3))</f>
        <v>0.574337938756054</v>
      </c>
      <c r="N2506" s="25" t="n">
        <f aca="false">IF(A2506-7&lt;$R$2,"",C2506/INDEX(Clean_Data!$C$2:$C$4314,MATCH(A2506-7,Clean_Data!$A$2:$A$4314,1))-1)</f>
        <v>0.0478269983571473</v>
      </c>
      <c r="O2506" s="25" t="n">
        <f aca="false">IF(A2506-30&lt;$R$2,"",C2506/INDEX(Clean_Data!$C$2:$C$4314,MATCH(A2506-30,Clean_Data!$A$2:$A$4314,1))-1)</f>
        <v>0.124817952559602</v>
      </c>
    </row>
    <row r="2507" customFormat="false" ht="15" hidden="false" customHeight="false" outlineLevel="0" collapsed="false">
      <c r="A2507" s="16" t="n">
        <v>44514</v>
      </c>
      <c r="B2507" s="23" t="n">
        <f aca="false">YEAR(A2507)</f>
        <v>2021</v>
      </c>
      <c r="C2507" s="17" t="n">
        <v>65714.05</v>
      </c>
      <c r="D2507" s="23" t="n">
        <f aca="false">A2507-A2506</f>
        <v>1</v>
      </c>
      <c r="E2507" s="24" t="n">
        <f aca="false">LN(C2507)</f>
        <v>11.093068032447</v>
      </c>
      <c r="F2507" s="25" t="n">
        <f aca="false">LN(C2507/C2506)</f>
        <v>0.0189182639827932</v>
      </c>
      <c r="G2507" s="25" t="n">
        <f aca="false">IF(AND(D2507=1,A2507&gt;=$R$2),F2507,"")</f>
        <v>0.0189182639827932</v>
      </c>
      <c r="H2507" s="27" t="n">
        <f aca="false">IF(G2507="","",G2507^2)</f>
        <v>0.000357900712122649</v>
      </c>
      <c r="I2507" s="25" t="n">
        <f aca="false">IF(G2507="","",C2507/C2506-1)</f>
        <v>0.0190983481730094</v>
      </c>
      <c r="J2507" s="17" t="n">
        <f aca="false">AVERAGE(C2308:C2507)</f>
        <v>45888.5297</v>
      </c>
      <c r="K2507" s="17" t="n">
        <f aca="false">MAX(K2506,C2507)</f>
        <v>67510.06</v>
      </c>
      <c r="L2507" s="25" t="n">
        <f aca="false">C2507/K2507-1</f>
        <v>-0.0266035906352327</v>
      </c>
      <c r="M2507" s="25" t="n">
        <f aca="false">IF(COUNT(G2478:G2507)&lt;20,"",_xlfn.STDEV.S(G2478:G2507)*SQRT($R$3))</f>
        <v>0.520578668979517</v>
      </c>
      <c r="N2507" s="25" t="n">
        <f aca="false">IF(A2507-7&lt;$R$2,"",C2507/INDEX(Clean_Data!$C$2:$C$4314,MATCH(A2507-7,Clean_Data!$A$2:$A$4314,1))-1)</f>
        <v>0.0359492105610806</v>
      </c>
      <c r="O2507" s="25" t="n">
        <f aca="false">IF(A2507-30&lt;$R$2,"",C2507/INDEX(Clean_Data!$C$2:$C$4314,MATCH(A2507-30,Clean_Data!$A$2:$A$4314,1))-1)</f>
        <v>0.0653600503741094</v>
      </c>
    </row>
    <row r="2508" customFormat="false" ht="15" hidden="false" customHeight="false" outlineLevel="0" collapsed="false">
      <c r="A2508" s="16" t="n">
        <v>44515</v>
      </c>
      <c r="B2508" s="23" t="n">
        <f aca="false">YEAR(A2508)</f>
        <v>2021</v>
      </c>
      <c r="C2508" s="17" t="n">
        <v>63441.68</v>
      </c>
      <c r="D2508" s="23" t="n">
        <f aca="false">A2508-A2507</f>
        <v>1</v>
      </c>
      <c r="E2508" s="24" t="n">
        <f aca="false">LN(C2508)</f>
        <v>11.0578763376731</v>
      </c>
      <c r="F2508" s="25" t="n">
        <f aca="false">LN(C2508/C2507)</f>
        <v>-0.0351916947739082</v>
      </c>
      <c r="G2508" s="25" t="n">
        <f aca="false">IF(AND(D2508=1,A2508&gt;=$R$2),F2508,"")</f>
        <v>-0.0351916947739082</v>
      </c>
      <c r="H2508" s="27" t="n">
        <f aca="false">IF(G2508="","",G2508^2)</f>
        <v>0.00123845538105991</v>
      </c>
      <c r="I2508" s="25" t="n">
        <f aca="false">IF(G2508="","",C2508/C2507-1)</f>
        <v>-0.0345796675140249</v>
      </c>
      <c r="J2508" s="17" t="n">
        <f aca="false">AVERAGE(C2309:C2508)</f>
        <v>45937.92375</v>
      </c>
      <c r="K2508" s="17" t="n">
        <f aca="false">MAX(K2507,C2508)</f>
        <v>67510.06</v>
      </c>
      <c r="L2508" s="25" t="n">
        <f aca="false">C2508/K2508-1</f>
        <v>-0.0602633148304119</v>
      </c>
      <c r="M2508" s="25" t="n">
        <f aca="false">IF(COUNT(G2479:G2508)&lt;20,"",_xlfn.STDEV.S(G2479:G2508)*SQRT($R$3))</f>
        <v>0.534233439598095</v>
      </c>
      <c r="N2508" s="25" t="n">
        <f aca="false">IF(A2508-7&lt;$R$2,"",C2508/INDEX(Clean_Data!$C$2:$C$4314,MATCH(A2508-7,Clean_Data!$A$2:$A$4314,1))-1)</f>
        <v>-0.0602633148304119</v>
      </c>
      <c r="O2508" s="25" t="n">
        <f aca="false">IF(A2508-30&lt;$R$2,"",C2508/INDEX(Clean_Data!$C$2:$C$4314,MATCH(A2508-30,Clean_Data!$A$2:$A$4314,1))-1)</f>
        <v>0.0420629803953132</v>
      </c>
    </row>
    <row r="2509" customFormat="false" ht="15" hidden="false" customHeight="false" outlineLevel="0" collapsed="false">
      <c r="A2509" s="16" t="n">
        <v>44516</v>
      </c>
      <c r="B2509" s="23" t="n">
        <f aca="false">YEAR(A2509)</f>
        <v>2021</v>
      </c>
      <c r="C2509" s="17" t="n">
        <v>60147.32</v>
      </c>
      <c r="D2509" s="23" t="n">
        <f aca="false">A2509-A2508</f>
        <v>1</v>
      </c>
      <c r="E2509" s="24" t="n">
        <f aca="false">LN(C2509)</f>
        <v>11.0045521651317</v>
      </c>
      <c r="F2509" s="25" t="n">
        <f aca="false">LN(C2509/C2508)</f>
        <v>-0.053324172541363</v>
      </c>
      <c r="G2509" s="25" t="n">
        <f aca="false">IF(AND(D2509=1,A2509&gt;=$R$2),F2509,"")</f>
        <v>-0.053324172541363</v>
      </c>
      <c r="H2509" s="27" t="n">
        <f aca="false">IF(G2509="","",G2509^2)</f>
        <v>0.00284346737722105</v>
      </c>
      <c r="I2509" s="25" t="n">
        <f aca="false">IF(G2509="","",C2509/C2508-1)</f>
        <v>-0.0519273764503084</v>
      </c>
      <c r="J2509" s="17" t="n">
        <f aca="false">AVERAGE(C2310:C2509)</f>
        <v>45950.4595</v>
      </c>
      <c r="K2509" s="17" t="n">
        <f aca="false">MAX(K2508,C2509)</f>
        <v>67510.06</v>
      </c>
      <c r="L2509" s="25" t="n">
        <f aca="false">C2509/K2509-1</f>
        <v>-0.109061375445378</v>
      </c>
      <c r="M2509" s="25" t="n">
        <f aca="false">IF(COUNT(G2480:G2509)&lt;20,"",_xlfn.STDEV.S(G2480:G2509)*SQRT($R$3))</f>
        <v>0.565881534299951</v>
      </c>
      <c r="N2509" s="25" t="n">
        <f aca="false">IF(A2509-7&lt;$R$2,"",C2509/INDEX(Clean_Data!$C$2:$C$4314,MATCH(A2509-7,Clean_Data!$A$2:$A$4314,1))-1)</f>
        <v>-0.101849570496228</v>
      </c>
      <c r="O2509" s="25" t="n">
        <f aca="false">IF(A2509-30&lt;$R$2,"",C2509/INDEX(Clean_Data!$C$2:$C$4314,MATCH(A2509-30,Clean_Data!$A$2:$A$4314,1))-1)</f>
        <v>-0.022646524650798</v>
      </c>
    </row>
    <row r="2510" customFormat="false" ht="15" hidden="false" customHeight="false" outlineLevel="0" collapsed="false">
      <c r="A2510" s="16" t="n">
        <v>44517</v>
      </c>
      <c r="B2510" s="23" t="n">
        <f aca="false">YEAR(A2510)</f>
        <v>2021</v>
      </c>
      <c r="C2510" s="17" t="n">
        <v>60314.28</v>
      </c>
      <c r="D2510" s="23" t="n">
        <f aca="false">A2510-A2509</f>
        <v>1</v>
      </c>
      <c r="E2510" s="24" t="n">
        <f aca="false">LN(C2510)</f>
        <v>11.0073241705992</v>
      </c>
      <c r="F2510" s="25" t="n">
        <f aca="false">LN(C2510/C2509)</f>
        <v>0.00277200546747242</v>
      </c>
      <c r="G2510" s="25" t="n">
        <f aca="false">IF(AND(D2510=1,A2510&gt;=$R$2),F2510,"")</f>
        <v>0.00277200546747242</v>
      </c>
      <c r="H2510" s="27" t="n">
        <f aca="false">IF(G2510="","",G2510^2)</f>
        <v>7.68401431169701E-006</v>
      </c>
      <c r="I2510" s="25" t="n">
        <f aca="false">IF(G2510="","",C2510/C2509-1)</f>
        <v>0.00277585102711142</v>
      </c>
      <c r="J2510" s="17" t="n">
        <f aca="false">AVERAGE(C2311:C2510)</f>
        <v>45962.6862</v>
      </c>
      <c r="K2510" s="17" t="n">
        <f aca="false">MAX(K2509,C2510)</f>
        <v>67510.06</v>
      </c>
      <c r="L2510" s="25" t="n">
        <f aca="false">C2510/K2510-1</f>
        <v>-0.106588262549315</v>
      </c>
      <c r="M2510" s="25" t="n">
        <f aca="false">IF(COUNT(G2481:G2510)&lt;20,"",_xlfn.STDEV.S(G2481:G2510)*SQRT($R$3))</f>
        <v>0.565150604952164</v>
      </c>
      <c r="N2510" s="25" t="n">
        <f aca="false">IF(A2510-7&lt;$R$2,"",C2510/INDEX(Clean_Data!$C$2:$C$4314,MATCH(A2510-7,Clean_Data!$A$2:$A$4314,1))-1)</f>
        <v>-0.0706132777456413</v>
      </c>
      <c r="O2510" s="25" t="n">
        <f aca="false">IF(A2510-30&lt;$R$2,"",C2510/INDEX(Clean_Data!$C$2:$C$4314,MATCH(A2510-30,Clean_Data!$A$2:$A$4314,1))-1)</f>
        <v>-0.0277684508990207</v>
      </c>
    </row>
    <row r="2511" customFormat="false" ht="15" hidden="false" customHeight="false" outlineLevel="0" collapsed="false">
      <c r="A2511" s="16" t="n">
        <v>44518</v>
      </c>
      <c r="B2511" s="23" t="n">
        <f aca="false">YEAR(A2511)</f>
        <v>2021</v>
      </c>
      <c r="C2511" s="17" t="n">
        <v>57017.38</v>
      </c>
      <c r="D2511" s="23" t="n">
        <f aca="false">A2511-A2510</f>
        <v>1</v>
      </c>
      <c r="E2511" s="24" t="n">
        <f aca="false">LN(C2511)</f>
        <v>10.9511114126211</v>
      </c>
      <c r="F2511" s="25" t="n">
        <f aca="false">LN(C2511/C2510)</f>
        <v>-0.0562127579781243</v>
      </c>
      <c r="G2511" s="25" t="n">
        <f aca="false">IF(AND(D2511=1,A2511&gt;=$R$2),F2511,"")</f>
        <v>-0.0562127579781243</v>
      </c>
      <c r="H2511" s="27" t="n">
        <f aca="false">IF(G2511="","",G2511^2)</f>
        <v>0.00315987415950717</v>
      </c>
      <c r="I2511" s="25" t="n">
        <f aca="false">IF(G2511="","",C2511/C2510-1)</f>
        <v>-0.0546620137055437</v>
      </c>
      <c r="J2511" s="17" t="n">
        <f aca="false">AVERAGE(C2312:C2511)</f>
        <v>45964.6149</v>
      </c>
      <c r="K2511" s="17" t="n">
        <f aca="false">MAX(K2510,C2511)</f>
        <v>67510.06</v>
      </c>
      <c r="L2511" s="25" t="n">
        <f aca="false">C2511/K2511-1</f>
        <v>-0.155423947186538</v>
      </c>
      <c r="M2511" s="25" t="n">
        <f aca="false">IF(COUNT(G2482:G2511)&lt;20,"",_xlfn.STDEV.S(G2482:G2511)*SQRT($R$3))</f>
        <v>0.580030908297032</v>
      </c>
      <c r="N2511" s="25" t="n">
        <f aca="false">IF(A2511-7&lt;$R$2,"",C2511/INDEX(Clean_Data!$C$2:$C$4314,MATCH(A2511-7,Clean_Data!$A$2:$A$4314,1))-1)</f>
        <v>-0.120016470739666</v>
      </c>
      <c r="O2511" s="25" t="n">
        <f aca="false">IF(A2511-30&lt;$R$2,"",C2511/INDEX(Clean_Data!$C$2:$C$4314,MATCH(A2511-30,Clean_Data!$A$2:$A$4314,1))-1)</f>
        <v>-0.113997631520757</v>
      </c>
    </row>
    <row r="2512" customFormat="false" ht="15" hidden="false" customHeight="false" outlineLevel="0" collapsed="false">
      <c r="A2512" s="16" t="n">
        <v>44519</v>
      </c>
      <c r="B2512" s="23" t="n">
        <f aca="false">YEAR(A2512)</f>
        <v>2021</v>
      </c>
      <c r="C2512" s="17" t="n">
        <v>58187.85</v>
      </c>
      <c r="D2512" s="23" t="n">
        <f aca="false">A2512-A2511</f>
        <v>1</v>
      </c>
      <c r="E2512" s="24" t="n">
        <f aca="false">LN(C2512)</f>
        <v>10.9714318490389</v>
      </c>
      <c r="F2512" s="25" t="n">
        <f aca="false">LN(C2512/C2511)</f>
        <v>0.0203204364178398</v>
      </c>
      <c r="G2512" s="25" t="n">
        <f aca="false">IF(AND(D2512=1,A2512&gt;=$R$2),F2512,"")</f>
        <v>0.0203204364178398</v>
      </c>
      <c r="H2512" s="27" t="n">
        <f aca="false">IF(G2512="","",G2512^2)</f>
        <v>0.000412920136211472</v>
      </c>
      <c r="I2512" s="25" t="n">
        <f aca="false">IF(G2512="","",C2512/C2511-1)</f>
        <v>0.020528302072105</v>
      </c>
      <c r="J2512" s="17" t="n">
        <f aca="false">AVERAGE(C2313:C2512)</f>
        <v>45969.4877</v>
      </c>
      <c r="K2512" s="17" t="n">
        <f aca="false">MAX(K2511,C2512)</f>
        <v>67510.06</v>
      </c>
      <c r="L2512" s="25" t="n">
        <f aca="false">C2512/K2512-1</f>
        <v>-0.138086234851517</v>
      </c>
      <c r="M2512" s="25" t="n">
        <f aca="false">IF(COUNT(G2483:G2512)&lt;20,"",_xlfn.STDEV.S(G2483:G2512)*SQRT($R$3))</f>
        <v>0.577087383080179</v>
      </c>
      <c r="N2512" s="25" t="n">
        <f aca="false">IF(A2512-7&lt;$R$2,"",C2512/INDEX(Clean_Data!$C$2:$C$4314,MATCH(A2512-7,Clean_Data!$A$2:$A$4314,1))-1)</f>
        <v>-0.0930610763872166</v>
      </c>
      <c r="O2512" s="25" t="n">
        <f aca="false">IF(A2512-30&lt;$R$2,"",C2512/INDEX(Clean_Data!$C$2:$C$4314,MATCH(A2512-30,Clean_Data!$A$2:$A$4314,1))-1)</f>
        <v>-0.118434965018649</v>
      </c>
    </row>
    <row r="2513" customFormat="false" ht="15" hidden="false" customHeight="false" outlineLevel="0" collapsed="false">
      <c r="A2513" s="16" t="n">
        <v>44520</v>
      </c>
      <c r="B2513" s="23" t="n">
        <f aca="false">YEAR(A2513)</f>
        <v>2021</v>
      </c>
      <c r="C2513" s="17" t="n">
        <v>59771.71</v>
      </c>
      <c r="D2513" s="23" t="n">
        <f aca="false">A2513-A2512</f>
        <v>1</v>
      </c>
      <c r="E2513" s="24" t="n">
        <f aca="false">LN(C2513)</f>
        <v>10.9982877510795</v>
      </c>
      <c r="F2513" s="25" t="n">
        <f aca="false">LN(C2513/C2512)</f>
        <v>0.0268559020405277</v>
      </c>
      <c r="G2513" s="25" t="n">
        <f aca="false">IF(AND(D2513=1,A2513&gt;=$R$2),F2513,"")</f>
        <v>0.0268559020405277</v>
      </c>
      <c r="H2513" s="27" t="n">
        <f aca="false">IF(G2513="","",G2513^2)</f>
        <v>0.00072123947441042</v>
      </c>
      <c r="I2513" s="25" t="n">
        <f aca="false">IF(G2513="","",C2513/C2512-1)</f>
        <v>0.0272197718252178</v>
      </c>
      <c r="J2513" s="17" t="n">
        <f aca="false">AVERAGE(C2314:C2513)</f>
        <v>46002.70285</v>
      </c>
      <c r="K2513" s="17" t="n">
        <f aca="false">MAX(K2512,C2513)</f>
        <v>67510.06</v>
      </c>
      <c r="L2513" s="25" t="n">
        <f aca="false">C2513/K2513-1</f>
        <v>-0.114625138831161</v>
      </c>
      <c r="M2513" s="25" t="n">
        <f aca="false">IF(COUNT(G2484:G2513)&lt;20,"",_xlfn.STDEV.S(G2484:G2513)*SQRT($R$3))</f>
        <v>0.550090165134104</v>
      </c>
      <c r="N2513" s="25" t="n">
        <f aca="false">IF(A2513-7&lt;$R$2,"",C2513/INDEX(Clean_Data!$C$2:$C$4314,MATCH(A2513-7,Clean_Data!$A$2:$A$4314,1))-1)</f>
        <v>-0.0730559000932656</v>
      </c>
      <c r="O2513" s="25" t="n">
        <f aca="false">IF(A2513-30&lt;$R$2,"",C2513/INDEX(Clean_Data!$C$2:$C$4314,MATCH(A2513-30,Clean_Data!$A$2:$A$4314,1))-1)</f>
        <v>-0.038299275213432</v>
      </c>
    </row>
    <row r="2514" customFormat="false" ht="15" hidden="false" customHeight="false" outlineLevel="0" collapsed="false">
      <c r="A2514" s="16" t="n">
        <v>44521</v>
      </c>
      <c r="B2514" s="23" t="n">
        <f aca="false">YEAR(A2514)</f>
        <v>2021</v>
      </c>
      <c r="C2514" s="17" t="n">
        <v>58742.9</v>
      </c>
      <c r="D2514" s="23" t="n">
        <f aca="false">A2514-A2513</f>
        <v>1</v>
      </c>
      <c r="E2514" s="24" t="n">
        <f aca="false">LN(C2514)</f>
        <v>10.9809255736395</v>
      </c>
      <c r="F2514" s="25" t="n">
        <f aca="false">LN(C2514/C2513)</f>
        <v>-0.0173621774399569</v>
      </c>
      <c r="G2514" s="25" t="n">
        <f aca="false">IF(AND(D2514=1,A2514&gt;=$R$2),F2514,"")</f>
        <v>-0.0173621774399569</v>
      </c>
      <c r="H2514" s="27" t="n">
        <f aca="false">IF(G2514="","",G2514^2)</f>
        <v>0.000301445205456547</v>
      </c>
      <c r="I2514" s="25" t="n">
        <f aca="false">IF(G2514="","",C2514/C2513-1)</f>
        <v>-0.0172123233549785</v>
      </c>
      <c r="J2514" s="17" t="n">
        <f aca="false">AVERAGE(C2315:C2514)</f>
        <v>46008.8273</v>
      </c>
      <c r="K2514" s="17" t="n">
        <f aca="false">MAX(K2513,C2514)</f>
        <v>67510.06</v>
      </c>
      <c r="L2514" s="25" t="n">
        <f aca="false">C2514/K2514-1</f>
        <v>-0.129864497231968</v>
      </c>
      <c r="M2514" s="25" t="n">
        <f aca="false">IF(COUNT(G2485:G2514)&lt;20,"",_xlfn.STDEV.S(G2485:G2514)*SQRT($R$3))</f>
        <v>0.547065951550293</v>
      </c>
      <c r="N2514" s="25" t="n">
        <f aca="false">IF(A2514-7&lt;$R$2,"",C2514/INDEX(Clean_Data!$C$2:$C$4314,MATCH(A2514-7,Clean_Data!$A$2:$A$4314,1))-1)</f>
        <v>-0.106083097906764</v>
      </c>
      <c r="O2514" s="25" t="n">
        <f aca="false">IF(A2514-30&lt;$R$2,"",C2514/INDEX(Clean_Data!$C$2:$C$4314,MATCH(A2514-30,Clean_Data!$A$2:$A$4314,1))-1)</f>
        <v>-0.0317915669154095</v>
      </c>
    </row>
    <row r="2515" customFormat="false" ht="15" hidden="false" customHeight="false" outlineLevel="0" collapsed="false">
      <c r="A2515" s="16" t="n">
        <v>44522</v>
      </c>
      <c r="B2515" s="23" t="n">
        <f aca="false">YEAR(A2515)</f>
        <v>2021</v>
      </c>
      <c r="C2515" s="17" t="n">
        <v>56254.57</v>
      </c>
      <c r="D2515" s="23" t="n">
        <f aca="false">A2515-A2514</f>
        <v>1</v>
      </c>
      <c r="E2515" s="24" t="n">
        <f aca="false">LN(C2515)</f>
        <v>10.937642561211</v>
      </c>
      <c r="F2515" s="25" t="n">
        <f aca="false">LN(C2515/C2514)</f>
        <v>-0.0432830124285376</v>
      </c>
      <c r="G2515" s="25" t="n">
        <f aca="false">IF(AND(D2515=1,A2515&gt;=$R$2),F2515,"")</f>
        <v>-0.0432830124285376</v>
      </c>
      <c r="H2515" s="27" t="n">
        <f aca="false">IF(G2515="","",G2515^2)</f>
        <v>0.00187341916488894</v>
      </c>
      <c r="I2515" s="25" t="n">
        <f aca="false">IF(G2515="","",C2515/C2514-1)</f>
        <v>-0.0423596724029628</v>
      </c>
      <c r="J2515" s="17" t="n">
        <f aca="false">AVERAGE(C2316:C2515)</f>
        <v>46007.6713</v>
      </c>
      <c r="K2515" s="17" t="n">
        <f aca="false">MAX(K2514,C2515)</f>
        <v>67510.06</v>
      </c>
      <c r="L2515" s="25" t="n">
        <f aca="false">C2515/K2515-1</f>
        <v>-0.166723152075409</v>
      </c>
      <c r="M2515" s="25" t="n">
        <f aca="false">IF(COUNT(G2486:G2515)&lt;20,"",_xlfn.STDEV.S(G2486:G2515)*SQRT($R$3))</f>
        <v>0.564644563068698</v>
      </c>
      <c r="N2515" s="25" t="n">
        <f aca="false">IF(A2515-7&lt;$R$2,"",C2515/INDEX(Clean_Data!$C$2:$C$4314,MATCH(A2515-7,Clean_Data!$A$2:$A$4314,1))-1)</f>
        <v>-0.113286880170891</v>
      </c>
      <c r="O2515" s="25" t="n">
        <f aca="false">IF(A2515-30&lt;$R$2,"",C2515/INDEX(Clean_Data!$C$2:$C$4314,MATCH(A2515-30,Clean_Data!$A$2:$A$4314,1))-1)</f>
        <v>-0.0824282733322796</v>
      </c>
    </row>
    <row r="2516" customFormat="false" ht="15" hidden="false" customHeight="false" outlineLevel="0" collapsed="false">
      <c r="A2516" s="16" t="n">
        <v>44523</v>
      </c>
      <c r="B2516" s="23" t="n">
        <f aca="false">YEAR(A2516)</f>
        <v>2021</v>
      </c>
      <c r="C2516" s="17" t="n">
        <v>57599.99</v>
      </c>
      <c r="D2516" s="23" t="n">
        <f aca="false">A2516-A2515</f>
        <v>1</v>
      </c>
      <c r="E2516" s="24" t="n">
        <f aca="false">LN(C2516)</f>
        <v>10.9612776730729</v>
      </c>
      <c r="F2516" s="25" t="n">
        <f aca="false">LN(C2516/C2515)</f>
        <v>0.0236351118618964</v>
      </c>
      <c r="G2516" s="25" t="n">
        <f aca="false">IF(AND(D2516=1,A2516&gt;=$R$2),F2516,"")</f>
        <v>0.0236351118618964</v>
      </c>
      <c r="H2516" s="27" t="n">
        <f aca="false">IF(G2516="","",G2516^2)</f>
        <v>0.000558618512724358</v>
      </c>
      <c r="I2516" s="25" t="n">
        <f aca="false">IF(G2516="","",C2516/C2515-1)</f>
        <v>0.0239166346840798</v>
      </c>
      <c r="J2516" s="17" t="n">
        <f aca="false">AVERAGE(C2317:C2516)</f>
        <v>46008.80185</v>
      </c>
      <c r="K2516" s="17" t="n">
        <f aca="false">MAX(K2515,C2516)</f>
        <v>67510.06</v>
      </c>
      <c r="L2516" s="25" t="n">
        <f aca="false">C2516/K2516-1</f>
        <v>-0.146793974112895</v>
      </c>
      <c r="M2516" s="25" t="n">
        <f aca="false">IF(COUNT(G2487:G2516)&lt;20,"",_xlfn.STDEV.S(G2487:G2516)*SQRT($R$3))</f>
        <v>0.571903872574324</v>
      </c>
      <c r="N2516" s="25" t="n">
        <f aca="false">IF(A2516-7&lt;$R$2,"",C2516/INDEX(Clean_Data!$C$2:$C$4314,MATCH(A2516-7,Clean_Data!$A$2:$A$4314,1))-1)</f>
        <v>-0.0423515129186138</v>
      </c>
      <c r="O2516" s="25" t="n">
        <f aca="false">IF(A2516-30&lt;$R$2,"",C2516/INDEX(Clean_Data!$C$2:$C$4314,MATCH(A2516-30,Clean_Data!$A$2:$A$4314,1))-1)</f>
        <v>-0.0540228588189639</v>
      </c>
    </row>
    <row r="2517" customFormat="false" ht="15" hidden="false" customHeight="false" outlineLevel="0" collapsed="false">
      <c r="A2517" s="16" t="n">
        <v>44524</v>
      </c>
      <c r="B2517" s="23" t="n">
        <f aca="false">YEAR(A2517)</f>
        <v>2021</v>
      </c>
      <c r="C2517" s="17" t="n">
        <v>57255.24</v>
      </c>
      <c r="D2517" s="23" t="n">
        <f aca="false">A2517-A2516</f>
        <v>1</v>
      </c>
      <c r="E2517" s="24" t="n">
        <f aca="false">LN(C2517)</f>
        <v>10.9552744456123</v>
      </c>
      <c r="F2517" s="25" t="n">
        <f aca="false">LN(C2517/C2516)</f>
        <v>-0.00600322746055782</v>
      </c>
      <c r="G2517" s="25" t="n">
        <f aca="false">IF(AND(D2517=1,A2517&gt;=$R$2),F2517,"")</f>
        <v>-0.00600322746055782</v>
      </c>
      <c r="H2517" s="27" t="n">
        <f aca="false">IF(G2517="","",G2517^2)</f>
        <v>3.60387399431955E-005</v>
      </c>
      <c r="I2517" s="25" t="n">
        <f aca="false">IF(G2517="","",C2517/C2516-1)</f>
        <v>-0.00598524409466039</v>
      </c>
      <c r="J2517" s="17" t="n">
        <f aca="false">AVERAGE(C2318:C2517)</f>
        <v>45999.8522</v>
      </c>
      <c r="K2517" s="17" t="n">
        <f aca="false">MAX(K2516,C2517)</f>
        <v>67510.06</v>
      </c>
      <c r="L2517" s="25" t="n">
        <f aca="false">C2517/K2517-1</f>
        <v>-0.151900620440865</v>
      </c>
      <c r="M2517" s="25" t="n">
        <f aca="false">IF(COUNT(G2488:G2517)&lt;20,"",_xlfn.STDEV.S(G2488:G2517)*SQRT($R$3))</f>
        <v>0.555704415003319</v>
      </c>
      <c r="N2517" s="25" t="n">
        <f aca="false">IF(A2517-7&lt;$R$2,"",C2517/INDEX(Clean_Data!$C$2:$C$4314,MATCH(A2517-7,Clean_Data!$A$2:$A$4314,1))-1)</f>
        <v>-0.0507183373489661</v>
      </c>
      <c r="O2517" s="25" t="n">
        <f aca="false">IF(A2517-30&lt;$R$2,"",C2517/INDEX(Clean_Data!$C$2:$C$4314,MATCH(A2517-30,Clean_Data!$A$2:$A$4314,1))-1)</f>
        <v>-0.0926676347162243</v>
      </c>
    </row>
    <row r="2518" customFormat="false" ht="15" hidden="false" customHeight="false" outlineLevel="0" collapsed="false">
      <c r="A2518" s="16" t="n">
        <v>44525</v>
      </c>
      <c r="B2518" s="23" t="n">
        <f aca="false">YEAR(A2518)</f>
        <v>2021</v>
      </c>
      <c r="C2518" s="17" t="n">
        <v>59022.44</v>
      </c>
      <c r="D2518" s="23" t="n">
        <f aca="false">A2518-A2517</f>
        <v>1</v>
      </c>
      <c r="E2518" s="24" t="n">
        <f aca="false">LN(C2518)</f>
        <v>10.9856729895604</v>
      </c>
      <c r="F2518" s="25" t="n">
        <f aca="false">LN(C2518/C2517)</f>
        <v>0.0303985439480724</v>
      </c>
      <c r="G2518" s="25" t="n">
        <f aca="false">IF(AND(D2518=1,A2518&gt;=$R$2),F2518,"")</f>
        <v>0.0303985439480724</v>
      </c>
      <c r="H2518" s="27" t="n">
        <f aca="false">IF(G2518="","",G2518^2)</f>
        <v>0.000924071474162887</v>
      </c>
      <c r="I2518" s="25" t="n">
        <f aca="false">IF(G2518="","",C2518/C2517-1)</f>
        <v>0.0308652972199577</v>
      </c>
      <c r="J2518" s="17" t="n">
        <f aca="false">AVERAGE(C2319:C2518)</f>
        <v>46002.9127</v>
      </c>
      <c r="K2518" s="17" t="n">
        <f aca="false">MAX(K2517,C2518)</f>
        <v>67510.06</v>
      </c>
      <c r="L2518" s="25" t="n">
        <f aca="false">C2518/K2518-1</f>
        <v>-0.12572378101871</v>
      </c>
      <c r="M2518" s="25" t="n">
        <f aca="false">IF(COUNT(G2489:G2518)&lt;20,"",_xlfn.STDEV.S(G2489:G2518)*SQRT($R$3))</f>
        <v>0.546804890258918</v>
      </c>
      <c r="N2518" s="25" t="n">
        <f aca="false">IF(A2518-7&lt;$R$2,"",C2518/INDEX(Clean_Data!$C$2:$C$4314,MATCH(A2518-7,Clean_Data!$A$2:$A$4314,1))-1)</f>
        <v>0.0351657687533171</v>
      </c>
      <c r="O2518" s="25" t="n">
        <f aca="false">IF(A2518-30&lt;$R$2,"",C2518/INDEX(Clean_Data!$C$2:$C$4314,MATCH(A2518-30,Clean_Data!$A$2:$A$4314,1))-1)</f>
        <v>-0.0218552130459432</v>
      </c>
    </row>
    <row r="2519" customFormat="false" ht="15" hidden="false" customHeight="false" outlineLevel="0" collapsed="false">
      <c r="A2519" s="16" t="n">
        <v>44526</v>
      </c>
      <c r="B2519" s="23" t="n">
        <f aca="false">YEAR(A2519)</f>
        <v>2021</v>
      </c>
      <c r="C2519" s="17" t="n">
        <v>53839.39</v>
      </c>
      <c r="D2519" s="23" t="n">
        <f aca="false">A2519-A2518</f>
        <v>1</v>
      </c>
      <c r="E2519" s="24" t="n">
        <f aca="false">LN(C2519)</f>
        <v>10.8937606343882</v>
      </c>
      <c r="F2519" s="25" t="n">
        <f aca="false">LN(C2519/C2518)</f>
        <v>-0.0919123551722153</v>
      </c>
      <c r="G2519" s="25" t="n">
        <f aca="false">IF(AND(D2519=1,A2519&gt;=$R$2),F2519,"")</f>
        <v>-0.0919123551722153</v>
      </c>
      <c r="H2519" s="27" t="n">
        <f aca="false">IF(G2519="","",G2519^2)</f>
        <v>0.00844788103330345</v>
      </c>
      <c r="I2519" s="25" t="n">
        <f aca="false">IF(G2519="","",C2519/C2518-1)</f>
        <v>-0.0878149056528331</v>
      </c>
      <c r="J2519" s="17" t="n">
        <f aca="false">AVERAGE(C2320:C2519)</f>
        <v>45992.4258</v>
      </c>
      <c r="K2519" s="17" t="n">
        <f aca="false">MAX(K2518,C2519)</f>
        <v>67510.06</v>
      </c>
      <c r="L2519" s="25" t="n">
        <f aca="false">C2519/K2519-1</f>
        <v>-0.202498264703068</v>
      </c>
      <c r="M2519" s="25" t="n">
        <f aca="false">IF(COUNT(G2490:G2519)&lt;20,"",_xlfn.STDEV.S(G2490:G2519)*SQRT($R$3))</f>
        <v>0.625109402397662</v>
      </c>
      <c r="N2519" s="25" t="n">
        <f aca="false">IF(A2519-7&lt;$R$2,"",C2519/INDEX(Clean_Data!$C$2:$C$4314,MATCH(A2519-7,Clean_Data!$A$2:$A$4314,1))-1)</f>
        <v>-0.0747314087047382</v>
      </c>
      <c r="O2519" s="25" t="n">
        <f aca="false">IF(A2519-30&lt;$R$2,"",C2519/INDEX(Clean_Data!$C$2:$C$4314,MATCH(A2519-30,Clean_Data!$A$2:$A$4314,1))-1)</f>
        <v>-0.0799455070020803</v>
      </c>
    </row>
    <row r="2520" customFormat="false" ht="15" hidden="false" customHeight="false" outlineLevel="0" collapsed="false">
      <c r="A2520" s="16" t="n">
        <v>44527</v>
      </c>
      <c r="B2520" s="23" t="n">
        <f aca="false">YEAR(A2520)</f>
        <v>2021</v>
      </c>
      <c r="C2520" s="17" t="n">
        <v>54665.93</v>
      </c>
      <c r="D2520" s="23" t="n">
        <f aca="false">A2520-A2519</f>
        <v>1</v>
      </c>
      <c r="E2520" s="24" t="n">
        <f aca="false">LN(C2520)</f>
        <v>10.9089959424377</v>
      </c>
      <c r="F2520" s="25" t="n">
        <f aca="false">LN(C2520/C2519)</f>
        <v>0.0152353080495173</v>
      </c>
      <c r="G2520" s="25" t="n">
        <f aca="false">IF(AND(D2520=1,A2520&gt;=$R$2),F2520,"")</f>
        <v>0.0152353080495173</v>
      </c>
      <c r="H2520" s="27" t="n">
        <f aca="false">IF(G2520="","",G2520^2)</f>
        <v>0.000232114611363686</v>
      </c>
      <c r="I2520" s="25" t="n">
        <f aca="false">IF(G2520="","",C2520/C2519-1)</f>
        <v>0.015351956996541</v>
      </c>
      <c r="J2520" s="17" t="n">
        <f aca="false">AVERAGE(C2321:C2520)</f>
        <v>45982.16045</v>
      </c>
      <c r="K2520" s="17" t="n">
        <f aca="false">MAX(K2519,C2520)</f>
        <v>67510.06</v>
      </c>
      <c r="L2520" s="25" t="n">
        <f aca="false">C2520/K2520-1</f>
        <v>-0.190255052358123</v>
      </c>
      <c r="M2520" s="25" t="n">
        <f aca="false">IF(COUNT(G2491:G2520)&lt;20,"",_xlfn.STDEV.S(G2491:G2520)*SQRT($R$3))</f>
        <v>0.61408992427286</v>
      </c>
      <c r="N2520" s="25" t="n">
        <f aca="false">IF(A2520-7&lt;$R$2,"",C2520/INDEX(Clean_Data!$C$2:$C$4314,MATCH(A2520-7,Clean_Data!$A$2:$A$4314,1))-1)</f>
        <v>-0.0854213473230061</v>
      </c>
      <c r="O2520" s="25" t="n">
        <f aca="false">IF(A2520-30&lt;$R$2,"",C2520/INDEX(Clean_Data!$C$2:$C$4314,MATCH(A2520-30,Clean_Data!$A$2:$A$4314,1))-1)</f>
        <v>-0.0975886804400702</v>
      </c>
    </row>
    <row r="2521" customFormat="false" ht="15" hidden="false" customHeight="false" outlineLevel="0" collapsed="false">
      <c r="A2521" s="16" t="n">
        <v>44528</v>
      </c>
      <c r="B2521" s="23" t="n">
        <f aca="false">YEAR(A2521)</f>
        <v>2021</v>
      </c>
      <c r="C2521" s="17" t="n">
        <v>57471.87</v>
      </c>
      <c r="D2521" s="23" t="n">
        <f aca="false">A2521-A2520</f>
        <v>1</v>
      </c>
      <c r="E2521" s="24" t="n">
        <f aca="false">LN(C2521)</f>
        <v>10.9590508896883</v>
      </c>
      <c r="F2521" s="25" t="n">
        <f aca="false">LN(C2521/C2520)</f>
        <v>0.0500549472505937</v>
      </c>
      <c r="G2521" s="25" t="n">
        <f aca="false">IF(AND(D2521=1,A2521&gt;=$R$2),F2521,"")</f>
        <v>0.0500549472505937</v>
      </c>
      <c r="H2521" s="27" t="n">
        <f aca="false">IF(G2521="","",G2521^2)</f>
        <v>0.00250549774425971</v>
      </c>
      <c r="I2521" s="25" t="n">
        <f aca="false">IF(G2521="","",C2521/C2520-1)</f>
        <v>0.0513288624194266</v>
      </c>
      <c r="J2521" s="17" t="n">
        <f aca="false">AVERAGE(C2322:C2521)</f>
        <v>46024.04195</v>
      </c>
      <c r="K2521" s="17" t="n">
        <f aca="false">MAX(K2520,C2521)</f>
        <v>67510.06</v>
      </c>
      <c r="L2521" s="25" t="n">
        <f aca="false">C2521/K2521-1</f>
        <v>-0.148691765345787</v>
      </c>
      <c r="M2521" s="25" t="n">
        <f aca="false">IF(COUNT(G2492:G2521)&lt;20,"",_xlfn.STDEV.S(G2492:G2521)*SQRT($R$3))</f>
        <v>0.632643293433599</v>
      </c>
      <c r="N2521" s="25" t="n">
        <f aca="false">IF(A2521-7&lt;$R$2,"",C2521/INDEX(Clean_Data!$C$2:$C$4314,MATCH(A2521-7,Clean_Data!$A$2:$A$4314,1))-1)</f>
        <v>-0.0216371680662684</v>
      </c>
      <c r="O2521" s="25" t="n">
        <f aca="false">IF(A2521-30&lt;$R$2,"",C2521/INDEX(Clean_Data!$C$2:$C$4314,MATCH(A2521-30,Clean_Data!$A$2:$A$4314,1))-1)</f>
        <v>-0.0777408515254411</v>
      </c>
    </row>
    <row r="2522" customFormat="false" ht="15" hidden="false" customHeight="false" outlineLevel="0" collapsed="false">
      <c r="A2522" s="16" t="n">
        <v>44529</v>
      </c>
      <c r="B2522" s="23" t="n">
        <f aca="false">YEAR(A2522)</f>
        <v>2021</v>
      </c>
      <c r="C2522" s="17" t="n">
        <v>57828.33</v>
      </c>
      <c r="D2522" s="23" t="n">
        <f aca="false">A2522-A2521</f>
        <v>1</v>
      </c>
      <c r="E2522" s="24" t="n">
        <f aca="false">LN(C2522)</f>
        <v>10.9652340729902</v>
      </c>
      <c r="F2522" s="25" t="n">
        <f aca="false">LN(C2522/C2521)</f>
        <v>0.00618318330191239</v>
      </c>
      <c r="G2522" s="25" t="n">
        <f aca="false">IF(AND(D2522=1,A2522&gt;=$R$2),F2522,"")</f>
        <v>0.00618318330191239</v>
      </c>
      <c r="H2522" s="27" t="n">
        <f aca="false">IF(G2522="","",G2522^2)</f>
        <v>3.82317557450482E-005</v>
      </c>
      <c r="I2522" s="25" t="n">
        <f aca="false">IF(G2522="","",C2522/C2521-1)</f>
        <v>0.00620233863975539</v>
      </c>
      <c r="J2522" s="17" t="n">
        <f aca="false">AVERAGE(C2323:C2522)</f>
        <v>46065.00635</v>
      </c>
      <c r="K2522" s="17" t="n">
        <f aca="false">MAX(K2521,C2522)</f>
        <v>67510.06</v>
      </c>
      <c r="L2522" s="25" t="n">
        <f aca="false">C2522/K2522-1</f>
        <v>-0.143411663387649</v>
      </c>
      <c r="M2522" s="25" t="n">
        <f aca="false">IF(COUNT(G2493:G2522)&lt;20,"",_xlfn.STDEV.S(G2493:G2522)*SQRT($R$3))</f>
        <v>0.633373588964949</v>
      </c>
      <c r="N2522" s="25" t="n">
        <f aca="false">IF(A2522-7&lt;$R$2,"",C2522/INDEX(Clean_Data!$C$2:$C$4314,MATCH(A2522-7,Clean_Data!$A$2:$A$4314,1))-1)</f>
        <v>0.0279756826867577</v>
      </c>
      <c r="O2522" s="25" t="n">
        <f aca="false">IF(A2522-30&lt;$R$2,"",C2522/INDEX(Clean_Data!$C$2:$C$4314,MATCH(A2522-30,Clean_Data!$A$2:$A$4314,1))-1)</f>
        <v>-0.0682299951275223</v>
      </c>
    </row>
    <row r="2523" customFormat="false" ht="15" hidden="false" customHeight="false" outlineLevel="0" collapsed="false">
      <c r="A2523" s="16" t="n">
        <v>44530</v>
      </c>
      <c r="B2523" s="23" t="n">
        <f aca="false">YEAR(A2523)</f>
        <v>2021</v>
      </c>
      <c r="C2523" s="17" t="n">
        <v>56879.47</v>
      </c>
      <c r="D2523" s="23" t="n">
        <f aca="false">A2523-A2522</f>
        <v>1</v>
      </c>
      <c r="E2523" s="24" t="n">
        <f aca="false">LN(C2523)</f>
        <v>10.9486897465715</v>
      </c>
      <c r="F2523" s="25" t="n">
        <f aca="false">LN(C2523/C2522)</f>
        <v>-0.0165443264186338</v>
      </c>
      <c r="G2523" s="25" t="n">
        <f aca="false">IF(AND(D2523=1,A2523&gt;=$R$2),F2523,"")</f>
        <v>-0.0165443264186338</v>
      </c>
      <c r="H2523" s="27" t="n">
        <f aca="false">IF(G2523="","",G2523^2)</f>
        <v>0.000273714736646305</v>
      </c>
      <c r="I2523" s="25" t="n">
        <f aca="false">IF(G2523="","",C2523/C2522-1)</f>
        <v>-0.016408220676613</v>
      </c>
      <c r="J2523" s="17" t="n">
        <f aca="false">AVERAGE(C2324:C2523)</f>
        <v>46099.7841</v>
      </c>
      <c r="K2523" s="17" t="n">
        <f aca="false">MAX(K2522,C2523)</f>
        <v>67510.06</v>
      </c>
      <c r="L2523" s="25" t="n">
        <f aca="false">C2523/K2523-1</f>
        <v>-0.157466753843798</v>
      </c>
      <c r="M2523" s="25" t="n">
        <f aca="false">IF(COUNT(G2494:G2523)&lt;20,"",_xlfn.STDEV.S(G2494:G2523)*SQRT($R$3))</f>
        <v>0.634475019232614</v>
      </c>
      <c r="N2523" s="25" t="n">
        <f aca="false">IF(A2523-7&lt;$R$2,"",C2523/INDEX(Clean_Data!$C$2:$C$4314,MATCH(A2523-7,Clean_Data!$A$2:$A$4314,1))-1)</f>
        <v>-0.0125090299494843</v>
      </c>
      <c r="O2523" s="25" t="n">
        <f aca="false">IF(A2523-30&lt;$R$2,"",C2523/INDEX(Clean_Data!$C$2:$C$4314,MATCH(A2523-30,Clean_Data!$A$2:$A$4314,1))-1)</f>
        <v>-0.0726191009962752</v>
      </c>
    </row>
    <row r="2524" customFormat="false" ht="15" hidden="false" customHeight="false" outlineLevel="0" collapsed="false">
      <c r="A2524" s="16" t="n">
        <v>44531</v>
      </c>
      <c r="B2524" s="23" t="n">
        <f aca="false">YEAR(A2524)</f>
        <v>2021</v>
      </c>
      <c r="C2524" s="17" t="n">
        <v>57228.47</v>
      </c>
      <c r="D2524" s="23" t="n">
        <f aca="false">A2524-A2523</f>
        <v>1</v>
      </c>
      <c r="E2524" s="24" t="n">
        <f aca="false">LN(C2524)</f>
        <v>10.9548067808155</v>
      </c>
      <c r="F2524" s="25" t="n">
        <f aca="false">LN(C2524/C2523)</f>
        <v>0.00611703424393836</v>
      </c>
      <c r="G2524" s="25" t="n">
        <f aca="false">IF(AND(D2524=1,A2524&gt;=$R$2),F2524,"")</f>
        <v>0.00611703424393836</v>
      </c>
      <c r="H2524" s="27" t="n">
        <f aca="false">IF(G2524="","",G2524^2)</f>
        <v>3.74181079415145E-005</v>
      </c>
      <c r="I2524" s="25" t="n">
        <f aca="false">IF(G2524="","",C2524/C2523-1)</f>
        <v>0.00613578150429328</v>
      </c>
      <c r="J2524" s="17" t="n">
        <f aca="false">AVERAGE(C2325:C2524)</f>
        <v>46151.00275</v>
      </c>
      <c r="K2524" s="17" t="n">
        <f aca="false">MAX(K2523,C2524)</f>
        <v>67510.06</v>
      </c>
      <c r="L2524" s="25" t="n">
        <f aca="false">C2524/K2524-1</f>
        <v>-0.15229715393528</v>
      </c>
      <c r="M2524" s="25" t="n">
        <f aca="false">IF(COUNT(G2495:G2524)&lt;20,"",_xlfn.STDEV.S(G2495:G2524)*SQRT($R$3))</f>
        <v>0.635022645942979</v>
      </c>
      <c r="N2524" s="25" t="n">
        <f aca="false">IF(A2524-7&lt;$R$2,"",C2524/INDEX(Clean_Data!$C$2:$C$4314,MATCH(A2524-7,Clean_Data!$A$2:$A$4314,1))-1)</f>
        <v>-0.000467555458679381</v>
      </c>
      <c r="O2524" s="25" t="n">
        <f aca="false">IF(A2524-30&lt;$R$2,"",C2524/INDEX(Clean_Data!$C$2:$C$4314,MATCH(A2524-30,Clean_Data!$A$2:$A$4314,1))-1)</f>
        <v>-0.0610587366694011</v>
      </c>
    </row>
    <row r="2525" customFormat="false" ht="15" hidden="false" customHeight="false" outlineLevel="0" collapsed="false">
      <c r="A2525" s="16" t="n">
        <v>44532</v>
      </c>
      <c r="B2525" s="23" t="n">
        <f aca="false">YEAR(A2525)</f>
        <v>2021</v>
      </c>
      <c r="C2525" s="17" t="n">
        <v>56566.29</v>
      </c>
      <c r="D2525" s="23" t="n">
        <f aca="false">A2525-A2524</f>
        <v>1</v>
      </c>
      <c r="E2525" s="24" t="n">
        <f aca="false">LN(C2525)</f>
        <v>10.9431685037224</v>
      </c>
      <c r="F2525" s="25" t="n">
        <f aca="false">LN(C2525/C2524)</f>
        <v>-0.0116382770931094</v>
      </c>
      <c r="G2525" s="25" t="n">
        <f aca="false">IF(AND(D2525=1,A2525&gt;=$R$2),F2525,"")</f>
        <v>-0.0116382770931094</v>
      </c>
      <c r="H2525" s="27" t="n">
        <f aca="false">IF(G2525="","",G2525^2)</f>
        <v>0.000135449493695994</v>
      </c>
      <c r="I2525" s="25" t="n">
        <f aca="false">IF(G2525="","",C2525/C2524-1)</f>
        <v>-0.0115708143167204</v>
      </c>
      <c r="J2525" s="17" t="n">
        <f aca="false">AVERAGE(C2326:C2525)</f>
        <v>46201.21765</v>
      </c>
      <c r="K2525" s="17" t="n">
        <f aca="false">MAX(K2524,C2525)</f>
        <v>67510.06</v>
      </c>
      <c r="L2525" s="25" t="n">
        <f aca="false">C2525/K2525-1</f>
        <v>-0.16210576616285</v>
      </c>
      <c r="M2525" s="25" t="n">
        <f aca="false">IF(COUNT(G2496:G2525)&lt;20,"",_xlfn.STDEV.S(G2496:G2525)*SQRT($R$3))</f>
        <v>0.618342159617071</v>
      </c>
      <c r="N2525" s="25" t="n">
        <f aca="false">IF(A2525-7&lt;$R$2,"",C2525/INDEX(Clean_Data!$C$2:$C$4314,MATCH(A2525-7,Clean_Data!$A$2:$A$4314,1))-1)</f>
        <v>-0.0416138336537765</v>
      </c>
      <c r="O2525" s="25" t="n">
        <f aca="false">IF(A2525-30&lt;$R$2,"",C2525/INDEX(Clean_Data!$C$2:$C$4314,MATCH(A2525-30,Clean_Data!$A$2:$A$4314,1))-1)</f>
        <v>-0.107184503103041</v>
      </c>
    </row>
    <row r="2526" customFormat="false" ht="15" hidden="false" customHeight="false" outlineLevel="0" collapsed="false">
      <c r="A2526" s="16" t="n">
        <v>44533</v>
      </c>
      <c r="B2526" s="23" t="n">
        <f aca="false">YEAR(A2526)</f>
        <v>2021</v>
      </c>
      <c r="C2526" s="17" t="n">
        <v>53681.96</v>
      </c>
      <c r="D2526" s="23" t="n">
        <f aca="false">A2526-A2525</f>
        <v>1</v>
      </c>
      <c r="E2526" s="24" t="n">
        <f aca="false">LN(C2526)</f>
        <v>10.8908322836467</v>
      </c>
      <c r="F2526" s="25" t="n">
        <f aca="false">LN(C2526/C2525)</f>
        <v>-0.0523362200757216</v>
      </c>
      <c r="G2526" s="25" t="n">
        <f aca="false">IF(AND(D2526=1,A2526&gt;=$R$2),F2526,"")</f>
        <v>-0.0523362200757216</v>
      </c>
      <c r="H2526" s="27" t="n">
        <f aca="false">IF(G2526="","",G2526^2)</f>
        <v>0.00273907993181436</v>
      </c>
      <c r="I2526" s="25" t="n">
        <f aca="false">IF(G2526="","",C2526/C2525-1)</f>
        <v>-0.0509902629286807</v>
      </c>
      <c r="J2526" s="17" t="n">
        <f aca="false">AVERAGE(C2327:C2526)</f>
        <v>46250.78375</v>
      </c>
      <c r="K2526" s="17" t="n">
        <f aca="false">MAX(K2525,C2526)</f>
        <v>67510.06</v>
      </c>
      <c r="L2526" s="25" t="n">
        <f aca="false">C2526/K2526-1</f>
        <v>-0.204830213452632</v>
      </c>
      <c r="M2526" s="25" t="n">
        <f aca="false">IF(COUNT(G2497:G2526)&lt;20,"",_xlfn.STDEV.S(G2497:G2526)*SQRT($R$3))</f>
        <v>0.641129379351133</v>
      </c>
      <c r="N2526" s="25" t="n">
        <f aca="false">IF(A2526-7&lt;$R$2,"",C2526/INDEX(Clean_Data!$C$2:$C$4314,MATCH(A2526-7,Clean_Data!$A$2:$A$4314,1))-1)</f>
        <v>-0.00292406730462591</v>
      </c>
      <c r="O2526" s="25" t="n">
        <f aca="false">IF(A2526-30&lt;$R$2,"",C2526/INDEX(Clean_Data!$C$2:$C$4314,MATCH(A2526-30,Clean_Data!$A$2:$A$4314,1))-1)</f>
        <v>-0.147152725262295</v>
      </c>
    </row>
    <row r="2527" customFormat="false" ht="15" hidden="false" customHeight="false" outlineLevel="0" collapsed="false">
      <c r="A2527" s="16" t="n">
        <v>44534</v>
      </c>
      <c r="B2527" s="23" t="n">
        <f aca="false">YEAR(A2527)</f>
        <v>2021</v>
      </c>
      <c r="C2527" s="17" t="n">
        <v>49335</v>
      </c>
      <c r="D2527" s="23" t="n">
        <f aca="false">A2527-A2526</f>
        <v>1</v>
      </c>
      <c r="E2527" s="24" t="n">
        <f aca="false">LN(C2527)</f>
        <v>10.8063890472913</v>
      </c>
      <c r="F2527" s="25" t="n">
        <f aca="false">LN(C2527/C2526)</f>
        <v>-0.0844432363553853</v>
      </c>
      <c r="G2527" s="25" t="n">
        <f aca="false">IF(AND(D2527=1,A2527&gt;=$R$2),F2527,"")</f>
        <v>-0.0844432363553853</v>
      </c>
      <c r="H2527" s="27" t="n">
        <f aca="false">IF(G2527="","",G2527^2)</f>
        <v>0.00713066016617147</v>
      </c>
      <c r="I2527" s="25" t="n">
        <f aca="false">IF(G2527="","",C2527/C2526-1)</f>
        <v>-0.080976178962169</v>
      </c>
      <c r="J2527" s="17" t="n">
        <f aca="false">AVERAGE(C2328:C2527)</f>
        <v>46282.50975</v>
      </c>
      <c r="K2527" s="17" t="n">
        <f aca="false">MAX(K2526,C2527)</f>
        <v>67510.06</v>
      </c>
      <c r="L2527" s="25" t="n">
        <f aca="false">C2527/K2527-1</f>
        <v>-0.269220024393402</v>
      </c>
      <c r="M2527" s="25" t="n">
        <f aca="false">IF(COUNT(G2498:G2527)&lt;20,"",_xlfn.STDEV.S(G2498:G2527)*SQRT($R$3))</f>
        <v>0.695885343169939</v>
      </c>
      <c r="N2527" s="25" t="n">
        <f aca="false">IF(A2527-7&lt;$R$2,"",C2527/INDEX(Clean_Data!$C$2:$C$4314,MATCH(A2527-7,Clean_Data!$A$2:$A$4314,1))-1)</f>
        <v>-0.0975183263140315</v>
      </c>
      <c r="O2527" s="25" t="n">
        <f aca="false">IF(A2527-30&lt;$R$2,"",C2527/INDEX(Clean_Data!$C$2:$C$4314,MATCH(A2527-30,Clean_Data!$A$2:$A$4314,1))-1)</f>
        <v>-0.197794964620701</v>
      </c>
    </row>
    <row r="2528" customFormat="false" ht="15" hidden="false" customHeight="false" outlineLevel="0" collapsed="false">
      <c r="A2528" s="16" t="n">
        <v>44535</v>
      </c>
      <c r="B2528" s="23" t="n">
        <f aca="false">YEAR(A2528)</f>
        <v>2021</v>
      </c>
      <c r="C2528" s="17" t="n">
        <v>49511.76</v>
      </c>
      <c r="D2528" s="23" t="n">
        <f aca="false">A2528-A2527</f>
        <v>1</v>
      </c>
      <c r="E2528" s="24" t="n">
        <f aca="false">LN(C2528)</f>
        <v>10.8099654960977</v>
      </c>
      <c r="F2528" s="25" t="n">
        <f aca="false">LN(C2528/C2527)</f>
        <v>0.00357644880643903</v>
      </c>
      <c r="G2528" s="25" t="n">
        <f aca="false">IF(AND(D2528=1,A2528&gt;=$R$2),F2528,"")</f>
        <v>0.00357644880643903</v>
      </c>
      <c r="H2528" s="27" t="n">
        <f aca="false">IF(G2528="","",G2528^2)</f>
        <v>1.27909860650792E-005</v>
      </c>
      <c r="I2528" s="25" t="n">
        <f aca="false">IF(G2528="","",C2528/C2527-1)</f>
        <v>0.00358285193067798</v>
      </c>
      <c r="J2528" s="17" t="n">
        <f aca="false">AVERAGE(C2329:C2528)</f>
        <v>46343.8855</v>
      </c>
      <c r="K2528" s="17" t="n">
        <f aca="false">MAX(K2527,C2528)</f>
        <v>67510.06</v>
      </c>
      <c r="L2528" s="25" t="n">
        <f aca="false">C2528/K2528-1</f>
        <v>-0.266601747946899</v>
      </c>
      <c r="M2528" s="25" t="n">
        <f aca="false">IF(COUNT(G2499:G2528)&lt;20,"",_xlfn.STDEV.S(G2499:G2528)*SQRT($R$3))</f>
        <v>0.69691620885086</v>
      </c>
      <c r="N2528" s="25" t="n">
        <f aca="false">IF(A2528-7&lt;$R$2,"",C2528/INDEX(Clean_Data!$C$2:$C$4314,MATCH(A2528-7,Clean_Data!$A$2:$A$4314,1))-1)</f>
        <v>-0.138504454440059</v>
      </c>
      <c r="O2528" s="25" t="n">
        <f aca="false">IF(A2528-30&lt;$R$2,"",C2528/INDEX(Clean_Data!$C$2:$C$4314,MATCH(A2528-30,Clean_Data!$A$2:$A$4314,1))-1)</f>
        <v>-0.188331936339027</v>
      </c>
    </row>
    <row r="2529" customFormat="false" ht="15" hidden="false" customHeight="false" outlineLevel="0" collapsed="false">
      <c r="A2529" s="16" t="n">
        <v>44536</v>
      </c>
      <c r="B2529" s="23" t="n">
        <f aca="false">YEAR(A2529)</f>
        <v>2021</v>
      </c>
      <c r="C2529" s="17" t="n">
        <v>50588.91</v>
      </c>
      <c r="D2529" s="23" t="n">
        <f aca="false">A2529-A2528</f>
        <v>1</v>
      </c>
      <c r="E2529" s="24" t="n">
        <f aca="false">LN(C2529)</f>
        <v>10.8314876612938</v>
      </c>
      <c r="F2529" s="25" t="n">
        <f aca="false">LN(C2529/C2528)</f>
        <v>0.0215221651961309</v>
      </c>
      <c r="G2529" s="25" t="n">
        <f aca="false">IF(AND(D2529=1,A2529&gt;=$R$2),F2529,"")</f>
        <v>0.0215221651961309</v>
      </c>
      <c r="H2529" s="27" t="n">
        <f aca="false">IF(G2529="","",G2529^2)</f>
        <v>0.000463203594729546</v>
      </c>
      <c r="I2529" s="25" t="n">
        <f aca="false">IF(G2529="","",C2529/C2528-1)</f>
        <v>0.0217554374960616</v>
      </c>
      <c r="J2529" s="17" t="n">
        <f aca="false">AVERAGE(C2330:C2529)</f>
        <v>46393.08115</v>
      </c>
      <c r="K2529" s="17" t="n">
        <f aca="false">MAX(K2528,C2529)</f>
        <v>67510.06</v>
      </c>
      <c r="L2529" s="25" t="n">
        <f aca="false">C2529/K2529-1</f>
        <v>-0.250646348114637</v>
      </c>
      <c r="M2529" s="25" t="n">
        <f aca="false">IF(COUNT(G2500:G2529)&lt;20,"",_xlfn.STDEV.S(G2500:G2529)*SQRT($R$3))</f>
        <v>0.701930415987753</v>
      </c>
      <c r="N2529" s="25" t="n">
        <f aca="false">IF(A2529-7&lt;$R$2,"",C2529/INDEX(Clean_Data!$C$2:$C$4314,MATCH(A2529-7,Clean_Data!$A$2:$A$4314,1))-1)</f>
        <v>-0.125188121462266</v>
      </c>
      <c r="O2529" s="25" t="n">
        <f aca="false">IF(A2529-30&lt;$R$2,"",C2529/INDEX(Clean_Data!$C$2:$C$4314,MATCH(A2529-30,Clean_Data!$A$2:$A$4314,1))-1)</f>
        <v>-0.177941413048247</v>
      </c>
    </row>
    <row r="2530" customFormat="false" ht="15" hidden="false" customHeight="false" outlineLevel="0" collapsed="false">
      <c r="A2530" s="16" t="n">
        <v>44537</v>
      </c>
      <c r="B2530" s="23" t="n">
        <f aca="false">YEAR(A2530)</f>
        <v>2021</v>
      </c>
      <c r="C2530" s="17" t="n">
        <v>50676.09</v>
      </c>
      <c r="D2530" s="23" t="n">
        <f aca="false">A2530-A2529</f>
        <v>1</v>
      </c>
      <c r="E2530" s="24" t="n">
        <f aca="false">LN(C2530)</f>
        <v>10.833209480709</v>
      </c>
      <c r="F2530" s="25" t="n">
        <f aca="false">LN(C2530/C2529)</f>
        <v>0.00172181941516341</v>
      </c>
      <c r="G2530" s="25" t="n">
        <f aca="false">IF(AND(D2530=1,A2530&gt;=$R$2),F2530,"")</f>
        <v>0.00172181941516341</v>
      </c>
      <c r="H2530" s="27" t="n">
        <f aca="false">IF(G2530="","",G2530^2)</f>
        <v>2.96466209843367E-006</v>
      </c>
      <c r="I2530" s="25" t="n">
        <f aca="false">IF(G2530="","",C2530/C2529-1)</f>
        <v>0.00172330259734776</v>
      </c>
      <c r="J2530" s="17" t="n">
        <f aca="false">AVERAGE(C2331:C2530)</f>
        <v>46459.3366</v>
      </c>
      <c r="K2530" s="17" t="n">
        <f aca="false">MAX(K2529,C2530)</f>
        <v>67510.06</v>
      </c>
      <c r="L2530" s="25" t="n">
        <f aca="false">C2530/K2530-1</f>
        <v>-0.24935498502001</v>
      </c>
      <c r="M2530" s="25" t="n">
        <f aca="false">IF(COUNT(G2501:G2530)&lt;20,"",_xlfn.STDEV.S(G2501:G2530)*SQRT($R$3))</f>
        <v>0.690021279296744</v>
      </c>
      <c r="N2530" s="25" t="n">
        <f aca="false">IF(A2530-7&lt;$R$2,"",C2530/INDEX(Clean_Data!$C$2:$C$4314,MATCH(A2530-7,Clean_Data!$A$2:$A$4314,1))-1)</f>
        <v>-0.109061846040408</v>
      </c>
      <c r="O2530" s="25" t="n">
        <f aca="false">IF(A2530-30&lt;$R$2,"",C2530/INDEX(Clean_Data!$C$2:$C$4314,MATCH(A2530-30,Clean_Data!$A$2:$A$4314,1))-1)</f>
        <v>-0.201116725725743</v>
      </c>
    </row>
    <row r="2531" customFormat="false" ht="15" hidden="false" customHeight="false" outlineLevel="0" collapsed="false">
      <c r="A2531" s="16" t="n">
        <v>44538</v>
      </c>
      <c r="B2531" s="23" t="n">
        <f aca="false">YEAR(A2531)</f>
        <v>2021</v>
      </c>
      <c r="C2531" s="17" t="n">
        <v>50531.51</v>
      </c>
      <c r="D2531" s="23" t="n">
        <f aca="false">A2531-A2530</f>
        <v>1</v>
      </c>
      <c r="E2531" s="24" t="n">
        <f aca="false">LN(C2531)</f>
        <v>10.8303523810771</v>
      </c>
      <c r="F2531" s="25" t="n">
        <f aca="false">LN(C2531/C2530)</f>
        <v>-0.0028570996318606</v>
      </c>
      <c r="G2531" s="25" t="n">
        <f aca="false">IF(AND(D2531=1,A2531&gt;=$R$2),F2531,"")</f>
        <v>-0.0028570996318606</v>
      </c>
      <c r="H2531" s="27" t="n">
        <f aca="false">IF(G2531="","",G2531^2)</f>
        <v>8.16301830637796E-006</v>
      </c>
      <c r="I2531" s="25" t="n">
        <f aca="false">IF(G2531="","",C2531/C2530-1)</f>
        <v>-0.00285302200702531</v>
      </c>
      <c r="J2531" s="17" t="n">
        <f aca="false">AVERAGE(C2332:C2531)</f>
        <v>46525.07745</v>
      </c>
      <c r="K2531" s="17" t="n">
        <f aca="false">MAX(K2530,C2531)</f>
        <v>67510.06</v>
      </c>
      <c r="L2531" s="25" t="n">
        <f aca="false">C2531/K2531-1</f>
        <v>-0.251496591767212</v>
      </c>
      <c r="M2531" s="25" t="n">
        <f aca="false">IF(COUNT(G2502:G2531)&lt;20,"",_xlfn.STDEV.S(G2502:G2531)*SQRT($R$3))</f>
        <v>0.642928290855022</v>
      </c>
      <c r="N2531" s="25" t="n">
        <f aca="false">IF(A2531-7&lt;$R$2,"",C2531/INDEX(Clean_Data!$C$2:$C$4314,MATCH(A2531-7,Clean_Data!$A$2:$A$4314,1))-1)</f>
        <v>-0.117021475499869</v>
      </c>
      <c r="O2531" s="25" t="n">
        <f aca="false">IF(A2531-30&lt;$R$2,"",C2531/INDEX(Clean_Data!$C$2:$C$4314,MATCH(A2531-30,Clean_Data!$A$2:$A$4314,1))-1)</f>
        <v>-0.251496591767212</v>
      </c>
    </row>
    <row r="2532" customFormat="false" ht="15" hidden="false" customHeight="false" outlineLevel="0" collapsed="false">
      <c r="A2532" s="16" t="n">
        <v>44539</v>
      </c>
      <c r="B2532" s="23" t="n">
        <f aca="false">YEAR(A2532)</f>
        <v>2021</v>
      </c>
      <c r="C2532" s="17" t="n">
        <v>47639.07</v>
      </c>
      <c r="D2532" s="23" t="n">
        <f aca="false">A2532-A2531</f>
        <v>1</v>
      </c>
      <c r="E2532" s="24" t="n">
        <f aca="false">LN(C2532)</f>
        <v>10.7714085018681</v>
      </c>
      <c r="F2532" s="25" t="n">
        <f aca="false">LN(C2532/C2531)</f>
        <v>-0.058943879209028</v>
      </c>
      <c r="G2532" s="25" t="n">
        <f aca="false">IF(AND(D2532=1,A2532&gt;=$R$2),F2532,"")</f>
        <v>-0.058943879209028</v>
      </c>
      <c r="H2532" s="27" t="n">
        <f aca="false">IF(G2532="","",G2532^2)</f>
        <v>0.00347438089620848</v>
      </c>
      <c r="I2532" s="25" t="n">
        <f aca="false">IF(G2532="","",C2532/C2531-1)</f>
        <v>-0.0572403239087849</v>
      </c>
      <c r="J2532" s="17" t="n">
        <f aca="false">AVERAGE(C2333:C2532)</f>
        <v>46588.6358</v>
      </c>
      <c r="K2532" s="17" t="n">
        <f aca="false">MAX(K2531,C2532)</f>
        <v>67510.06</v>
      </c>
      <c r="L2532" s="25" t="n">
        <f aca="false">C2532/K2532-1</f>
        <v>-0.294341169301286</v>
      </c>
      <c r="M2532" s="25" t="n">
        <f aca="false">IF(COUNT(G2503:G2532)&lt;20,"",_xlfn.STDEV.S(G2503:G2532)*SQRT($R$3))</f>
        <v>0.665442909072925</v>
      </c>
      <c r="N2532" s="25" t="n">
        <f aca="false">IF(A2532-7&lt;$R$2,"",C2532/INDEX(Clean_Data!$C$2:$C$4314,MATCH(A2532-7,Clean_Data!$A$2:$A$4314,1))-1)</f>
        <v>-0.157818729140624</v>
      </c>
      <c r="O2532" s="25" t="n">
        <f aca="false">IF(A2532-30&lt;$R$2,"",C2532/INDEX(Clean_Data!$C$2:$C$4314,MATCH(A2532-30,Clean_Data!$A$2:$A$4314,1))-1)</f>
        <v>-0.288629132907996</v>
      </c>
    </row>
    <row r="2533" customFormat="false" ht="15" hidden="false" customHeight="false" outlineLevel="0" collapsed="false">
      <c r="A2533" s="16" t="n">
        <v>44540</v>
      </c>
      <c r="B2533" s="23" t="n">
        <f aca="false">YEAR(A2533)</f>
        <v>2021</v>
      </c>
      <c r="C2533" s="17" t="n">
        <v>47268.48</v>
      </c>
      <c r="D2533" s="23" t="n">
        <f aca="false">A2533-A2532</f>
        <v>1</v>
      </c>
      <c r="E2533" s="24" t="n">
        <f aca="false">LN(C2533)</f>
        <v>10.763598967569</v>
      </c>
      <c r="F2533" s="25" t="n">
        <f aca="false">LN(C2533/C2532)</f>
        <v>-0.00780953429912583</v>
      </c>
      <c r="G2533" s="25" t="n">
        <f aca="false">IF(AND(D2533=1,A2533&gt;=$R$2),F2533,"")</f>
        <v>-0.00780953429912583</v>
      </c>
      <c r="H2533" s="27" t="n">
        <f aca="false">IF(G2533="","",G2533^2)</f>
        <v>6.09888259692227E-005</v>
      </c>
      <c r="I2533" s="25" t="n">
        <f aca="false">IF(G2533="","",C2533/C2532-1)</f>
        <v>-0.00777911911378615</v>
      </c>
      <c r="J2533" s="17" t="n">
        <f aca="false">AVERAGE(C2334:C2533)</f>
        <v>46631.3529</v>
      </c>
      <c r="K2533" s="17" t="n">
        <f aca="false">MAX(K2532,C2533)</f>
        <v>67510.06</v>
      </c>
      <c r="L2533" s="25" t="n">
        <f aca="false">C2533/K2533-1</f>
        <v>-0.299830573398987</v>
      </c>
      <c r="M2533" s="25" t="n">
        <f aca="false">IF(COUNT(G2504:G2533)&lt;20,"",_xlfn.STDEV.S(G2504:G2533)*SQRT($R$3))</f>
        <v>0.661567854597516</v>
      </c>
      <c r="N2533" s="25" t="n">
        <f aca="false">IF(A2533-7&lt;$R$2,"",C2533/INDEX(Clean_Data!$C$2:$C$4314,MATCH(A2533-7,Clean_Data!$A$2:$A$4314,1))-1)</f>
        <v>-0.119471792758685</v>
      </c>
      <c r="O2533" s="25" t="n">
        <f aca="false">IF(A2533-30&lt;$R$2,"",C2533/INDEX(Clean_Data!$C$2:$C$4314,MATCH(A2533-30,Clean_Data!$A$2:$A$4314,1))-1)</f>
        <v>-0.271636871182982</v>
      </c>
    </row>
    <row r="2534" customFormat="false" ht="15" hidden="false" customHeight="false" outlineLevel="0" collapsed="false">
      <c r="A2534" s="16" t="n">
        <v>44541</v>
      </c>
      <c r="B2534" s="23" t="n">
        <f aca="false">YEAR(A2534)</f>
        <v>2021</v>
      </c>
      <c r="C2534" s="17" t="n">
        <v>49432.46</v>
      </c>
      <c r="D2534" s="23" t="n">
        <f aca="false">A2534-A2533</f>
        <v>1</v>
      </c>
      <c r="E2534" s="24" t="n">
        <f aca="false">LN(C2534)</f>
        <v>10.8083625724104</v>
      </c>
      <c r="F2534" s="25" t="n">
        <f aca="false">LN(C2534/C2533)</f>
        <v>0.0447636048414301</v>
      </c>
      <c r="G2534" s="25" t="n">
        <f aca="false">IF(AND(D2534=1,A2534&gt;=$R$2),F2534,"")</f>
        <v>0.0447636048414301</v>
      </c>
      <c r="H2534" s="27" t="n">
        <f aca="false">IF(G2534="","",G2534^2)</f>
        <v>0.00200378031839971</v>
      </c>
      <c r="I2534" s="25" t="n">
        <f aca="false">IF(G2534="","",C2534/C2533-1)</f>
        <v>0.0457806132120178</v>
      </c>
      <c r="J2534" s="17" t="n">
        <f aca="false">AVERAGE(C2335:C2534)</f>
        <v>46686.6652</v>
      </c>
      <c r="K2534" s="17" t="n">
        <f aca="false">MAX(K2533,C2534)</f>
        <v>67510.06</v>
      </c>
      <c r="L2534" s="25" t="n">
        <f aca="false">C2534/K2534-1</f>
        <v>-0.267776387696886</v>
      </c>
      <c r="M2534" s="25" t="n">
        <f aca="false">IF(COUNT(G2505:G2534)&lt;20,"",_xlfn.STDEV.S(G2505:G2534)*SQRT($R$3))</f>
        <v>0.688684790410917</v>
      </c>
      <c r="N2534" s="25" t="n">
        <f aca="false">IF(A2534-7&lt;$R$2,"",C2534/INDEX(Clean_Data!$C$2:$C$4314,MATCH(A2534-7,Clean_Data!$A$2:$A$4314,1))-1)</f>
        <v>0.00197547380156071</v>
      </c>
      <c r="O2534" s="25" t="n">
        <f aca="false">IF(A2534-30&lt;$R$2,"",C2534/INDEX(Clean_Data!$C$2:$C$4314,MATCH(A2534-30,Clean_Data!$A$2:$A$4314,1))-1)</f>
        <v>-0.237079104462178</v>
      </c>
    </row>
    <row r="2535" customFormat="false" ht="15" hidden="false" customHeight="false" outlineLevel="0" collapsed="false">
      <c r="A2535" s="16" t="n">
        <v>44542</v>
      </c>
      <c r="B2535" s="23" t="n">
        <f aca="false">YEAR(A2535)</f>
        <v>2021</v>
      </c>
      <c r="C2535" s="17" t="n">
        <v>50065.39</v>
      </c>
      <c r="D2535" s="23" t="n">
        <f aca="false">A2535-A2534</f>
        <v>1</v>
      </c>
      <c r="E2535" s="24" t="n">
        <f aca="false">LN(C2535)</f>
        <v>10.8210852299847</v>
      </c>
      <c r="F2535" s="25" t="n">
        <f aca="false">LN(C2535/C2534)</f>
        <v>0.012722657574311</v>
      </c>
      <c r="G2535" s="25" t="n">
        <f aca="false">IF(AND(D2535=1,A2535&gt;=$R$2),F2535,"")</f>
        <v>0.012722657574311</v>
      </c>
      <c r="H2535" s="27" t="n">
        <f aca="false">IF(G2535="","",G2535^2)</f>
        <v>0.000161866015753173</v>
      </c>
      <c r="I2535" s="25" t="n">
        <f aca="false">IF(G2535="","",C2535/C2534-1)</f>
        <v>0.0128039349043119</v>
      </c>
      <c r="J2535" s="17" t="n">
        <f aca="false">AVERAGE(C2336:C2535)</f>
        <v>46740.9251</v>
      </c>
      <c r="K2535" s="17" t="n">
        <f aca="false">MAX(K2534,C2535)</f>
        <v>67510.06</v>
      </c>
      <c r="L2535" s="25" t="n">
        <f aca="false">C2535/K2535-1</f>
        <v>-0.258401044229556</v>
      </c>
      <c r="M2535" s="25" t="n">
        <f aca="false">IF(COUNT(G2506:G2535)&lt;20,"",_xlfn.STDEV.S(G2506:G2535)*SQRT($R$3))</f>
        <v>0.692830647022798</v>
      </c>
      <c r="N2535" s="25" t="n">
        <f aca="false">IF(A2535-7&lt;$R$2,"",C2535/INDEX(Clean_Data!$C$2:$C$4314,MATCH(A2535-7,Clean_Data!$A$2:$A$4314,1))-1)</f>
        <v>0.0111817879227076</v>
      </c>
      <c r="O2535" s="25" t="n">
        <f aca="false">IF(A2535-30&lt;$R$2,"",C2535/INDEX(Clean_Data!$C$2:$C$4314,MATCH(A2535-30,Clean_Data!$A$2:$A$4314,1))-1)</f>
        <v>-0.219660961577817</v>
      </c>
    </row>
    <row r="2536" customFormat="false" ht="15" hidden="false" customHeight="false" outlineLevel="0" collapsed="false">
      <c r="A2536" s="16" t="n">
        <v>44543</v>
      </c>
      <c r="B2536" s="23" t="n">
        <f aca="false">YEAR(A2536)</f>
        <v>2021</v>
      </c>
      <c r="C2536" s="17" t="n">
        <v>46639.86</v>
      </c>
      <c r="D2536" s="23" t="n">
        <f aca="false">A2536-A2535</f>
        <v>1</v>
      </c>
      <c r="E2536" s="24" t="n">
        <f aca="false">LN(C2536)</f>
        <v>10.7502108193046</v>
      </c>
      <c r="F2536" s="25" t="n">
        <f aca="false">LN(C2536/C2535)</f>
        <v>-0.0708744106801241</v>
      </c>
      <c r="G2536" s="25" t="n">
        <f aca="false">IF(AND(D2536=1,A2536&gt;=$R$2),F2536,"")</f>
        <v>-0.0708744106801241</v>
      </c>
      <c r="H2536" s="27" t="n">
        <f aca="false">IF(G2536="","",G2536^2)</f>
        <v>0.00502318208925489</v>
      </c>
      <c r="I2536" s="25" t="n">
        <f aca="false">IF(G2536="","",C2536/C2535-1)</f>
        <v>-0.0684211188607539</v>
      </c>
      <c r="J2536" s="17" t="n">
        <f aca="false">AVERAGE(C2337:C2536)</f>
        <v>46782.28355</v>
      </c>
      <c r="K2536" s="17" t="n">
        <f aca="false">MAX(K2535,C2536)</f>
        <v>67510.06</v>
      </c>
      <c r="L2536" s="25" t="n">
        <f aca="false">C2536/K2536-1</f>
        <v>-0.309142074529337</v>
      </c>
      <c r="M2536" s="25" t="n">
        <f aca="false">IF(COUNT(G2507:G2536)&lt;20,"",_xlfn.STDEV.S(G2507:G2536)*SQRT($R$3))</f>
        <v>0.724362898036077</v>
      </c>
      <c r="N2536" s="25" t="n">
        <f aca="false">IF(A2536-7&lt;$R$2,"",C2536/INDEX(Clean_Data!$C$2:$C$4314,MATCH(A2536-7,Clean_Data!$A$2:$A$4314,1))-1)</f>
        <v>-0.0780615751555035</v>
      </c>
      <c r="O2536" s="25" t="n">
        <f aca="false">IF(A2536-30&lt;$R$2,"",C2536/INDEX(Clean_Data!$C$2:$C$4314,MATCH(A2536-30,Clean_Data!$A$2:$A$4314,1))-1)</f>
        <v>-0.276705601237172</v>
      </c>
    </row>
    <row r="2537" customFormat="false" ht="15" hidden="false" customHeight="false" outlineLevel="0" collapsed="false">
      <c r="A2537" s="16" t="n">
        <v>44544</v>
      </c>
      <c r="B2537" s="23" t="n">
        <f aca="false">YEAR(A2537)</f>
        <v>2021</v>
      </c>
      <c r="C2537" s="17" t="n">
        <v>48343.16</v>
      </c>
      <c r="D2537" s="23" t="n">
        <f aca="false">A2537-A2536</f>
        <v>1</v>
      </c>
      <c r="E2537" s="24" t="n">
        <f aca="false">LN(C2537)</f>
        <v>10.7860800224147</v>
      </c>
      <c r="F2537" s="25" t="n">
        <f aca="false">LN(C2537/C2536)</f>
        <v>0.0358692031100792</v>
      </c>
      <c r="G2537" s="25" t="n">
        <f aca="false">IF(AND(D2537=1,A2537&gt;=$R$2),F2537,"")</f>
        <v>0.0358692031100792</v>
      </c>
      <c r="H2537" s="27" t="n">
        <f aca="false">IF(G2537="","",G2537^2)</f>
        <v>0.00128659973175212</v>
      </c>
      <c r="I2537" s="25" t="n">
        <f aca="false">IF(G2537="","",C2537/C2536-1)</f>
        <v>0.0365202639973621</v>
      </c>
      <c r="J2537" s="17" t="n">
        <f aca="false">AVERAGE(C2338:C2537)</f>
        <v>46845.14935</v>
      </c>
      <c r="K2537" s="17" t="n">
        <f aca="false">MAX(K2536,C2537)</f>
        <v>67510.06</v>
      </c>
      <c r="L2537" s="25" t="n">
        <f aca="false">C2537/K2537-1</f>
        <v>-0.283911760706478</v>
      </c>
      <c r="M2537" s="25" t="n">
        <f aca="false">IF(COUNT(G2508:G2537)&lt;20,"",_xlfn.STDEV.S(G2508:G2537)*SQRT($R$3))</f>
        <v>0.735443612241355</v>
      </c>
      <c r="N2537" s="25" t="n">
        <f aca="false">IF(A2537-7&lt;$R$2,"",C2537/INDEX(Clean_Data!$C$2:$C$4314,MATCH(A2537-7,Clean_Data!$A$2:$A$4314,1))-1)</f>
        <v>-0.0460361089421065</v>
      </c>
      <c r="O2537" s="25" t="n">
        <f aca="false">IF(A2537-30&lt;$R$2,"",C2537/INDEX(Clean_Data!$C$2:$C$4314,MATCH(A2537-30,Clean_Data!$A$2:$A$4314,1))-1)</f>
        <v>-0.264340578612945</v>
      </c>
    </row>
    <row r="2538" customFormat="false" ht="15" hidden="false" customHeight="false" outlineLevel="0" collapsed="false">
      <c r="A2538" s="16" t="n">
        <v>44545</v>
      </c>
      <c r="B2538" s="23" t="n">
        <f aca="false">YEAR(A2538)</f>
        <v>2021</v>
      </c>
      <c r="C2538" s="17" t="n">
        <v>48885.97</v>
      </c>
      <c r="D2538" s="23" t="n">
        <f aca="false">A2538-A2537</f>
        <v>1</v>
      </c>
      <c r="E2538" s="24" t="n">
        <f aca="false">LN(C2538)</f>
        <v>10.7972457222304</v>
      </c>
      <c r="F2538" s="25" t="n">
        <f aca="false">LN(C2538/C2537)</f>
        <v>0.0111656998157005</v>
      </c>
      <c r="G2538" s="25" t="n">
        <f aca="false">IF(AND(D2538=1,A2538&gt;=$R$2),F2538,"")</f>
        <v>0.0111656998157005</v>
      </c>
      <c r="H2538" s="27" t="n">
        <f aca="false">IF(G2538="","",G2538^2)</f>
        <v>0.000124672852374334</v>
      </c>
      <c r="I2538" s="25" t="n">
        <f aca="false">IF(G2538="","",C2538/C2537-1)</f>
        <v>0.0112282689009158</v>
      </c>
      <c r="J2538" s="17" t="n">
        <f aca="false">AVERAGE(C2339:C2538)</f>
        <v>46916.471</v>
      </c>
      <c r="K2538" s="17" t="n">
        <f aca="false">MAX(K2537,C2538)</f>
        <v>67510.06</v>
      </c>
      <c r="L2538" s="25" t="n">
        <f aca="false">C2538/K2538-1</f>
        <v>-0.275871329398907</v>
      </c>
      <c r="M2538" s="25" t="n">
        <f aca="false">IF(COUNT(G2509:G2538)&lt;20,"",_xlfn.STDEV.S(G2509:G2538)*SQRT($R$3))</f>
        <v>0.733415643421484</v>
      </c>
      <c r="N2538" s="25" t="n">
        <f aca="false">IF(A2538-7&lt;$R$2,"",C2538/INDEX(Clean_Data!$C$2:$C$4314,MATCH(A2538-7,Clean_Data!$A$2:$A$4314,1))-1)</f>
        <v>-0.0325646314547101</v>
      </c>
      <c r="O2538" s="25" t="n">
        <f aca="false">IF(A2538-30&lt;$R$2,"",C2538/INDEX(Clean_Data!$C$2:$C$4314,MATCH(A2538-30,Clean_Data!$A$2:$A$4314,1))-1)</f>
        <v>-0.229434497951504</v>
      </c>
    </row>
    <row r="2539" customFormat="false" ht="15" hidden="false" customHeight="false" outlineLevel="0" collapsed="false">
      <c r="A2539" s="16" t="n">
        <v>44546</v>
      </c>
      <c r="B2539" s="23" t="n">
        <f aca="false">YEAR(A2539)</f>
        <v>2021</v>
      </c>
      <c r="C2539" s="17" t="n">
        <v>47605.48</v>
      </c>
      <c r="D2539" s="23" t="n">
        <f aca="false">A2539-A2538</f>
        <v>1</v>
      </c>
      <c r="E2539" s="24" t="n">
        <f aca="false">LN(C2539)</f>
        <v>10.7707031596434</v>
      </c>
      <c r="F2539" s="25" t="n">
        <f aca="false">LN(C2539/C2538)</f>
        <v>-0.0265425625869462</v>
      </c>
      <c r="G2539" s="25" t="n">
        <f aca="false">IF(AND(D2539=1,A2539&gt;=$R$2),F2539,"")</f>
        <v>-0.0265425625869462</v>
      </c>
      <c r="H2539" s="27" t="n">
        <f aca="false">IF(G2539="","",G2539^2)</f>
        <v>0.000704507628681955</v>
      </c>
      <c r="I2539" s="25" t="n">
        <f aca="false">IF(G2539="","",C2539/C2538-1)</f>
        <v>-0.0261934047744168</v>
      </c>
      <c r="J2539" s="17" t="n">
        <f aca="false">AVERAGE(C2340:C2539)</f>
        <v>46976.77205</v>
      </c>
      <c r="K2539" s="17" t="n">
        <f aca="false">MAX(K2538,C2539)</f>
        <v>67510.06</v>
      </c>
      <c r="L2539" s="25" t="n">
        <f aca="false">C2539/K2539-1</f>
        <v>-0.294838724776722</v>
      </c>
      <c r="M2539" s="25" t="n">
        <f aca="false">IF(COUNT(G2510:G2539)&lt;20,"",_xlfn.STDEV.S(G2510:G2539)*SQRT($R$3))</f>
        <v>0.7187023519521</v>
      </c>
      <c r="N2539" s="25" t="n">
        <f aca="false">IF(A2539-7&lt;$R$2,"",C2539/INDEX(Clean_Data!$C$2:$C$4314,MATCH(A2539-7,Clean_Data!$A$2:$A$4314,1))-1)</f>
        <v>-0.000705093529323686</v>
      </c>
      <c r="O2539" s="25" t="n">
        <f aca="false">IF(A2539-30&lt;$R$2,"",C2539/INDEX(Clean_Data!$C$2:$C$4314,MATCH(A2539-30,Clean_Data!$A$2:$A$4314,1))-1)</f>
        <v>-0.20851868379173</v>
      </c>
    </row>
    <row r="2540" customFormat="false" ht="15" hidden="false" customHeight="false" outlineLevel="0" collapsed="false">
      <c r="A2540" s="16" t="n">
        <v>44547</v>
      </c>
      <c r="B2540" s="23" t="n">
        <f aca="false">YEAR(A2540)</f>
        <v>2021</v>
      </c>
      <c r="C2540" s="17" t="n">
        <v>46240.15</v>
      </c>
      <c r="D2540" s="23" t="n">
        <f aca="false">A2540-A2539</f>
        <v>1</v>
      </c>
      <c r="E2540" s="24" t="n">
        <f aca="false">LN(C2540)</f>
        <v>10.7416037472856</v>
      </c>
      <c r="F2540" s="25" t="n">
        <f aca="false">LN(C2540/C2539)</f>
        <v>-0.0290994123578022</v>
      </c>
      <c r="G2540" s="25" t="n">
        <f aca="false">IF(AND(D2540=1,A2540&gt;=$R$2),F2540,"")</f>
        <v>-0.0290994123578022</v>
      </c>
      <c r="H2540" s="27" t="n">
        <f aca="false">IF(G2540="","",G2540^2)</f>
        <v>0.000846775799569414</v>
      </c>
      <c r="I2540" s="25" t="n">
        <f aca="false">IF(G2540="","",C2540/C2539-1)</f>
        <v>-0.0286801015345293</v>
      </c>
      <c r="J2540" s="17" t="n">
        <f aca="false">AVERAGE(C2341:C2540)</f>
        <v>47022.20425</v>
      </c>
      <c r="K2540" s="17" t="n">
        <f aca="false">MAX(K2539,C2540)</f>
        <v>67510.06</v>
      </c>
      <c r="L2540" s="25" t="n">
        <f aca="false">C2540/K2540-1</f>
        <v>-0.315062821748344</v>
      </c>
      <c r="M2540" s="25" t="n">
        <f aca="false">IF(COUNT(G2511:G2540)&lt;20,"",_xlfn.STDEV.S(G2511:G2540)*SQRT($R$3))</f>
        <v>0.721397352261616</v>
      </c>
      <c r="N2540" s="25" t="n">
        <f aca="false">IF(A2540-7&lt;$R$2,"",C2540/INDEX(Clean_Data!$C$2:$C$4314,MATCH(A2540-7,Clean_Data!$A$2:$A$4314,1))-1)</f>
        <v>-0.0217550892264782</v>
      </c>
      <c r="O2540" s="25" t="n">
        <f aca="false">IF(A2540-30&lt;$R$2,"",C2540/INDEX(Clean_Data!$C$2:$C$4314,MATCH(A2540-30,Clean_Data!$A$2:$A$4314,1))-1)</f>
        <v>-0.233346564030939</v>
      </c>
    </row>
    <row r="2541" customFormat="false" ht="15" hidden="false" customHeight="false" outlineLevel="0" collapsed="false">
      <c r="A2541" s="16" t="n">
        <v>44548</v>
      </c>
      <c r="B2541" s="23" t="n">
        <f aca="false">YEAR(A2541)</f>
        <v>2021</v>
      </c>
      <c r="C2541" s="17" t="n">
        <v>46813.13</v>
      </c>
      <c r="D2541" s="23" t="n">
        <f aca="false">A2541-A2540</f>
        <v>1</v>
      </c>
      <c r="E2541" s="24" t="n">
        <f aca="false">LN(C2541)</f>
        <v>10.7539189981129</v>
      </c>
      <c r="F2541" s="25" t="n">
        <f aca="false">LN(C2541/C2540)</f>
        <v>0.012315250827309</v>
      </c>
      <c r="G2541" s="25" t="n">
        <f aca="false">IF(AND(D2541=1,A2541&gt;=$R$2),F2541,"")</f>
        <v>0.012315250827309</v>
      </c>
      <c r="H2541" s="27" t="n">
        <f aca="false">IF(G2541="","",G2541^2)</f>
        <v>0.000151665402939536</v>
      </c>
      <c r="I2541" s="25" t="n">
        <f aca="false">IF(G2541="","",C2541/C2540-1)</f>
        <v>0.0123913957891573</v>
      </c>
      <c r="J2541" s="17" t="n">
        <f aca="false">AVERAGE(C2342:C2541)</f>
        <v>47072.447</v>
      </c>
      <c r="K2541" s="17" t="n">
        <f aca="false">MAX(K2540,C2541)</f>
        <v>67510.06</v>
      </c>
      <c r="L2541" s="25" t="n">
        <f aca="false">C2541/K2541-1</f>
        <v>-0.306575494081919</v>
      </c>
      <c r="M2541" s="25" t="n">
        <f aca="false">IF(COUNT(G2512:G2541)&lt;20,"",_xlfn.STDEV.S(G2512:G2541)*SQRT($R$3))</f>
        <v>0.704174030270779</v>
      </c>
      <c r="N2541" s="25" t="n">
        <f aca="false">IF(A2541-7&lt;$R$2,"",C2541/INDEX(Clean_Data!$C$2:$C$4314,MATCH(A2541-7,Clean_Data!$A$2:$A$4314,1))-1)</f>
        <v>-0.0529880568355288</v>
      </c>
      <c r="O2541" s="25" t="n">
        <f aca="false">IF(A2541-30&lt;$R$2,"",C2541/INDEX(Clean_Data!$C$2:$C$4314,MATCH(A2541-30,Clean_Data!$A$2:$A$4314,1))-1)</f>
        <v>-0.178967360478507</v>
      </c>
    </row>
    <row r="2542" customFormat="false" ht="15" hidden="false" customHeight="false" outlineLevel="0" collapsed="false">
      <c r="A2542" s="16" t="n">
        <v>44549</v>
      </c>
      <c r="B2542" s="23" t="n">
        <f aca="false">YEAR(A2542)</f>
        <v>2021</v>
      </c>
      <c r="C2542" s="17" t="n">
        <v>46683.77</v>
      </c>
      <c r="D2542" s="23" t="n">
        <f aca="false">A2542-A2541</f>
        <v>1</v>
      </c>
      <c r="E2542" s="24" t="n">
        <f aca="false">LN(C2542)</f>
        <v>10.7511518457786</v>
      </c>
      <c r="F2542" s="25" t="n">
        <f aca="false">LN(C2542/C2541)</f>
        <v>-0.00276715233433133</v>
      </c>
      <c r="G2542" s="25" t="n">
        <f aca="false">IF(AND(D2542=1,A2542&gt;=$R$2),F2542,"")</f>
        <v>-0.00276715233433133</v>
      </c>
      <c r="H2542" s="27" t="n">
        <f aca="false">IF(G2542="","",G2542^2)</f>
        <v>7.65713204139532E-006</v>
      </c>
      <c r="I2542" s="25" t="n">
        <f aca="false">IF(G2542="","",C2542/C2541-1)</f>
        <v>-0.00276332729727746</v>
      </c>
      <c r="J2542" s="17" t="n">
        <f aca="false">AVERAGE(C2343:C2542)</f>
        <v>47118.35905</v>
      </c>
      <c r="K2542" s="17" t="n">
        <f aca="false">MAX(K2541,C2542)</f>
        <v>67510.06</v>
      </c>
      <c r="L2542" s="25" t="n">
        <f aca="false">C2542/K2542-1</f>
        <v>-0.308491652947724</v>
      </c>
      <c r="M2542" s="25" t="n">
        <f aca="false">IF(COUNT(G2513:G2542)&lt;20,"",_xlfn.STDEV.S(G2513:G2542)*SQRT($R$3))</f>
        <v>0.697650794541141</v>
      </c>
      <c r="N2542" s="25" t="n">
        <f aca="false">IF(A2542-7&lt;$R$2,"",C2542/INDEX(Clean_Data!$C$2:$C$4314,MATCH(A2542-7,Clean_Data!$A$2:$A$4314,1))-1)</f>
        <v>-0.0675440658706544</v>
      </c>
      <c r="O2542" s="25" t="n">
        <f aca="false">IF(A2542-30&lt;$R$2,"",C2542/INDEX(Clean_Data!$C$2:$C$4314,MATCH(A2542-30,Clean_Data!$A$2:$A$4314,1))-1)</f>
        <v>-0.197705878460882</v>
      </c>
    </row>
    <row r="2543" customFormat="false" ht="15" hidden="false" customHeight="false" outlineLevel="0" collapsed="false">
      <c r="A2543" s="16" t="n">
        <v>44550</v>
      </c>
      <c r="B2543" s="23" t="n">
        <f aca="false">YEAR(A2543)</f>
        <v>2021</v>
      </c>
      <c r="C2543" s="17" t="n">
        <v>46963.71</v>
      </c>
      <c r="D2543" s="23" t="n">
        <f aca="false">A2543-A2542</f>
        <v>1</v>
      </c>
      <c r="E2543" s="24" t="n">
        <f aca="false">LN(C2543)</f>
        <v>10.7571304547885</v>
      </c>
      <c r="F2543" s="25" t="n">
        <f aca="false">LN(C2543/C2542)</f>
        <v>0.00597860900991656</v>
      </c>
      <c r="G2543" s="25" t="n">
        <f aca="false">IF(AND(D2543=1,A2543&gt;=$R$2),F2543,"")</f>
        <v>0.00597860900991656</v>
      </c>
      <c r="H2543" s="27" t="n">
        <f aca="false">IF(G2543="","",G2543^2)</f>
        <v>3.57437656934554E-005</v>
      </c>
      <c r="I2543" s="25" t="n">
        <f aca="false">IF(G2543="","",C2543/C2542-1)</f>
        <v>0.00599651656239431</v>
      </c>
      <c r="J2543" s="17" t="n">
        <f aca="false">AVERAGE(C2344:C2543)</f>
        <v>47157.10215</v>
      </c>
      <c r="K2543" s="17" t="n">
        <f aca="false">MAX(K2542,C2543)</f>
        <v>67510.06</v>
      </c>
      <c r="L2543" s="25" t="n">
        <f aca="false">C2543/K2543-1</f>
        <v>-0.304345011691591</v>
      </c>
      <c r="M2543" s="25" t="n">
        <f aca="false">IF(COUNT(G2514:G2543)&lt;20,"",_xlfn.STDEV.S(G2514:G2543)*SQRT($R$3))</f>
        <v>0.688510837684855</v>
      </c>
      <c r="N2543" s="25" t="n">
        <f aca="false">IF(A2543-7&lt;$R$2,"",C2543/INDEX(Clean_Data!$C$2:$C$4314,MATCH(A2543-7,Clean_Data!$A$2:$A$4314,1))-1)</f>
        <v>0.00694363147745292</v>
      </c>
      <c r="O2543" s="25" t="n">
        <f aca="false">IF(A2543-30&lt;$R$2,"",C2543/INDEX(Clean_Data!$C$2:$C$4314,MATCH(A2543-30,Clean_Data!$A$2:$A$4314,1))-1)</f>
        <v>-0.214281973863555</v>
      </c>
    </row>
    <row r="2544" customFormat="false" ht="15" hidden="false" customHeight="false" outlineLevel="0" collapsed="false">
      <c r="A2544" s="16" t="n">
        <v>44551</v>
      </c>
      <c r="B2544" s="23" t="n">
        <f aca="false">YEAR(A2544)</f>
        <v>2021</v>
      </c>
      <c r="C2544" s="17" t="n">
        <v>48954.47</v>
      </c>
      <c r="D2544" s="23" t="n">
        <f aca="false">A2544-A2543</f>
        <v>1</v>
      </c>
      <c r="E2544" s="24" t="n">
        <f aca="false">LN(C2544)</f>
        <v>10.7986459614605</v>
      </c>
      <c r="F2544" s="25" t="n">
        <f aca="false">LN(C2544/C2543)</f>
        <v>0.0415155066720164</v>
      </c>
      <c r="G2544" s="25" t="n">
        <f aca="false">IF(AND(D2544=1,A2544&gt;=$R$2),F2544,"")</f>
        <v>0.0415155066720164</v>
      </c>
      <c r="H2544" s="27" t="n">
        <f aca="false">IF(G2544="","",G2544^2)</f>
        <v>0.00172353729423424</v>
      </c>
      <c r="I2544" s="25" t="n">
        <f aca="false">IF(G2544="","",C2544/C2543-1)</f>
        <v>0.0423893257155366</v>
      </c>
      <c r="J2544" s="17" t="n">
        <f aca="false">AVERAGE(C2345:C2544)</f>
        <v>47217.3971</v>
      </c>
      <c r="K2544" s="17" t="n">
        <f aca="false">MAX(K2543,C2544)</f>
        <v>67510.06</v>
      </c>
      <c r="L2544" s="25" t="n">
        <f aca="false">C2544/K2544-1</f>
        <v>-0.274856665806548</v>
      </c>
      <c r="M2544" s="25" t="n">
        <f aca="false">IF(COUNT(G2515:G2544)&lt;20,"",_xlfn.STDEV.S(G2515:G2544)*SQRT($R$3))</f>
        <v>0.708805664374404</v>
      </c>
      <c r="N2544" s="25" t="n">
        <f aca="false">IF(A2544-7&lt;$R$2,"",C2544/INDEX(Clean_Data!$C$2:$C$4314,MATCH(A2544-7,Clean_Data!$A$2:$A$4314,1))-1)</f>
        <v>0.0126452221989626</v>
      </c>
      <c r="O2544" s="25" t="n">
        <f aca="false">IF(A2544-30&lt;$R$2,"",C2544/INDEX(Clean_Data!$C$2:$C$4314,MATCH(A2544-30,Clean_Data!$A$2:$A$4314,1))-1)</f>
        <v>-0.166631712087759</v>
      </c>
    </row>
    <row r="2545" customFormat="false" ht="15" hidden="false" customHeight="false" outlineLevel="0" collapsed="false">
      <c r="A2545" s="16" t="n">
        <v>44552</v>
      </c>
      <c r="B2545" s="23" t="n">
        <f aca="false">YEAR(A2545)</f>
        <v>2021</v>
      </c>
      <c r="C2545" s="17" t="n">
        <v>48646.94</v>
      </c>
      <c r="D2545" s="23" t="n">
        <f aca="false">A2545-A2544</f>
        <v>1</v>
      </c>
      <c r="E2545" s="24" t="n">
        <f aca="false">LN(C2545)</f>
        <v>10.7923441873831</v>
      </c>
      <c r="F2545" s="25" t="n">
        <f aca="false">LN(C2545/C2544)</f>
        <v>-0.0063017740773979</v>
      </c>
      <c r="G2545" s="25" t="n">
        <f aca="false">IF(AND(D2545=1,A2545&gt;=$R$2),F2545,"")</f>
        <v>-0.0063017740773979</v>
      </c>
      <c r="H2545" s="27" t="n">
        <f aca="false">IF(G2545="","",G2545^2)</f>
        <v>3.97123565225641E-005</v>
      </c>
      <c r="I2545" s="25" t="n">
        <f aca="false">IF(G2545="","",C2545/C2544-1)</f>
        <v>-0.00628195954322452</v>
      </c>
      <c r="J2545" s="17" t="n">
        <f aca="false">AVERAGE(C2346:C2545)</f>
        <v>47282.8068</v>
      </c>
      <c r="K2545" s="17" t="n">
        <f aca="false">MAX(K2544,C2545)</f>
        <v>67510.06</v>
      </c>
      <c r="L2545" s="25" t="n">
        <f aca="false">C2545/K2545-1</f>
        <v>-0.27941198689499</v>
      </c>
      <c r="M2545" s="25" t="n">
        <f aca="false">IF(COUNT(G2516:G2545)&lt;20,"",_xlfn.STDEV.S(G2516:G2545)*SQRT($R$3))</f>
        <v>0.695994588649527</v>
      </c>
      <c r="N2545" s="25" t="n">
        <f aca="false">IF(A2545-7&lt;$R$2,"",C2545/INDEX(Clean_Data!$C$2:$C$4314,MATCH(A2545-7,Clean_Data!$A$2:$A$4314,1))-1)</f>
        <v>-0.00488954192787827</v>
      </c>
      <c r="O2545" s="25" t="n">
        <f aca="false">IF(A2545-30&lt;$R$2,"",C2545/INDEX(Clean_Data!$C$2:$C$4314,MATCH(A2545-30,Clean_Data!$A$2:$A$4314,1))-1)</f>
        <v>-0.135235768400683</v>
      </c>
    </row>
    <row r="2546" customFormat="false" ht="15" hidden="false" customHeight="false" outlineLevel="0" collapsed="false">
      <c r="A2546" s="16" t="n">
        <v>44553</v>
      </c>
      <c r="B2546" s="23" t="n">
        <f aca="false">YEAR(A2546)</f>
        <v>2021</v>
      </c>
      <c r="C2546" s="17" t="n">
        <v>50840.46</v>
      </c>
      <c r="D2546" s="23" t="n">
        <f aca="false">A2546-A2545</f>
        <v>1</v>
      </c>
      <c r="E2546" s="24" t="n">
        <f aca="false">LN(C2546)</f>
        <v>10.8364477732562</v>
      </c>
      <c r="F2546" s="25" t="n">
        <f aca="false">LN(C2546/C2545)</f>
        <v>0.0441035858730164</v>
      </c>
      <c r="G2546" s="25" t="n">
        <f aca="false">IF(AND(D2546=1,A2546&gt;=$R$2),F2546,"")</f>
        <v>0.0441035858730164</v>
      </c>
      <c r="H2546" s="27" t="n">
        <f aca="false">IF(G2546="","",G2546^2)</f>
        <v>0.00194512628685853</v>
      </c>
      <c r="I2546" s="25" t="n">
        <f aca="false">IF(G2546="","",C2546/C2545-1)</f>
        <v>0.0450906059045029</v>
      </c>
      <c r="J2546" s="17" t="n">
        <f aca="false">AVERAGE(C2347:C2546)</f>
        <v>47357.642</v>
      </c>
      <c r="K2546" s="17" t="n">
        <f aca="false">MAX(K2545,C2546)</f>
        <v>67510.06</v>
      </c>
      <c r="L2546" s="25" t="n">
        <f aca="false">C2546/K2546-1</f>
        <v>-0.246920236776563</v>
      </c>
      <c r="M2546" s="25" t="n">
        <f aca="false">IF(COUNT(G2517:G2546)&lt;20,"",_xlfn.STDEV.S(G2517:G2546)*SQRT($R$3))</f>
        <v>0.710055650430065</v>
      </c>
      <c r="N2546" s="25" t="n">
        <f aca="false">IF(A2546-7&lt;$R$2,"",C2546/INDEX(Clean_Data!$C$2:$C$4314,MATCH(A2546-7,Clean_Data!$A$2:$A$4314,1))-1)</f>
        <v>0.0679539414369941</v>
      </c>
      <c r="O2546" s="25" t="n">
        <f aca="false">IF(A2546-30&lt;$R$2,"",C2546/INDEX(Clean_Data!$C$2:$C$4314,MATCH(A2546-30,Clean_Data!$A$2:$A$4314,1))-1)</f>
        <v>-0.117352971762669</v>
      </c>
    </row>
    <row r="2547" customFormat="false" ht="15" hidden="false" customHeight="false" outlineLevel="0" collapsed="false">
      <c r="A2547" s="16" t="n">
        <v>44554</v>
      </c>
      <c r="B2547" s="23" t="n">
        <f aca="false">YEAR(A2547)</f>
        <v>2021</v>
      </c>
      <c r="C2547" s="17" t="n">
        <v>50815.7</v>
      </c>
      <c r="D2547" s="23" t="n">
        <f aca="false">A2547-A2546</f>
        <v>1</v>
      </c>
      <c r="E2547" s="24" t="n">
        <f aca="false">LN(C2547)</f>
        <v>10.835960640937</v>
      </c>
      <c r="F2547" s="25" t="n">
        <f aca="false">LN(C2547/C2546)</f>
        <v>-0.000487132319175294</v>
      </c>
      <c r="G2547" s="25" t="n">
        <f aca="false">IF(AND(D2547=1,A2547&gt;=$R$2),F2547,"")</f>
        <v>-0.000487132319175294</v>
      </c>
      <c r="H2547" s="27" t="n">
        <f aca="false">IF(G2547="","",G2547^2)</f>
        <v>2.372978963851E-007</v>
      </c>
      <c r="I2547" s="25" t="n">
        <f aca="false">IF(G2547="","",C2547/C2546-1)</f>
        <v>-0.000487013689490667</v>
      </c>
      <c r="J2547" s="17" t="n">
        <f aca="false">AVERAGE(C2348:C2547)</f>
        <v>47442.64005</v>
      </c>
      <c r="K2547" s="17" t="n">
        <f aca="false">MAX(K2546,C2547)</f>
        <v>67510.06</v>
      </c>
      <c r="L2547" s="25" t="n">
        <f aca="false">C2547/K2547-1</f>
        <v>-0.247286996930532</v>
      </c>
      <c r="M2547" s="25" t="n">
        <f aca="false">IF(COUNT(G2518:G2547)&lt;20,"",_xlfn.STDEV.S(G2518:G2547)*SQRT($R$3))</f>
        <v>0.710136202096615</v>
      </c>
      <c r="N2547" s="25" t="n">
        <f aca="false">IF(A2547-7&lt;$R$2,"",C2547/INDEX(Clean_Data!$C$2:$C$4314,MATCH(A2547-7,Clean_Data!$A$2:$A$4314,1))-1)</f>
        <v>0.0989518848879165</v>
      </c>
      <c r="O2547" s="25" t="n">
        <f aca="false">IF(A2547-30&lt;$R$2,"",C2547/INDEX(Clean_Data!$C$2:$C$4314,MATCH(A2547-30,Clean_Data!$A$2:$A$4314,1))-1)</f>
        <v>-0.112470753768563</v>
      </c>
    </row>
    <row r="2548" customFormat="false" ht="15" hidden="false" customHeight="false" outlineLevel="0" collapsed="false">
      <c r="A2548" s="16" t="n">
        <v>44555</v>
      </c>
      <c r="B2548" s="23" t="n">
        <f aca="false">YEAR(A2548)</f>
        <v>2021</v>
      </c>
      <c r="C2548" s="17" t="n">
        <v>50395.07</v>
      </c>
      <c r="D2548" s="23" t="n">
        <f aca="false">A2548-A2547</f>
        <v>1</v>
      </c>
      <c r="E2548" s="24" t="n">
        <f aca="false">LN(C2548)</f>
        <v>10.8276486318147</v>
      </c>
      <c r="F2548" s="25" t="n">
        <f aca="false">LN(C2548/C2547)</f>
        <v>-0.00831200912228517</v>
      </c>
      <c r="G2548" s="25" t="n">
        <f aca="false">IF(AND(D2548=1,A2548&gt;=$R$2),F2548,"")</f>
        <v>-0.00831200912228517</v>
      </c>
      <c r="H2548" s="27" t="n">
        <f aca="false">IF(G2548="","",G2548^2)</f>
        <v>6.90894956489519E-005</v>
      </c>
      <c r="I2548" s="25" t="n">
        <f aca="false">IF(G2548="","",C2548/C2547-1)</f>
        <v>-0.00827755988798729</v>
      </c>
      <c r="J2548" s="17" t="n">
        <f aca="false">AVERAGE(C2349:C2548)</f>
        <v>47527.4541</v>
      </c>
      <c r="K2548" s="17" t="n">
        <f aca="false">MAX(K2547,C2548)</f>
        <v>67510.06</v>
      </c>
      <c r="L2548" s="25" t="n">
        <f aca="false">C2548/K2548-1</f>
        <v>-0.253517623891906</v>
      </c>
      <c r="M2548" s="25" t="n">
        <f aca="false">IF(COUNT(G2519:G2548)&lt;20,"",_xlfn.STDEV.S(G2519:G2548)*SQRT($R$3))</f>
        <v>0.699305582539586</v>
      </c>
      <c r="N2548" s="25" t="n">
        <f aca="false">IF(A2548-7&lt;$R$2,"",C2548/INDEX(Clean_Data!$C$2:$C$4314,MATCH(A2548-7,Clean_Data!$A$2:$A$4314,1))-1)</f>
        <v>0.0765157125789282</v>
      </c>
      <c r="O2548" s="25" t="n">
        <f aca="false">IF(A2548-30&lt;$R$2,"",C2548/INDEX(Clean_Data!$C$2:$C$4314,MATCH(A2548-30,Clean_Data!$A$2:$A$4314,1))-1)</f>
        <v>-0.146171015634054</v>
      </c>
    </row>
    <row r="2549" customFormat="false" ht="15" hidden="false" customHeight="false" outlineLevel="0" collapsed="false">
      <c r="A2549" s="16" t="n">
        <v>44556</v>
      </c>
      <c r="B2549" s="23" t="n">
        <f aca="false">YEAR(A2549)</f>
        <v>2021</v>
      </c>
      <c r="C2549" s="17" t="n">
        <v>50841.73</v>
      </c>
      <c r="D2549" s="23" t="n">
        <f aca="false">A2549-A2548</f>
        <v>1</v>
      </c>
      <c r="E2549" s="24" t="n">
        <f aca="false">LN(C2549)</f>
        <v>10.8364727530486</v>
      </c>
      <c r="F2549" s="25" t="n">
        <f aca="false">LN(C2549/C2548)</f>
        <v>0.00882412123389155</v>
      </c>
      <c r="G2549" s="25" t="n">
        <f aca="false">IF(AND(D2549=1,A2549&gt;=$R$2),F2549,"")</f>
        <v>0.00882412123389155</v>
      </c>
      <c r="H2549" s="27" t="n">
        <f aca="false">IF(G2549="","",G2549^2)</f>
        <v>7.78651155504158E-005</v>
      </c>
      <c r="I2549" s="25" t="n">
        <f aca="false">IF(G2549="","",C2549/C2548-1)</f>
        <v>0.00886316855994052</v>
      </c>
      <c r="J2549" s="17" t="n">
        <f aca="false">AVERAGE(C2350:C2549)</f>
        <v>47594.87765</v>
      </c>
      <c r="K2549" s="17" t="n">
        <f aca="false">MAX(K2548,C2549)</f>
        <v>67510.06</v>
      </c>
      <c r="L2549" s="25" t="n">
        <f aca="false">C2549/K2549-1</f>
        <v>-0.246901424765435</v>
      </c>
      <c r="M2549" s="25" t="n">
        <f aca="false">IF(COUNT(G2520:G2549)&lt;20,"",_xlfn.STDEV.S(G2520:G2549)*SQRT($R$3))</f>
        <v>0.626722656224823</v>
      </c>
      <c r="N2549" s="25" t="n">
        <f aca="false">IF(A2549-7&lt;$R$2,"",C2549/INDEX(Clean_Data!$C$2:$C$4314,MATCH(A2549-7,Clean_Data!$A$2:$A$4314,1))-1)</f>
        <v>0.0890664999848985</v>
      </c>
      <c r="O2549" s="25" t="n">
        <f aca="false">IF(A2549-30&lt;$R$2,"",C2549/INDEX(Clean_Data!$C$2:$C$4314,MATCH(A2549-30,Clean_Data!$A$2:$A$4314,1))-1)</f>
        <v>-0.0556778225013321</v>
      </c>
    </row>
    <row r="2550" customFormat="false" ht="15" hidden="false" customHeight="false" outlineLevel="0" collapsed="false">
      <c r="A2550" s="16" t="n">
        <v>44557</v>
      </c>
      <c r="B2550" s="23" t="n">
        <f aca="false">YEAR(A2550)</f>
        <v>2021</v>
      </c>
      <c r="C2550" s="17" t="n">
        <v>50663.26</v>
      </c>
      <c r="D2550" s="23" t="n">
        <f aca="false">A2550-A2549</f>
        <v>1</v>
      </c>
      <c r="E2550" s="24" t="n">
        <f aca="false">LN(C2550)</f>
        <v>10.8329562720577</v>
      </c>
      <c r="F2550" s="25" t="n">
        <f aca="false">LN(C2550/C2549)</f>
        <v>-0.00351648099089365</v>
      </c>
      <c r="G2550" s="25" t="n">
        <f aca="false">IF(AND(D2550=1,A2550&gt;=$R$2),F2550,"")</f>
        <v>-0.00351648099089365</v>
      </c>
      <c r="H2550" s="27" t="n">
        <f aca="false">IF(G2550="","",G2550^2)</f>
        <v>1.23656385593164E-005</v>
      </c>
      <c r="I2550" s="25" t="n">
        <f aca="false">IF(G2550="","",C2550/C2549-1)</f>
        <v>-0.00351030541250275</v>
      </c>
      <c r="J2550" s="17" t="n">
        <f aca="false">AVERAGE(C2351:C2550)</f>
        <v>47664.6064</v>
      </c>
      <c r="K2550" s="17" t="n">
        <f aca="false">MAX(K2549,C2550)</f>
        <v>67510.06</v>
      </c>
      <c r="L2550" s="25" t="n">
        <f aca="false">C2550/K2550-1</f>
        <v>-0.249545030770229</v>
      </c>
      <c r="M2550" s="25" t="n">
        <f aca="false">IF(COUNT(G2521:G2550)&lt;20,"",_xlfn.STDEV.S(G2521:G2550)*SQRT($R$3))</f>
        <v>0.623671850111805</v>
      </c>
      <c r="N2550" s="25" t="n">
        <f aca="false">IF(A2550-7&lt;$R$2,"",C2550/INDEX(Clean_Data!$C$2:$C$4314,MATCH(A2550-7,Clean_Data!$A$2:$A$4314,1))-1)</f>
        <v>0.0787746538763654</v>
      </c>
      <c r="O2550" s="25" t="n">
        <f aca="false">IF(A2550-30&lt;$R$2,"",C2550/INDEX(Clean_Data!$C$2:$C$4314,MATCH(A2550-30,Clean_Data!$A$2:$A$4314,1))-1)</f>
        <v>-0.0732205598624225</v>
      </c>
    </row>
    <row r="2551" customFormat="false" ht="15" hidden="false" customHeight="false" outlineLevel="0" collapsed="false">
      <c r="A2551" s="16" t="n">
        <v>44558</v>
      </c>
      <c r="B2551" s="23" t="n">
        <f aca="false">YEAR(A2551)</f>
        <v>2021</v>
      </c>
      <c r="C2551" s="17" t="n">
        <v>47594.55</v>
      </c>
      <c r="D2551" s="23" t="n">
        <f aca="false">A2551-A2550</f>
        <v>1</v>
      </c>
      <c r="E2551" s="24" t="n">
        <f aca="false">LN(C2551)</f>
        <v>10.770473537866</v>
      </c>
      <c r="F2551" s="25" t="n">
        <f aca="false">LN(C2551/C2550)</f>
        <v>-0.062482734191653</v>
      </c>
      <c r="G2551" s="25" t="n">
        <f aca="false">IF(AND(D2551=1,A2551&gt;=$R$2),F2551,"")</f>
        <v>-0.062482734191653</v>
      </c>
      <c r="H2551" s="27" t="n">
        <f aca="false">IF(G2551="","",G2551^2)</f>
        <v>0.00390409207206476</v>
      </c>
      <c r="I2551" s="25" t="n">
        <f aca="false">IF(G2551="","",C2551/C2550-1)</f>
        <v>-0.0605707173205988</v>
      </c>
      <c r="J2551" s="17" t="n">
        <f aca="false">AVERAGE(C2352:C2551)</f>
        <v>47716.1684</v>
      </c>
      <c r="K2551" s="17" t="n">
        <f aca="false">MAX(K2550,C2551)</f>
        <v>67510.06</v>
      </c>
      <c r="L2551" s="25" t="n">
        <f aca="false">C2551/K2551-1</f>
        <v>-0.295000626573284</v>
      </c>
      <c r="M2551" s="25" t="n">
        <f aca="false">IF(COUNT(G2522:G2551)&lt;20,"",_xlfn.STDEV.S(G2522:G2551)*SQRT($R$3))</f>
        <v>0.627754668389875</v>
      </c>
      <c r="N2551" s="25" t="n">
        <f aca="false">IF(A2551-7&lt;$R$2,"",C2551/INDEX(Clean_Data!$C$2:$C$4314,MATCH(A2551-7,Clean_Data!$A$2:$A$4314,1))-1)</f>
        <v>-0.0277792814425322</v>
      </c>
      <c r="O2551" s="25" t="n">
        <f aca="false">IF(A2551-30&lt;$R$2,"",C2551/INDEX(Clean_Data!$C$2:$C$4314,MATCH(A2551-30,Clean_Data!$A$2:$A$4314,1))-1)</f>
        <v>-0.171863556901837</v>
      </c>
    </row>
    <row r="2552" customFormat="false" ht="15" hidden="false" customHeight="false" outlineLevel="0" collapsed="false">
      <c r="A2552" s="16" t="n">
        <v>44559</v>
      </c>
      <c r="B2552" s="23" t="n">
        <f aca="false">YEAR(A2552)</f>
        <v>2021</v>
      </c>
      <c r="C2552" s="17" t="n">
        <v>46518.8</v>
      </c>
      <c r="D2552" s="23" t="n">
        <f aca="false">A2552-A2551</f>
        <v>1</v>
      </c>
      <c r="E2552" s="24" t="n">
        <f aca="false">LN(C2552)</f>
        <v>10.7476118109431</v>
      </c>
      <c r="F2552" s="25" t="n">
        <f aca="false">LN(C2552/C2551)</f>
        <v>-0.0228617269229887</v>
      </c>
      <c r="G2552" s="25" t="n">
        <f aca="false">IF(AND(D2552=1,A2552&gt;=$R$2),F2552,"")</f>
        <v>-0.0228617269229887</v>
      </c>
      <c r="H2552" s="27" t="n">
        <f aca="false">IF(G2552="","",G2552^2)</f>
        <v>0.000522658557901306</v>
      </c>
      <c r="I2552" s="25" t="n">
        <f aca="false">IF(G2552="","",C2552/C2551-1)</f>
        <v>-0.0226023777932557</v>
      </c>
      <c r="J2552" s="17" t="n">
        <f aca="false">AVERAGE(C2353:C2552)</f>
        <v>47770.7141</v>
      </c>
      <c r="K2552" s="17" t="n">
        <f aca="false">MAX(K2551,C2552)</f>
        <v>67510.06</v>
      </c>
      <c r="L2552" s="25" t="n">
        <f aca="false">C2552/K2552-1</f>
        <v>-0.310935288755483</v>
      </c>
      <c r="M2552" s="25" t="n">
        <f aca="false">IF(COUNT(G2523:G2552)&lt;20,"",_xlfn.STDEV.S(G2523:G2552)*SQRT($R$3))</f>
        <v>0.628667854174218</v>
      </c>
      <c r="N2552" s="25" t="n">
        <f aca="false">IF(A2552-7&lt;$R$2,"",C2552/INDEX(Clean_Data!$C$2:$C$4314,MATCH(A2552-7,Clean_Data!$A$2:$A$4314,1))-1)</f>
        <v>-0.0437466364790878</v>
      </c>
      <c r="O2552" s="25" t="n">
        <f aca="false">IF(A2552-30&lt;$R$2,"",C2552/INDEX(Clean_Data!$C$2:$C$4314,MATCH(A2552-30,Clean_Data!$A$2:$A$4314,1))-1)</f>
        <v>-0.195570752259317</v>
      </c>
    </row>
    <row r="2553" customFormat="false" ht="15" hidden="false" customHeight="false" outlineLevel="0" collapsed="false">
      <c r="A2553" s="16" t="n">
        <v>44560</v>
      </c>
      <c r="B2553" s="23" t="n">
        <f aca="false">YEAR(A2553)</f>
        <v>2021</v>
      </c>
      <c r="C2553" s="17" t="n">
        <v>47097.85</v>
      </c>
      <c r="D2553" s="23" t="n">
        <f aca="false">A2553-A2552</f>
        <v>1</v>
      </c>
      <c r="E2553" s="24" t="n">
        <f aca="false">LN(C2553)</f>
        <v>10.7599826314042</v>
      </c>
      <c r="F2553" s="25" t="n">
        <f aca="false">LN(C2553/C2552)</f>
        <v>0.012370820461182</v>
      </c>
      <c r="G2553" s="25" t="n">
        <f aca="false">IF(AND(D2553=1,A2553&gt;=$R$2),F2553,"")</f>
        <v>0.012370820461182</v>
      </c>
      <c r="H2553" s="27" t="n">
        <f aca="false">IF(G2553="","",G2553^2)</f>
        <v>0.0001530371988828</v>
      </c>
      <c r="I2553" s="25" t="n">
        <f aca="false">IF(G2553="","",C2553/C2552-1)</f>
        <v>0.0124476555715107</v>
      </c>
      <c r="J2553" s="17" t="n">
        <f aca="false">AVERAGE(C2354:C2553)</f>
        <v>47810.5932</v>
      </c>
      <c r="K2553" s="17" t="n">
        <f aca="false">MAX(K2552,C2553)</f>
        <v>67510.06</v>
      </c>
      <c r="L2553" s="25" t="n">
        <f aca="false">C2553/K2553-1</f>
        <v>-0.302358048563429</v>
      </c>
      <c r="M2553" s="25" t="n">
        <f aca="false">IF(COUNT(G2524:G2553)&lt;20,"",_xlfn.STDEV.S(G2524:G2553)*SQRT($R$3))</f>
        <v>0.63137437979617</v>
      </c>
      <c r="N2553" s="25" t="n">
        <f aca="false">IF(A2553-7&lt;$R$2,"",C2553/INDEX(Clean_Data!$C$2:$C$4314,MATCH(A2553-7,Clean_Data!$A$2:$A$4314,1))-1)</f>
        <v>-0.0736147942013113</v>
      </c>
      <c r="O2553" s="25" t="n">
        <f aca="false">IF(A2553-30&lt;$R$2,"",C2553/INDEX(Clean_Data!$C$2:$C$4314,MATCH(A2553-30,Clean_Data!$A$2:$A$4314,1))-1)</f>
        <v>-0.171971011684884</v>
      </c>
    </row>
    <row r="2554" customFormat="false" ht="15" hidden="false" customHeight="false" outlineLevel="0" collapsed="false">
      <c r="A2554" s="16" t="n">
        <v>44561</v>
      </c>
      <c r="B2554" s="23" t="n">
        <f aca="false">YEAR(A2554)</f>
        <v>2021</v>
      </c>
      <c r="C2554" s="17" t="n">
        <v>46244.63</v>
      </c>
      <c r="D2554" s="23" t="n">
        <f aca="false">A2554-A2553</f>
        <v>1</v>
      </c>
      <c r="E2554" s="24" t="n">
        <f aca="false">LN(C2554)</f>
        <v>10.7417006280914</v>
      </c>
      <c r="F2554" s="25" t="n">
        <f aca="false">LN(C2554/C2553)</f>
        <v>-0.0182820033128462</v>
      </c>
      <c r="G2554" s="25" t="n">
        <f aca="false">IF(AND(D2554=1,A2554&gt;=$R$2),F2554,"")</f>
        <v>-0.0182820033128462</v>
      </c>
      <c r="H2554" s="27" t="n">
        <f aca="false">IF(G2554="","",G2554^2)</f>
        <v>0.000334231645130921</v>
      </c>
      <c r="I2554" s="25" t="n">
        <f aca="false">IF(G2554="","",C2554/C2553-1)</f>
        <v>-0.0181159012566391</v>
      </c>
      <c r="J2554" s="17" t="n">
        <f aca="false">AVERAGE(C2355:C2554)</f>
        <v>47839.33175</v>
      </c>
      <c r="K2554" s="17" t="n">
        <f aca="false">MAX(K2553,C2554)</f>
        <v>67510.06</v>
      </c>
      <c r="L2554" s="25" t="n">
        <f aca="false">C2554/K2554-1</f>
        <v>-0.314996461268143</v>
      </c>
      <c r="M2554" s="25" t="n">
        <f aca="false">IF(COUNT(G2525:G2554)&lt;20,"",_xlfn.STDEV.S(G2525:G2554)*SQRT($R$3))</f>
        <v>0.631075472210977</v>
      </c>
      <c r="N2554" s="25" t="n">
        <f aca="false">IF(A2554-7&lt;$R$2,"",C2554/INDEX(Clean_Data!$C$2:$C$4314,MATCH(A2554-7,Clean_Data!$A$2:$A$4314,1))-1)</f>
        <v>-0.0899538922026066</v>
      </c>
      <c r="O2554" s="25" t="n">
        <f aca="false">IF(A2554-30&lt;$R$2,"",C2554/INDEX(Clean_Data!$C$2:$C$4314,MATCH(A2554-30,Clean_Data!$A$2:$A$4314,1))-1)</f>
        <v>-0.191929646205813</v>
      </c>
    </row>
    <row r="2555" customFormat="false" ht="15" hidden="false" customHeight="false" outlineLevel="0" collapsed="false">
      <c r="A2555" s="16" t="n">
        <v>44562</v>
      </c>
      <c r="B2555" s="23" t="n">
        <f aca="false">YEAR(A2555)</f>
        <v>2022</v>
      </c>
      <c r="C2555" s="17" t="n">
        <v>47748.83</v>
      </c>
      <c r="D2555" s="23" t="n">
        <f aca="false">A2555-A2554</f>
        <v>1</v>
      </c>
      <c r="E2555" s="24" t="n">
        <f aca="false">LN(C2555)</f>
        <v>10.7737098429909</v>
      </c>
      <c r="F2555" s="25" t="n">
        <f aca="false">LN(C2555/C2554)</f>
        <v>0.0320092148994863</v>
      </c>
      <c r="G2555" s="25" t="n">
        <f aca="false">IF(AND(D2555=1,A2555&gt;=$R$2),F2555,"")</f>
        <v>0.0320092148994863</v>
      </c>
      <c r="H2555" s="27" t="n">
        <f aca="false">IF(G2555="","",G2555^2)</f>
        <v>0.00102458983848149</v>
      </c>
      <c r="I2555" s="25" t="n">
        <f aca="false">IF(G2555="","",C2555/C2554-1)</f>
        <v>0.0325270198939855</v>
      </c>
      <c r="J2555" s="17" t="n">
        <f aca="false">AVERAGE(C2356:C2555)</f>
        <v>47877.60625</v>
      </c>
      <c r="K2555" s="17" t="n">
        <f aca="false">MAX(K2554,C2555)</f>
        <v>67510.06</v>
      </c>
      <c r="L2555" s="25" t="n">
        <f aca="false">C2555/K2555-1</f>
        <v>-0.292715337536361</v>
      </c>
      <c r="M2555" s="25" t="n">
        <f aca="false">IF(COUNT(G2526:G2555)&lt;20,"",_xlfn.STDEV.S(G2526:G2555)*SQRT($R$3))</f>
        <v>0.64533141599674</v>
      </c>
      <c r="N2555" s="25" t="n">
        <f aca="false">IF(A2555-7&lt;$R$2,"",C2555/INDEX(Clean_Data!$C$2:$C$4314,MATCH(A2555-7,Clean_Data!$A$2:$A$4314,1))-1)</f>
        <v>-0.0525098982896541</v>
      </c>
      <c r="O2555" s="25" t="n">
        <f aca="false">IF(A2555-30&lt;$R$2,"",C2555/INDEX(Clean_Data!$C$2:$C$4314,MATCH(A2555-30,Clean_Data!$A$2:$A$4314,1))-1)</f>
        <v>-0.155878350869396</v>
      </c>
    </row>
    <row r="2556" customFormat="false" ht="15" hidden="false" customHeight="false" outlineLevel="0" collapsed="false">
      <c r="A2556" s="16" t="n">
        <v>44563</v>
      </c>
      <c r="B2556" s="23" t="n">
        <f aca="false">YEAR(A2556)</f>
        <v>2022</v>
      </c>
      <c r="C2556" s="17" t="n">
        <v>47258.52</v>
      </c>
      <c r="D2556" s="23" t="n">
        <f aca="false">A2556-A2555</f>
        <v>1</v>
      </c>
      <c r="E2556" s="24" t="n">
        <f aca="false">LN(C2556)</f>
        <v>10.763388234127</v>
      </c>
      <c r="F2556" s="25" t="n">
        <f aca="false">LN(C2556/C2555)</f>
        <v>-0.0103216088639143</v>
      </c>
      <c r="G2556" s="25" t="n">
        <f aca="false">IF(AND(D2556=1,A2556&gt;=$R$2),F2556,"")</f>
        <v>-0.0103216088639143</v>
      </c>
      <c r="H2556" s="27" t="n">
        <f aca="false">IF(G2556="","",G2556^2)</f>
        <v>0.000106535609539634</v>
      </c>
      <c r="I2556" s="25" t="n">
        <f aca="false">IF(G2556="","",C2556/C2555-1)</f>
        <v>-0.0102685238570245</v>
      </c>
      <c r="J2556" s="17" t="n">
        <f aca="false">AVERAGE(C2357:C2556)</f>
        <v>47921.92685</v>
      </c>
      <c r="K2556" s="17" t="n">
        <f aca="false">MAX(K2555,C2556)</f>
        <v>67510.06</v>
      </c>
      <c r="L2556" s="25" t="n">
        <f aca="false">C2556/K2556-1</f>
        <v>-0.299978106966577</v>
      </c>
      <c r="M2556" s="25" t="n">
        <f aca="false">IF(COUNT(G2527:G2556)&lt;20,"",_xlfn.STDEV.S(G2527:G2556)*SQRT($R$3))</f>
        <v>0.62333966622859</v>
      </c>
      <c r="N2556" s="25" t="n">
        <f aca="false">IF(A2556-7&lt;$R$2,"",C2556/INDEX(Clean_Data!$C$2:$C$4314,MATCH(A2556-7,Clean_Data!$A$2:$A$4314,1))-1)</f>
        <v>-0.0704777355137208</v>
      </c>
      <c r="O2556" s="25" t="n">
        <f aca="false">IF(A2556-30&lt;$R$2,"",C2556/INDEX(Clean_Data!$C$2:$C$4314,MATCH(A2556-30,Clean_Data!$A$2:$A$4314,1))-1)</f>
        <v>-0.119657329948459</v>
      </c>
    </row>
    <row r="2557" customFormat="false" ht="15" hidden="false" customHeight="false" outlineLevel="0" collapsed="false">
      <c r="A2557" s="16" t="n">
        <v>44564</v>
      </c>
      <c r="B2557" s="23" t="n">
        <f aca="false">YEAR(A2557)</f>
        <v>2022</v>
      </c>
      <c r="C2557" s="17" t="n">
        <v>46519.76</v>
      </c>
      <c r="D2557" s="23" t="n">
        <f aca="false">A2557-A2556</f>
        <v>1</v>
      </c>
      <c r="E2557" s="24" t="n">
        <f aca="false">LN(C2557)</f>
        <v>10.7476324475479</v>
      </c>
      <c r="F2557" s="25" t="n">
        <f aca="false">LN(C2557/C2556)</f>
        <v>-0.0157557865790414</v>
      </c>
      <c r="G2557" s="25" t="n">
        <f aca="false">IF(AND(D2557=1,A2557&gt;=$R$2),F2557,"")</f>
        <v>-0.0157557865790414</v>
      </c>
      <c r="H2557" s="27" t="n">
        <f aca="false">IF(G2557="","",G2557^2)</f>
        <v>0.000248244810724301</v>
      </c>
      <c r="I2557" s="25" t="n">
        <f aca="false">IF(G2557="","",C2557/C2556-1)</f>
        <v>-0.0156323134960636</v>
      </c>
      <c r="J2557" s="17" t="n">
        <f aca="false">AVERAGE(C2358:C2557)</f>
        <v>47964.3875</v>
      </c>
      <c r="K2557" s="17" t="n">
        <f aca="false">MAX(K2556,C2557)</f>
        <v>67510.06</v>
      </c>
      <c r="L2557" s="25" t="n">
        <f aca="false">C2557/K2557-1</f>
        <v>-0.310921068652583</v>
      </c>
      <c r="M2557" s="25" t="n">
        <f aca="false">IF(COUNT(G2528:G2557)&lt;20,"",_xlfn.STDEV.S(G2528:G2557)*SQRT($R$3))</f>
        <v>0.554341598328338</v>
      </c>
      <c r="N2557" s="25" t="n">
        <f aca="false">IF(A2557-7&lt;$R$2,"",C2557/INDEX(Clean_Data!$C$2:$C$4314,MATCH(A2557-7,Clean_Data!$A$2:$A$4314,1))-1)</f>
        <v>-0.081785104235298</v>
      </c>
      <c r="O2557" s="25" t="n">
        <f aca="false">IF(A2557-30&lt;$R$2,"",C2557/INDEX(Clean_Data!$C$2:$C$4314,MATCH(A2557-30,Clean_Data!$A$2:$A$4314,1))-1)</f>
        <v>-0.0570637478463565</v>
      </c>
    </row>
    <row r="2558" customFormat="false" ht="15" hidden="false" customHeight="false" outlineLevel="0" collapsed="false">
      <c r="A2558" s="16" t="n">
        <v>44565</v>
      </c>
      <c r="B2558" s="23" t="n">
        <f aca="false">YEAR(A2558)</f>
        <v>2022</v>
      </c>
      <c r="C2558" s="17" t="n">
        <v>45889.4</v>
      </c>
      <c r="D2558" s="23" t="n">
        <f aca="false">A2558-A2557</f>
        <v>1</v>
      </c>
      <c r="E2558" s="24" t="n">
        <f aca="false">LN(C2558)</f>
        <v>10.7339894325595</v>
      </c>
      <c r="F2558" s="25" t="n">
        <f aca="false">LN(C2558/C2557)</f>
        <v>-0.0136430149884745</v>
      </c>
      <c r="G2558" s="25" t="n">
        <f aca="false">IF(AND(D2558=1,A2558&gt;=$R$2),F2558,"")</f>
        <v>-0.0136430149884745</v>
      </c>
      <c r="H2558" s="27" t="n">
        <f aca="false">IF(G2558="","",G2558^2)</f>
        <v>0.000186131857975739</v>
      </c>
      <c r="I2558" s="25" t="n">
        <f aca="false">IF(G2558="","",C2558/C2557-1)</f>
        <v>-0.01355037085316</v>
      </c>
      <c r="J2558" s="17" t="n">
        <f aca="false">AVERAGE(C2359:C2558)</f>
        <v>48014.94755</v>
      </c>
      <c r="K2558" s="17" t="n">
        <f aca="false">MAX(K2557,C2558)</f>
        <v>67510.06</v>
      </c>
      <c r="L2558" s="25" t="n">
        <f aca="false">C2558/K2558-1</f>
        <v>-0.32025834371944</v>
      </c>
      <c r="M2558" s="25" t="n">
        <f aca="false">IF(COUNT(G2529:G2558)&lt;20,"",_xlfn.STDEV.S(G2529:G2558)*SQRT($R$3))</f>
        <v>0.555430435087255</v>
      </c>
      <c r="N2558" s="25" t="n">
        <f aca="false">IF(A2558-7&lt;$R$2,"",C2558/INDEX(Clean_Data!$C$2:$C$4314,MATCH(A2558-7,Clean_Data!$A$2:$A$4314,1))-1)</f>
        <v>-0.0358265809845876</v>
      </c>
      <c r="O2558" s="25" t="n">
        <f aca="false">IF(A2558-30&lt;$R$2,"",C2558/INDEX(Clean_Data!$C$2:$C$4314,MATCH(A2558-30,Clean_Data!$A$2:$A$4314,1))-1)</f>
        <v>-0.0731616084744311</v>
      </c>
    </row>
    <row r="2559" customFormat="false" ht="15" hidden="false" customHeight="false" outlineLevel="0" collapsed="false">
      <c r="A2559" s="16" t="n">
        <v>44566</v>
      </c>
      <c r="B2559" s="23" t="n">
        <f aca="false">YEAR(A2559)</f>
        <v>2022</v>
      </c>
      <c r="C2559" s="17" t="n">
        <v>43422.85</v>
      </c>
      <c r="D2559" s="23" t="n">
        <f aca="false">A2559-A2558</f>
        <v>1</v>
      </c>
      <c r="E2559" s="24" t="n">
        <f aca="false">LN(C2559)</f>
        <v>10.6787410792331</v>
      </c>
      <c r="F2559" s="25" t="n">
        <f aca="false">LN(C2559/C2558)</f>
        <v>-0.0552483533263851</v>
      </c>
      <c r="G2559" s="25" t="n">
        <f aca="false">IF(AND(D2559=1,A2559&gt;=$R$2),F2559,"")</f>
        <v>-0.0552483533263851</v>
      </c>
      <c r="H2559" s="27" t="n">
        <f aca="false">IF(G2559="","",G2559^2)</f>
        <v>0.00305238054527709</v>
      </c>
      <c r="I2559" s="25" t="n">
        <f aca="false">IF(G2559="","",C2559/C2558-1)</f>
        <v>-0.0537498855944947</v>
      </c>
      <c r="J2559" s="17" t="n">
        <f aca="false">AVERAGE(C2360:C2559)</f>
        <v>48054.5706</v>
      </c>
      <c r="K2559" s="17" t="n">
        <f aca="false">MAX(K2558,C2559)</f>
        <v>67510.06</v>
      </c>
      <c r="L2559" s="25" t="n">
        <f aca="false">C2559/K2559-1</f>
        <v>-0.356794379978332</v>
      </c>
      <c r="M2559" s="25" t="n">
        <f aca="false">IF(COUNT(G2530:G2559)&lt;20,"",_xlfn.STDEV.S(G2530:G2559)*SQRT($R$3))</f>
        <v>0.577688594855057</v>
      </c>
      <c r="N2559" s="25" t="n">
        <f aca="false">IF(A2559-7&lt;$R$2,"",C2559/INDEX(Clean_Data!$C$2:$C$4314,MATCH(A2559-7,Clean_Data!$A$2:$A$4314,1))-1)</f>
        <v>-0.0665526625794304</v>
      </c>
      <c r="O2559" s="25" t="n">
        <f aca="false">IF(A2559-30&lt;$R$2,"",C2559/INDEX(Clean_Data!$C$2:$C$4314,MATCH(A2559-30,Clean_Data!$A$2:$A$4314,1))-1)</f>
        <v>-0.141652785165761</v>
      </c>
    </row>
    <row r="2560" customFormat="false" ht="15" hidden="false" customHeight="false" outlineLevel="0" collapsed="false">
      <c r="A2560" s="16" t="n">
        <v>44567</v>
      </c>
      <c r="B2560" s="23" t="n">
        <f aca="false">YEAR(A2560)</f>
        <v>2022</v>
      </c>
      <c r="C2560" s="17" t="n">
        <v>43133.33</v>
      </c>
      <c r="D2560" s="23" t="n">
        <f aca="false">A2560-A2559</f>
        <v>1</v>
      </c>
      <c r="E2560" s="24" t="n">
        <f aca="false">LN(C2560)</f>
        <v>10.6720512951011</v>
      </c>
      <c r="F2560" s="25" t="n">
        <f aca="false">LN(C2560/C2559)</f>
        <v>-0.00668978413199409</v>
      </c>
      <c r="G2560" s="25" t="n">
        <f aca="false">IF(AND(D2560=1,A2560&gt;=$R$2),F2560,"")</f>
        <v>-0.00668978413199409</v>
      </c>
      <c r="H2560" s="27" t="n">
        <f aca="false">IF(G2560="","",G2560^2)</f>
        <v>4.475321173268E-005</v>
      </c>
      <c r="I2560" s="25" t="n">
        <f aca="false">IF(G2560="","",C2560/C2559-1)</f>
        <v>-0.00666745734100815</v>
      </c>
      <c r="J2560" s="17" t="n">
        <f aca="false">AVERAGE(C2361:C2560)</f>
        <v>48092.40815</v>
      </c>
      <c r="K2560" s="17" t="n">
        <f aca="false">MAX(K2559,C2560)</f>
        <v>67510.06</v>
      </c>
      <c r="L2560" s="25" t="n">
        <f aca="false">C2560/K2560-1</f>
        <v>-0.361082926011323</v>
      </c>
      <c r="M2560" s="25" t="n">
        <f aca="false">IF(COUNT(G2531:G2560)&lt;20,"",_xlfn.STDEV.S(G2531:G2560)*SQRT($R$3))</f>
        <v>0.577184805865266</v>
      </c>
      <c r="N2560" s="25" t="n">
        <f aca="false">IF(A2560-7&lt;$R$2,"",C2560/INDEX(Clean_Data!$C$2:$C$4314,MATCH(A2560-7,Clean_Data!$A$2:$A$4314,1))-1)</f>
        <v>-0.0841762415906457</v>
      </c>
      <c r="O2560" s="25" t="n">
        <f aca="false">IF(A2560-30&lt;$R$2,"",C2560/INDEX(Clean_Data!$C$2:$C$4314,MATCH(A2560-30,Clean_Data!$A$2:$A$4314,1))-1)</f>
        <v>-0.148842580396396</v>
      </c>
    </row>
    <row r="2561" customFormat="false" ht="15" hidden="false" customHeight="false" outlineLevel="0" collapsed="false">
      <c r="A2561" s="16" t="n">
        <v>44568</v>
      </c>
      <c r="B2561" s="23" t="n">
        <f aca="false">YEAR(A2561)</f>
        <v>2022</v>
      </c>
      <c r="C2561" s="17" t="n">
        <v>41656.16</v>
      </c>
      <c r="D2561" s="23" t="n">
        <f aca="false">A2561-A2560</f>
        <v>1</v>
      </c>
      <c r="E2561" s="24" t="n">
        <f aca="false">LN(C2561)</f>
        <v>10.6372045358187</v>
      </c>
      <c r="F2561" s="25" t="n">
        <f aca="false">LN(C2561/C2560)</f>
        <v>-0.0348467592824217</v>
      </c>
      <c r="G2561" s="25" t="n">
        <f aca="false">IF(AND(D2561=1,A2561&gt;=$R$2),F2561,"")</f>
        <v>-0.0348467592824217</v>
      </c>
      <c r="H2561" s="27" t="n">
        <f aca="false">IF(G2561="","",G2561^2)</f>
        <v>0.00121429663248704</v>
      </c>
      <c r="I2561" s="25" t="n">
        <f aca="false">IF(G2561="","",C2561/C2560-1)</f>
        <v>-0.0342466023374499</v>
      </c>
      <c r="J2561" s="17" t="n">
        <f aca="false">AVERAGE(C2362:C2561)</f>
        <v>48142.2555</v>
      </c>
      <c r="K2561" s="17" t="n">
        <f aca="false">MAX(K2560,C2561)</f>
        <v>67510.06</v>
      </c>
      <c r="L2561" s="25" t="n">
        <f aca="false">C2561/K2561-1</f>
        <v>-0.382963664970821</v>
      </c>
      <c r="M2561" s="25" t="n">
        <f aca="false">IF(COUNT(G2532:G2561)&lt;20,"",_xlfn.STDEV.S(G2532:G2561)*SQRT($R$3))</f>
        <v>0.586146589264173</v>
      </c>
      <c r="N2561" s="25" t="n">
        <f aca="false">IF(A2561-7&lt;$R$2,"",C2561/INDEX(Clean_Data!$C$2:$C$4314,MATCH(A2561-7,Clean_Data!$A$2:$A$4314,1))-1)</f>
        <v>-0.0992216826040125</v>
      </c>
      <c r="O2561" s="25" t="n">
        <f aca="false">IF(A2561-30&lt;$R$2,"",C2561/INDEX(Clean_Data!$C$2:$C$4314,MATCH(A2561-30,Clean_Data!$A$2:$A$4314,1))-1)</f>
        <v>-0.175639912601068</v>
      </c>
    </row>
    <row r="2562" customFormat="false" ht="15" hidden="false" customHeight="false" outlineLevel="0" collapsed="false">
      <c r="A2562" s="16" t="n">
        <v>44569</v>
      </c>
      <c r="B2562" s="23" t="n">
        <f aca="false">YEAR(A2562)</f>
        <v>2022</v>
      </c>
      <c r="C2562" s="17" t="n">
        <v>41667.48</v>
      </c>
      <c r="D2562" s="23" t="n">
        <f aca="false">A2562-A2561</f>
        <v>1</v>
      </c>
      <c r="E2562" s="24" t="n">
        <f aca="false">LN(C2562)</f>
        <v>10.6374762474258</v>
      </c>
      <c r="F2562" s="25" t="n">
        <f aca="false">LN(C2562/C2561)</f>
        <v>0.000271711607165694</v>
      </c>
      <c r="G2562" s="25" t="n">
        <f aca="false">IF(AND(D2562=1,A2562&gt;=$R$2),F2562,"")</f>
        <v>0.000271711607165694</v>
      </c>
      <c r="H2562" s="27" t="n">
        <f aca="false">IF(G2562="","",G2562^2)</f>
        <v>7.38271974685644E-008</v>
      </c>
      <c r="I2562" s="25" t="n">
        <f aca="false">IF(G2562="","",C2562/C2561-1)</f>
        <v>0.00027174852410794</v>
      </c>
      <c r="J2562" s="17" t="n">
        <f aca="false">AVERAGE(C2363:C2562)</f>
        <v>48188.0516</v>
      </c>
      <c r="K2562" s="17" t="n">
        <f aca="false">MAX(K2561,C2562)</f>
        <v>67510.06</v>
      </c>
      <c r="L2562" s="25" t="n">
        <f aca="false">C2562/K2562-1</f>
        <v>-0.382795986257456</v>
      </c>
      <c r="M2562" s="25" t="n">
        <f aca="false">IF(COUNT(G2533:G2562)&lt;20,"",_xlfn.STDEV.S(G2533:G2562)*SQRT($R$3))</f>
        <v>0.554946153190477</v>
      </c>
      <c r="N2562" s="25" t="n">
        <f aca="false">IF(A2562-7&lt;$R$2,"",C2562/INDEX(Clean_Data!$C$2:$C$4314,MATCH(A2562-7,Clean_Data!$A$2:$A$4314,1))-1)</f>
        <v>-0.127361235866931</v>
      </c>
      <c r="O2562" s="25" t="n">
        <f aca="false">IF(A2562-30&lt;$R$2,"",C2562/INDEX(Clean_Data!$C$2:$C$4314,MATCH(A2562-30,Clean_Data!$A$2:$A$4314,1))-1)</f>
        <v>-0.125350683797983</v>
      </c>
    </row>
    <row r="2563" customFormat="false" ht="15" hidden="false" customHeight="false" outlineLevel="0" collapsed="false">
      <c r="A2563" s="16" t="n">
        <v>44570</v>
      </c>
      <c r="B2563" s="23" t="n">
        <f aca="false">YEAR(A2563)</f>
        <v>2022</v>
      </c>
      <c r="C2563" s="17" t="n">
        <v>41838.78</v>
      </c>
      <c r="D2563" s="23" t="n">
        <f aca="false">A2563-A2562</f>
        <v>1</v>
      </c>
      <c r="E2563" s="24" t="n">
        <f aca="false">LN(C2563)</f>
        <v>10.6415789396139</v>
      </c>
      <c r="F2563" s="25" t="n">
        <f aca="false">LN(C2563/C2562)</f>
        <v>0.00410269218805659</v>
      </c>
      <c r="G2563" s="25" t="n">
        <f aca="false">IF(AND(D2563=1,A2563&gt;=$R$2),F2563,"")</f>
        <v>0.00410269218805659</v>
      </c>
      <c r="H2563" s="27" t="n">
        <f aca="false">IF(G2563="","",G2563^2)</f>
        <v>1.68320831899406E-005</v>
      </c>
      <c r="I2563" s="25" t="n">
        <f aca="false">IF(G2563="","",C2563/C2562-1)</f>
        <v>0.00411111975094225</v>
      </c>
      <c r="J2563" s="17" t="n">
        <f aca="false">AVERAGE(C2364:C2563)</f>
        <v>48228.80375</v>
      </c>
      <c r="K2563" s="17" t="n">
        <f aca="false">MAX(K2562,C2563)</f>
        <v>67510.06</v>
      </c>
      <c r="L2563" s="25" t="n">
        <f aca="false">C2563/K2563-1</f>
        <v>-0.380258586646198</v>
      </c>
      <c r="M2563" s="25" t="n">
        <f aca="false">IF(COUNT(G2534:G2563)&lt;20,"",_xlfn.STDEV.S(G2534:G2563)*SQRT($R$3))</f>
        <v>0.555597542357139</v>
      </c>
      <c r="N2563" s="25" t="n">
        <f aca="false">IF(A2563-7&lt;$R$2,"",C2563/INDEX(Clean_Data!$C$2:$C$4314,MATCH(A2563-7,Clean_Data!$A$2:$A$4314,1))-1)</f>
        <v>-0.114682812749955</v>
      </c>
      <c r="O2563" s="25" t="n">
        <f aca="false">IF(A2563-30&lt;$R$2,"",C2563/INDEX(Clean_Data!$C$2:$C$4314,MATCH(A2563-30,Clean_Data!$A$2:$A$4314,1))-1)</f>
        <v>-0.114869359031642</v>
      </c>
    </row>
    <row r="2564" customFormat="false" ht="15" hidden="false" customHeight="false" outlineLevel="0" collapsed="false">
      <c r="A2564" s="16" t="n">
        <v>44571</v>
      </c>
      <c r="B2564" s="23" t="n">
        <f aca="false">YEAR(A2564)</f>
        <v>2022</v>
      </c>
      <c r="C2564" s="17" t="n">
        <v>41872.47</v>
      </c>
      <c r="D2564" s="23" t="n">
        <f aca="false">A2564-A2563</f>
        <v>1</v>
      </c>
      <c r="E2564" s="24" t="n">
        <f aca="false">LN(C2564)</f>
        <v>10.6423838493917</v>
      </c>
      <c r="F2564" s="25" t="n">
        <f aca="false">LN(C2564/C2563)</f>
        <v>0.000804909777811896</v>
      </c>
      <c r="G2564" s="25" t="n">
        <f aca="false">IF(AND(D2564=1,A2564&gt;=$R$2),F2564,"")</f>
        <v>0.000804909777811896</v>
      </c>
      <c r="H2564" s="27" t="n">
        <f aca="false">IF(G2564="","",G2564^2)</f>
        <v>6.47879750417196E-007</v>
      </c>
      <c r="I2564" s="25" t="n">
        <f aca="false">IF(G2564="","",C2564/C2563-1)</f>
        <v>0.000805233804618721</v>
      </c>
      <c r="J2564" s="17" t="n">
        <f aca="false">AVERAGE(C2365:C2564)</f>
        <v>48264.6894</v>
      </c>
      <c r="K2564" s="17" t="n">
        <f aca="false">MAX(K2563,C2564)</f>
        <v>67510.06</v>
      </c>
      <c r="L2564" s="25" t="n">
        <f aca="false">C2564/K2564-1</f>
        <v>-0.379759549910043</v>
      </c>
      <c r="M2564" s="25" t="n">
        <f aca="false">IF(COUNT(G2535:G2564)&lt;20,"",_xlfn.STDEV.S(G2535:G2564)*SQRT($R$3))</f>
        <v>0.527413869534171</v>
      </c>
      <c r="N2564" s="25" t="n">
        <f aca="false">IF(A2564-7&lt;$R$2,"",C2564/INDEX(Clean_Data!$C$2:$C$4314,MATCH(A2564-7,Clean_Data!$A$2:$A$4314,1))-1)</f>
        <v>-0.0998992686118759</v>
      </c>
      <c r="O2564" s="25" t="n">
        <f aca="false">IF(A2564-30&lt;$R$2,"",C2564/INDEX(Clean_Data!$C$2:$C$4314,MATCH(A2564-30,Clean_Data!$A$2:$A$4314,1))-1)</f>
        <v>-0.152935743032008</v>
      </c>
    </row>
    <row r="2565" customFormat="false" ht="15" hidden="false" customHeight="false" outlineLevel="0" collapsed="false">
      <c r="A2565" s="16" t="n">
        <v>44572</v>
      </c>
      <c r="B2565" s="23" t="n">
        <f aca="false">YEAR(A2565)</f>
        <v>2022</v>
      </c>
      <c r="C2565" s="17" t="n">
        <v>42771.24</v>
      </c>
      <c r="D2565" s="23" t="n">
        <f aca="false">A2565-A2564</f>
        <v>1</v>
      </c>
      <c r="E2565" s="24" t="n">
        <f aca="false">LN(C2565)</f>
        <v>10.663621193085</v>
      </c>
      <c r="F2565" s="25" t="n">
        <f aca="false">LN(C2565/C2564)</f>
        <v>0.0212373436933131</v>
      </c>
      <c r="G2565" s="25" t="n">
        <f aca="false">IF(AND(D2565=1,A2565&gt;=$R$2),F2565,"")</f>
        <v>0.0212373436933131</v>
      </c>
      <c r="H2565" s="27" t="n">
        <f aca="false">IF(G2565="","",G2565^2)</f>
        <v>0.000451024767147906</v>
      </c>
      <c r="I2565" s="25" t="n">
        <f aca="false">IF(G2565="","",C2565/C2564-1)</f>
        <v>0.0214644610169878</v>
      </c>
      <c r="J2565" s="17" t="n">
        <f aca="false">AVERAGE(C2366:C2565)</f>
        <v>48320.02125</v>
      </c>
      <c r="K2565" s="17" t="n">
        <f aca="false">MAX(K2564,C2565)</f>
        <v>67510.06</v>
      </c>
      <c r="L2565" s="25" t="n">
        <f aca="false">C2565/K2565-1</f>
        <v>-0.366446422947928</v>
      </c>
      <c r="M2565" s="25" t="n">
        <f aca="false">IF(COUNT(G2536:G2565)&lt;20,"",_xlfn.STDEV.S(G2536:G2565)*SQRT($R$3))</f>
        <v>0.531940054082884</v>
      </c>
      <c r="N2565" s="25" t="n">
        <f aca="false">IF(A2565-7&lt;$R$2,"",C2565/INDEX(Clean_Data!$C$2:$C$4314,MATCH(A2565-7,Clean_Data!$A$2:$A$4314,1))-1)</f>
        <v>-0.0679494610955908</v>
      </c>
      <c r="O2565" s="25" t="n">
        <f aca="false">IF(A2565-30&lt;$R$2,"",C2565/INDEX(Clean_Data!$C$2:$C$4314,MATCH(A2565-30,Clean_Data!$A$2:$A$4314,1))-1)</f>
        <v>-0.14569246339637</v>
      </c>
    </row>
    <row r="2566" customFormat="false" ht="15" hidden="false" customHeight="false" outlineLevel="0" collapsed="false">
      <c r="A2566" s="16" t="n">
        <v>44573</v>
      </c>
      <c r="B2566" s="23" t="n">
        <f aca="false">YEAR(A2566)</f>
        <v>2022</v>
      </c>
      <c r="C2566" s="17" t="n">
        <v>43884.25</v>
      </c>
      <c r="D2566" s="23" t="n">
        <f aca="false">A2566-A2565</f>
        <v>1</v>
      </c>
      <c r="E2566" s="24" t="n">
        <f aca="false">LN(C2566)</f>
        <v>10.6893107647583</v>
      </c>
      <c r="F2566" s="25" t="n">
        <f aca="false">LN(C2566/C2565)</f>
        <v>0.0256895716732731</v>
      </c>
      <c r="G2566" s="25" t="n">
        <f aca="false">IF(AND(D2566=1,A2566&gt;=$R$2),F2566,"")</f>
        <v>0.0256895716732731</v>
      </c>
      <c r="H2566" s="27" t="n">
        <f aca="false">IF(G2566="","",G2566^2)</f>
        <v>0.000659954092756234</v>
      </c>
      <c r="I2566" s="25" t="n">
        <f aca="false">IF(G2566="","",C2566/C2565-1)</f>
        <v>0.026022392617095</v>
      </c>
      <c r="J2566" s="17" t="n">
        <f aca="false">AVERAGE(C2367:C2566)</f>
        <v>48378.11275</v>
      </c>
      <c r="K2566" s="17" t="n">
        <f aca="false">MAX(K2565,C2566)</f>
        <v>67510.06</v>
      </c>
      <c r="L2566" s="25" t="n">
        <f aca="false">C2566/K2566-1</f>
        <v>-0.349959843021914</v>
      </c>
      <c r="M2566" s="25" t="n">
        <f aca="false">IF(COUNT(G2537:G2566)&lt;20,"",_xlfn.STDEV.S(G2537:G2566)*SQRT($R$3))</f>
        <v>0.486713674258392</v>
      </c>
      <c r="N2566" s="25" t="n">
        <f aca="false">IF(A2566-7&lt;$R$2,"",C2566/INDEX(Clean_Data!$C$2:$C$4314,MATCH(A2566-7,Clean_Data!$A$2:$A$4314,1))-1)</f>
        <v>0.0106257419768625</v>
      </c>
      <c r="O2566" s="25" t="n">
        <f aca="false">IF(A2566-30&lt;$R$2,"",C2566/INDEX(Clean_Data!$C$2:$C$4314,MATCH(A2566-30,Clean_Data!$A$2:$A$4314,1))-1)</f>
        <v>-0.0590827245193275</v>
      </c>
    </row>
    <row r="2567" customFormat="false" ht="15" hidden="false" customHeight="false" outlineLevel="0" collapsed="false">
      <c r="A2567" s="16" t="n">
        <v>44574</v>
      </c>
      <c r="B2567" s="23" t="n">
        <f aca="false">YEAR(A2567)</f>
        <v>2022</v>
      </c>
      <c r="C2567" s="17" t="n">
        <v>42617.64</v>
      </c>
      <c r="D2567" s="23" t="n">
        <f aca="false">A2567-A2566</f>
        <v>1</v>
      </c>
      <c r="E2567" s="24" t="n">
        <f aca="false">LN(C2567)</f>
        <v>10.6600235310552</v>
      </c>
      <c r="F2567" s="25" t="n">
        <f aca="false">LN(C2567/C2566)</f>
        <v>-0.0292872337030963</v>
      </c>
      <c r="G2567" s="25" t="n">
        <f aca="false">IF(AND(D2567=1,A2567&gt;=$R$2),F2567,"")</f>
        <v>-0.0292872337030963</v>
      </c>
      <c r="H2567" s="27" t="n">
        <f aca="false">IF(G2567="","",G2567^2)</f>
        <v>0.00085774205797978</v>
      </c>
      <c r="I2567" s="25" t="n">
        <f aca="false">IF(G2567="","",C2567/C2566-1)</f>
        <v>-0.0288625190130856</v>
      </c>
      <c r="J2567" s="17" t="n">
        <f aca="false">AVERAGE(C2368:C2567)</f>
        <v>48418.216</v>
      </c>
      <c r="K2567" s="17" t="n">
        <f aca="false">MAX(K2566,C2567)</f>
        <v>67510.06</v>
      </c>
      <c r="L2567" s="25" t="n">
        <f aca="false">C2567/K2567-1</f>
        <v>-0.368721639411963</v>
      </c>
      <c r="M2567" s="25" t="n">
        <f aca="false">IF(COUNT(G2538:G2567)&lt;20,"",_xlfn.STDEV.S(G2538:G2567)*SQRT($R$3))</f>
        <v>0.475796082957124</v>
      </c>
      <c r="N2567" s="25" t="n">
        <f aca="false">IF(A2567-7&lt;$R$2,"",C2567/INDEX(Clean_Data!$C$2:$C$4314,MATCH(A2567-7,Clean_Data!$A$2:$A$4314,1))-1)</f>
        <v>-0.0119557196256352</v>
      </c>
      <c r="O2567" s="25" t="n">
        <f aca="false">IF(A2567-30&lt;$R$2,"",C2567/INDEX(Clean_Data!$C$2:$C$4314,MATCH(A2567-30,Clean_Data!$A$2:$A$4314,1))-1)</f>
        <v>-0.11843495543113</v>
      </c>
    </row>
    <row r="2568" customFormat="false" ht="15" hidden="false" customHeight="false" outlineLevel="0" collapsed="false">
      <c r="A2568" s="16" t="n">
        <v>44575</v>
      </c>
      <c r="B2568" s="23" t="n">
        <f aca="false">YEAR(A2568)</f>
        <v>2022</v>
      </c>
      <c r="C2568" s="17" t="n">
        <v>43158.68</v>
      </c>
      <c r="D2568" s="23" t="n">
        <f aca="false">A2568-A2567</f>
        <v>1</v>
      </c>
      <c r="E2568" s="24" t="n">
        <f aca="false">LN(C2568)</f>
        <v>10.6726388350304</v>
      </c>
      <c r="F2568" s="25" t="n">
        <f aca="false">LN(C2568/C2567)</f>
        <v>0.012615303975243</v>
      </c>
      <c r="G2568" s="25" t="n">
        <f aca="false">IF(AND(D2568=1,A2568&gt;=$R$2),F2568,"")</f>
        <v>0.012615303975243</v>
      </c>
      <c r="H2568" s="27" t="n">
        <f aca="false">IF(G2568="","",G2568^2)</f>
        <v>0.000159145894387782</v>
      </c>
      <c r="I2568" s="25" t="n">
        <f aca="false">IF(G2568="","",C2568/C2567-1)</f>
        <v>0.0126952125927198</v>
      </c>
      <c r="J2568" s="17" t="n">
        <f aca="false">AVERAGE(C2369:C2568)</f>
        <v>48461.3004</v>
      </c>
      <c r="K2568" s="17" t="n">
        <f aca="false">MAX(K2567,C2568)</f>
        <v>67510.06</v>
      </c>
      <c r="L2568" s="25" t="n">
        <f aca="false">C2568/K2568-1</f>
        <v>-0.360707426419114</v>
      </c>
      <c r="M2568" s="25" t="n">
        <f aca="false">IF(COUNT(G2539:G2568)&lt;20,"",_xlfn.STDEV.S(G2539:G2568)*SQRT($R$3))</f>
        <v>0.476411841432582</v>
      </c>
      <c r="N2568" s="25" t="n">
        <f aca="false">IF(A2568-7&lt;$R$2,"",C2568/INDEX(Clean_Data!$C$2:$C$4314,MATCH(A2568-7,Clean_Data!$A$2:$A$4314,1))-1)</f>
        <v>0.0360695753041087</v>
      </c>
      <c r="O2568" s="25" t="n">
        <f aca="false">IF(A2568-30&lt;$R$2,"",C2568/INDEX(Clean_Data!$C$2:$C$4314,MATCH(A2568-30,Clean_Data!$A$2:$A$4314,1))-1)</f>
        <v>-0.117156108388562</v>
      </c>
    </row>
    <row r="2569" customFormat="false" ht="15" hidden="false" customHeight="false" outlineLevel="0" collapsed="false">
      <c r="A2569" s="16" t="n">
        <v>44576</v>
      </c>
      <c r="B2569" s="23" t="n">
        <f aca="false">YEAR(A2569)</f>
        <v>2022</v>
      </c>
      <c r="C2569" s="17" t="n">
        <v>43082.34</v>
      </c>
      <c r="D2569" s="23" t="n">
        <f aca="false">A2569-A2568</f>
        <v>1</v>
      </c>
      <c r="E2569" s="24" t="n">
        <f aca="false">LN(C2569)</f>
        <v>10.6708684473439</v>
      </c>
      <c r="F2569" s="25" t="n">
        <f aca="false">LN(C2569/C2568)</f>
        <v>-0.0017703876864907</v>
      </c>
      <c r="G2569" s="25" t="n">
        <f aca="false">IF(AND(D2569=1,A2569&gt;=$R$2),F2569,"")</f>
        <v>-0.0017703876864907</v>
      </c>
      <c r="H2569" s="27" t="n">
        <f aca="false">IF(G2569="","",G2569^2)</f>
        <v>3.1342725604779E-006</v>
      </c>
      <c r="I2569" s="25" t="n">
        <f aca="false">IF(G2569="","",C2569/C2568-1)</f>
        <v>-0.00176882147461421</v>
      </c>
      <c r="J2569" s="17" t="n">
        <f aca="false">AVERAGE(C2370:C2569)</f>
        <v>48497.06835</v>
      </c>
      <c r="K2569" s="17" t="n">
        <f aca="false">MAX(K2568,C2569)</f>
        <v>67510.06</v>
      </c>
      <c r="L2569" s="25" t="n">
        <f aca="false">C2569/K2569-1</f>
        <v>-0.361838220851826</v>
      </c>
      <c r="M2569" s="25" t="n">
        <f aca="false">IF(COUNT(G2540:G2569)&lt;20,"",_xlfn.STDEV.S(G2540:G2569)*SQRT($R$3))</f>
        <v>0.469545755981974</v>
      </c>
      <c r="N2569" s="25" t="n">
        <f aca="false">IF(A2569-7&lt;$R$2,"",C2569/INDEX(Clean_Data!$C$2:$C$4314,MATCH(A2569-7,Clean_Data!$A$2:$A$4314,1))-1)</f>
        <v>0.0339559771793252</v>
      </c>
      <c r="O2569" s="25" t="n">
        <f aca="false">IF(A2569-30&lt;$R$2,"",C2569/INDEX(Clean_Data!$C$2:$C$4314,MATCH(A2569-30,Clean_Data!$A$2:$A$4314,1))-1)</f>
        <v>-0.0950130111071248</v>
      </c>
    </row>
    <row r="2570" customFormat="false" ht="15" hidden="false" customHeight="false" outlineLevel="0" collapsed="false">
      <c r="A2570" s="16" t="n">
        <v>44577</v>
      </c>
      <c r="B2570" s="23" t="n">
        <f aca="false">YEAR(A2570)</f>
        <v>2022</v>
      </c>
      <c r="C2570" s="17" t="n">
        <v>43137.67</v>
      </c>
      <c r="D2570" s="23" t="n">
        <f aca="false">A2570-A2569</f>
        <v>1</v>
      </c>
      <c r="E2570" s="24" t="n">
        <f aca="false">LN(C2570)</f>
        <v>10.6721519082852</v>
      </c>
      <c r="F2570" s="25" t="n">
        <f aca="false">LN(C2570/C2569)</f>
        <v>0.00128346094126646</v>
      </c>
      <c r="G2570" s="25" t="n">
        <f aca="false">IF(AND(D2570=1,A2570&gt;=$R$2),F2570,"")</f>
        <v>0.00128346094126646</v>
      </c>
      <c r="H2570" s="27" t="n">
        <f aca="false">IF(G2570="","",G2570^2)</f>
        <v>1.64727198775659E-006</v>
      </c>
      <c r="I2570" s="25" t="n">
        <f aca="false">IF(G2570="","",C2570/C2569-1)</f>
        <v>0.00128428492974164</v>
      </c>
      <c r="J2570" s="17" t="n">
        <f aca="false">AVERAGE(C2371:C2570)</f>
        <v>48537.77755</v>
      </c>
      <c r="K2570" s="17" t="n">
        <f aca="false">MAX(K2569,C2570)</f>
        <v>67510.06</v>
      </c>
      <c r="L2570" s="25" t="n">
        <f aca="false">C2570/K2570-1</f>
        <v>-0.361018639296129</v>
      </c>
      <c r="M2570" s="25" t="n">
        <f aca="false">IF(COUNT(G2541:G2570)&lt;20,"",_xlfn.STDEV.S(G2541:G2570)*SQRT($R$3))</f>
        <v>0.460428194883687</v>
      </c>
      <c r="N2570" s="25" t="n">
        <f aca="false">IF(A2570-7&lt;$R$2,"",C2570/INDEX(Clean_Data!$C$2:$C$4314,MATCH(A2570-7,Clean_Data!$A$2:$A$4314,1))-1)</f>
        <v>0.0310451212965579</v>
      </c>
      <c r="O2570" s="25" t="n">
        <f aca="false">IF(A2570-30&lt;$R$2,"",C2570/INDEX(Clean_Data!$C$2:$C$4314,MATCH(A2570-30,Clean_Data!$A$2:$A$4314,1))-1)</f>
        <v>-0.0670949380570782</v>
      </c>
    </row>
    <row r="2571" customFormat="false" ht="15" hidden="false" customHeight="false" outlineLevel="0" collapsed="false">
      <c r="A2571" s="16" t="n">
        <v>44578</v>
      </c>
      <c r="B2571" s="23" t="n">
        <f aca="false">YEAR(A2571)</f>
        <v>2022</v>
      </c>
      <c r="C2571" s="17" t="n">
        <v>42285.47</v>
      </c>
      <c r="D2571" s="23" t="n">
        <f aca="false">A2571-A2570</f>
        <v>1</v>
      </c>
      <c r="E2571" s="24" t="n">
        <f aca="false">LN(C2571)</f>
        <v>10.6521988072072</v>
      </c>
      <c r="F2571" s="25" t="n">
        <f aca="false">LN(C2571/C2570)</f>
        <v>-0.019953101078023</v>
      </c>
      <c r="G2571" s="25" t="n">
        <f aca="false">IF(AND(D2571=1,A2571&gt;=$R$2),F2571,"")</f>
        <v>-0.019953101078023</v>
      </c>
      <c r="H2571" s="27" t="n">
        <f aca="false">IF(G2571="","",G2571^2)</f>
        <v>0.000398126242629803</v>
      </c>
      <c r="I2571" s="25" t="n">
        <f aca="false">IF(G2571="","",C2571/C2570-1)</f>
        <v>-0.0197553553541486</v>
      </c>
      <c r="J2571" s="17" t="n">
        <f aca="false">AVERAGE(C2372:C2571)</f>
        <v>48581.51245</v>
      </c>
      <c r="K2571" s="17" t="n">
        <f aca="false">MAX(K2570,C2571)</f>
        <v>67510.06</v>
      </c>
      <c r="L2571" s="25" t="n">
        <f aca="false">C2571/K2571-1</f>
        <v>-0.373641943141511</v>
      </c>
      <c r="M2571" s="25" t="n">
        <f aca="false">IF(COUNT(G2542:G2571)&lt;20,"",_xlfn.STDEV.S(G2542:G2571)*SQRT($R$3))</f>
        <v>0.461279551651185</v>
      </c>
      <c r="N2571" s="25" t="n">
        <f aca="false">IF(A2571-7&lt;$R$2,"",C2571/INDEX(Clean_Data!$C$2:$C$4314,MATCH(A2571-7,Clean_Data!$A$2:$A$4314,1))-1)</f>
        <v>0.00986328248608204</v>
      </c>
      <c r="O2571" s="25" t="n">
        <f aca="false">IF(A2571-30&lt;$R$2,"",C2571/INDEX(Clean_Data!$C$2:$C$4314,MATCH(A2571-30,Clean_Data!$A$2:$A$4314,1))-1)</f>
        <v>-0.0967177370964085</v>
      </c>
    </row>
    <row r="2572" customFormat="false" ht="15" hidden="false" customHeight="false" outlineLevel="0" collapsed="false">
      <c r="A2572" s="16" t="n">
        <v>44579</v>
      </c>
      <c r="B2572" s="23" t="n">
        <f aca="false">YEAR(A2572)</f>
        <v>2022</v>
      </c>
      <c r="C2572" s="17" t="n">
        <v>42411.61</v>
      </c>
      <c r="D2572" s="23" t="n">
        <f aca="false">A2572-A2571</f>
        <v>1</v>
      </c>
      <c r="E2572" s="24" t="n">
        <f aca="false">LN(C2572)</f>
        <v>10.6551774244927</v>
      </c>
      <c r="F2572" s="25" t="n">
        <f aca="false">LN(C2572/C2571)</f>
        <v>0.00297861728553538</v>
      </c>
      <c r="G2572" s="25" t="n">
        <f aca="false">IF(AND(D2572=1,A2572&gt;=$R$2),F2572,"")</f>
        <v>0.00297861728553538</v>
      </c>
      <c r="H2572" s="27" t="n">
        <f aca="false">IF(G2572="","",G2572^2)</f>
        <v>8.87216093369015E-006</v>
      </c>
      <c r="I2572" s="25" t="n">
        <f aca="false">IF(G2572="","",C2572/C2571-1)</f>
        <v>0.00298305777374597</v>
      </c>
      <c r="J2572" s="17" t="n">
        <f aca="false">AVERAGE(C2373:C2572)</f>
        <v>48624.40805</v>
      </c>
      <c r="K2572" s="17" t="n">
        <f aca="false">MAX(K2571,C2572)</f>
        <v>67510.06</v>
      </c>
      <c r="L2572" s="25" t="n">
        <f aca="false">C2572/K2572-1</f>
        <v>-0.371773480870851</v>
      </c>
      <c r="M2572" s="25" t="n">
        <f aca="false">IF(COUNT(G2543:G2572)&lt;20,"",_xlfn.STDEV.S(G2543:G2572)*SQRT($R$3))</f>
        <v>0.461812382199483</v>
      </c>
      <c r="N2572" s="25" t="n">
        <f aca="false">IF(A2572-7&lt;$R$2,"",C2572/INDEX(Clean_Data!$C$2:$C$4314,MATCH(A2572-7,Clean_Data!$A$2:$A$4314,1))-1)</f>
        <v>-0.0084082201030411</v>
      </c>
      <c r="O2572" s="25" t="n">
        <f aca="false">IF(A2572-30&lt;$R$2,"",C2572/INDEX(Clean_Data!$C$2:$C$4314,MATCH(A2572-30,Clean_Data!$A$2:$A$4314,1))-1)</f>
        <v>-0.0915127462927693</v>
      </c>
    </row>
    <row r="2573" customFormat="false" ht="15" hidden="false" customHeight="false" outlineLevel="0" collapsed="false">
      <c r="A2573" s="16" t="n">
        <v>44580</v>
      </c>
      <c r="B2573" s="23" t="n">
        <f aca="false">YEAR(A2573)</f>
        <v>2022</v>
      </c>
      <c r="C2573" s="17" t="n">
        <v>41723.49</v>
      </c>
      <c r="D2573" s="23" t="n">
        <f aca="false">A2573-A2572</f>
        <v>1</v>
      </c>
      <c r="E2573" s="24" t="n">
        <f aca="false">LN(C2573)</f>
        <v>10.6388195585403</v>
      </c>
      <c r="F2573" s="25" t="n">
        <f aca="false">LN(C2573/C2572)</f>
        <v>-0.0163578659524504</v>
      </c>
      <c r="G2573" s="25" t="n">
        <f aca="false">IF(AND(D2573=1,A2573&gt;=$R$2),F2573,"")</f>
        <v>-0.0163578659524504</v>
      </c>
      <c r="H2573" s="27" t="n">
        <f aca="false">IF(G2573="","",G2573^2)</f>
        <v>0.000267579778518337</v>
      </c>
      <c r="I2573" s="25" t="n">
        <f aca="false">IF(G2573="","",C2573/C2572-1)</f>
        <v>-0.0162248025953271</v>
      </c>
      <c r="J2573" s="17" t="n">
        <f aca="false">AVERAGE(C2374:C2573)</f>
        <v>48659.85585</v>
      </c>
      <c r="K2573" s="17" t="n">
        <f aca="false">MAX(K2572,C2573)</f>
        <v>67510.06</v>
      </c>
      <c r="L2573" s="25" t="n">
        <f aca="false">C2573/K2573-1</f>
        <v>-0.381966332128871</v>
      </c>
      <c r="M2573" s="25" t="n">
        <f aca="false">IF(COUNT(G2544:G2573)&lt;20,"",_xlfn.STDEV.S(G2544:G2573)*SQRT($R$3))</f>
        <v>0.462796428233343</v>
      </c>
      <c r="N2573" s="25" t="n">
        <f aca="false">IF(A2573-7&lt;$R$2,"",C2573/INDEX(Clean_Data!$C$2:$C$4314,MATCH(A2573-7,Clean_Data!$A$2:$A$4314,1))-1)</f>
        <v>-0.0492377105681424</v>
      </c>
      <c r="O2573" s="25" t="n">
        <f aca="false">IF(A2573-30&lt;$R$2,"",C2573/INDEX(Clean_Data!$C$2:$C$4314,MATCH(A2573-30,Clean_Data!$A$2:$A$4314,1))-1)</f>
        <v>-0.111580196709332</v>
      </c>
    </row>
    <row r="2574" customFormat="false" ht="15" hidden="false" customHeight="false" outlineLevel="0" collapsed="false">
      <c r="A2574" s="16" t="n">
        <v>44581</v>
      </c>
      <c r="B2574" s="23" t="n">
        <f aca="false">YEAR(A2574)</f>
        <v>2022</v>
      </c>
      <c r="C2574" s="17" t="n">
        <v>40696.22</v>
      </c>
      <c r="D2574" s="23" t="n">
        <f aca="false">A2574-A2573</f>
        <v>1</v>
      </c>
      <c r="E2574" s="24" t="n">
        <f aca="false">LN(C2574)</f>
        <v>10.6138904924247</v>
      </c>
      <c r="F2574" s="25" t="n">
        <f aca="false">LN(C2574/C2573)</f>
        <v>-0.0249290661155646</v>
      </c>
      <c r="G2574" s="25" t="n">
        <f aca="false">IF(AND(D2574=1,A2574&gt;=$R$2),F2574,"")</f>
        <v>-0.0249290661155646</v>
      </c>
      <c r="H2574" s="27" t="n">
        <f aca="false">IF(G2574="","",G2574^2)</f>
        <v>0.000621458337394191</v>
      </c>
      <c r="I2574" s="25" t="n">
        <f aca="false">IF(G2574="","",C2574/C2573-1)</f>
        <v>-0.0246209029973283</v>
      </c>
      <c r="J2574" s="17" t="n">
        <f aca="false">AVERAGE(C2375:C2574)</f>
        <v>48687.70245</v>
      </c>
      <c r="K2574" s="17" t="n">
        <f aca="false">MAX(K2573,C2574)</f>
        <v>67510.06</v>
      </c>
      <c r="L2574" s="25" t="n">
        <f aca="false">C2574/K2574-1</f>
        <v>-0.397182879114609</v>
      </c>
      <c r="M2574" s="25" t="n">
        <f aca="false">IF(COUNT(G2545:G2574)&lt;20,"",_xlfn.STDEV.S(G2545:G2574)*SQRT($R$3))</f>
        <v>0.438019646011207</v>
      </c>
      <c r="N2574" s="25" t="n">
        <f aca="false">IF(A2574-7&lt;$R$2,"",C2574/INDEX(Clean_Data!$C$2:$C$4314,MATCH(A2574-7,Clean_Data!$A$2:$A$4314,1))-1)</f>
        <v>-0.0450850868325885</v>
      </c>
      <c r="O2574" s="25" t="n">
        <f aca="false">IF(A2574-30&lt;$R$2,"",C2574/INDEX(Clean_Data!$C$2:$C$4314,MATCH(A2574-30,Clean_Data!$A$2:$A$4314,1))-1)</f>
        <v>-0.168692460565909</v>
      </c>
    </row>
    <row r="2575" customFormat="false" ht="15" hidden="false" customHeight="false" outlineLevel="0" collapsed="false">
      <c r="A2575" s="16" t="n">
        <v>44582</v>
      </c>
      <c r="B2575" s="23" t="n">
        <f aca="false">YEAR(A2575)</f>
        <v>2022</v>
      </c>
      <c r="C2575" s="17" t="n">
        <v>36513.29</v>
      </c>
      <c r="D2575" s="23" t="n">
        <f aca="false">A2575-A2574</f>
        <v>1</v>
      </c>
      <c r="E2575" s="24" t="n">
        <f aca="false">LN(C2575)</f>
        <v>10.5054315828878</v>
      </c>
      <c r="F2575" s="25" t="n">
        <f aca="false">LN(C2575/C2574)</f>
        <v>-0.108458909536876</v>
      </c>
      <c r="G2575" s="25" t="n">
        <f aca="false">IF(AND(D2575=1,A2575&gt;=$R$2),F2575,"")</f>
        <v>-0.108458909536876</v>
      </c>
      <c r="H2575" s="27" t="n">
        <f aca="false">IF(G2575="","",G2575^2)</f>
        <v>0.0117633350579283</v>
      </c>
      <c r="I2575" s="25" t="n">
        <f aca="false">IF(G2575="","",C2575/C2574-1)</f>
        <v>-0.102784238929316</v>
      </c>
      <c r="J2575" s="17" t="n">
        <f aca="false">AVERAGE(C2376:C2575)</f>
        <v>48701.9028</v>
      </c>
      <c r="K2575" s="17" t="n">
        <f aca="false">MAX(K2574,C2575)</f>
        <v>67510.06</v>
      </c>
      <c r="L2575" s="25" t="n">
        <f aca="false">C2575/K2575-1</f>
        <v>-0.459142978098375</v>
      </c>
      <c r="M2575" s="25" t="n">
        <f aca="false">IF(COUNT(G2546:G2575)&lt;20,"",_xlfn.STDEV.S(G2546:G2575)*SQRT($R$3))</f>
        <v>0.56497957128888</v>
      </c>
      <c r="N2575" s="25" t="n">
        <f aca="false">IF(A2575-7&lt;$R$2,"",C2575/INDEX(Clean_Data!$C$2:$C$4314,MATCH(A2575-7,Clean_Data!$A$2:$A$4314,1))-1)</f>
        <v>-0.15397574717299</v>
      </c>
      <c r="O2575" s="25" t="n">
        <f aca="false">IF(A2575-30&lt;$R$2,"",C2575/INDEX(Clean_Data!$C$2:$C$4314,MATCH(A2575-30,Clean_Data!$A$2:$A$4314,1))-1)</f>
        <v>-0.249422676945354</v>
      </c>
    </row>
    <row r="2576" customFormat="false" ht="15" hidden="false" customHeight="false" outlineLevel="0" collapsed="false">
      <c r="A2576" s="16" t="n">
        <v>44583</v>
      </c>
      <c r="B2576" s="23" t="n">
        <f aca="false">YEAR(A2576)</f>
        <v>2022</v>
      </c>
      <c r="C2576" s="17" t="n">
        <v>35108.16</v>
      </c>
      <c r="D2576" s="23" t="n">
        <f aca="false">A2576-A2575</f>
        <v>1</v>
      </c>
      <c r="E2576" s="24" t="n">
        <f aca="false">LN(C2576)</f>
        <v>10.4661888610675</v>
      </c>
      <c r="F2576" s="25" t="n">
        <f aca="false">LN(C2576/C2575)</f>
        <v>-0.0392427218203478</v>
      </c>
      <c r="G2576" s="25" t="n">
        <f aca="false">IF(AND(D2576=1,A2576&gt;=$R$2),F2576,"")</f>
        <v>-0.0392427218203478</v>
      </c>
      <c r="H2576" s="27" t="n">
        <f aca="false">IF(G2576="","",G2576^2)</f>
        <v>0.0015399912158692</v>
      </c>
      <c r="I2576" s="25" t="n">
        <f aca="false">IF(G2576="","",C2576/C2575-1)</f>
        <v>-0.0384827004085361</v>
      </c>
      <c r="J2576" s="17" t="n">
        <f aca="false">AVERAGE(C2377:C2576)</f>
        <v>48706.4741</v>
      </c>
      <c r="K2576" s="17" t="n">
        <f aca="false">MAX(K2575,C2576)</f>
        <v>67510.06</v>
      </c>
      <c r="L2576" s="25" t="n">
        <f aca="false">C2576/K2576-1</f>
        <v>-0.479956616836069</v>
      </c>
      <c r="M2576" s="25" t="n">
        <f aca="false">IF(COUNT(G2547:G2576)&lt;20,"",_xlfn.STDEV.S(G2547:G2576)*SQRT($R$3))</f>
        <v>0.539558524065047</v>
      </c>
      <c r="N2576" s="25" t="n">
        <f aca="false">IF(A2576-7&lt;$R$2,"",C2576/INDEX(Clean_Data!$C$2:$C$4314,MATCH(A2576-7,Clean_Data!$A$2:$A$4314,1))-1)</f>
        <v>-0.185091617586231</v>
      </c>
      <c r="O2576" s="25" t="n">
        <f aca="false">IF(A2576-30&lt;$R$2,"",C2576/INDEX(Clean_Data!$C$2:$C$4314,MATCH(A2576-30,Clean_Data!$A$2:$A$4314,1))-1)</f>
        <v>-0.309444485750129</v>
      </c>
    </row>
    <row r="2577" customFormat="false" ht="15" hidden="false" customHeight="false" outlineLevel="0" collapsed="false">
      <c r="A2577" s="16" t="n">
        <v>44584</v>
      </c>
      <c r="B2577" s="23" t="n">
        <f aca="false">YEAR(A2577)</f>
        <v>2022</v>
      </c>
      <c r="C2577" s="17" t="n">
        <v>36233.04</v>
      </c>
      <c r="D2577" s="23" t="n">
        <f aca="false">A2577-A2576</f>
        <v>1</v>
      </c>
      <c r="E2577" s="24" t="n">
        <f aca="false">LN(C2577)</f>
        <v>10.4977266887322</v>
      </c>
      <c r="F2577" s="25" t="n">
        <f aca="false">LN(C2577/C2576)</f>
        <v>0.0315378276647819</v>
      </c>
      <c r="G2577" s="25" t="n">
        <f aca="false">IF(AND(D2577=1,A2577&gt;=$R$2),F2577,"")</f>
        <v>0.0315378276647819</v>
      </c>
      <c r="H2577" s="27" t="n">
        <f aca="false">IF(G2577="","",G2577^2)</f>
        <v>0.000994634573813482</v>
      </c>
      <c r="I2577" s="25" t="n">
        <f aca="false">IF(G2577="","",C2577/C2576-1)</f>
        <v>0.0320404145361077</v>
      </c>
      <c r="J2577" s="17" t="n">
        <f aca="false">AVERAGE(C2378:C2577)</f>
        <v>48718.6843</v>
      </c>
      <c r="K2577" s="17" t="n">
        <f aca="false">MAX(K2576,C2577)</f>
        <v>67510.06</v>
      </c>
      <c r="L2577" s="25" t="n">
        <f aca="false">C2577/K2577-1</f>
        <v>-0.463294211262736</v>
      </c>
      <c r="M2577" s="25" t="n">
        <f aca="false">IF(COUNT(G2548:G2577)&lt;20,"",_xlfn.STDEV.S(G2548:G2577)*SQRT($R$3))</f>
        <v>0.55960542364666</v>
      </c>
      <c r="N2577" s="25" t="n">
        <f aca="false">IF(A2577-7&lt;$R$2,"",C2577/INDEX(Clean_Data!$C$2:$C$4314,MATCH(A2577-7,Clean_Data!$A$2:$A$4314,1))-1)</f>
        <v>-0.160060337055757</v>
      </c>
      <c r="O2577" s="25" t="n">
        <f aca="false">IF(A2577-30&lt;$R$2,"",C2577/INDEX(Clean_Data!$C$2:$C$4314,MATCH(A2577-30,Clean_Data!$A$2:$A$4314,1))-1)</f>
        <v>-0.286971546195369</v>
      </c>
    </row>
    <row r="2578" customFormat="false" ht="15" hidden="false" customHeight="false" outlineLevel="0" collapsed="false">
      <c r="A2578" s="16" t="n">
        <v>44585</v>
      </c>
      <c r="B2578" s="23" t="n">
        <f aca="false">YEAR(A2578)</f>
        <v>2022</v>
      </c>
      <c r="C2578" s="17" t="n">
        <v>36643.49</v>
      </c>
      <c r="D2578" s="23" t="n">
        <f aca="false">A2578-A2577</f>
        <v>1</v>
      </c>
      <c r="E2578" s="24" t="n">
        <f aca="false">LN(C2578)</f>
        <v>10.5089910653437</v>
      </c>
      <c r="F2578" s="25" t="n">
        <f aca="false">LN(C2578/C2577)</f>
        <v>0.0112643766114244</v>
      </c>
      <c r="G2578" s="25" t="n">
        <f aca="false">IF(AND(D2578=1,A2578&gt;=$R$2),F2578,"")</f>
        <v>0.0112643766114244</v>
      </c>
      <c r="H2578" s="27" t="n">
        <f aca="false">IF(G2578="","",G2578^2)</f>
        <v>0.000126886180444005</v>
      </c>
      <c r="I2578" s="25" t="n">
        <f aca="false">IF(G2578="","",C2578/C2577-1)</f>
        <v>0.0113280585896187</v>
      </c>
      <c r="J2578" s="17" t="n">
        <f aca="false">AVERAGE(C2379:C2578)</f>
        <v>48737.5106</v>
      </c>
      <c r="K2578" s="17" t="n">
        <f aca="false">MAX(K2577,C2578)</f>
        <v>67510.06</v>
      </c>
      <c r="L2578" s="25" t="n">
        <f aca="false">C2578/K2578-1</f>
        <v>-0.457214376642533</v>
      </c>
      <c r="M2578" s="25" t="n">
        <f aca="false">IF(COUNT(G2549:G2578)&lt;20,"",_xlfn.STDEV.S(G2549:G2578)*SQRT($R$3))</f>
        <v>0.565049355987911</v>
      </c>
      <c r="N2578" s="25" t="n">
        <f aca="false">IF(A2578-7&lt;$R$2,"",C2578/INDEX(Clean_Data!$C$2:$C$4314,MATCH(A2578-7,Clean_Data!$A$2:$A$4314,1))-1)</f>
        <v>-0.133425973508158</v>
      </c>
      <c r="O2578" s="25" t="n">
        <f aca="false">IF(A2578-30&lt;$R$2,"",C2578/INDEX(Clean_Data!$C$2:$C$4314,MATCH(A2578-30,Clean_Data!$A$2:$A$4314,1))-1)</f>
        <v>-0.27287550151235</v>
      </c>
    </row>
    <row r="2579" customFormat="false" ht="15" hidden="false" customHeight="false" outlineLevel="0" collapsed="false">
      <c r="A2579" s="16" t="n">
        <v>44586</v>
      </c>
      <c r="B2579" s="23" t="n">
        <f aca="false">YEAR(A2579)</f>
        <v>2022</v>
      </c>
      <c r="C2579" s="17" t="n">
        <v>36976.64</v>
      </c>
      <c r="D2579" s="23" t="n">
        <f aca="false">A2579-A2578</f>
        <v>1</v>
      </c>
      <c r="E2579" s="24" t="n">
        <f aca="false">LN(C2579)</f>
        <v>10.5180416408888</v>
      </c>
      <c r="F2579" s="25" t="n">
        <f aca="false">LN(C2579/C2578)</f>
        <v>0.00905057554514712</v>
      </c>
      <c r="G2579" s="25" t="n">
        <f aca="false">IF(AND(D2579=1,A2579&gt;=$R$2),F2579,"")</f>
        <v>0.00905057554514712</v>
      </c>
      <c r="H2579" s="27" t="n">
        <f aca="false">IF(G2579="","",G2579^2)</f>
        <v>8.1912917698415E-005</v>
      </c>
      <c r="I2579" s="25" t="n">
        <f aca="false">IF(G2579="","",C2579/C2578-1)</f>
        <v>0.00909165584391669</v>
      </c>
      <c r="J2579" s="17" t="n">
        <f aca="false">AVERAGE(C2380:C2579)</f>
        <v>48753.55945</v>
      </c>
      <c r="K2579" s="17" t="n">
        <f aca="false">MAX(K2578,C2579)</f>
        <v>67510.06</v>
      </c>
      <c r="L2579" s="25" t="n">
        <f aca="false">C2579/K2579-1</f>
        <v>-0.452279556557941</v>
      </c>
      <c r="M2579" s="25" t="n">
        <f aca="false">IF(COUNT(G2550:G2579)&lt;20,"",_xlfn.STDEV.S(G2550:G2579)*SQRT($R$3))</f>
        <v>0.56514798846557</v>
      </c>
      <c r="N2579" s="25" t="n">
        <f aca="false">IF(A2579-7&lt;$R$2,"",C2579/INDEX(Clean_Data!$C$2:$C$4314,MATCH(A2579-7,Clean_Data!$A$2:$A$4314,1))-1)</f>
        <v>-0.128148165089701</v>
      </c>
      <c r="O2579" s="25" t="n">
        <f aca="false">IF(A2579-30&lt;$R$2,"",C2579/INDEX(Clean_Data!$C$2:$C$4314,MATCH(A2579-30,Clean_Data!$A$2:$A$4314,1))-1)</f>
        <v>-0.272710822389403</v>
      </c>
    </row>
    <row r="2580" customFormat="false" ht="15" hidden="false" customHeight="false" outlineLevel="0" collapsed="false">
      <c r="A2580" s="16" t="n">
        <v>44587</v>
      </c>
      <c r="B2580" s="23" t="n">
        <f aca="false">YEAR(A2580)</f>
        <v>2022</v>
      </c>
      <c r="C2580" s="17" t="n">
        <v>36838.9</v>
      </c>
      <c r="D2580" s="23" t="n">
        <f aca="false">A2580-A2579</f>
        <v>1</v>
      </c>
      <c r="E2580" s="24" t="n">
        <f aca="false">LN(C2580)</f>
        <v>10.5143096310744</v>
      </c>
      <c r="F2580" s="25" t="n">
        <f aca="false">LN(C2580/C2579)</f>
        <v>-0.00373200981443771</v>
      </c>
      <c r="G2580" s="25" t="n">
        <f aca="false">IF(AND(D2580=1,A2580&gt;=$R$2),F2580,"")</f>
        <v>-0.00373200981443771</v>
      </c>
      <c r="H2580" s="27" t="n">
        <f aca="false">IF(G2580="","",G2580^2)</f>
        <v>1.39278972550594E-005</v>
      </c>
      <c r="I2580" s="25" t="n">
        <f aca="false">IF(G2580="","",C2580/C2579-1)</f>
        <v>-0.00372505452090832</v>
      </c>
      <c r="J2580" s="17" t="n">
        <f aca="false">AVERAGE(C2381:C2580)</f>
        <v>48770.018</v>
      </c>
      <c r="K2580" s="17" t="n">
        <f aca="false">MAX(K2579,C2580)</f>
        <v>67510.06</v>
      </c>
      <c r="L2580" s="25" t="n">
        <f aca="false">C2580/K2580-1</f>
        <v>-0.454319845071979</v>
      </c>
      <c r="M2580" s="25" t="n">
        <f aca="false">IF(COUNT(G2551:G2580)&lt;20,"",_xlfn.STDEV.S(G2551:G2580)*SQRT($R$3))</f>
        <v>0.565114417873426</v>
      </c>
      <c r="N2580" s="25" t="n">
        <f aca="false">IF(A2580-7&lt;$R$2,"",C2580/INDEX(Clean_Data!$C$2:$C$4314,MATCH(A2580-7,Clean_Data!$A$2:$A$4314,1))-1)</f>
        <v>-0.117070503929561</v>
      </c>
      <c r="O2580" s="25" t="n">
        <f aca="false">IF(A2580-30&lt;$R$2,"",C2580/INDEX(Clean_Data!$C$2:$C$4314,MATCH(A2580-30,Clean_Data!$A$2:$A$4314,1))-1)</f>
        <v>-0.27286755727918</v>
      </c>
    </row>
    <row r="2581" customFormat="false" ht="15" hidden="false" customHeight="false" outlineLevel="0" collapsed="false">
      <c r="A2581" s="16" t="n">
        <v>44588</v>
      </c>
      <c r="B2581" s="23" t="n">
        <f aca="false">YEAR(A2581)</f>
        <v>2022</v>
      </c>
      <c r="C2581" s="17" t="n">
        <v>37139.68</v>
      </c>
      <c r="D2581" s="23" t="n">
        <f aca="false">A2581-A2580</f>
        <v>1</v>
      </c>
      <c r="E2581" s="24" t="n">
        <f aca="false">LN(C2581)</f>
        <v>10.5224412188222</v>
      </c>
      <c r="F2581" s="25" t="n">
        <f aca="false">LN(C2581/C2580)</f>
        <v>0.0081315877478084</v>
      </c>
      <c r="G2581" s="25" t="n">
        <f aca="false">IF(AND(D2581=1,A2581&gt;=$R$2),F2581,"")</f>
        <v>0.0081315877478084</v>
      </c>
      <c r="H2581" s="27" t="n">
        <f aca="false">IF(G2581="","",G2581^2)</f>
        <v>6.61227193003077E-005</v>
      </c>
      <c r="I2581" s="25" t="n">
        <f aca="false">IF(G2581="","",C2581/C2580-1)</f>
        <v>0.00816473890371317</v>
      </c>
      <c r="J2581" s="17" t="n">
        <f aca="false">AVERAGE(C2382:C2581)</f>
        <v>48784.53535</v>
      </c>
      <c r="K2581" s="17" t="n">
        <f aca="false">MAX(K2580,C2581)</f>
        <v>67510.06</v>
      </c>
      <c r="L2581" s="25" t="n">
        <f aca="false">C2581/K2581-1</f>
        <v>-0.449864509082054</v>
      </c>
      <c r="M2581" s="25" t="n">
        <f aca="false">IF(COUNT(G2552:G2581)&lt;20,"",_xlfn.STDEV.S(G2552:G2581)*SQRT($R$3))</f>
        <v>0.536504430708572</v>
      </c>
      <c r="N2581" s="25" t="n">
        <f aca="false">IF(A2581-7&lt;$R$2,"",C2581/INDEX(Clean_Data!$C$2:$C$4314,MATCH(A2581-7,Clean_Data!$A$2:$A$4314,1))-1)</f>
        <v>-0.0873923917258164</v>
      </c>
      <c r="O2581" s="25" t="n">
        <f aca="false">IF(A2581-30&lt;$R$2,"",C2581/INDEX(Clean_Data!$C$2:$C$4314,MATCH(A2581-30,Clean_Data!$A$2:$A$4314,1))-1)</f>
        <v>-0.219665276801651</v>
      </c>
    </row>
    <row r="2582" customFormat="false" ht="15" hidden="false" customHeight="false" outlineLevel="0" collapsed="false">
      <c r="A2582" s="16" t="n">
        <v>44589</v>
      </c>
      <c r="B2582" s="23" t="n">
        <f aca="false">YEAR(A2582)</f>
        <v>2022</v>
      </c>
      <c r="C2582" s="17" t="n">
        <v>37677.8</v>
      </c>
      <c r="D2582" s="23" t="n">
        <f aca="false">A2582-A2581</f>
        <v>1</v>
      </c>
      <c r="E2582" s="24" t="n">
        <f aca="false">LN(C2582)</f>
        <v>10.5368263405739</v>
      </c>
      <c r="F2582" s="25" t="n">
        <f aca="false">LN(C2582/C2581)</f>
        <v>0.0143851217516668</v>
      </c>
      <c r="G2582" s="25" t="n">
        <f aca="false">IF(AND(D2582=1,A2582&gt;=$R$2),F2582,"")</f>
        <v>0.0143851217516668</v>
      </c>
      <c r="H2582" s="27" t="n">
        <f aca="false">IF(G2582="","",G2582^2)</f>
        <v>0.000206931727810276</v>
      </c>
      <c r="I2582" s="25" t="n">
        <f aca="false">IF(G2582="","",C2582/C2581-1)</f>
        <v>0.0144890855279314</v>
      </c>
      <c r="J2582" s="17" t="n">
        <f aca="false">AVERAGE(C2383:C2582)</f>
        <v>48807.44005</v>
      </c>
      <c r="K2582" s="17" t="n">
        <f aca="false">MAX(K2581,C2582)</f>
        <v>67510.06</v>
      </c>
      <c r="L2582" s="25" t="n">
        <f aca="false">C2582/K2582-1</f>
        <v>-0.441893548902193</v>
      </c>
      <c r="M2582" s="25" t="n">
        <f aca="false">IF(COUNT(G2553:G2582)&lt;20,"",_xlfn.STDEV.S(G2553:G2582)*SQRT($R$3))</f>
        <v>0.539474689636644</v>
      </c>
      <c r="N2582" s="25" t="n">
        <f aca="false">IF(A2582-7&lt;$R$2,"",C2582/INDEX(Clean_Data!$C$2:$C$4314,MATCH(A2582-7,Clean_Data!$A$2:$A$4314,1))-1)</f>
        <v>0.031892771097866</v>
      </c>
      <c r="O2582" s="25" t="n">
        <f aca="false">IF(A2582-30&lt;$R$2,"",C2582/INDEX(Clean_Data!$C$2:$C$4314,MATCH(A2582-30,Clean_Data!$A$2:$A$4314,1))-1)</f>
        <v>-0.190052193951693</v>
      </c>
    </row>
    <row r="2583" customFormat="false" ht="15" hidden="false" customHeight="false" outlineLevel="0" collapsed="false">
      <c r="A2583" s="16" t="n">
        <v>44590</v>
      </c>
      <c r="B2583" s="23" t="n">
        <f aca="false">YEAR(A2583)</f>
        <v>2022</v>
      </c>
      <c r="C2583" s="17" t="n">
        <v>38166.62</v>
      </c>
      <c r="D2583" s="23" t="n">
        <f aca="false">A2583-A2582</f>
        <v>1</v>
      </c>
      <c r="E2583" s="24" t="n">
        <f aca="false">LN(C2583)</f>
        <v>10.5497165906002</v>
      </c>
      <c r="F2583" s="25" t="n">
        <f aca="false">LN(C2583/C2582)</f>
        <v>0.0128902500262936</v>
      </c>
      <c r="G2583" s="25" t="n">
        <f aca="false">IF(AND(D2583=1,A2583&gt;=$R$2),F2583,"")</f>
        <v>0.0128902500262936</v>
      </c>
      <c r="H2583" s="27" t="n">
        <f aca="false">IF(G2583="","",G2583^2)</f>
        <v>0.000166158545740363</v>
      </c>
      <c r="I2583" s="25" t="n">
        <f aca="false">IF(G2583="","",C2583/C2582-1)</f>
        <v>0.0129736874233632</v>
      </c>
      <c r="J2583" s="17" t="n">
        <f aca="false">AVERAGE(C2384:C2583)</f>
        <v>48834.43045</v>
      </c>
      <c r="K2583" s="17" t="n">
        <f aca="false">MAX(K2582,C2583)</f>
        <v>67510.06</v>
      </c>
      <c r="L2583" s="25" t="n">
        <f aca="false">C2583/K2583-1</f>
        <v>-0.434652850256688</v>
      </c>
      <c r="M2583" s="25" t="n">
        <f aca="false">IF(COUNT(G2554:G2583)&lt;20,"",_xlfn.STDEV.S(G2554:G2583)*SQRT($R$3))</f>
        <v>0.539712743006413</v>
      </c>
      <c r="N2583" s="25" t="n">
        <f aca="false">IF(A2583-7&lt;$R$2,"",C2583/INDEX(Clean_Data!$C$2:$C$4314,MATCH(A2583-7,Clean_Data!$A$2:$A$4314,1))-1)</f>
        <v>0.0871153600758341</v>
      </c>
      <c r="O2583" s="25" t="n">
        <f aca="false">IF(A2583-30&lt;$R$2,"",C2583/INDEX(Clean_Data!$C$2:$C$4314,MATCH(A2583-30,Clean_Data!$A$2:$A$4314,1))-1)</f>
        <v>-0.189631373831289</v>
      </c>
    </row>
    <row r="2584" customFormat="false" ht="15" hidden="false" customHeight="false" outlineLevel="0" collapsed="false">
      <c r="A2584" s="16" t="n">
        <v>44591</v>
      </c>
      <c r="B2584" s="23" t="n">
        <f aca="false">YEAR(A2584)</f>
        <v>2022</v>
      </c>
      <c r="C2584" s="17" t="n">
        <v>37918.6</v>
      </c>
      <c r="D2584" s="23" t="n">
        <f aca="false">A2584-A2583</f>
        <v>1</v>
      </c>
      <c r="E2584" s="24" t="n">
        <f aca="false">LN(C2584)</f>
        <v>10.5431970358562</v>
      </c>
      <c r="F2584" s="25" t="n">
        <f aca="false">LN(C2584/C2583)</f>
        <v>-0.00651955474397002</v>
      </c>
      <c r="G2584" s="25" t="n">
        <f aca="false">IF(AND(D2584=1,A2584&gt;=$R$2),F2584,"")</f>
        <v>-0.00651955474397002</v>
      </c>
      <c r="H2584" s="27" t="n">
        <f aca="false">IF(G2584="","",G2584^2)</f>
        <v>4.2504594059622E-005</v>
      </c>
      <c r="I2584" s="25" t="n">
        <f aca="false">IF(G2584="","",C2584/C2583-1)</f>
        <v>-0.00649834855693288</v>
      </c>
      <c r="J2584" s="17" t="n">
        <f aca="false">AVERAGE(C2385:C2584)</f>
        <v>48859.93755</v>
      </c>
      <c r="K2584" s="17" t="n">
        <f aca="false">MAX(K2583,C2584)</f>
        <v>67510.06</v>
      </c>
      <c r="L2584" s="25" t="n">
        <f aca="false">C2584/K2584-1</f>
        <v>-0.438326673091388</v>
      </c>
      <c r="M2584" s="25" t="n">
        <f aca="false">IF(COUNT(G2555:G2584)&lt;20,"",_xlfn.STDEV.S(G2555:G2584)*SQRT($R$3))</f>
        <v>0.538177770495827</v>
      </c>
      <c r="N2584" s="25" t="n">
        <f aca="false">IF(A2584-7&lt;$R$2,"",C2584/INDEX(Clean_Data!$C$2:$C$4314,MATCH(A2584-7,Clean_Data!$A$2:$A$4314,1))-1)</f>
        <v>0.0465199718268188</v>
      </c>
      <c r="O2584" s="25" t="n">
        <f aca="false">IF(A2584-30&lt;$R$2,"",C2584/INDEX(Clean_Data!$C$2:$C$4314,MATCH(A2584-30,Clean_Data!$A$2:$A$4314,1))-1)</f>
        <v>-0.180043174742667</v>
      </c>
    </row>
    <row r="2585" customFormat="false" ht="15" hidden="false" customHeight="false" outlineLevel="0" collapsed="false">
      <c r="A2585" s="16" t="n">
        <v>44592</v>
      </c>
      <c r="B2585" s="23" t="n">
        <f aca="false">YEAR(A2585)</f>
        <v>2022</v>
      </c>
      <c r="C2585" s="17" t="n">
        <v>38430.3</v>
      </c>
      <c r="D2585" s="23" t="n">
        <f aca="false">A2585-A2584</f>
        <v>1</v>
      </c>
      <c r="E2585" s="24" t="n">
        <f aca="false">LN(C2585)</f>
        <v>10.5566014899297</v>
      </c>
      <c r="F2585" s="25" t="n">
        <f aca="false">LN(C2585/C2584)</f>
        <v>0.0134044540734883</v>
      </c>
      <c r="G2585" s="25" t="n">
        <f aca="false">IF(AND(D2585=1,A2585&gt;=$R$2),F2585,"")</f>
        <v>0.0134044540734883</v>
      </c>
      <c r="H2585" s="27" t="n">
        <f aca="false">IF(G2585="","",G2585^2)</f>
        <v>0.000179679389008257</v>
      </c>
      <c r="I2585" s="25" t="n">
        <f aca="false">IF(G2585="","",C2585/C2584-1)</f>
        <v>0.0134946965341549</v>
      </c>
      <c r="J2585" s="17" t="n">
        <f aca="false">AVERAGE(C2386:C2585)</f>
        <v>48892.6336</v>
      </c>
      <c r="K2585" s="17" t="n">
        <f aca="false">MAX(K2584,C2585)</f>
        <v>67510.06</v>
      </c>
      <c r="L2585" s="25" t="n">
        <f aca="false">C2585/K2585-1</f>
        <v>-0.430747061993427</v>
      </c>
      <c r="M2585" s="25" t="n">
        <f aca="false">IF(COUNT(G2556:G2585)&lt;20,"",_xlfn.STDEV.S(G2556:G2585)*SQRT($R$3))</f>
        <v>0.525125754925352</v>
      </c>
      <c r="N2585" s="25" t="n">
        <f aca="false">IF(A2585-7&lt;$R$2,"",C2585/INDEX(Clean_Data!$C$2:$C$4314,MATCH(A2585-7,Clean_Data!$A$2:$A$4314,1))-1)</f>
        <v>0.0487620038375167</v>
      </c>
      <c r="O2585" s="25" t="n">
        <f aca="false">IF(A2585-30&lt;$R$2,"",C2585/INDEX(Clean_Data!$C$2:$C$4314,MATCH(A2585-30,Clean_Data!$A$2:$A$4314,1))-1)</f>
        <v>-0.195157242596311</v>
      </c>
    </row>
    <row r="2586" customFormat="false" ht="15" hidden="false" customHeight="false" outlineLevel="0" collapsed="false">
      <c r="A2586" s="16" t="n">
        <v>44593</v>
      </c>
      <c r="B2586" s="23" t="n">
        <f aca="false">YEAR(A2586)</f>
        <v>2022</v>
      </c>
      <c r="C2586" s="17" t="n">
        <v>38745.11</v>
      </c>
      <c r="D2586" s="23" t="n">
        <f aca="false">A2586-A2585</f>
        <v>1</v>
      </c>
      <c r="E2586" s="24" t="n">
        <f aca="false">LN(C2586)</f>
        <v>10.56475983327</v>
      </c>
      <c r="F2586" s="25" t="n">
        <f aca="false">LN(C2586/C2585)</f>
        <v>0.00815834334036126</v>
      </c>
      <c r="G2586" s="25" t="n">
        <f aca="false">IF(AND(D2586=1,A2586&gt;=$R$2),F2586,"")</f>
        <v>0.00815834334036126</v>
      </c>
      <c r="H2586" s="27" t="n">
        <f aca="false">IF(G2586="","",G2586^2)</f>
        <v>6.65585660592169E-005</v>
      </c>
      <c r="I2586" s="25" t="n">
        <f aca="false">IF(G2586="","",C2586/C2585-1)</f>
        <v>0.00819171330954993</v>
      </c>
      <c r="J2586" s="17" t="n">
        <f aca="false">AVERAGE(C2387:C2586)</f>
        <v>48929.31525</v>
      </c>
      <c r="K2586" s="17" t="n">
        <f aca="false">MAX(K2585,C2586)</f>
        <v>67510.06</v>
      </c>
      <c r="L2586" s="25" t="n">
        <f aca="false">C2586/K2586-1</f>
        <v>-0.426083905124658</v>
      </c>
      <c r="M2586" s="25" t="n">
        <f aca="false">IF(COUNT(G2557:G2586)&lt;20,"",_xlfn.STDEV.S(G2557:G2586)*SQRT($R$3))</f>
        <v>0.527709333695637</v>
      </c>
      <c r="N2586" s="25" t="n">
        <f aca="false">IF(A2586-7&lt;$R$2,"",C2586/INDEX(Clean_Data!$C$2:$C$4314,MATCH(A2586-7,Clean_Data!$A$2:$A$4314,1))-1)</f>
        <v>0.0478266819267517</v>
      </c>
      <c r="O2586" s="25" t="n">
        <f aca="false">IF(A2586-30&lt;$R$2,"",C2586/INDEX(Clean_Data!$C$2:$C$4314,MATCH(A2586-30,Clean_Data!$A$2:$A$4314,1))-1)</f>
        <v>-0.180145506037853</v>
      </c>
    </row>
    <row r="2587" customFormat="false" ht="15" hidden="false" customHeight="false" outlineLevel="0" collapsed="false">
      <c r="A2587" s="16" t="n">
        <v>44594</v>
      </c>
      <c r="B2587" s="23" t="n">
        <f aca="false">YEAR(A2587)</f>
        <v>2022</v>
      </c>
      <c r="C2587" s="17" t="n">
        <v>36905.98</v>
      </c>
      <c r="D2587" s="23" t="n">
        <f aca="false">A2587-A2586</f>
        <v>1</v>
      </c>
      <c r="E2587" s="24" t="n">
        <f aca="false">LN(C2587)</f>
        <v>10.516128876519</v>
      </c>
      <c r="F2587" s="25" t="n">
        <f aca="false">LN(C2587/C2586)</f>
        <v>-0.0486309567510571</v>
      </c>
      <c r="G2587" s="25" t="n">
        <f aca="false">IF(AND(D2587=1,A2587&gt;=$R$2),F2587,"")</f>
        <v>-0.0486309567510571</v>
      </c>
      <c r="H2587" s="27" t="n">
        <f aca="false">IF(G2587="","",G2587^2)</f>
        <v>0.00236496995452319</v>
      </c>
      <c r="I2587" s="25" t="n">
        <f aca="false">IF(G2587="","",C2587/C2586-1)</f>
        <v>-0.0474674094356681</v>
      </c>
      <c r="J2587" s="17" t="n">
        <f aca="false">AVERAGE(C2388:C2587)</f>
        <v>48956.32625</v>
      </c>
      <c r="K2587" s="17" t="n">
        <f aca="false">MAX(K2586,C2587)</f>
        <v>67510.06</v>
      </c>
      <c r="L2587" s="25" t="n">
        <f aca="false">C2587/K2587-1</f>
        <v>-0.453326215381826</v>
      </c>
      <c r="M2587" s="25" t="n">
        <f aca="false">IF(COUNT(G2558:G2587)&lt;20,"",_xlfn.STDEV.S(G2558:G2587)*SQRT($R$3))</f>
        <v>0.546979071795123</v>
      </c>
      <c r="N2587" s="25" t="n">
        <f aca="false">IF(A2587-7&lt;$R$2,"",C2587/INDEX(Clean_Data!$C$2:$C$4314,MATCH(A2587-7,Clean_Data!$A$2:$A$4314,1))-1)</f>
        <v>0.0018209012755539</v>
      </c>
      <c r="O2587" s="25" t="n">
        <f aca="false">IF(A2587-30&lt;$R$2,"",C2587/INDEX(Clean_Data!$C$2:$C$4314,MATCH(A2587-30,Clean_Data!$A$2:$A$4314,1))-1)</f>
        <v>-0.206660137541552</v>
      </c>
    </row>
    <row r="2588" customFormat="false" ht="15" hidden="false" customHeight="false" outlineLevel="0" collapsed="false">
      <c r="A2588" s="16" t="n">
        <v>44595</v>
      </c>
      <c r="B2588" s="23" t="n">
        <f aca="false">YEAR(A2588)</f>
        <v>2022</v>
      </c>
      <c r="C2588" s="17" t="n">
        <v>37238.31</v>
      </c>
      <c r="D2588" s="23" t="n">
        <f aca="false">A2588-A2587</f>
        <v>1</v>
      </c>
      <c r="E2588" s="24" t="n">
        <f aca="false">LN(C2588)</f>
        <v>10.5250933490508</v>
      </c>
      <c r="F2588" s="25" t="n">
        <f aca="false">LN(C2588/C2587)</f>
        <v>0.00896447253184845</v>
      </c>
      <c r="G2588" s="25" t="n">
        <f aca="false">IF(AND(D2588=1,A2588&gt;=$R$2),F2588,"")</f>
        <v>0.00896447253184845</v>
      </c>
      <c r="H2588" s="27" t="n">
        <f aca="false">IF(G2588="","",G2588^2)</f>
        <v>8.03617677742653E-005</v>
      </c>
      <c r="I2588" s="25" t="n">
        <f aca="false">IF(G2588="","",C2588/C2587-1)</f>
        <v>0.00900477375211262</v>
      </c>
      <c r="J2588" s="17" t="n">
        <f aca="false">AVERAGE(C2389:C2588)</f>
        <v>48983.7527</v>
      </c>
      <c r="K2588" s="17" t="n">
        <f aca="false">MAX(K2587,C2588)</f>
        <v>67510.06</v>
      </c>
      <c r="L2588" s="25" t="n">
        <f aca="false">C2588/K2588-1</f>
        <v>-0.448403541635128</v>
      </c>
      <c r="M2588" s="25" t="n">
        <f aca="false">IF(COUNT(G2559:G2588)&lt;20,"",_xlfn.STDEV.S(G2559:G2588)*SQRT($R$3))</f>
        <v>0.549574327631584</v>
      </c>
      <c r="N2588" s="25" t="n">
        <f aca="false">IF(A2588-7&lt;$R$2,"",C2588/INDEX(Clean_Data!$C$2:$C$4314,MATCH(A2588-7,Clean_Data!$A$2:$A$4314,1))-1)</f>
        <v>0.00265565023715864</v>
      </c>
      <c r="O2588" s="25" t="n">
        <f aca="false">IF(A2588-30&lt;$R$2,"",C2588/INDEX(Clean_Data!$C$2:$C$4314,MATCH(A2588-30,Clean_Data!$A$2:$A$4314,1))-1)</f>
        <v>-0.188520442629453</v>
      </c>
    </row>
    <row r="2589" customFormat="false" ht="15" hidden="false" customHeight="false" outlineLevel="0" collapsed="false">
      <c r="A2589" s="16" t="n">
        <v>44596</v>
      </c>
      <c r="B2589" s="23" t="n">
        <f aca="false">YEAR(A2589)</f>
        <v>2022</v>
      </c>
      <c r="C2589" s="17" t="n">
        <v>41545.39</v>
      </c>
      <c r="D2589" s="23" t="n">
        <f aca="false">A2589-A2588</f>
        <v>1</v>
      </c>
      <c r="E2589" s="24" t="n">
        <f aca="false">LN(C2589)</f>
        <v>10.6345418434663</v>
      </c>
      <c r="F2589" s="25" t="n">
        <f aca="false">LN(C2589/C2588)</f>
        <v>0.10944849441544</v>
      </c>
      <c r="G2589" s="25" t="n">
        <f aca="false">IF(AND(D2589=1,A2589&gt;=$R$2),F2589,"")</f>
        <v>0.10944849441544</v>
      </c>
      <c r="H2589" s="27" t="n">
        <f aca="false">IF(G2589="","",G2589^2)</f>
        <v>0.0119789729298065</v>
      </c>
      <c r="I2589" s="25" t="n">
        <f aca="false">IF(G2589="","",C2589/C2588-1)</f>
        <v>0.115662606600568</v>
      </c>
      <c r="J2589" s="17" t="n">
        <f aca="false">AVERAGE(C2390:C2589)</f>
        <v>49037.23015</v>
      </c>
      <c r="K2589" s="17" t="n">
        <f aca="false">MAX(K2588,C2589)</f>
        <v>67510.06</v>
      </c>
      <c r="L2589" s="25" t="n">
        <f aca="false">C2589/K2589-1</f>
        <v>-0.384604457469005</v>
      </c>
      <c r="M2589" s="25" t="n">
        <f aca="false">IF(COUNT(G2560:G2589)&lt;20,"",_xlfn.STDEV.S(G2560:G2589)*SQRT($R$3))</f>
        <v>0.657169685619272</v>
      </c>
      <c r="N2589" s="25" t="n">
        <f aca="false">IF(A2589-7&lt;$R$2,"",C2589/INDEX(Clean_Data!$C$2:$C$4314,MATCH(A2589-7,Clean_Data!$A$2:$A$4314,1))-1)</f>
        <v>0.10264904001826</v>
      </c>
      <c r="O2589" s="25" t="n">
        <f aca="false">IF(A2589-30&lt;$R$2,"",C2589/INDEX(Clean_Data!$C$2:$C$4314,MATCH(A2589-30,Clean_Data!$A$2:$A$4314,1))-1)</f>
        <v>-0.0432366829906374</v>
      </c>
    </row>
    <row r="2590" customFormat="false" ht="15" hidden="false" customHeight="false" outlineLevel="0" collapsed="false">
      <c r="A2590" s="16" t="n">
        <v>44597</v>
      </c>
      <c r="B2590" s="23" t="n">
        <f aca="false">YEAR(A2590)</f>
        <v>2022</v>
      </c>
      <c r="C2590" s="17" t="n">
        <v>41447.5</v>
      </c>
      <c r="D2590" s="23" t="n">
        <f aca="false">A2590-A2589</f>
        <v>1</v>
      </c>
      <c r="E2590" s="24" t="n">
        <f aca="false">LN(C2590)</f>
        <v>10.6321828451136</v>
      </c>
      <c r="F2590" s="25" t="n">
        <f aca="false">LN(C2590/C2589)</f>
        <v>-0.00235899835264076</v>
      </c>
      <c r="G2590" s="25" t="n">
        <f aca="false">IF(AND(D2590=1,A2590&gt;=$R$2),F2590,"")</f>
        <v>-0.00235899835264076</v>
      </c>
      <c r="H2590" s="27" t="n">
        <f aca="false">IF(G2590="","",G2590^2)</f>
        <v>5.56487322776182E-006</v>
      </c>
      <c r="I2590" s="25" t="n">
        <f aca="false">IF(G2590="","",C2590/C2589-1)</f>
        <v>-0.00235621810265829</v>
      </c>
      <c r="J2590" s="17" t="n">
        <f aca="false">AVERAGE(C2391:C2590)</f>
        <v>49095.5246</v>
      </c>
      <c r="K2590" s="17" t="n">
        <f aca="false">MAX(K2589,C2590)</f>
        <v>67510.06</v>
      </c>
      <c r="L2590" s="25" t="n">
        <f aca="false">C2590/K2590-1</f>
        <v>-0.386054463586612</v>
      </c>
      <c r="M2590" s="25" t="n">
        <f aca="false">IF(COUNT(G2561:G2590)&lt;20,"",_xlfn.STDEV.S(G2561:G2590)*SQRT($R$3))</f>
        <v>0.656910579155046</v>
      </c>
      <c r="N2590" s="25" t="n">
        <f aca="false">IF(A2590-7&lt;$R$2,"",C2590/INDEX(Clean_Data!$C$2:$C$4314,MATCH(A2590-7,Clean_Data!$A$2:$A$4314,1))-1)</f>
        <v>0.0859620265037877</v>
      </c>
      <c r="O2590" s="25" t="n">
        <f aca="false">IF(A2590-30&lt;$R$2,"",C2590/INDEX(Clean_Data!$C$2:$C$4314,MATCH(A2590-30,Clean_Data!$A$2:$A$4314,1))-1)</f>
        <v>-0.0390841606711099</v>
      </c>
    </row>
    <row r="2591" customFormat="false" ht="15" hidden="false" customHeight="false" outlineLevel="0" collapsed="false">
      <c r="A2591" s="16" t="n">
        <v>44598</v>
      </c>
      <c r="B2591" s="23" t="n">
        <f aca="false">YEAR(A2591)</f>
        <v>2022</v>
      </c>
      <c r="C2591" s="17" t="n">
        <v>42496.61</v>
      </c>
      <c r="D2591" s="23" t="n">
        <f aca="false">A2591-A2590</f>
        <v>1</v>
      </c>
      <c r="E2591" s="24" t="n">
        <f aca="false">LN(C2591)</f>
        <v>10.6571795870253</v>
      </c>
      <c r="F2591" s="25" t="n">
        <f aca="false">LN(C2591/C2590)</f>
        <v>0.0249967419116322</v>
      </c>
      <c r="G2591" s="25" t="n">
        <f aca="false">IF(AND(D2591=1,A2591&gt;=$R$2),F2591,"")</f>
        <v>0.0249967419116322</v>
      </c>
      <c r="H2591" s="27" t="n">
        <f aca="false">IF(G2591="","",G2591^2)</f>
        <v>0.00062483710619675</v>
      </c>
      <c r="I2591" s="25" t="n">
        <f aca="false">IF(G2591="","",C2591/C2590-1)</f>
        <v>0.0253117799626033</v>
      </c>
      <c r="J2591" s="17" t="n">
        <f aca="false">AVERAGE(C2392:C2591)</f>
        <v>49147.57745</v>
      </c>
      <c r="K2591" s="17" t="n">
        <f aca="false">MAX(K2590,C2591)</f>
        <v>67510.06</v>
      </c>
      <c r="L2591" s="25" t="n">
        <f aca="false">C2591/K2591-1</f>
        <v>-0.370514409259894</v>
      </c>
      <c r="M2591" s="25" t="n">
        <f aca="false">IF(COUNT(G2562:G2591)&lt;20,"",_xlfn.STDEV.S(G2562:G2591)*SQRT($R$3))</f>
        <v>0.651622519688294</v>
      </c>
      <c r="N2591" s="25" t="n">
        <f aca="false">IF(A2591-7&lt;$R$2,"",C2591/INDEX(Clean_Data!$C$2:$C$4314,MATCH(A2591-7,Clean_Data!$A$2:$A$4314,1))-1)</f>
        <v>0.120732569240426</v>
      </c>
      <c r="O2591" s="25" t="n">
        <f aca="false">IF(A2591-30&lt;$R$2,"",C2591/INDEX(Clean_Data!$C$2:$C$4314,MATCH(A2591-30,Clean_Data!$A$2:$A$4314,1))-1)</f>
        <v>0.020175887551805</v>
      </c>
    </row>
    <row r="2592" customFormat="false" ht="15" hidden="false" customHeight="false" outlineLevel="0" collapsed="false">
      <c r="A2592" s="16" t="n">
        <v>44599</v>
      </c>
      <c r="B2592" s="23" t="n">
        <f aca="false">YEAR(A2592)</f>
        <v>2022</v>
      </c>
      <c r="C2592" s="17" t="n">
        <v>43897.96</v>
      </c>
      <c r="D2592" s="23" t="n">
        <f aca="false">A2592-A2591</f>
        <v>1</v>
      </c>
      <c r="E2592" s="24" t="n">
        <f aca="false">LN(C2592)</f>
        <v>10.6896231287352</v>
      </c>
      <c r="F2592" s="25" t="n">
        <f aca="false">LN(C2592/C2591)</f>
        <v>0.0324435417099896</v>
      </c>
      <c r="G2592" s="25" t="n">
        <f aca="false">IF(AND(D2592=1,A2592&gt;=$R$2),F2592,"")</f>
        <v>0.0324435417099896</v>
      </c>
      <c r="H2592" s="27" t="n">
        <f aca="false">IF(G2592="","",G2592^2)</f>
        <v>0.00105258339868784</v>
      </c>
      <c r="I2592" s="25" t="n">
        <f aca="false">IF(G2592="","",C2592/C2591-1)</f>
        <v>0.0329755714632296</v>
      </c>
      <c r="J2592" s="17" t="n">
        <f aca="false">AVERAGE(C2393:C2592)</f>
        <v>49205.4275</v>
      </c>
      <c r="K2592" s="17" t="n">
        <f aca="false">MAX(K2591,C2592)</f>
        <v>67510.06</v>
      </c>
      <c r="L2592" s="25" t="n">
        <f aca="false">C2592/K2592-1</f>
        <v>-0.34975676217737</v>
      </c>
      <c r="M2592" s="25" t="n">
        <f aca="false">IF(COUNT(G2563:G2592)&lt;20,"",_xlfn.STDEV.S(G2563:G2592)*SQRT($R$3))</f>
        <v>0.660973187413353</v>
      </c>
      <c r="N2592" s="25" t="n">
        <f aca="false">IF(A2592-7&lt;$R$2,"",C2592/INDEX(Clean_Data!$C$2:$C$4314,MATCH(A2592-7,Clean_Data!$A$2:$A$4314,1))-1)</f>
        <v>0.142274715523949</v>
      </c>
      <c r="O2592" s="25" t="n">
        <f aca="false">IF(A2592-30&lt;$R$2,"",C2592/INDEX(Clean_Data!$C$2:$C$4314,MATCH(A2592-30,Clean_Data!$A$2:$A$4314,1))-1)</f>
        <v>0.0535304750851262</v>
      </c>
    </row>
    <row r="2593" customFormat="false" ht="15" hidden="false" customHeight="false" outlineLevel="0" collapsed="false">
      <c r="A2593" s="16" t="n">
        <v>44600</v>
      </c>
      <c r="B2593" s="23" t="n">
        <f aca="false">YEAR(A2593)</f>
        <v>2022</v>
      </c>
      <c r="C2593" s="17" t="n">
        <v>44147.59</v>
      </c>
      <c r="D2593" s="23" t="n">
        <f aca="false">A2593-A2592</f>
        <v>1</v>
      </c>
      <c r="E2593" s="24" t="n">
        <f aca="false">LN(C2593)</f>
        <v>10.6952936179057</v>
      </c>
      <c r="F2593" s="25" t="n">
        <f aca="false">LN(C2593/C2592)</f>
        <v>0.00567048917049258</v>
      </c>
      <c r="G2593" s="25" t="n">
        <f aca="false">IF(AND(D2593=1,A2593&gt;=$R$2),F2593,"")</f>
        <v>0.00567048917049258</v>
      </c>
      <c r="H2593" s="27" t="n">
        <f aca="false">IF(G2593="","",G2593^2)</f>
        <v>3.21544474326736E-005</v>
      </c>
      <c r="I2593" s="25" t="n">
        <f aca="false">IF(G2593="","",C2593/C2592-1)</f>
        <v>0.00568659682591166</v>
      </c>
      <c r="J2593" s="17" t="n">
        <f aca="false">AVERAGE(C2394:C2593)</f>
        <v>49257.66545</v>
      </c>
      <c r="K2593" s="17" t="n">
        <f aca="false">MAX(K2592,C2593)</f>
        <v>67510.06</v>
      </c>
      <c r="L2593" s="25" t="n">
        <f aca="false">C2593/K2593-1</f>
        <v>-0.346059091045098</v>
      </c>
      <c r="M2593" s="25" t="n">
        <f aca="false">IF(COUNT(G2564:G2593)&lt;20,"",_xlfn.STDEV.S(G2564:G2593)*SQRT($R$3))</f>
        <v>0.661066391576143</v>
      </c>
      <c r="N2593" s="25" t="n">
        <f aca="false">IF(A2593-7&lt;$R$2,"",C2593/INDEX(Clean_Data!$C$2:$C$4314,MATCH(A2593-7,Clean_Data!$A$2:$A$4314,1))-1)</f>
        <v>0.139436434688145</v>
      </c>
      <c r="O2593" s="25" t="n">
        <f aca="false">IF(A2593-30&lt;$R$2,"",C2593/INDEX(Clean_Data!$C$2:$C$4314,MATCH(A2593-30,Clean_Data!$A$2:$A$4314,1))-1)</f>
        <v>0.0551834924440913</v>
      </c>
    </row>
    <row r="2594" customFormat="false" ht="15" hidden="false" customHeight="false" outlineLevel="0" collapsed="false">
      <c r="A2594" s="16" t="n">
        <v>44601</v>
      </c>
      <c r="B2594" s="23" t="n">
        <f aca="false">YEAR(A2594)</f>
        <v>2022</v>
      </c>
      <c r="C2594" s="17" t="n">
        <v>44402.94</v>
      </c>
      <c r="D2594" s="23" t="n">
        <f aca="false">A2594-A2593</f>
        <v>1</v>
      </c>
      <c r="E2594" s="24" t="n">
        <f aca="false">LN(C2594)</f>
        <v>10.7010609624443</v>
      </c>
      <c r="F2594" s="25" t="n">
        <f aca="false">LN(C2594/C2593)</f>
        <v>0.0057673445386007</v>
      </c>
      <c r="G2594" s="25" t="n">
        <f aca="false">IF(AND(D2594=1,A2594&gt;=$R$2),F2594,"")</f>
        <v>0.0057673445386007</v>
      </c>
      <c r="H2594" s="27" t="n">
        <f aca="false">IF(G2594="","",G2594^2)</f>
        <v>3.32622630269273E-005</v>
      </c>
      <c r="I2594" s="25" t="n">
        <f aca="false">IF(G2594="","",C2594/C2593-1)</f>
        <v>0.00578400768875498</v>
      </c>
      <c r="J2594" s="17" t="n">
        <f aca="false">AVERAGE(C2395:C2594)</f>
        <v>49308.303</v>
      </c>
      <c r="K2594" s="17" t="n">
        <f aca="false">MAX(K2593,C2594)</f>
        <v>67510.06</v>
      </c>
      <c r="L2594" s="25" t="n">
        <f aca="false">C2594/K2594-1</f>
        <v>-0.342276691799711</v>
      </c>
      <c r="M2594" s="25" t="n">
        <f aca="false">IF(COUNT(G2565:G2594)&lt;20,"",_xlfn.STDEV.S(G2565:G2594)*SQRT($R$3))</f>
        <v>0.661199873235375</v>
      </c>
      <c r="N2594" s="25" t="n">
        <f aca="false">IF(A2594-7&lt;$R$2,"",C2594/INDEX(Clean_Data!$C$2:$C$4314,MATCH(A2594-7,Clean_Data!$A$2:$A$4314,1))-1)</f>
        <v>0.2031367274355</v>
      </c>
      <c r="O2594" s="25" t="n">
        <f aca="false">IF(A2594-30&lt;$R$2,"",C2594/INDEX(Clean_Data!$C$2:$C$4314,MATCH(A2594-30,Clean_Data!$A$2:$A$4314,1))-1)</f>
        <v>0.0604327855509839</v>
      </c>
    </row>
    <row r="2595" customFormat="false" ht="15" hidden="false" customHeight="false" outlineLevel="0" collapsed="false">
      <c r="A2595" s="16" t="n">
        <v>44602</v>
      </c>
      <c r="B2595" s="23" t="n">
        <f aca="false">YEAR(A2595)</f>
        <v>2022</v>
      </c>
      <c r="C2595" s="17" t="n">
        <v>43477.29</v>
      </c>
      <c r="D2595" s="23" t="n">
        <f aca="false">A2595-A2594</f>
        <v>1</v>
      </c>
      <c r="E2595" s="24" t="n">
        <f aca="false">LN(C2595)</f>
        <v>10.6799940117858</v>
      </c>
      <c r="F2595" s="25" t="n">
        <f aca="false">LN(C2595/C2594)</f>
        <v>-0.0210669506585293</v>
      </c>
      <c r="G2595" s="25" t="n">
        <f aca="false">IF(AND(D2595=1,A2595&gt;=$R$2),F2595,"")</f>
        <v>-0.0210669506585293</v>
      </c>
      <c r="H2595" s="27" t="n">
        <f aca="false">IF(G2595="","",G2595^2)</f>
        <v>0.000443816410048908</v>
      </c>
      <c r="I2595" s="25" t="n">
        <f aca="false">IF(G2595="","",C2595/C2594-1)</f>
        <v>-0.0208465925904907</v>
      </c>
      <c r="J2595" s="17" t="n">
        <f aca="false">AVERAGE(C2396:C2595)</f>
        <v>49348.8466</v>
      </c>
      <c r="K2595" s="17" t="n">
        <f aca="false">MAX(K2594,C2595)</f>
        <v>67510.06</v>
      </c>
      <c r="L2595" s="25" t="n">
        <f aca="false">C2595/K2595-1</f>
        <v>-0.355987981643032</v>
      </c>
      <c r="M2595" s="25" t="n">
        <f aca="false">IF(COUNT(G2566:G2595)&lt;20,"",_xlfn.STDEV.S(G2566:G2595)*SQRT($R$3))</f>
        <v>0.66213787023728</v>
      </c>
      <c r="N2595" s="25" t="n">
        <f aca="false">IF(A2595-7&lt;$R$2,"",C2595/INDEX(Clean_Data!$C$2:$C$4314,MATCH(A2595-7,Clean_Data!$A$2:$A$4314,1))-1)</f>
        <v>0.167541974917766</v>
      </c>
      <c r="O2595" s="25" t="n">
        <f aca="false">IF(A2595-30&lt;$R$2,"",C2595/INDEX(Clean_Data!$C$2:$C$4314,MATCH(A2595-30,Clean_Data!$A$2:$A$4314,1))-1)</f>
        <v>0.0165075878090044</v>
      </c>
    </row>
    <row r="2596" customFormat="false" ht="15" hidden="false" customHeight="false" outlineLevel="0" collapsed="false">
      <c r="A2596" s="16" t="n">
        <v>44603</v>
      </c>
      <c r="B2596" s="23" t="n">
        <f aca="false">YEAR(A2596)</f>
        <v>2022</v>
      </c>
      <c r="C2596" s="17" t="n">
        <v>42391.54</v>
      </c>
      <c r="D2596" s="23" t="n">
        <f aca="false">A2596-A2595</f>
        <v>1</v>
      </c>
      <c r="E2596" s="24" t="n">
        <f aca="false">LN(C2596)</f>
        <v>10.6547040930097</v>
      </c>
      <c r="F2596" s="25" t="n">
        <f aca="false">LN(C2596/C2595)</f>
        <v>-0.0252899187760638</v>
      </c>
      <c r="G2596" s="25" t="n">
        <f aca="false">IF(AND(D2596=1,A2596&gt;=$R$2),F2596,"")</f>
        <v>-0.0252899187760638</v>
      </c>
      <c r="H2596" s="27" t="n">
        <f aca="false">IF(G2596="","",G2596^2)</f>
        <v>0.000639579991699902</v>
      </c>
      <c r="I2596" s="25" t="n">
        <f aca="false">IF(G2596="","",C2596/C2595-1)</f>
        <v>-0.0249728076427946</v>
      </c>
      <c r="J2596" s="17" t="n">
        <f aca="false">AVERAGE(C2397:C2596)</f>
        <v>49374.4587</v>
      </c>
      <c r="K2596" s="17" t="n">
        <f aca="false">MAX(K2595,C2596)</f>
        <v>67510.06</v>
      </c>
      <c r="L2596" s="25" t="n">
        <f aca="false">C2596/K2596-1</f>
        <v>-0.372070769897109</v>
      </c>
      <c r="M2596" s="25" t="n">
        <f aca="false">IF(COUNT(G2567:G2596)&lt;20,"",_xlfn.STDEV.S(G2567:G2596)*SQRT($R$3))</f>
        <v>0.661649561222514</v>
      </c>
      <c r="N2596" s="25" t="n">
        <f aca="false">IF(A2596-7&lt;$R$2,"",C2596/INDEX(Clean_Data!$C$2:$C$4314,MATCH(A2596-7,Clean_Data!$A$2:$A$4314,1))-1)</f>
        <v>0.020366880657517</v>
      </c>
      <c r="O2596" s="25" t="n">
        <f aca="false">IF(A2596-30&lt;$R$2,"",C2596/INDEX(Clean_Data!$C$2:$C$4314,MATCH(A2596-30,Clean_Data!$A$2:$A$4314,1))-1)</f>
        <v>-0.034014709149638</v>
      </c>
    </row>
    <row r="2597" customFormat="false" ht="15" hidden="false" customHeight="false" outlineLevel="0" collapsed="false">
      <c r="A2597" s="16" t="n">
        <v>44604</v>
      </c>
      <c r="B2597" s="23" t="n">
        <f aca="false">YEAR(A2597)</f>
        <v>2022</v>
      </c>
      <c r="C2597" s="17" t="n">
        <v>42217.48</v>
      </c>
      <c r="D2597" s="23" t="n">
        <f aca="false">A2597-A2596</f>
        <v>1</v>
      </c>
      <c r="E2597" s="24" t="n">
        <f aca="false">LN(C2597)</f>
        <v>10.650589632269</v>
      </c>
      <c r="F2597" s="25" t="n">
        <f aca="false">LN(C2597/C2596)</f>
        <v>-0.00411446074075756</v>
      </c>
      <c r="G2597" s="25" t="n">
        <f aca="false">IF(AND(D2597=1,A2597&gt;=$R$2),F2597,"")</f>
        <v>-0.00411446074075756</v>
      </c>
      <c r="H2597" s="27" t="n">
        <f aca="false">IF(G2597="","",G2597^2)</f>
        <v>1.69287871872353E-005</v>
      </c>
      <c r="I2597" s="25" t="n">
        <f aca="false">IF(G2597="","",C2597/C2596-1)</f>
        <v>-0.00410600794403782</v>
      </c>
      <c r="J2597" s="17" t="n">
        <f aca="false">AVERAGE(C2398:C2597)</f>
        <v>49388.637</v>
      </c>
      <c r="K2597" s="17" t="n">
        <f aca="false">MAX(K2596,C2597)</f>
        <v>67510.06</v>
      </c>
      <c r="L2597" s="25" t="n">
        <f aca="false">C2597/K2597-1</f>
        <v>-0.374649052304205</v>
      </c>
      <c r="M2597" s="25" t="n">
        <f aca="false">IF(COUNT(G2568:G2597)&lt;20,"",_xlfn.STDEV.S(G2568:G2597)*SQRT($R$3))</f>
        <v>0.653959176207104</v>
      </c>
      <c r="N2597" s="25" t="n">
        <f aca="false">IF(A2597-7&lt;$R$2,"",C2597/INDEX(Clean_Data!$C$2:$C$4314,MATCH(A2597-7,Clean_Data!$A$2:$A$4314,1))-1)</f>
        <v>0.0185772362627421</v>
      </c>
      <c r="O2597" s="25" t="n">
        <f aca="false">IF(A2597-30&lt;$R$2,"",C2597/INDEX(Clean_Data!$C$2:$C$4314,MATCH(A2597-30,Clean_Data!$A$2:$A$4314,1))-1)</f>
        <v>-0.00938953916734941</v>
      </c>
    </row>
    <row r="2598" customFormat="false" ht="15" hidden="false" customHeight="false" outlineLevel="0" collapsed="false">
      <c r="A2598" s="16" t="n">
        <v>44605</v>
      </c>
      <c r="B2598" s="23" t="n">
        <f aca="false">YEAR(A2598)</f>
        <v>2022</v>
      </c>
      <c r="C2598" s="17" t="n">
        <v>42097.33</v>
      </c>
      <c r="D2598" s="23" t="n">
        <f aca="false">A2598-A2597</f>
        <v>1</v>
      </c>
      <c r="E2598" s="24" t="n">
        <f aca="false">LN(C2598)</f>
        <v>10.6477395972318</v>
      </c>
      <c r="F2598" s="25" t="n">
        <f aca="false">LN(C2598/C2597)</f>
        <v>-0.0028500350372259</v>
      </c>
      <c r="G2598" s="25" t="n">
        <f aca="false">IF(AND(D2598=1,A2598&gt;=$R$2),F2598,"")</f>
        <v>-0.0028500350372259</v>
      </c>
      <c r="H2598" s="27" t="n">
        <f aca="false">IF(G2598="","",G2598^2)</f>
        <v>8.12269971341523E-006</v>
      </c>
      <c r="I2598" s="25" t="n">
        <f aca="false">IF(G2598="","",C2598/C2597-1)</f>
        <v>-0.00284597754295146</v>
      </c>
      <c r="J2598" s="17" t="n">
        <f aca="false">AVERAGE(C2399:C2598)</f>
        <v>49398.96585</v>
      </c>
      <c r="K2598" s="17" t="n">
        <f aca="false">MAX(K2597,C2598)</f>
        <v>67510.06</v>
      </c>
      <c r="L2598" s="25" t="n">
        <f aca="false">C2598/K2598-1</f>
        <v>-0.37642878705781</v>
      </c>
      <c r="M2598" s="25" t="n">
        <f aca="false">IF(COUNT(G2569:G2598)&lt;20,"",_xlfn.STDEV.S(G2569:G2598)*SQRT($R$3))</f>
        <v>0.652333526799232</v>
      </c>
      <c r="N2598" s="25" t="n">
        <f aca="false">IF(A2598-7&lt;$R$2,"",C2598/INDEX(Clean_Data!$C$2:$C$4314,MATCH(A2598-7,Clean_Data!$A$2:$A$4314,1))-1)</f>
        <v>-0.00939557296452587</v>
      </c>
      <c r="O2598" s="25" t="n">
        <f aca="false">IF(A2598-30&lt;$R$2,"",C2598/INDEX(Clean_Data!$C$2:$C$4314,MATCH(A2598-30,Clean_Data!$A$2:$A$4314,1))-1)</f>
        <v>-0.0245918086466036</v>
      </c>
    </row>
    <row r="2599" customFormat="false" ht="15" hidden="false" customHeight="false" outlineLevel="0" collapsed="false">
      <c r="A2599" s="16" t="n">
        <v>44606</v>
      </c>
      <c r="B2599" s="23" t="n">
        <f aca="false">YEAR(A2599)</f>
        <v>2022</v>
      </c>
      <c r="C2599" s="17" t="n">
        <v>42572.56</v>
      </c>
      <c r="D2599" s="23" t="n">
        <f aca="false">A2599-A2598</f>
        <v>1</v>
      </c>
      <c r="E2599" s="24" t="n">
        <f aca="false">LN(C2599)</f>
        <v>10.6589651932603</v>
      </c>
      <c r="F2599" s="25" t="n">
        <f aca="false">LN(C2599/C2598)</f>
        <v>0.01122559602851</v>
      </c>
      <c r="G2599" s="25" t="n">
        <f aca="false">IF(AND(D2599=1,A2599&gt;=$R$2),F2599,"")</f>
        <v>0.01122559602851</v>
      </c>
      <c r="H2599" s="27" t="n">
        <f aca="false">IF(G2599="","",G2599^2)</f>
        <v>0.0001260140061953</v>
      </c>
      <c r="I2599" s="25" t="n">
        <f aca="false">IF(G2599="","",C2599/C2598-1)</f>
        <v>0.0112888394584643</v>
      </c>
      <c r="J2599" s="17" t="n">
        <f aca="false">AVERAGE(C2400:C2599)</f>
        <v>49411.70395</v>
      </c>
      <c r="K2599" s="17" t="n">
        <f aca="false">MAX(K2598,C2599)</f>
        <v>67510.06</v>
      </c>
      <c r="L2599" s="25" t="n">
        <f aca="false">C2599/K2599-1</f>
        <v>-0.369389391743986</v>
      </c>
      <c r="M2599" s="25" t="n">
        <f aca="false">IF(COUNT(G2570:G2599)&lt;20,"",_xlfn.STDEV.S(G2570:G2599)*SQRT($R$3))</f>
        <v>0.653671384995596</v>
      </c>
      <c r="N2599" s="25" t="n">
        <f aca="false">IF(A2599-7&lt;$R$2,"",C2599/INDEX(Clean_Data!$C$2:$C$4314,MATCH(A2599-7,Clean_Data!$A$2:$A$4314,1))-1)</f>
        <v>-0.0301927469978104</v>
      </c>
      <c r="O2599" s="25" t="n">
        <f aca="false">IF(A2599-30&lt;$R$2,"",C2599/INDEX(Clean_Data!$C$2:$C$4314,MATCH(A2599-30,Clean_Data!$A$2:$A$4314,1))-1)</f>
        <v>-0.0118326906105842</v>
      </c>
    </row>
    <row r="2600" customFormat="false" ht="15" hidden="false" customHeight="false" outlineLevel="0" collapsed="false">
      <c r="A2600" s="16" t="n">
        <v>44607</v>
      </c>
      <c r="B2600" s="23" t="n">
        <f aca="false">YEAR(A2600)</f>
        <v>2022</v>
      </c>
      <c r="C2600" s="17" t="n">
        <v>44469.73</v>
      </c>
      <c r="D2600" s="23" t="n">
        <f aca="false">A2600-A2599</f>
        <v>1</v>
      </c>
      <c r="E2600" s="24" t="n">
        <f aca="false">LN(C2600)</f>
        <v>10.7025640119774</v>
      </c>
      <c r="F2600" s="25" t="n">
        <f aca="false">LN(C2600/C2599)</f>
        <v>0.0435988187171589</v>
      </c>
      <c r="G2600" s="25" t="n">
        <f aca="false">IF(AND(D2600=1,A2600&gt;=$R$2),F2600,"")</f>
        <v>0.0435988187171589</v>
      </c>
      <c r="H2600" s="27" t="n">
        <f aca="false">IF(G2600="","",G2600^2)</f>
        <v>0.00190085699353169</v>
      </c>
      <c r="I2600" s="25" t="n">
        <f aca="false">IF(G2600="","",C2600/C2599-1)</f>
        <v>0.0445632116086043</v>
      </c>
      <c r="J2600" s="17" t="n">
        <f aca="false">AVERAGE(C2401:C2600)</f>
        <v>49423.10785</v>
      </c>
      <c r="K2600" s="17" t="n">
        <f aca="false">MAX(K2599,C2600)</f>
        <v>67510.06</v>
      </c>
      <c r="L2600" s="25" t="n">
        <f aca="false">C2600/K2600-1</f>
        <v>-0.341287357765643</v>
      </c>
      <c r="M2600" s="25" t="n">
        <f aca="false">IF(COUNT(G2571:G2600)&lt;20,"",_xlfn.STDEV.S(G2571:G2600)*SQRT($R$3))</f>
        <v>0.671462239105158</v>
      </c>
      <c r="N2600" s="25" t="n">
        <f aca="false">IF(A2600-7&lt;$R$2,"",C2600/INDEX(Clean_Data!$C$2:$C$4314,MATCH(A2600-7,Clean_Data!$A$2:$A$4314,1))-1)</f>
        <v>0.00729688755377156</v>
      </c>
      <c r="O2600" s="25" t="n">
        <f aca="false">IF(A2600-30&lt;$R$2,"",C2600/INDEX(Clean_Data!$C$2:$C$4314,MATCH(A2600-30,Clean_Data!$A$2:$A$4314,1))-1)</f>
        <v>0.0308792755844256</v>
      </c>
    </row>
    <row r="2601" customFormat="false" ht="15" hidden="false" customHeight="false" outlineLevel="0" collapsed="false">
      <c r="A2601" s="16" t="n">
        <v>44608</v>
      </c>
      <c r="B2601" s="23" t="n">
        <f aca="false">YEAR(A2601)</f>
        <v>2022</v>
      </c>
      <c r="C2601" s="17" t="n">
        <v>43897.22</v>
      </c>
      <c r="D2601" s="23" t="n">
        <f aca="false">A2601-A2600</f>
        <v>1</v>
      </c>
      <c r="E2601" s="24" t="n">
        <f aca="false">LN(C2601)</f>
        <v>10.6896062713178</v>
      </c>
      <c r="F2601" s="25" t="n">
        <f aca="false">LN(C2601/C2600)</f>
        <v>-0.0129577406596436</v>
      </c>
      <c r="G2601" s="25" t="n">
        <f aca="false">IF(AND(D2601=1,A2601&gt;=$R$2),F2601,"")</f>
        <v>-0.0129577406596436</v>
      </c>
      <c r="H2601" s="27" t="n">
        <f aca="false">IF(G2601="","",G2601^2)</f>
        <v>0.000167903043002581</v>
      </c>
      <c r="I2601" s="25" t="n">
        <f aca="false">IF(G2601="","",C2601/C2600-1)</f>
        <v>-0.0128741505738847</v>
      </c>
      <c r="J2601" s="17" t="n">
        <f aca="false">AVERAGE(C2402:C2601)</f>
        <v>49435.23185</v>
      </c>
      <c r="K2601" s="17" t="n">
        <f aca="false">MAX(K2600,C2601)</f>
        <v>67510.06</v>
      </c>
      <c r="L2601" s="25" t="n">
        <f aca="false">C2601/K2601-1</f>
        <v>-0.349767723506689</v>
      </c>
      <c r="M2601" s="25" t="n">
        <f aca="false">IF(COUNT(G2572:G2601)&lt;20,"",_xlfn.STDEV.S(G2572:G2601)*SQRT($R$3))</f>
        <v>0.6691523462351</v>
      </c>
      <c r="N2601" s="25" t="n">
        <f aca="false">IF(A2601-7&lt;$R$2,"",C2601/INDEX(Clean_Data!$C$2:$C$4314,MATCH(A2601-7,Clean_Data!$A$2:$A$4314,1))-1)</f>
        <v>-0.0113893359313595</v>
      </c>
      <c r="O2601" s="25" t="n">
        <f aca="false">IF(A2601-30&lt;$R$2,"",C2601/INDEX(Clean_Data!$C$2:$C$4314,MATCH(A2601-30,Clean_Data!$A$2:$A$4314,1))-1)</f>
        <v>0.0381159296562152</v>
      </c>
    </row>
    <row r="2602" customFormat="false" ht="15" hidden="false" customHeight="false" outlineLevel="0" collapsed="false">
      <c r="A2602" s="16" t="n">
        <v>44609</v>
      </c>
      <c r="B2602" s="23" t="n">
        <f aca="false">YEAR(A2602)</f>
        <v>2022</v>
      </c>
      <c r="C2602" s="17" t="n">
        <v>40553.82</v>
      </c>
      <c r="D2602" s="23" t="n">
        <f aca="false">A2602-A2601</f>
        <v>1</v>
      </c>
      <c r="E2602" s="24" t="n">
        <f aca="false">LN(C2602)</f>
        <v>10.6103852597922</v>
      </c>
      <c r="F2602" s="25" t="n">
        <f aca="false">LN(C2602/C2601)</f>
        <v>-0.079221011525635</v>
      </c>
      <c r="G2602" s="25" t="n">
        <f aca="false">IF(AND(D2602=1,A2602&gt;=$R$2),F2602,"")</f>
        <v>-0.079221011525635</v>
      </c>
      <c r="H2602" s="27" t="n">
        <f aca="false">IF(G2602="","",G2602^2)</f>
        <v>0.00627596866714478</v>
      </c>
      <c r="I2602" s="25" t="n">
        <f aca="false">IF(G2602="","",C2602/C2601-1)</f>
        <v>-0.0761642764621542</v>
      </c>
      <c r="J2602" s="17" t="n">
        <f aca="false">AVERAGE(C2403:C2602)</f>
        <v>49438.91715</v>
      </c>
      <c r="K2602" s="17" t="n">
        <f aca="false">MAX(K2601,C2602)</f>
        <v>67510.06</v>
      </c>
      <c r="L2602" s="25" t="n">
        <f aca="false">C2602/K2602-1</f>
        <v>-0.399292194378142</v>
      </c>
      <c r="M2602" s="25" t="n">
        <f aca="false">IF(COUNT(G2573:G2602)&lt;20,"",_xlfn.STDEV.S(G2573:G2602)*SQRT($R$3))</f>
        <v>0.725526820026223</v>
      </c>
      <c r="N2602" s="25" t="n">
        <f aca="false">IF(A2602-7&lt;$R$2,"",C2602/INDEX(Clean_Data!$C$2:$C$4314,MATCH(A2602-7,Clean_Data!$A$2:$A$4314,1))-1)</f>
        <v>-0.0672413114984858</v>
      </c>
      <c r="O2602" s="25" t="n">
        <f aca="false">IF(A2602-30&lt;$R$2,"",C2602/INDEX(Clean_Data!$C$2:$C$4314,MATCH(A2602-30,Clean_Data!$A$2:$A$4314,1))-1)</f>
        <v>-0.0438038074951647</v>
      </c>
    </row>
    <row r="2603" customFormat="false" ht="15" hidden="false" customHeight="false" outlineLevel="0" collapsed="false">
      <c r="A2603" s="16" t="n">
        <v>44610</v>
      </c>
      <c r="B2603" s="23" t="n">
        <f aca="false">YEAR(A2603)</f>
        <v>2022</v>
      </c>
      <c r="C2603" s="17" t="n">
        <v>39993.11</v>
      </c>
      <c r="D2603" s="23" t="n">
        <f aca="false">A2603-A2602</f>
        <v>1</v>
      </c>
      <c r="E2603" s="24" t="n">
        <f aca="false">LN(C2603)</f>
        <v>10.5964624682593</v>
      </c>
      <c r="F2603" s="25" t="n">
        <f aca="false">LN(C2603/C2602)</f>
        <v>-0.0139227915328112</v>
      </c>
      <c r="G2603" s="25" t="n">
        <f aca="false">IF(AND(D2603=1,A2603&gt;=$R$2),F2603,"")</f>
        <v>-0.0139227915328112</v>
      </c>
      <c r="H2603" s="27" t="n">
        <f aca="false">IF(G2603="","",G2603^2)</f>
        <v>0.00019384412406612</v>
      </c>
      <c r="I2603" s="25" t="n">
        <f aca="false">IF(G2603="","",C2603/C2602-1)</f>
        <v>-0.0138263177180349</v>
      </c>
      <c r="J2603" s="17" t="n">
        <f aca="false">AVERAGE(C2404:C2603)</f>
        <v>49443.14925</v>
      </c>
      <c r="K2603" s="17" t="n">
        <f aca="false">MAX(K2602,C2603)</f>
        <v>67510.06</v>
      </c>
      <c r="L2603" s="25" t="n">
        <f aca="false">C2603/K2603-1</f>
        <v>-0.407597771354373</v>
      </c>
      <c r="M2603" s="25" t="n">
        <f aca="false">IF(COUNT(G2574:G2603)&lt;20,"",_xlfn.STDEV.S(G2574:G2603)*SQRT($R$3))</f>
        <v>0.724948375452849</v>
      </c>
      <c r="N2603" s="25" t="n">
        <f aca="false">IF(A2603-7&lt;$R$2,"",C2603/INDEX(Clean_Data!$C$2:$C$4314,MATCH(A2603-7,Clean_Data!$A$2:$A$4314,1))-1)</f>
        <v>-0.0565780342021073</v>
      </c>
      <c r="O2603" s="25" t="n">
        <f aca="false">IF(A2603-30&lt;$R$2,"",C2603/INDEX(Clean_Data!$C$2:$C$4314,MATCH(A2603-30,Clean_Data!$A$2:$A$4314,1))-1)</f>
        <v>-0.0414725613796928</v>
      </c>
    </row>
    <row r="2604" customFormat="false" ht="15" hidden="false" customHeight="false" outlineLevel="0" collapsed="false">
      <c r="A2604" s="16" t="n">
        <v>44611</v>
      </c>
      <c r="B2604" s="23" t="n">
        <f aca="false">YEAR(A2604)</f>
        <v>2022</v>
      </c>
      <c r="C2604" s="17" t="n">
        <v>40089.18</v>
      </c>
      <c r="D2604" s="23" t="n">
        <f aca="false">A2604-A2603</f>
        <v>1</v>
      </c>
      <c r="E2604" s="24" t="n">
        <f aca="false">LN(C2604)</f>
        <v>10.5988617514488</v>
      </c>
      <c r="F2604" s="25" t="n">
        <f aca="false">LN(C2604/C2603)</f>
        <v>0.00239928318948058</v>
      </c>
      <c r="G2604" s="25" t="n">
        <f aca="false">IF(AND(D2604=1,A2604&gt;=$R$2),F2604,"")</f>
        <v>0.00239928318948058</v>
      </c>
      <c r="H2604" s="27" t="n">
        <f aca="false">IF(G2604="","",G2604^2)</f>
        <v>5.75655982332409E-006</v>
      </c>
      <c r="I2604" s="25" t="n">
        <f aca="false">IF(G2604="","",C2604/C2603-1)</f>
        <v>0.00240216377270985</v>
      </c>
      <c r="J2604" s="17" t="n">
        <f aca="false">AVERAGE(C2405:C2604)</f>
        <v>49452.5588</v>
      </c>
      <c r="K2604" s="17" t="n">
        <f aca="false">MAX(K2603,C2604)</f>
        <v>67510.06</v>
      </c>
      <c r="L2604" s="25" t="n">
        <f aca="false">C2604/K2604-1</f>
        <v>-0.406174724181848</v>
      </c>
      <c r="M2604" s="25" t="n">
        <f aca="false">IF(COUNT(G2575:G2604)&lt;20,"",_xlfn.STDEV.S(G2575:G2604)*SQRT($R$3))</f>
        <v>0.720040794185355</v>
      </c>
      <c r="N2604" s="25" t="n">
        <f aca="false">IF(A2604-7&lt;$R$2,"",C2604/INDEX(Clean_Data!$C$2:$C$4314,MATCH(A2604-7,Clean_Data!$A$2:$A$4314,1))-1)</f>
        <v>-0.0504127674129296</v>
      </c>
      <c r="O2604" s="25" t="n">
        <f aca="false">IF(A2604-30&lt;$R$2,"",C2604/INDEX(Clean_Data!$C$2:$C$4314,MATCH(A2604-30,Clean_Data!$A$2:$A$4314,1))-1)</f>
        <v>-0.0149163730685553</v>
      </c>
    </row>
    <row r="2605" customFormat="false" ht="15" hidden="false" customHeight="false" outlineLevel="0" collapsed="false">
      <c r="A2605" s="16" t="n">
        <v>44612</v>
      </c>
      <c r="B2605" s="23" t="n">
        <f aca="false">YEAR(A2605)</f>
        <v>2022</v>
      </c>
      <c r="C2605" s="17" t="n">
        <v>38426.4</v>
      </c>
      <c r="D2605" s="23" t="n">
        <f aca="false">A2605-A2604</f>
        <v>1</v>
      </c>
      <c r="E2605" s="24" t="n">
        <f aca="false">LN(C2605)</f>
        <v>10.556500002356</v>
      </c>
      <c r="F2605" s="25" t="n">
        <f aca="false">LN(C2605/C2604)</f>
        <v>-0.0423617490928644</v>
      </c>
      <c r="G2605" s="25" t="n">
        <f aca="false">IF(AND(D2605=1,A2605&gt;=$R$2),F2605,"")</f>
        <v>-0.0423617490928644</v>
      </c>
      <c r="H2605" s="27" t="n">
        <f aca="false">IF(G2605="","",G2605^2)</f>
        <v>0.0017945177862068</v>
      </c>
      <c r="I2605" s="25" t="n">
        <f aca="false">IF(G2605="","",C2605/C2604-1)</f>
        <v>-0.041477026968374</v>
      </c>
      <c r="J2605" s="17" t="n">
        <f aca="false">AVERAGE(C2406:C2605)</f>
        <v>49446.0408</v>
      </c>
      <c r="K2605" s="17" t="n">
        <f aca="false">MAX(K2604,C2605)</f>
        <v>67510.06</v>
      </c>
      <c r="L2605" s="25" t="n">
        <f aca="false">C2605/K2605-1</f>
        <v>-0.430804831161459</v>
      </c>
      <c r="M2605" s="25" t="n">
        <f aca="false">IF(COUNT(G2576:G2605)&lt;20,"",_xlfn.STDEV.S(G2576:G2605)*SQRT($R$3))</f>
        <v>0.626090850636034</v>
      </c>
      <c r="N2605" s="25" t="n">
        <f aca="false">IF(A2605-7&lt;$R$2,"",C2605/INDEX(Clean_Data!$C$2:$C$4314,MATCH(A2605-7,Clean_Data!$A$2:$A$4314,1))-1)</f>
        <v>-0.0872010172616649</v>
      </c>
      <c r="O2605" s="25" t="n">
        <f aca="false">IF(A2605-30&lt;$R$2,"",C2605/INDEX(Clean_Data!$C$2:$C$4314,MATCH(A2605-30,Clean_Data!$A$2:$A$4314,1))-1)</f>
        <v>0.0523948951190101</v>
      </c>
    </row>
    <row r="2606" customFormat="false" ht="15" hidden="false" customHeight="false" outlineLevel="0" collapsed="false">
      <c r="A2606" s="16" t="n">
        <v>44613</v>
      </c>
      <c r="B2606" s="23" t="n">
        <f aca="false">YEAR(A2606)</f>
        <v>2022</v>
      </c>
      <c r="C2606" s="17" t="n">
        <v>37075.4</v>
      </c>
      <c r="D2606" s="23" t="n">
        <f aca="false">A2606-A2605</f>
        <v>1</v>
      </c>
      <c r="E2606" s="24" t="n">
        <f aca="false">LN(C2606)</f>
        <v>10.5207089558893</v>
      </c>
      <c r="F2606" s="25" t="n">
        <f aca="false">LN(C2606/C2605)</f>
        <v>-0.0357910464666867</v>
      </c>
      <c r="G2606" s="25" t="n">
        <f aca="false">IF(AND(D2606=1,A2606&gt;=$R$2),F2606,"")</f>
        <v>-0.0357910464666867</v>
      </c>
      <c r="H2606" s="27" t="n">
        <f aca="false">IF(G2606="","",G2606^2)</f>
        <v>0.00128099900718053</v>
      </c>
      <c r="I2606" s="25" t="n">
        <f aca="false">IF(G2606="","",C2606/C2605-1)</f>
        <v>-0.0351581204588513</v>
      </c>
      <c r="J2606" s="17" t="n">
        <f aca="false">AVERAGE(C2407:C2606)</f>
        <v>49426.94905</v>
      </c>
      <c r="K2606" s="17" t="n">
        <f aca="false">MAX(K2605,C2606)</f>
        <v>67510.06</v>
      </c>
      <c r="L2606" s="25" t="n">
        <f aca="false">C2606/K2606-1</f>
        <v>-0.450816663472081</v>
      </c>
      <c r="M2606" s="25" t="n">
        <f aca="false">IF(COUNT(G2577:G2606)&lt;20,"",_xlfn.STDEV.S(G2577:G2606)*SQRT($R$3))</f>
        <v>0.623359542510704</v>
      </c>
      <c r="N2606" s="25" t="n">
        <f aca="false">IF(A2606-7&lt;$R$2,"",C2606/INDEX(Clean_Data!$C$2:$C$4314,MATCH(A2606-7,Clean_Data!$A$2:$A$4314,1))-1)</f>
        <v>-0.129124487698179</v>
      </c>
      <c r="O2606" s="25" t="n">
        <f aca="false">IF(A2606-30&lt;$R$2,"",C2606/INDEX(Clean_Data!$C$2:$C$4314,MATCH(A2606-30,Clean_Data!$A$2:$A$4314,1))-1)</f>
        <v>0.0560336970094701</v>
      </c>
    </row>
    <row r="2607" customFormat="false" ht="15" hidden="false" customHeight="false" outlineLevel="0" collapsed="false">
      <c r="A2607" s="16" t="n">
        <v>44614</v>
      </c>
      <c r="B2607" s="23" t="n">
        <f aca="false">YEAR(A2607)</f>
        <v>2022</v>
      </c>
      <c r="C2607" s="17" t="n">
        <v>38261.46</v>
      </c>
      <c r="D2607" s="23" t="n">
        <f aca="false">A2607-A2606</f>
        <v>1</v>
      </c>
      <c r="E2607" s="24" t="n">
        <f aca="false">LN(C2607)</f>
        <v>10.5521984022244</v>
      </c>
      <c r="F2607" s="25" t="n">
        <f aca="false">LN(C2607/C2606)</f>
        <v>0.0314894463350842</v>
      </c>
      <c r="G2607" s="25" t="n">
        <f aca="false">IF(AND(D2607=1,A2607&gt;=$R$2),F2607,"")</f>
        <v>0.0314894463350842</v>
      </c>
      <c r="H2607" s="27" t="n">
        <f aca="false">IF(G2607="","",G2607^2)</f>
        <v>0.00099158523049015</v>
      </c>
      <c r="I2607" s="25" t="n">
        <f aca="false">IF(G2607="","",C2607/C2606-1)</f>
        <v>0.0319904842564072</v>
      </c>
      <c r="J2607" s="17" t="n">
        <f aca="false">AVERAGE(C2408:C2607)</f>
        <v>49404.11755</v>
      </c>
      <c r="K2607" s="17" t="n">
        <f aca="false">MAX(K2606,C2607)</f>
        <v>67510.06</v>
      </c>
      <c r="L2607" s="25" t="n">
        <f aca="false">C2607/K2607-1</f>
        <v>-0.433248022591004</v>
      </c>
      <c r="M2607" s="25" t="n">
        <f aca="false">IF(COUNT(G2578:G2607)&lt;20,"",_xlfn.STDEV.S(G2578:G2607)*SQRT($R$3))</f>
        <v>0.623330531804403</v>
      </c>
      <c r="N2607" s="25" t="n">
        <f aca="false">IF(A2607-7&lt;$R$2,"",C2607/INDEX(Clean_Data!$C$2:$C$4314,MATCH(A2607-7,Clean_Data!$A$2:$A$4314,1))-1)</f>
        <v>-0.139606649287054</v>
      </c>
      <c r="O2607" s="25" t="n">
        <f aca="false">IF(A2607-30&lt;$R$2,"",C2607/INDEX(Clean_Data!$C$2:$C$4314,MATCH(A2607-30,Clean_Data!$A$2:$A$4314,1))-1)</f>
        <v>0.0559826059309403</v>
      </c>
    </row>
    <row r="2608" customFormat="false" ht="15" hidden="false" customHeight="false" outlineLevel="0" collapsed="false">
      <c r="A2608" s="16" t="n">
        <v>44615</v>
      </c>
      <c r="B2608" s="23" t="n">
        <f aca="false">YEAR(A2608)</f>
        <v>2022</v>
      </c>
      <c r="C2608" s="17" t="n">
        <v>37225</v>
      </c>
      <c r="D2608" s="23" t="n">
        <f aca="false">A2608-A2607</f>
        <v>1</v>
      </c>
      <c r="E2608" s="24" t="n">
        <f aca="false">LN(C2608)</f>
        <v>10.5247358575522</v>
      </c>
      <c r="F2608" s="25" t="n">
        <f aca="false">LN(C2608/C2607)</f>
        <v>-0.0274625446721423</v>
      </c>
      <c r="G2608" s="25" t="n">
        <f aca="false">IF(AND(D2608=1,A2608&gt;=$R$2),F2608,"")</f>
        <v>-0.0274625446721423</v>
      </c>
      <c r="H2608" s="27" t="n">
        <f aca="false">IF(G2608="","",G2608^2)</f>
        <v>0.000754191359869413</v>
      </c>
      <c r="I2608" s="25" t="n">
        <f aca="false">IF(G2608="","",C2608/C2607-1)</f>
        <v>-0.0270888774239143</v>
      </c>
      <c r="J2608" s="17" t="n">
        <f aca="false">AVERAGE(C2409:C2608)</f>
        <v>49367.7982</v>
      </c>
      <c r="K2608" s="17" t="n">
        <f aca="false">MAX(K2607,C2608)</f>
        <v>67510.06</v>
      </c>
      <c r="L2608" s="25" t="n">
        <f aca="false">C2608/K2608-1</f>
        <v>-0.448600697436797</v>
      </c>
      <c r="M2608" s="25" t="n">
        <f aca="false">IF(COUNT(G2579:G2608)&lt;20,"",_xlfn.STDEV.S(G2579:G2608)*SQRT($R$3))</f>
        <v>0.630537221291366</v>
      </c>
      <c r="N2608" s="25" t="n">
        <f aca="false">IF(A2608-7&lt;$R$2,"",C2608/INDEX(Clean_Data!$C$2:$C$4314,MATCH(A2608-7,Clean_Data!$A$2:$A$4314,1))-1)</f>
        <v>-0.151996413440304</v>
      </c>
      <c r="O2608" s="25" t="n">
        <f aca="false">IF(A2608-30&lt;$R$2,"",C2608/INDEX(Clean_Data!$C$2:$C$4314,MATCH(A2608-30,Clean_Data!$A$2:$A$4314,1))-1)</f>
        <v>0.0158693945363828</v>
      </c>
    </row>
    <row r="2609" customFormat="false" ht="15" hidden="false" customHeight="false" outlineLevel="0" collapsed="false">
      <c r="A2609" s="16" t="n">
        <v>44616</v>
      </c>
      <c r="B2609" s="23" t="n">
        <f aca="false">YEAR(A2609)</f>
        <v>2022</v>
      </c>
      <c r="C2609" s="17" t="n">
        <v>38367.61</v>
      </c>
      <c r="D2609" s="23" t="n">
        <f aca="false">A2609-A2608</f>
        <v>1</v>
      </c>
      <c r="E2609" s="24" t="n">
        <f aca="false">LN(C2609)</f>
        <v>10.554968893055</v>
      </c>
      <c r="F2609" s="25" t="n">
        <f aca="false">LN(C2609/C2608)</f>
        <v>0.0302330355027694</v>
      </c>
      <c r="G2609" s="25" t="n">
        <f aca="false">IF(AND(D2609=1,A2609&gt;=$R$2),F2609,"")</f>
        <v>0.0302330355027694</v>
      </c>
      <c r="H2609" s="27" t="n">
        <f aca="false">IF(G2609="","",G2609^2)</f>
        <v>0.000914036435711715</v>
      </c>
      <c r="I2609" s="25" t="n">
        <f aca="false">IF(G2609="","",C2609/C2608-1)</f>
        <v>0.0306946944257891</v>
      </c>
      <c r="J2609" s="17" t="n">
        <f aca="false">AVERAGE(C2410:C2609)</f>
        <v>49339.96995</v>
      </c>
      <c r="K2609" s="17" t="n">
        <f aca="false">MAX(K2608,C2609)</f>
        <v>67510.06</v>
      </c>
      <c r="L2609" s="25" t="n">
        <f aca="false">C2609/K2609-1</f>
        <v>-0.431675664338026</v>
      </c>
      <c r="M2609" s="25" t="n">
        <f aca="false">IF(COUNT(G2580:G2609)&lt;20,"",_xlfn.STDEV.S(G2580:G2609)*SQRT($R$3))</f>
        <v>0.63842178480499</v>
      </c>
      <c r="N2609" s="25" t="n">
        <f aca="false">IF(A2609-7&lt;$R$2,"",C2609/INDEX(Clean_Data!$C$2:$C$4314,MATCH(A2609-7,Clean_Data!$A$2:$A$4314,1))-1)</f>
        <v>-0.0539088549488063</v>
      </c>
      <c r="O2609" s="25" t="n">
        <f aca="false">IF(A2609-30&lt;$R$2,"",C2609/INDEX(Clean_Data!$C$2:$C$4314,MATCH(A2609-30,Clean_Data!$A$2:$A$4314,1))-1)</f>
        <v>0.0376175336644975</v>
      </c>
    </row>
    <row r="2610" customFormat="false" ht="15" hidden="false" customHeight="false" outlineLevel="0" collapsed="false">
      <c r="A2610" s="16" t="n">
        <v>44617</v>
      </c>
      <c r="B2610" s="23" t="n">
        <f aca="false">YEAR(A2610)</f>
        <v>2022</v>
      </c>
      <c r="C2610" s="17" t="n">
        <v>39212.8</v>
      </c>
      <c r="D2610" s="23" t="n">
        <f aca="false">A2610-A2609</f>
        <v>1</v>
      </c>
      <c r="E2610" s="24" t="n">
        <f aca="false">LN(C2610)</f>
        <v>10.5767585030913</v>
      </c>
      <c r="F2610" s="25" t="n">
        <f aca="false">LN(C2610/C2609)</f>
        <v>0.0217896100363015</v>
      </c>
      <c r="G2610" s="25" t="n">
        <f aca="false">IF(AND(D2610=1,A2610&gt;=$R$2),F2610,"")</f>
        <v>0.0217896100363015</v>
      </c>
      <c r="H2610" s="27" t="n">
        <f aca="false">IF(G2610="","",G2610^2)</f>
        <v>0.000474787105534092</v>
      </c>
      <c r="I2610" s="25" t="n">
        <f aca="false">IF(G2610="","",C2610/C2609-1)</f>
        <v>0.0220287372604131</v>
      </c>
      <c r="J2610" s="17" t="n">
        <f aca="false">AVERAGE(C2411:C2610)</f>
        <v>49304.99145</v>
      </c>
      <c r="K2610" s="17" t="n">
        <f aca="false">MAX(K2609,C2610)</f>
        <v>67510.06</v>
      </c>
      <c r="L2610" s="25" t="n">
        <f aca="false">C2610/K2610-1</f>
        <v>-0.41915619686903</v>
      </c>
      <c r="M2610" s="25" t="n">
        <f aca="false">IF(COUNT(G2581:G2610)&lt;20,"",_xlfn.STDEV.S(G2581:G2610)*SQRT($R$3))</f>
        <v>0.642120541711323</v>
      </c>
      <c r="N2610" s="25" t="n">
        <f aca="false">IF(A2610-7&lt;$R$2,"",C2610/INDEX(Clean_Data!$C$2:$C$4314,MATCH(A2610-7,Clean_Data!$A$2:$A$4314,1))-1)</f>
        <v>-0.0195111107888333</v>
      </c>
      <c r="O2610" s="25" t="n">
        <f aca="false">IF(A2610-30&lt;$R$2,"",C2610/INDEX(Clean_Data!$C$2:$C$4314,MATCH(A2610-30,Clean_Data!$A$2:$A$4314,1))-1)</f>
        <v>0.0644400348544609</v>
      </c>
    </row>
    <row r="2611" customFormat="false" ht="15" hidden="false" customHeight="false" outlineLevel="0" collapsed="false">
      <c r="A2611" s="16" t="n">
        <v>44618</v>
      </c>
      <c r="B2611" s="23" t="n">
        <f aca="false">YEAR(A2611)</f>
        <v>2022</v>
      </c>
      <c r="C2611" s="17" t="n">
        <v>39138.21</v>
      </c>
      <c r="D2611" s="23" t="n">
        <f aca="false">A2611-A2610</f>
        <v>1</v>
      </c>
      <c r="E2611" s="24" t="n">
        <f aca="false">LN(C2611)</f>
        <v>10.5748545066391</v>
      </c>
      <c r="F2611" s="25" t="n">
        <f aca="false">LN(C2611/C2610)</f>
        <v>-0.00190399645221313</v>
      </c>
      <c r="G2611" s="25" t="n">
        <f aca="false">IF(AND(D2611=1,A2611&gt;=$R$2),F2611,"")</f>
        <v>-0.00190399645221313</v>
      </c>
      <c r="H2611" s="27" t="n">
        <f aca="false">IF(G2611="","",G2611^2)</f>
        <v>3.6252024900402E-006</v>
      </c>
      <c r="I2611" s="25" t="n">
        <f aca="false">IF(G2611="","",C2611/C2610-1)</f>
        <v>-0.00190218500081618</v>
      </c>
      <c r="J2611" s="17" t="n">
        <f aca="false">AVERAGE(C2412:C2611)</f>
        <v>49272.8537</v>
      </c>
      <c r="K2611" s="17" t="n">
        <f aca="false">MAX(K2610,C2611)</f>
        <v>67510.06</v>
      </c>
      <c r="L2611" s="25" t="n">
        <f aca="false">C2611/K2611-1</f>
        <v>-0.420261069239162</v>
      </c>
      <c r="M2611" s="25" t="n">
        <f aca="false">IF(COUNT(G2582:G2611)&lt;20,"",_xlfn.STDEV.S(G2582:G2611)*SQRT($R$3))</f>
        <v>0.641884562174186</v>
      </c>
      <c r="N2611" s="25" t="n">
        <f aca="false">IF(A2611-7&lt;$R$2,"",C2611/INDEX(Clean_Data!$C$2:$C$4314,MATCH(A2611-7,Clean_Data!$A$2:$A$4314,1))-1)</f>
        <v>-0.0237213632206995</v>
      </c>
      <c r="O2611" s="25" t="n">
        <f aca="false">IF(A2611-30&lt;$R$2,"",C2611/INDEX(Clean_Data!$C$2:$C$4314,MATCH(A2611-30,Clean_Data!$A$2:$A$4314,1))-1)</f>
        <v>0.0538111798486147</v>
      </c>
    </row>
    <row r="2612" customFormat="false" ht="15" hidden="false" customHeight="false" outlineLevel="0" collapsed="false">
      <c r="A2612" s="16" t="n">
        <v>44619</v>
      </c>
      <c r="B2612" s="23" t="n">
        <f aca="false">YEAR(A2612)</f>
        <v>2022</v>
      </c>
      <c r="C2612" s="17" t="n">
        <v>37700</v>
      </c>
      <c r="D2612" s="23" t="n">
        <f aca="false">A2612-A2611</f>
        <v>1</v>
      </c>
      <c r="E2612" s="24" t="n">
        <f aca="false">LN(C2612)</f>
        <v>10.5374153734361</v>
      </c>
      <c r="F2612" s="25" t="n">
        <f aca="false">LN(C2612/C2611)</f>
        <v>-0.0374391332029656</v>
      </c>
      <c r="G2612" s="25" t="n">
        <f aca="false">IF(AND(D2612=1,A2612&gt;=$R$2),F2612,"")</f>
        <v>-0.0374391332029656</v>
      </c>
      <c r="H2612" s="27" t="n">
        <f aca="false">IF(G2612="","",G2612^2)</f>
        <v>0.0014016886949894</v>
      </c>
      <c r="I2612" s="25" t="n">
        <f aca="false">IF(G2612="","",C2612/C2611-1)</f>
        <v>-0.0367469539358085</v>
      </c>
      <c r="J2612" s="17" t="n">
        <f aca="false">AVERAGE(C2413:C2612)</f>
        <v>49233.93895</v>
      </c>
      <c r="K2612" s="17" t="n">
        <f aca="false">MAX(K2611,C2612)</f>
        <v>67510.06</v>
      </c>
      <c r="L2612" s="25" t="n">
        <f aca="false">C2612/K2612-1</f>
        <v>-0.441564709022626</v>
      </c>
      <c r="M2612" s="25" t="n">
        <f aca="false">IF(COUNT(G2583:G2612)&lt;20,"",_xlfn.STDEV.S(G2583:G2612)*SQRT($R$3))</f>
        <v>0.654374239304984</v>
      </c>
      <c r="N2612" s="25" t="n">
        <f aca="false">IF(A2612-7&lt;$R$2,"",C2612/INDEX(Clean_Data!$C$2:$C$4314,MATCH(A2612-7,Clean_Data!$A$2:$A$4314,1))-1)</f>
        <v>-0.0189036703932713</v>
      </c>
      <c r="O2612" s="25" t="n">
        <f aca="false">IF(A2612-30&lt;$R$2,"",C2612/INDEX(Clean_Data!$C$2:$C$4314,MATCH(A2612-30,Clean_Data!$A$2:$A$4314,1))-1)</f>
        <v>0.000589206376168328</v>
      </c>
    </row>
    <row r="2613" customFormat="false" ht="15" hidden="false" customHeight="false" outlineLevel="0" collapsed="false">
      <c r="A2613" s="16" t="n">
        <v>44620</v>
      </c>
      <c r="B2613" s="23" t="n">
        <f aca="false">YEAR(A2613)</f>
        <v>2022</v>
      </c>
      <c r="C2613" s="17" t="n">
        <v>43206.02</v>
      </c>
      <c r="D2613" s="23" t="n">
        <f aca="false">A2613-A2612</f>
        <v>1</v>
      </c>
      <c r="E2613" s="24" t="n">
        <f aca="false">LN(C2613)</f>
        <v>10.6737351163755</v>
      </c>
      <c r="F2613" s="25" t="n">
        <f aca="false">LN(C2613/C2612)</f>
        <v>0.136319742939384</v>
      </c>
      <c r="G2613" s="25" t="n">
        <f aca="false">IF(AND(D2613=1,A2613&gt;=$R$2),F2613,"")</f>
        <v>0.136319742939384</v>
      </c>
      <c r="H2613" s="27" t="n">
        <f aca="false">IF(G2613="","",G2613^2)</f>
        <v>0.0185830723150597</v>
      </c>
      <c r="I2613" s="25" t="n">
        <f aca="false">IF(G2613="","",C2613/C2612-1)</f>
        <v>0.146048275862069</v>
      </c>
      <c r="J2613" s="17" t="n">
        <f aca="false">AVERAGE(C2414:C2613)</f>
        <v>49227.6972</v>
      </c>
      <c r="K2613" s="17" t="n">
        <f aca="false">MAX(K2612,C2613)</f>
        <v>67510.06</v>
      </c>
      <c r="L2613" s="25" t="n">
        <f aca="false">C2613/K2613-1</f>
        <v>-0.360006197594847</v>
      </c>
      <c r="M2613" s="25" t="n">
        <f aca="false">IF(COUNT(G2584:G2613)&lt;20,"",_xlfn.STDEV.S(G2584:G2613)*SQRT($R$3))</f>
        <v>0.808425691993423</v>
      </c>
      <c r="N2613" s="25" t="n">
        <f aca="false">IF(A2613-7&lt;$R$2,"",C2613/INDEX(Clean_Data!$C$2:$C$4314,MATCH(A2613-7,Clean_Data!$A$2:$A$4314,1))-1)</f>
        <v>0.16535546480955</v>
      </c>
      <c r="O2613" s="25" t="n">
        <f aca="false">IF(A2613-30&lt;$R$2,"",C2613/INDEX(Clean_Data!$C$2:$C$4314,MATCH(A2613-30,Clean_Data!$A$2:$A$4314,1))-1)</f>
        <v>0.132036842665135</v>
      </c>
    </row>
    <row r="2614" customFormat="false" ht="15" hidden="false" customHeight="false" outlineLevel="0" collapsed="false">
      <c r="A2614" s="16" t="n">
        <v>44621</v>
      </c>
      <c r="B2614" s="23" t="n">
        <f aca="false">YEAR(A2614)</f>
        <v>2022</v>
      </c>
      <c r="C2614" s="17" t="n">
        <v>44412.2</v>
      </c>
      <c r="D2614" s="23" t="n">
        <f aca="false">A2614-A2613</f>
        <v>1</v>
      </c>
      <c r="E2614" s="24" t="n">
        <f aca="false">LN(C2614)</f>
        <v>10.7012694854514</v>
      </c>
      <c r="F2614" s="25" t="n">
        <f aca="false">LN(C2614/C2613)</f>
        <v>0.0275343690759302</v>
      </c>
      <c r="G2614" s="25" t="n">
        <f aca="false">IF(AND(D2614=1,A2614&gt;=$R$2),F2614,"")</f>
        <v>0.0275343690759302</v>
      </c>
      <c r="H2614" s="27" t="n">
        <f aca="false">IF(G2614="","",G2614^2)</f>
        <v>0.000758141480409542</v>
      </c>
      <c r="I2614" s="25" t="n">
        <f aca="false">IF(G2614="","",C2614/C2613-1)</f>
        <v>0.0279169430556205</v>
      </c>
      <c r="J2614" s="17" t="n">
        <f aca="false">AVERAGE(C2415:C2614)</f>
        <v>49210.93115</v>
      </c>
      <c r="K2614" s="17" t="n">
        <f aca="false">MAX(K2613,C2614)</f>
        <v>67510.06</v>
      </c>
      <c r="L2614" s="25" t="n">
        <f aca="false">C2614/K2614-1</f>
        <v>-0.342139527057153</v>
      </c>
      <c r="M2614" s="25" t="n">
        <f aca="false">IF(COUNT(G2585:G2614)&lt;20,"",_xlfn.STDEV.S(G2585:G2614)*SQRT($R$3))</f>
        <v>0.811498011183811</v>
      </c>
      <c r="N2614" s="25" t="n">
        <f aca="false">IF(A2614-7&lt;$R$2,"",C2614/INDEX(Clean_Data!$C$2:$C$4314,MATCH(A2614-7,Clean_Data!$A$2:$A$4314,1))-1)</f>
        <v>0.160755496523133</v>
      </c>
      <c r="O2614" s="25" t="n">
        <f aca="false">IF(A2614-30&lt;$R$2,"",C2614/INDEX(Clean_Data!$C$2:$C$4314,MATCH(A2614-30,Clean_Data!$A$2:$A$4314,1))-1)</f>
        <v>0.171251048298197</v>
      </c>
    </row>
    <row r="2615" customFormat="false" ht="15" hidden="false" customHeight="false" outlineLevel="0" collapsed="false">
      <c r="A2615" s="16" t="n">
        <v>44622</v>
      </c>
      <c r="B2615" s="23" t="n">
        <f aca="false">YEAR(A2615)</f>
        <v>2022</v>
      </c>
      <c r="C2615" s="17" t="n">
        <v>43862.75</v>
      </c>
      <c r="D2615" s="23" t="n">
        <f aca="false">A2615-A2614</f>
        <v>1</v>
      </c>
      <c r="E2615" s="24" t="n">
        <f aca="false">LN(C2615)</f>
        <v>10.6888207195048</v>
      </c>
      <c r="F2615" s="25" t="n">
        <f aca="false">LN(C2615/C2614)</f>
        <v>-0.0124487659466645</v>
      </c>
      <c r="G2615" s="25" t="n">
        <f aca="false">IF(AND(D2615=1,A2615&gt;=$R$2),F2615,"")</f>
        <v>-0.0124487659466645</v>
      </c>
      <c r="H2615" s="27" t="n">
        <f aca="false">IF(G2615="","",G2615^2)</f>
        <v>0.000154971773594833</v>
      </c>
      <c r="I2615" s="25" t="n">
        <f aca="false">IF(G2615="","",C2615/C2614-1)</f>
        <v>-0.0123716005962325</v>
      </c>
      <c r="J2615" s="17" t="n">
        <f aca="false">AVERAGE(C2416:C2615)</f>
        <v>49194.57185</v>
      </c>
      <c r="K2615" s="17" t="n">
        <f aca="false">MAX(K2614,C2615)</f>
        <v>67510.06</v>
      </c>
      <c r="L2615" s="25" t="n">
        <f aca="false">C2615/K2615-1</f>
        <v>-0.35027831407645</v>
      </c>
      <c r="M2615" s="25" t="n">
        <f aca="false">IF(COUNT(G2586:G2615)&lt;20,"",_xlfn.STDEV.S(G2586:G2615)*SQRT($R$3))</f>
        <v>0.813244542426437</v>
      </c>
      <c r="N2615" s="25" t="n">
        <f aca="false">IF(A2615-7&lt;$R$2,"",C2615/INDEX(Clean_Data!$C$2:$C$4314,MATCH(A2615-7,Clean_Data!$A$2:$A$4314,1))-1)</f>
        <v>0.178314304902619</v>
      </c>
      <c r="O2615" s="25" t="n">
        <f aca="false">IF(A2615-30&lt;$R$2,"",C2615/INDEX(Clean_Data!$C$2:$C$4314,MATCH(A2615-30,Clean_Data!$A$2:$A$4314,1))-1)</f>
        <v>0.141358511382945</v>
      </c>
    </row>
    <row r="2616" customFormat="false" ht="15" hidden="false" customHeight="false" outlineLevel="0" collapsed="false">
      <c r="A2616" s="16" t="n">
        <v>44623</v>
      </c>
      <c r="B2616" s="23" t="n">
        <f aca="false">YEAR(A2616)</f>
        <v>2022</v>
      </c>
      <c r="C2616" s="17" t="n">
        <v>42432</v>
      </c>
      <c r="D2616" s="23" t="n">
        <f aca="false">A2616-A2615</f>
        <v>1</v>
      </c>
      <c r="E2616" s="24" t="n">
        <f aca="false">LN(C2616)</f>
        <v>10.6556580735455</v>
      </c>
      <c r="F2616" s="25" t="n">
        <f aca="false">LN(C2616/C2615)</f>
        <v>-0.0331626459592175</v>
      </c>
      <c r="G2616" s="25" t="n">
        <f aca="false">IF(AND(D2616=1,A2616&gt;=$R$2),F2616,"")</f>
        <v>-0.0331626459592175</v>
      </c>
      <c r="H2616" s="27" t="n">
        <f aca="false">IF(G2616="","",G2616^2)</f>
        <v>0.0010997610870164</v>
      </c>
      <c r="I2616" s="25" t="n">
        <f aca="false">IF(G2616="","",C2616/C2615-1)</f>
        <v>-0.0326187938512748</v>
      </c>
      <c r="J2616" s="17" t="n">
        <f aca="false">AVERAGE(C2417:C2616)</f>
        <v>49171.28185</v>
      </c>
      <c r="K2616" s="17" t="n">
        <f aca="false">MAX(K2615,C2616)</f>
        <v>67510.06</v>
      </c>
      <c r="L2616" s="25" t="n">
        <f aca="false">C2616/K2616-1</f>
        <v>-0.371471451810293</v>
      </c>
      <c r="M2616" s="25" t="n">
        <f aca="false">IF(COUNT(G2587:G2616)&lt;20,"",_xlfn.STDEV.S(G2587:G2616)*SQRT($R$3))</f>
        <v>0.823552493886137</v>
      </c>
      <c r="N2616" s="25" t="n">
        <f aca="false">IF(A2616-7&lt;$R$2,"",C2616/INDEX(Clean_Data!$C$2:$C$4314,MATCH(A2616-7,Clean_Data!$A$2:$A$4314,1))-1)</f>
        <v>0.105932842832796</v>
      </c>
      <c r="O2616" s="25" t="n">
        <f aca="false">IF(A2616-30&lt;$R$2,"",C2616/INDEX(Clean_Data!$C$2:$C$4314,MATCH(A2616-30,Clean_Data!$A$2:$A$4314,1))-1)</f>
        <v>0.0951575566568272</v>
      </c>
    </row>
    <row r="2617" customFormat="false" ht="15" hidden="false" customHeight="false" outlineLevel="0" collapsed="false">
      <c r="A2617" s="16" t="n">
        <v>44624</v>
      </c>
      <c r="B2617" s="23" t="n">
        <f aca="false">YEAR(A2617)</f>
        <v>2022</v>
      </c>
      <c r="C2617" s="17" t="n">
        <v>39205.77</v>
      </c>
      <c r="D2617" s="23" t="n">
        <f aca="false">A2617-A2616</f>
        <v>1</v>
      </c>
      <c r="E2617" s="24" t="n">
        <f aca="false">LN(C2617)</f>
        <v>10.5765792088242</v>
      </c>
      <c r="F2617" s="25" t="n">
        <f aca="false">LN(C2617/C2616)</f>
        <v>-0.0790788647213854</v>
      </c>
      <c r="G2617" s="25" t="n">
        <f aca="false">IF(AND(D2617=1,A2617&gt;=$R$2),F2617,"")</f>
        <v>-0.0790788647213854</v>
      </c>
      <c r="H2617" s="27" t="n">
        <f aca="false">IF(G2617="","",G2617^2)</f>
        <v>0.00625346684562317</v>
      </c>
      <c r="I2617" s="25" t="n">
        <f aca="false">IF(G2617="","",C2617/C2616-1)</f>
        <v>-0.0760329468325792</v>
      </c>
      <c r="J2617" s="17" t="n">
        <f aca="false">AVERAGE(C2418:C2617)</f>
        <v>49137.65715</v>
      </c>
      <c r="K2617" s="17" t="n">
        <f aca="false">MAX(K2616,C2617)</f>
        <v>67510.06</v>
      </c>
      <c r="L2617" s="25" t="n">
        <f aca="false">C2617/K2617-1</f>
        <v>-0.419260329497559</v>
      </c>
      <c r="M2617" s="25" t="n">
        <f aca="false">IF(COUNT(G2588:G2617)&lt;20,"",_xlfn.STDEV.S(G2588:G2617)*SQRT($R$3))</f>
        <v>0.853881421364557</v>
      </c>
      <c r="N2617" s="25" t="n">
        <f aca="false">IF(A2617-7&lt;$R$2,"",C2617/INDEX(Clean_Data!$C$2:$C$4314,MATCH(A2617-7,Clean_Data!$A$2:$A$4314,1))-1)</f>
        <v>-0.000179278194875288</v>
      </c>
      <c r="O2617" s="25" t="n">
        <f aca="false">IF(A2617-30&lt;$R$2,"",C2617/INDEX(Clean_Data!$C$2:$C$4314,MATCH(A2617-30,Clean_Data!$A$2:$A$4314,1))-1)</f>
        <v>0.0623148335310428</v>
      </c>
    </row>
    <row r="2618" customFormat="false" ht="15" hidden="false" customHeight="false" outlineLevel="0" collapsed="false">
      <c r="A2618" s="16" t="n">
        <v>44625</v>
      </c>
      <c r="B2618" s="23" t="n">
        <f aca="false">YEAR(A2618)</f>
        <v>2022</v>
      </c>
      <c r="C2618" s="17" t="n">
        <v>39390.89</v>
      </c>
      <c r="D2618" s="23" t="n">
        <f aca="false">A2618-A2617</f>
        <v>1</v>
      </c>
      <c r="E2618" s="24" t="n">
        <f aca="false">LN(C2618)</f>
        <v>10.5812898502768</v>
      </c>
      <c r="F2618" s="25" t="n">
        <f aca="false">LN(C2618/C2617)</f>
        <v>0.00471064145269814</v>
      </c>
      <c r="G2618" s="25" t="n">
        <f aca="false">IF(AND(D2618=1,A2618&gt;=$R$2),F2618,"")</f>
        <v>0.00471064145269814</v>
      </c>
      <c r="H2618" s="27" t="n">
        <f aca="false">IF(G2618="","",G2618^2)</f>
        <v>2.21901428958781E-005</v>
      </c>
      <c r="I2618" s="25" t="n">
        <f aca="false">IF(G2618="","",C2618/C2617-1)</f>
        <v>0.00472175396631669</v>
      </c>
      <c r="J2618" s="17" t="n">
        <f aca="false">AVERAGE(C2419:C2618)</f>
        <v>49111.01905</v>
      </c>
      <c r="K2618" s="17" t="n">
        <f aca="false">MAX(K2617,C2618)</f>
        <v>67510.06</v>
      </c>
      <c r="L2618" s="25" t="n">
        <f aca="false">C2618/K2618-1</f>
        <v>-0.416518219654967</v>
      </c>
      <c r="M2618" s="25" t="n">
        <f aca="false">IF(COUNT(G2589:G2618)&lt;20,"",_xlfn.STDEV.S(G2589:G2618)*SQRT($R$3))</f>
        <v>0.853574540270555</v>
      </c>
      <c r="N2618" s="25" t="n">
        <f aca="false">IF(A2618-7&lt;$R$2,"",C2618/INDEX(Clean_Data!$C$2:$C$4314,MATCH(A2618-7,Clean_Data!$A$2:$A$4314,1))-1)</f>
        <v>0.00645609495171096</v>
      </c>
      <c r="O2618" s="25" t="n">
        <f aca="false">IF(A2618-30&lt;$R$2,"",C2618/INDEX(Clean_Data!$C$2:$C$4314,MATCH(A2618-30,Clean_Data!$A$2:$A$4314,1))-1)</f>
        <v>0.0578055233978128</v>
      </c>
    </row>
    <row r="2619" customFormat="false" ht="15" hidden="false" customHeight="false" outlineLevel="0" collapsed="false">
      <c r="A2619" s="16" t="n">
        <v>44626</v>
      </c>
      <c r="B2619" s="23" t="n">
        <f aca="false">YEAR(A2619)</f>
        <v>2022</v>
      </c>
      <c r="C2619" s="17" t="n">
        <v>38432.11</v>
      </c>
      <c r="D2619" s="23" t="n">
        <f aca="false">A2619-A2618</f>
        <v>1</v>
      </c>
      <c r="E2619" s="24" t="n">
        <f aca="false">LN(C2619)</f>
        <v>10.5566485870738</v>
      </c>
      <c r="F2619" s="25" t="n">
        <f aca="false">LN(C2619/C2618)</f>
        <v>-0.024641263203065</v>
      </c>
      <c r="G2619" s="25" t="n">
        <f aca="false">IF(AND(D2619=1,A2619&gt;=$R$2),F2619,"")</f>
        <v>-0.024641263203065</v>
      </c>
      <c r="H2619" s="27" t="n">
        <f aca="false">IF(G2619="","",G2619^2)</f>
        <v>0.000607191852242724</v>
      </c>
      <c r="I2619" s="25" t="n">
        <f aca="false">IF(G2619="","",C2619/C2618-1)</f>
        <v>-0.0243401456529669</v>
      </c>
      <c r="J2619" s="17" t="n">
        <f aca="false">AVERAGE(C2420:C2619)</f>
        <v>49079.5036</v>
      </c>
      <c r="K2619" s="17" t="n">
        <f aca="false">MAX(K2618,C2619)</f>
        <v>67510.06</v>
      </c>
      <c r="L2619" s="25" t="n">
        <f aca="false">C2619/K2619-1</f>
        <v>-0.430720251174418</v>
      </c>
      <c r="M2619" s="25" t="n">
        <f aca="false">IF(COUNT(G2590:G2619)&lt;20,"",_xlfn.STDEV.S(G2590:G2619)*SQRT($R$3))</f>
        <v>0.764356809794489</v>
      </c>
      <c r="N2619" s="25" t="n">
        <f aca="false">IF(A2619-7&lt;$R$2,"",C2619/INDEX(Clean_Data!$C$2:$C$4314,MATCH(A2619-7,Clean_Data!$A$2:$A$4314,1))-1)</f>
        <v>0.0194193633952255</v>
      </c>
      <c r="O2619" s="25" t="n">
        <f aca="false">IF(A2619-30&lt;$R$2,"",C2619/INDEX(Clean_Data!$C$2:$C$4314,MATCH(A2619-30,Clean_Data!$A$2:$A$4314,1))-1)</f>
        <v>-0.0749368341469414</v>
      </c>
    </row>
    <row r="2620" customFormat="false" ht="15" hidden="false" customHeight="false" outlineLevel="0" collapsed="false">
      <c r="A2620" s="16" t="n">
        <v>44627</v>
      </c>
      <c r="B2620" s="23" t="n">
        <f aca="false">YEAR(A2620)</f>
        <v>2022</v>
      </c>
      <c r="C2620" s="17" t="n">
        <v>38004.69</v>
      </c>
      <c r="D2620" s="23" t="n">
        <f aca="false">A2620-A2619</f>
        <v>1</v>
      </c>
      <c r="E2620" s="24" t="n">
        <f aca="false">LN(C2620)</f>
        <v>10.5454648521454</v>
      </c>
      <c r="F2620" s="25" t="n">
        <f aca="false">LN(C2620/C2619)</f>
        <v>-0.0111837349283793</v>
      </c>
      <c r="G2620" s="25" t="n">
        <f aca="false">IF(AND(D2620=1,A2620&gt;=$R$2),F2620,"")</f>
        <v>-0.0111837349283793</v>
      </c>
      <c r="H2620" s="27" t="n">
        <f aca="false">IF(G2620="","",G2620^2)</f>
        <v>0.00012507592694825</v>
      </c>
      <c r="I2620" s="25" t="n">
        <f aca="false">IF(G2620="","",C2620/C2619-1)</f>
        <v>-0.0111214294505297</v>
      </c>
      <c r="J2620" s="17" t="n">
        <f aca="false">AVERAGE(C2421:C2620)</f>
        <v>49035.84335</v>
      </c>
      <c r="K2620" s="17" t="n">
        <f aca="false">MAX(K2619,C2620)</f>
        <v>67510.06</v>
      </c>
      <c r="L2620" s="25" t="n">
        <f aca="false">C2620/K2620-1</f>
        <v>-0.437051455738597</v>
      </c>
      <c r="M2620" s="25" t="n">
        <f aca="false">IF(COUNT(G2591:G2620)&lt;20,"",_xlfn.STDEV.S(G2591:G2620)*SQRT($R$3))</f>
        <v>0.764941878857323</v>
      </c>
      <c r="N2620" s="25" t="n">
        <f aca="false">IF(A2620-7&lt;$R$2,"",C2620/INDEX(Clean_Data!$C$2:$C$4314,MATCH(A2620-7,Clean_Data!$A$2:$A$4314,1))-1)</f>
        <v>-0.120384381620894</v>
      </c>
      <c r="O2620" s="25" t="n">
        <f aca="false">IF(A2620-30&lt;$R$2,"",C2620/INDEX(Clean_Data!$C$2:$C$4314,MATCH(A2620-30,Clean_Data!$A$2:$A$4314,1))-1)</f>
        <v>-0.0830643585258459</v>
      </c>
    </row>
    <row r="2621" customFormat="false" ht="15" hidden="false" customHeight="false" outlineLevel="0" collapsed="false">
      <c r="A2621" s="16" t="n">
        <v>44628</v>
      </c>
      <c r="B2621" s="23" t="n">
        <f aca="false">YEAR(A2621)</f>
        <v>2022</v>
      </c>
      <c r="C2621" s="17" t="n">
        <v>38724.21</v>
      </c>
      <c r="D2621" s="23" t="n">
        <f aca="false">A2621-A2620</f>
        <v>1</v>
      </c>
      <c r="E2621" s="24" t="n">
        <f aca="false">LN(C2621)</f>
        <v>10.5642202648188</v>
      </c>
      <c r="F2621" s="25" t="n">
        <f aca="false">LN(C2621/C2620)</f>
        <v>0.0187554126733472</v>
      </c>
      <c r="G2621" s="25" t="n">
        <f aca="false">IF(AND(D2621=1,A2621&gt;=$R$2),F2621,"")</f>
        <v>0.0187554126733472</v>
      </c>
      <c r="H2621" s="27" t="n">
        <f aca="false">IF(G2621="","",G2621^2)</f>
        <v>0.000351765504547552</v>
      </c>
      <c r="I2621" s="25" t="n">
        <f aca="false">IF(G2621="","",C2621/C2620-1)</f>
        <v>0.0189324001853455</v>
      </c>
      <c r="J2621" s="17" t="n">
        <f aca="false">AVERAGE(C2422:C2621)</f>
        <v>48982.70945</v>
      </c>
      <c r="K2621" s="17" t="n">
        <f aca="false">MAX(K2620,C2621)</f>
        <v>67510.06</v>
      </c>
      <c r="L2621" s="25" t="n">
        <f aca="false">C2621/K2621-1</f>
        <v>-0.426393488614882</v>
      </c>
      <c r="M2621" s="25" t="n">
        <f aca="false">IF(COUNT(G2592:G2621)&lt;20,"",_xlfn.STDEV.S(G2592:G2621)*SQRT($R$3))</f>
        <v>0.762383538210129</v>
      </c>
      <c r="N2621" s="25" t="n">
        <f aca="false">IF(A2621-7&lt;$R$2,"",C2621/INDEX(Clean_Data!$C$2:$C$4314,MATCH(A2621-7,Clean_Data!$A$2:$A$4314,1))-1)</f>
        <v>-0.128072691737856</v>
      </c>
      <c r="O2621" s="25" t="n">
        <f aca="false">IF(A2621-30&lt;$R$2,"",C2621/INDEX(Clean_Data!$C$2:$C$4314,MATCH(A2621-30,Clean_Data!$A$2:$A$4314,1))-1)</f>
        <v>-0.0887694336089396</v>
      </c>
    </row>
    <row r="2622" customFormat="false" ht="15" hidden="false" customHeight="false" outlineLevel="0" collapsed="false">
      <c r="A2622" s="16" t="n">
        <v>44629</v>
      </c>
      <c r="B2622" s="23" t="n">
        <f aca="false">YEAR(A2622)</f>
        <v>2022</v>
      </c>
      <c r="C2622" s="17" t="n">
        <v>41985.86</v>
      </c>
      <c r="D2622" s="23" t="n">
        <f aca="false">A2622-A2621</f>
        <v>1</v>
      </c>
      <c r="E2622" s="24" t="n">
        <f aca="false">LN(C2622)</f>
        <v>10.6450881739139</v>
      </c>
      <c r="F2622" s="25" t="n">
        <f aca="false">LN(C2622/C2621)</f>
        <v>0.0808679090951434</v>
      </c>
      <c r="G2622" s="25" t="n">
        <f aca="false">IF(AND(D2622=1,A2622&gt;=$R$2),F2622,"")</f>
        <v>0.0808679090951434</v>
      </c>
      <c r="H2622" s="27" t="n">
        <f aca="false">IF(G2622="","",G2622^2)</f>
        <v>0.00653961872142037</v>
      </c>
      <c r="I2622" s="25" t="n">
        <f aca="false">IF(G2622="","",C2622/C2621-1)</f>
        <v>0.0842276704934717</v>
      </c>
      <c r="J2622" s="17" t="n">
        <f aca="false">AVERAGE(C2423:C2622)</f>
        <v>48948.154</v>
      </c>
      <c r="K2622" s="17" t="n">
        <f aca="false">MAX(K2621,C2622)</f>
        <v>67510.06</v>
      </c>
      <c r="L2622" s="25" t="n">
        <f aca="false">C2622/K2622-1</f>
        <v>-0.378079948381026</v>
      </c>
      <c r="M2622" s="25" t="n">
        <f aca="false">IF(COUNT(G2593:G2622)&lt;20,"",_xlfn.STDEV.S(G2593:G2622)*SQRT($R$3))</f>
        <v>0.80813547799399</v>
      </c>
      <c r="N2622" s="25" t="n">
        <f aca="false">IF(A2622-7&lt;$R$2,"",C2622/INDEX(Clean_Data!$C$2:$C$4314,MATCH(A2622-7,Clean_Data!$A$2:$A$4314,1))-1)</f>
        <v>-0.0427900667422813</v>
      </c>
      <c r="O2622" s="25" t="n">
        <f aca="false">IF(A2622-30&lt;$R$2,"",C2622/INDEX(Clean_Data!$C$2:$C$4314,MATCH(A2622-30,Clean_Data!$A$2:$A$4314,1))-1)</f>
        <v>-0.0435578327557817</v>
      </c>
    </row>
    <row r="2623" customFormat="false" ht="15" hidden="false" customHeight="false" outlineLevel="0" collapsed="false">
      <c r="A2623" s="16" t="n">
        <v>44630</v>
      </c>
      <c r="B2623" s="23" t="n">
        <f aca="false">YEAR(A2623)</f>
        <v>2022</v>
      </c>
      <c r="C2623" s="17" t="n">
        <v>39454.87</v>
      </c>
      <c r="D2623" s="23" t="n">
        <f aca="false">A2623-A2622</f>
        <v>1</v>
      </c>
      <c r="E2623" s="24" t="n">
        <f aca="false">LN(C2623)</f>
        <v>10.5829127660568</v>
      </c>
      <c r="F2623" s="25" t="n">
        <f aca="false">LN(C2623/C2622)</f>
        <v>-0.0621754078571023</v>
      </c>
      <c r="G2623" s="25" t="n">
        <f aca="false">IF(AND(D2623=1,A2623&gt;=$R$2),F2623,"")</f>
        <v>-0.0621754078571023</v>
      </c>
      <c r="H2623" s="27" t="n">
        <f aca="false">IF(G2623="","",G2623^2)</f>
        <v>0.00386578134219701</v>
      </c>
      <c r="I2623" s="25" t="n">
        <f aca="false">IF(G2623="","",C2623/C2622-1)</f>
        <v>-0.0602819615937366</v>
      </c>
      <c r="J2623" s="17" t="n">
        <f aca="false">AVERAGE(C2424:C2623)</f>
        <v>48898.786</v>
      </c>
      <c r="K2623" s="17" t="n">
        <f aca="false">MAX(K2622,C2623)</f>
        <v>67510.06</v>
      </c>
      <c r="L2623" s="25" t="n">
        <f aca="false">C2623/K2623-1</f>
        <v>-0.415570509047096</v>
      </c>
      <c r="M2623" s="25" t="n">
        <f aca="false">IF(COUNT(G2594:G2623)&lt;20,"",_xlfn.STDEV.S(G2594:G2623)*SQRT($R$3))</f>
        <v>0.834785785379819</v>
      </c>
      <c r="N2623" s="25" t="n">
        <f aca="false">IF(A2623-7&lt;$R$2,"",C2623/INDEX(Clean_Data!$C$2:$C$4314,MATCH(A2623-7,Clean_Data!$A$2:$A$4314,1))-1)</f>
        <v>-0.0701623774509803</v>
      </c>
      <c r="O2623" s="25" t="n">
        <f aca="false">IF(A2623-30&lt;$R$2,"",C2623/INDEX(Clean_Data!$C$2:$C$4314,MATCH(A2623-30,Clean_Data!$A$2:$A$4314,1))-1)</f>
        <v>-0.106296176076655</v>
      </c>
    </row>
    <row r="2624" customFormat="false" ht="15" hidden="false" customHeight="false" outlineLevel="0" collapsed="false">
      <c r="A2624" s="16" t="n">
        <v>44631</v>
      </c>
      <c r="B2624" s="23" t="n">
        <f aca="false">YEAR(A2624)</f>
        <v>2022</v>
      </c>
      <c r="C2624" s="17" t="n">
        <v>38670.76</v>
      </c>
      <c r="D2624" s="23" t="n">
        <f aca="false">A2624-A2623</f>
        <v>1</v>
      </c>
      <c r="E2624" s="24" t="n">
        <f aca="false">LN(C2624)</f>
        <v>10.5628390378864</v>
      </c>
      <c r="F2624" s="25" t="n">
        <f aca="false">LN(C2624/C2623)</f>
        <v>-0.0200737281704271</v>
      </c>
      <c r="G2624" s="25" t="n">
        <f aca="false">IF(AND(D2624=1,A2624&gt;=$R$2),F2624,"")</f>
        <v>-0.0200737281704271</v>
      </c>
      <c r="H2624" s="27" t="n">
        <f aca="false">IF(G2624="","",G2624^2)</f>
        <v>0.000402954562660199</v>
      </c>
      <c r="I2624" s="25" t="n">
        <f aca="false">IF(G2624="","",C2624/C2623-1)</f>
        <v>-0.0198735922840451</v>
      </c>
      <c r="J2624" s="17" t="n">
        <f aca="false">AVERAGE(C2425:C2624)</f>
        <v>48844.8165</v>
      </c>
      <c r="K2624" s="17" t="n">
        <f aca="false">MAX(K2623,C2624)</f>
        <v>67510.06</v>
      </c>
      <c r="L2624" s="25" t="n">
        <f aca="false">C2624/K2624-1</f>
        <v>-0.427185222469066</v>
      </c>
      <c r="M2624" s="25" t="n">
        <f aca="false">IF(COUNT(G2595:G2624)&lt;20,"",_xlfn.STDEV.S(G2595:G2624)*SQRT($R$3))</f>
        <v>0.83594464764447</v>
      </c>
      <c r="N2624" s="25" t="n">
        <f aca="false">IF(A2624-7&lt;$R$2,"",C2624/INDEX(Clean_Data!$C$2:$C$4314,MATCH(A2624-7,Clean_Data!$A$2:$A$4314,1))-1)</f>
        <v>-0.013646205647791</v>
      </c>
      <c r="O2624" s="25" t="n">
        <f aca="false">IF(A2624-30&lt;$R$2,"",C2624/INDEX(Clean_Data!$C$2:$C$4314,MATCH(A2624-30,Clean_Data!$A$2:$A$4314,1))-1)</f>
        <v>-0.129094604996876</v>
      </c>
    </row>
    <row r="2625" customFormat="false" ht="15" hidden="false" customHeight="false" outlineLevel="0" collapsed="false">
      <c r="A2625" s="16" t="n">
        <v>44632</v>
      </c>
      <c r="B2625" s="23" t="n">
        <f aca="false">YEAR(A2625)</f>
        <v>2022</v>
      </c>
      <c r="C2625" s="17" t="n">
        <v>38767.98</v>
      </c>
      <c r="D2625" s="23" t="n">
        <f aca="false">A2625-A2624</f>
        <v>1</v>
      </c>
      <c r="E2625" s="24" t="n">
        <f aca="false">LN(C2625)</f>
        <v>10.5653499271668</v>
      </c>
      <c r="F2625" s="25" t="n">
        <f aca="false">LN(C2625/C2624)</f>
        <v>0.00251088928041646</v>
      </c>
      <c r="G2625" s="25" t="n">
        <f aca="false">IF(AND(D2625=1,A2625&gt;=$R$2),F2625,"")</f>
        <v>0.00251088928041646</v>
      </c>
      <c r="H2625" s="27" t="n">
        <f aca="false">IF(G2625="","",G2625^2)</f>
        <v>6.30456497851027E-006</v>
      </c>
      <c r="I2625" s="25" t="n">
        <f aca="false">IF(G2625="","",C2625/C2624-1)</f>
        <v>0.0025140442029068</v>
      </c>
      <c r="J2625" s="17" t="n">
        <f aca="false">AVERAGE(C2426:C2625)</f>
        <v>48799.8044</v>
      </c>
      <c r="K2625" s="17" t="n">
        <f aca="false">MAX(K2624,C2625)</f>
        <v>67510.06</v>
      </c>
      <c r="L2625" s="25" t="n">
        <f aca="false">C2625/K2625-1</f>
        <v>-0.425745140798275</v>
      </c>
      <c r="M2625" s="25" t="n">
        <f aca="false">IF(COUNT(G2596:G2625)&lt;20,"",_xlfn.STDEV.S(G2596:G2625)*SQRT($R$3))</f>
        <v>0.834145162762727</v>
      </c>
      <c r="N2625" s="25" t="n">
        <f aca="false">IF(A2625-7&lt;$R$2,"",C2625/INDEX(Clean_Data!$C$2:$C$4314,MATCH(A2625-7,Clean_Data!$A$2:$A$4314,1))-1)</f>
        <v>-0.0158135548600196</v>
      </c>
      <c r="O2625" s="25" t="n">
        <f aca="false">IF(A2625-30&lt;$R$2,"",C2625/INDEX(Clean_Data!$C$2:$C$4314,MATCH(A2625-30,Clean_Data!$A$2:$A$4314,1))-1)</f>
        <v>-0.108316548708533</v>
      </c>
    </row>
    <row r="2626" customFormat="false" ht="15" hidden="false" customHeight="false" outlineLevel="0" collapsed="false">
      <c r="A2626" s="16" t="n">
        <v>44633</v>
      </c>
      <c r="B2626" s="23" t="n">
        <f aca="false">YEAR(A2626)</f>
        <v>2022</v>
      </c>
      <c r="C2626" s="17" t="n">
        <v>37780.14</v>
      </c>
      <c r="D2626" s="23" t="n">
        <f aca="false">A2626-A2625</f>
        <v>1</v>
      </c>
      <c r="E2626" s="24" t="n">
        <f aca="false">LN(C2626)</f>
        <v>10.539538846713</v>
      </c>
      <c r="F2626" s="25" t="n">
        <f aca="false">LN(C2626/C2625)</f>
        <v>-0.0258110804537735</v>
      </c>
      <c r="G2626" s="25" t="n">
        <f aca="false">IF(AND(D2626=1,A2626&gt;=$R$2),F2626,"")</f>
        <v>-0.0258110804537735</v>
      </c>
      <c r="H2626" s="27" t="n">
        <f aca="false">IF(G2626="","",G2626^2)</f>
        <v>0.000666211874191166</v>
      </c>
      <c r="I2626" s="25" t="n">
        <f aca="false">IF(G2626="","",C2626/C2625-1)</f>
        <v>-0.0254808220598547</v>
      </c>
      <c r="J2626" s="17" t="n">
        <f aca="false">AVERAGE(C2427:C2626)</f>
        <v>48743.77985</v>
      </c>
      <c r="K2626" s="17" t="n">
        <f aca="false">MAX(K2625,C2626)</f>
        <v>67510.06</v>
      </c>
      <c r="L2626" s="25" t="n">
        <f aca="false">C2626/K2626-1</f>
        <v>-0.440377626682601</v>
      </c>
      <c r="M2626" s="25" t="n">
        <f aca="false">IF(COUNT(G2597:G2626)&lt;20,"",_xlfn.STDEV.S(G2597:G2626)*SQRT($R$3))</f>
        <v>0.834315947064592</v>
      </c>
      <c r="N2626" s="25" t="n">
        <f aca="false">IF(A2626-7&lt;$R$2,"",C2626/INDEX(Clean_Data!$C$2:$C$4314,MATCH(A2626-7,Clean_Data!$A$2:$A$4314,1))-1)</f>
        <v>-0.0169641999879788</v>
      </c>
      <c r="O2626" s="25" t="n">
        <f aca="false">IF(A2626-30&lt;$R$2,"",C2626/INDEX(Clean_Data!$C$2:$C$4314,MATCH(A2626-30,Clean_Data!$A$2:$A$4314,1))-1)</f>
        <v>-0.108781138878182</v>
      </c>
    </row>
    <row r="2627" customFormat="false" ht="15" hidden="false" customHeight="false" outlineLevel="0" collapsed="false">
      <c r="A2627" s="16" t="n">
        <v>44634</v>
      </c>
      <c r="B2627" s="23" t="n">
        <f aca="false">YEAR(A2627)</f>
        <v>2022</v>
      </c>
      <c r="C2627" s="17" t="n">
        <v>39644.88</v>
      </c>
      <c r="D2627" s="23" t="n">
        <f aca="false">A2627-A2626</f>
        <v>1</v>
      </c>
      <c r="E2627" s="24" t="n">
        <f aca="false">LN(C2627)</f>
        <v>10.5877170888385</v>
      </c>
      <c r="F2627" s="25" t="n">
        <f aca="false">LN(C2627/C2626)</f>
        <v>0.0481782421254982</v>
      </c>
      <c r="G2627" s="25" t="n">
        <f aca="false">IF(AND(D2627=1,A2627&gt;=$R$2),F2627,"")</f>
        <v>0.0481782421254982</v>
      </c>
      <c r="H2627" s="27" t="n">
        <f aca="false">IF(G2627="","",G2627^2)</f>
        <v>0.00232114301430313</v>
      </c>
      <c r="I2627" s="25" t="n">
        <f aca="false">IF(G2627="","",C2627/C2626-1)</f>
        <v>0.049357678399286</v>
      </c>
      <c r="J2627" s="17" t="n">
        <f aca="false">AVERAGE(C2428:C2627)</f>
        <v>48708.15125</v>
      </c>
      <c r="K2627" s="17" t="n">
        <f aca="false">MAX(K2626,C2627)</f>
        <v>67510.06</v>
      </c>
      <c r="L2627" s="25" t="n">
        <f aca="false">C2627/K2627-1</f>
        <v>-0.412755965555356</v>
      </c>
      <c r="M2627" s="25" t="n">
        <f aca="false">IF(COUNT(G2598:G2627)&lt;20,"",_xlfn.STDEV.S(G2598:G2627)*SQRT($R$3))</f>
        <v>0.853809327933981</v>
      </c>
      <c r="N2627" s="25" t="n">
        <f aca="false">IF(A2627-7&lt;$R$2,"",C2627/INDEX(Clean_Data!$C$2:$C$4314,MATCH(A2627-7,Clean_Data!$A$2:$A$4314,1))-1)</f>
        <v>0.0431575681843477</v>
      </c>
      <c r="O2627" s="25" t="n">
        <f aca="false">IF(A2627-30&lt;$R$2,"",C2627/INDEX(Clean_Data!$C$2:$C$4314,MATCH(A2627-30,Clean_Data!$A$2:$A$4314,1))-1)</f>
        <v>-0.0609368441697611</v>
      </c>
    </row>
    <row r="2628" customFormat="false" ht="15" hidden="false" customHeight="false" outlineLevel="0" collapsed="false">
      <c r="A2628" s="16" t="n">
        <v>44635</v>
      </c>
      <c r="B2628" s="23" t="n">
        <f aca="false">YEAR(A2628)</f>
        <v>2022</v>
      </c>
      <c r="C2628" s="17" t="n">
        <v>39361.36</v>
      </c>
      <c r="D2628" s="23" t="n">
        <f aca="false">A2628-A2627</f>
        <v>1</v>
      </c>
      <c r="E2628" s="24" t="n">
        <f aca="false">LN(C2628)</f>
        <v>10.5805399034148</v>
      </c>
      <c r="F2628" s="25" t="n">
        <f aca="false">LN(C2628/C2627)</f>
        <v>-0.00717718542372304</v>
      </c>
      <c r="G2628" s="25" t="n">
        <f aca="false">IF(AND(D2628=1,A2628&gt;=$R$2),F2628,"")</f>
        <v>-0.00717718542372304</v>
      </c>
      <c r="H2628" s="27" t="n">
        <f aca="false">IF(G2628="","",G2628^2)</f>
        <v>5.15119906065025E-005</v>
      </c>
      <c r="I2628" s="25" t="n">
        <f aca="false">IF(G2628="","",C2628/C2627-1)</f>
        <v>-0.00715149093653444</v>
      </c>
      <c r="J2628" s="17" t="n">
        <f aca="false">AVERAGE(C2429:C2628)</f>
        <v>48659.54785</v>
      </c>
      <c r="K2628" s="17" t="n">
        <f aca="false">MAX(K2627,C2628)</f>
        <v>67510.06</v>
      </c>
      <c r="L2628" s="25" t="n">
        <f aca="false">C2628/K2628-1</f>
        <v>-0.416955635945221</v>
      </c>
      <c r="M2628" s="25" t="n">
        <f aca="false">IF(COUNT(G2599:G2628)&lt;20,"",_xlfn.STDEV.S(G2599:G2628)*SQRT($R$3))</f>
        <v>0.853990831415677</v>
      </c>
      <c r="N2628" s="25" t="n">
        <f aca="false">IF(A2628-7&lt;$R$2,"",C2628/INDEX(Clean_Data!$C$2:$C$4314,MATCH(A2628-7,Clean_Data!$A$2:$A$4314,1))-1)</f>
        <v>0.0164535312663576</v>
      </c>
      <c r="O2628" s="25" t="n">
        <f aca="false">IF(A2628-30&lt;$R$2,"",C2628/INDEX(Clean_Data!$C$2:$C$4314,MATCH(A2628-30,Clean_Data!$A$2:$A$4314,1))-1)</f>
        <v>-0.0649915327171581</v>
      </c>
    </row>
    <row r="2629" customFormat="false" ht="15" hidden="false" customHeight="false" outlineLevel="0" collapsed="false">
      <c r="A2629" s="16" t="n">
        <v>44636</v>
      </c>
      <c r="B2629" s="23" t="n">
        <f aca="false">YEAR(A2629)</f>
        <v>2022</v>
      </c>
      <c r="C2629" s="17" t="n">
        <v>41109.85</v>
      </c>
      <c r="D2629" s="23" t="n">
        <f aca="false">A2629-A2628</f>
        <v>1</v>
      </c>
      <c r="E2629" s="24" t="n">
        <f aca="false">LN(C2629)</f>
        <v>10.624003031138</v>
      </c>
      <c r="F2629" s="25" t="n">
        <f aca="false">LN(C2629/C2628)</f>
        <v>0.0434631277232215</v>
      </c>
      <c r="G2629" s="25" t="n">
        <f aca="false">IF(AND(D2629=1,A2629&gt;=$R$2),F2629,"")</f>
        <v>0.0434631277232215</v>
      </c>
      <c r="H2629" s="27" t="n">
        <f aca="false">IF(G2629="","",G2629^2)</f>
        <v>0.00188904347148507</v>
      </c>
      <c r="I2629" s="25" t="n">
        <f aca="false">IF(G2629="","",C2629/C2628-1)</f>
        <v>0.0444214834040286</v>
      </c>
      <c r="J2629" s="17" t="n">
        <f aca="false">AVERAGE(C2430:C2629)</f>
        <v>48620.28005</v>
      </c>
      <c r="K2629" s="17" t="n">
        <f aca="false">MAX(K2628,C2629)</f>
        <v>67510.06</v>
      </c>
      <c r="L2629" s="25" t="n">
        <f aca="false">C2629/K2629-1</f>
        <v>-0.391055940403549</v>
      </c>
      <c r="M2629" s="25" t="n">
        <f aca="false">IF(COUNT(G2600:G2629)&lt;20,"",_xlfn.STDEV.S(G2600:G2629)*SQRT($R$3))</f>
        <v>0.867681927250836</v>
      </c>
      <c r="N2629" s="25" t="n">
        <f aca="false">IF(A2629-7&lt;$R$2,"",C2629/INDEX(Clean_Data!$C$2:$C$4314,MATCH(A2629-7,Clean_Data!$A$2:$A$4314,1))-1)</f>
        <v>-0.020864405302166</v>
      </c>
      <c r="O2629" s="25" t="n">
        <f aca="false">IF(A2629-30&lt;$R$2,"",C2629/INDEX(Clean_Data!$C$2:$C$4314,MATCH(A2629-30,Clean_Data!$A$2:$A$4314,1))-1)</f>
        <v>-0.0343580465915134</v>
      </c>
    </row>
    <row r="2630" customFormat="false" ht="15" hidden="false" customHeight="false" outlineLevel="0" collapsed="false">
      <c r="A2630" s="16" t="n">
        <v>44637</v>
      </c>
      <c r="B2630" s="23" t="n">
        <f aca="false">YEAR(A2630)</f>
        <v>2022</v>
      </c>
      <c r="C2630" s="17" t="n">
        <v>40964.07</v>
      </c>
      <c r="D2630" s="23" t="n">
        <f aca="false">A2630-A2629</f>
        <v>1</v>
      </c>
      <c r="E2630" s="24" t="n">
        <f aca="false">LN(C2630)</f>
        <v>10.6204506200114</v>
      </c>
      <c r="F2630" s="25" t="n">
        <f aca="false">LN(C2630/C2629)</f>
        <v>-0.00355241112663738</v>
      </c>
      <c r="G2630" s="25" t="n">
        <f aca="false">IF(AND(D2630=1,A2630&gt;=$R$2),F2630,"")</f>
        <v>-0.00355241112663738</v>
      </c>
      <c r="H2630" s="27" t="n">
        <f aca="false">IF(G2630="","",G2630^2)</f>
        <v>1.26196248126571E-005</v>
      </c>
      <c r="I2630" s="25" t="n">
        <f aca="false">IF(G2630="","",C2630/C2629-1)</f>
        <v>-0.00354610877928274</v>
      </c>
      <c r="J2630" s="17" t="n">
        <f aca="false">AVERAGE(C2431:C2630)</f>
        <v>48581.2465</v>
      </c>
      <c r="K2630" s="17" t="n">
        <f aca="false">MAX(K2629,C2630)</f>
        <v>67510.06</v>
      </c>
      <c r="L2630" s="25" t="n">
        <f aca="false">C2630/K2630-1</f>
        <v>-0.393215322279376</v>
      </c>
      <c r="M2630" s="25" t="n">
        <f aca="false">IF(COUNT(G2601:G2630)&lt;20,"",_xlfn.STDEV.S(G2601:G2630)*SQRT($R$3))</f>
        <v>0.852519918279312</v>
      </c>
      <c r="N2630" s="25" t="n">
        <f aca="false">IF(A2630-7&lt;$R$2,"",C2630/INDEX(Clean_Data!$C$2:$C$4314,MATCH(A2630-7,Clean_Data!$A$2:$A$4314,1))-1)</f>
        <v>0.0382512982554497</v>
      </c>
      <c r="O2630" s="25" t="n">
        <f aca="false">IF(A2630-30&lt;$R$2,"",C2630/INDEX(Clean_Data!$C$2:$C$4314,MATCH(A2630-30,Clean_Data!$A$2:$A$4314,1))-1)</f>
        <v>-0.0788325002198125</v>
      </c>
    </row>
    <row r="2631" customFormat="false" ht="15" hidden="false" customHeight="false" outlineLevel="0" collapsed="false">
      <c r="A2631" s="16" t="n">
        <v>44638</v>
      </c>
      <c r="B2631" s="23" t="n">
        <f aca="false">YEAR(A2631)</f>
        <v>2022</v>
      </c>
      <c r="C2631" s="17" t="n">
        <v>41806.03</v>
      </c>
      <c r="D2631" s="23" t="n">
        <f aca="false">A2631-A2630</f>
        <v>1</v>
      </c>
      <c r="E2631" s="24" t="n">
        <f aca="false">LN(C2631)</f>
        <v>10.6407958664818</v>
      </c>
      <c r="F2631" s="25" t="n">
        <f aca="false">LN(C2631/C2630)</f>
        <v>0.0203452464704484</v>
      </c>
      <c r="G2631" s="25" t="n">
        <f aca="false">IF(AND(D2631=1,A2631&gt;=$R$2),F2631,"")</f>
        <v>0.0203452464704484</v>
      </c>
      <c r="H2631" s="27" t="n">
        <f aca="false">IF(G2631="","",G2631^2)</f>
        <v>0.000413929053943294</v>
      </c>
      <c r="I2631" s="25" t="n">
        <f aca="false">IF(G2631="","",C2631/C2630-1)</f>
        <v>0.0205536217470579</v>
      </c>
      <c r="J2631" s="17" t="n">
        <f aca="false">AVERAGE(C2432:C2631)</f>
        <v>48555.65585</v>
      </c>
      <c r="K2631" s="17" t="n">
        <f aca="false">MAX(K2630,C2631)</f>
        <v>67510.06</v>
      </c>
      <c r="L2631" s="25" t="n">
        <f aca="false">C2631/K2631-1</f>
        <v>-0.380743699531596</v>
      </c>
      <c r="M2631" s="25" t="n">
        <f aca="false">IF(COUNT(G2602:G2631)&lt;20,"",_xlfn.STDEV.S(G2602:G2631)*SQRT($R$3))</f>
        <v>0.855404001129689</v>
      </c>
      <c r="N2631" s="25" t="n">
        <f aca="false">IF(A2631-7&lt;$R$2,"",C2631/INDEX(Clean_Data!$C$2:$C$4314,MATCH(A2631-7,Clean_Data!$A$2:$A$4314,1))-1)</f>
        <v>0.0810759860938859</v>
      </c>
      <c r="O2631" s="25" t="n">
        <f aca="false">IF(A2631-30&lt;$R$2,"",C2631/INDEX(Clean_Data!$C$2:$C$4314,MATCH(A2631-30,Clean_Data!$A$2:$A$4314,1))-1)</f>
        <v>-0.047638324249235</v>
      </c>
    </row>
    <row r="2632" customFormat="false" ht="15" hidden="false" customHeight="false" outlineLevel="0" collapsed="false">
      <c r="A2632" s="16" t="n">
        <v>44639</v>
      </c>
      <c r="B2632" s="23" t="n">
        <f aca="false">YEAR(A2632)</f>
        <v>2022</v>
      </c>
      <c r="C2632" s="17" t="n">
        <v>42219.55</v>
      </c>
      <c r="D2632" s="23" t="n">
        <f aca="false">A2632-A2631</f>
        <v>1</v>
      </c>
      <c r="E2632" s="24" t="n">
        <f aca="false">LN(C2632)</f>
        <v>10.6506386628898</v>
      </c>
      <c r="F2632" s="25" t="n">
        <f aca="false">LN(C2632/C2631)</f>
        <v>0.00984279640798686</v>
      </c>
      <c r="G2632" s="25" t="n">
        <f aca="false">IF(AND(D2632=1,A2632&gt;=$R$2),F2632,"")</f>
        <v>0.00984279640798686</v>
      </c>
      <c r="H2632" s="27" t="n">
        <f aca="false">IF(G2632="","",G2632^2)</f>
        <v>9.68806411290789E-005</v>
      </c>
      <c r="I2632" s="25" t="n">
        <f aca="false">IF(G2632="","",C2632/C2631-1)</f>
        <v>0.00989139604980438</v>
      </c>
      <c r="J2632" s="17" t="n">
        <f aca="false">AVERAGE(C2433:C2632)</f>
        <v>48531.42495</v>
      </c>
      <c r="K2632" s="17" t="n">
        <f aca="false">MAX(K2631,C2632)</f>
        <v>67510.06</v>
      </c>
      <c r="L2632" s="25" t="n">
        <f aca="false">C2632/K2632-1</f>
        <v>-0.374618390207326</v>
      </c>
      <c r="M2632" s="25" t="n">
        <f aca="false">IF(COUNT(G2603:G2632)&lt;20,"",_xlfn.STDEV.S(G2603:G2632)*SQRT($R$3))</f>
        <v>0.808866159799344</v>
      </c>
      <c r="N2632" s="25" t="n">
        <f aca="false">IF(A2632-7&lt;$R$2,"",C2632/INDEX(Clean_Data!$C$2:$C$4314,MATCH(A2632-7,Clean_Data!$A$2:$A$4314,1))-1)</f>
        <v>0.0890314635944405</v>
      </c>
      <c r="O2632" s="25" t="n">
        <f aca="false">IF(A2632-30&lt;$R$2,"",C2632/INDEX(Clean_Data!$C$2:$C$4314,MATCH(A2632-30,Clean_Data!$A$2:$A$4314,1))-1)</f>
        <v>0.0410745522863198</v>
      </c>
    </row>
    <row r="2633" customFormat="false" ht="15" hidden="false" customHeight="false" outlineLevel="0" collapsed="false">
      <c r="A2633" s="16" t="n">
        <v>44640</v>
      </c>
      <c r="B2633" s="23" t="n">
        <f aca="false">YEAR(A2633)</f>
        <v>2022</v>
      </c>
      <c r="C2633" s="17" t="n">
        <v>41271.13</v>
      </c>
      <c r="D2633" s="23" t="n">
        <f aca="false">A2633-A2632</f>
        <v>1</v>
      </c>
      <c r="E2633" s="24" t="n">
        <f aca="false">LN(C2633)</f>
        <v>10.6279185030357</v>
      </c>
      <c r="F2633" s="25" t="n">
        <f aca="false">LN(C2633/C2632)</f>
        <v>-0.0227201598540973</v>
      </c>
      <c r="G2633" s="25" t="n">
        <f aca="false">IF(AND(D2633=1,A2633&gt;=$R$2),F2633,"")</f>
        <v>-0.0227201598540973</v>
      </c>
      <c r="H2633" s="27" t="n">
        <f aca="false">IF(G2633="","",G2633^2)</f>
        <v>0.000516205663795737</v>
      </c>
      <c r="I2633" s="25" t="n">
        <f aca="false">IF(G2633="","",C2633/C2632-1)</f>
        <v>-0.0224640006821486</v>
      </c>
      <c r="J2633" s="17" t="n">
        <f aca="false">AVERAGE(C2434:C2633)</f>
        <v>48493.33465</v>
      </c>
      <c r="K2633" s="17" t="n">
        <f aca="false">MAX(K2632,C2633)</f>
        <v>67510.06</v>
      </c>
      <c r="L2633" s="25" t="n">
        <f aca="false">C2633/K2633-1</f>
        <v>-0.388666963116312</v>
      </c>
      <c r="M2633" s="25" t="n">
        <f aca="false">IF(COUNT(G2604:G2633)&lt;20,"",_xlfn.STDEV.S(G2604:G2633)*SQRT($R$3))</f>
        <v>0.811533389502042</v>
      </c>
      <c r="N2633" s="25" t="n">
        <f aca="false">IF(A2633-7&lt;$R$2,"",C2633/INDEX(Clean_Data!$C$2:$C$4314,MATCH(A2633-7,Clean_Data!$A$2:$A$4314,1))-1)</f>
        <v>0.0924027809319923</v>
      </c>
      <c r="O2633" s="25" t="n">
        <f aca="false">IF(A2633-30&lt;$R$2,"",C2633/INDEX(Clean_Data!$C$2:$C$4314,MATCH(A2633-30,Clean_Data!$A$2:$A$4314,1))-1)</f>
        <v>0.0319560044217615</v>
      </c>
    </row>
    <row r="2634" customFormat="false" ht="15" hidden="false" customHeight="false" outlineLevel="0" collapsed="false">
      <c r="A2634" s="16" t="n">
        <v>44641</v>
      </c>
      <c r="B2634" s="23" t="n">
        <f aca="false">YEAR(A2634)</f>
        <v>2022</v>
      </c>
      <c r="C2634" s="17" t="n">
        <v>41009.98</v>
      </c>
      <c r="D2634" s="23" t="n">
        <f aca="false">A2634-A2633</f>
        <v>1</v>
      </c>
      <c r="E2634" s="24" t="n">
        <f aca="false">LN(C2634)</f>
        <v>10.6215707307001</v>
      </c>
      <c r="F2634" s="25" t="n">
        <f aca="false">LN(C2634/C2633)</f>
        <v>-0.00634777233564861</v>
      </c>
      <c r="G2634" s="25" t="n">
        <f aca="false">IF(AND(D2634=1,A2634&gt;=$R$2),F2634,"")</f>
        <v>-0.00634777233564861</v>
      </c>
      <c r="H2634" s="27" t="n">
        <f aca="false">IF(G2634="","",G2634^2)</f>
        <v>4.02942136252258E-005</v>
      </c>
      <c r="I2634" s="25" t="n">
        <f aca="false">IF(G2634="","",C2634/C2633-1)</f>
        <v>-0.0063276677910199</v>
      </c>
      <c r="J2634" s="17" t="n">
        <f aca="false">AVERAGE(C2435:C2634)</f>
        <v>48452.0179</v>
      </c>
      <c r="K2634" s="17" t="n">
        <f aca="false">MAX(K2633,C2634)</f>
        <v>67510.06</v>
      </c>
      <c r="L2634" s="25" t="n">
        <f aca="false">C2634/K2634-1</f>
        <v>-0.392535275483387</v>
      </c>
      <c r="M2634" s="25" t="n">
        <f aca="false">IF(COUNT(G2605:G2634)&lt;20,"",_xlfn.STDEV.S(G2605:G2634)*SQRT($R$3))</f>
        <v>0.811923587502565</v>
      </c>
      <c r="N2634" s="25" t="n">
        <f aca="false">IF(A2634-7&lt;$R$2,"",C2634/INDEX(Clean_Data!$C$2:$C$4314,MATCH(A2634-7,Clean_Data!$A$2:$A$4314,1))-1)</f>
        <v>0.0344331979312336</v>
      </c>
      <c r="O2634" s="25" t="n">
        <f aca="false">IF(A2634-30&lt;$R$2,"",C2634/INDEX(Clean_Data!$C$2:$C$4314,MATCH(A2634-30,Clean_Data!$A$2:$A$4314,1))-1)</f>
        <v>0.0229687910802865</v>
      </c>
    </row>
    <row r="2635" customFormat="false" ht="15" hidden="false" customHeight="false" outlineLevel="0" collapsed="false">
      <c r="A2635" s="16" t="n">
        <v>44642</v>
      </c>
      <c r="B2635" s="23" t="n">
        <f aca="false">YEAR(A2635)</f>
        <v>2022</v>
      </c>
      <c r="C2635" s="17" t="n">
        <v>42359.88</v>
      </c>
      <c r="D2635" s="23" t="n">
        <f aca="false">A2635-A2634</f>
        <v>1</v>
      </c>
      <c r="E2635" s="24" t="n">
        <f aca="false">LN(C2635)</f>
        <v>10.6539569668501</v>
      </c>
      <c r="F2635" s="25" t="n">
        <f aca="false">LN(C2635/C2634)</f>
        <v>0.0323862361500846</v>
      </c>
      <c r="G2635" s="25" t="n">
        <f aca="false">IF(AND(D2635=1,A2635&gt;=$R$2),F2635,"")</f>
        <v>0.0323862361500846</v>
      </c>
      <c r="H2635" s="27" t="n">
        <f aca="false">IF(G2635="","",G2635^2)</f>
        <v>0.00104886829196905</v>
      </c>
      <c r="I2635" s="25" t="n">
        <f aca="false">IF(G2635="","",C2635/C2634-1)</f>
        <v>0.0329163779158146</v>
      </c>
      <c r="J2635" s="17" t="n">
        <f aca="false">AVERAGE(C2436:C2635)</f>
        <v>48414.22075</v>
      </c>
      <c r="K2635" s="17" t="n">
        <f aca="false">MAX(K2634,C2635)</f>
        <v>67510.06</v>
      </c>
      <c r="L2635" s="25" t="n">
        <f aca="false">C2635/K2635-1</f>
        <v>-0.372539737040672</v>
      </c>
      <c r="M2635" s="25" t="n">
        <f aca="false">IF(COUNT(G2606:G2635)&lt;20,"",_xlfn.STDEV.S(G2606:G2635)*SQRT($R$3))</f>
        <v>0.803782703686936</v>
      </c>
      <c r="N2635" s="25" t="n">
        <f aca="false">IF(A2635-7&lt;$R$2,"",C2635/INDEX(Clean_Data!$C$2:$C$4314,MATCH(A2635-7,Clean_Data!$A$2:$A$4314,1))-1)</f>
        <v>0.076179278358268</v>
      </c>
      <c r="O2635" s="25" t="n">
        <f aca="false">IF(A2635-30&lt;$R$2,"",C2635/INDEX(Clean_Data!$C$2:$C$4314,MATCH(A2635-30,Clean_Data!$A$2:$A$4314,1))-1)</f>
        <v>0.102363999750172</v>
      </c>
    </row>
    <row r="2636" customFormat="false" ht="15" hidden="false" customHeight="false" outlineLevel="0" collapsed="false">
      <c r="A2636" s="16" t="n">
        <v>44643</v>
      </c>
      <c r="B2636" s="23" t="n">
        <f aca="false">YEAR(A2636)</f>
        <v>2022</v>
      </c>
      <c r="C2636" s="17" t="n">
        <v>42940.28</v>
      </c>
      <c r="D2636" s="23" t="n">
        <f aca="false">A2636-A2635</f>
        <v>1</v>
      </c>
      <c r="E2636" s="24" t="n">
        <f aca="false">LN(C2636)</f>
        <v>10.6675655921381</v>
      </c>
      <c r="F2636" s="25" t="n">
        <f aca="false">LN(C2636/C2635)</f>
        <v>0.0136086252879671</v>
      </c>
      <c r="G2636" s="25" t="n">
        <f aca="false">IF(AND(D2636=1,A2636&gt;=$R$2),F2636,"")</f>
        <v>0.0136086252879671</v>
      </c>
      <c r="H2636" s="27" t="n">
        <f aca="false">IF(G2636="","",G2636^2)</f>
        <v>0.000185194682228298</v>
      </c>
      <c r="I2636" s="25" t="n">
        <f aca="false">IF(G2636="","",C2636/C2635-1)</f>
        <v>0.0137016441028635</v>
      </c>
      <c r="J2636" s="17" t="n">
        <f aca="false">AVERAGE(C2437:C2636)</f>
        <v>48379.1768</v>
      </c>
      <c r="K2636" s="17" t="n">
        <f aca="false">MAX(K2635,C2636)</f>
        <v>67510.06</v>
      </c>
      <c r="L2636" s="25" t="n">
        <f aca="false">C2636/K2636-1</f>
        <v>-0.363942499828914</v>
      </c>
      <c r="M2636" s="25" t="n">
        <f aca="false">IF(COUNT(G2607:G2636)&lt;20,"",_xlfn.STDEV.S(G2607:G2636)*SQRT($R$3))</f>
        <v>0.79196665261789</v>
      </c>
      <c r="N2636" s="25" t="n">
        <f aca="false">IF(A2636-7&lt;$R$2,"",C2636/INDEX(Clean_Data!$C$2:$C$4314,MATCH(A2636-7,Clean_Data!$A$2:$A$4314,1))-1)</f>
        <v>0.0445253388178259</v>
      </c>
      <c r="O2636" s="25" t="n">
        <f aca="false">IF(A2636-30&lt;$R$2,"",C2636/INDEX(Clean_Data!$C$2:$C$4314,MATCH(A2636-30,Clean_Data!$A$2:$A$4314,1))-1)</f>
        <v>0.158187908963895</v>
      </c>
    </row>
    <row r="2637" customFormat="false" ht="15" hidden="false" customHeight="false" outlineLevel="0" collapsed="false">
      <c r="A2637" s="16" t="n">
        <v>44644</v>
      </c>
      <c r="B2637" s="23" t="n">
        <f aca="false">YEAR(A2637)</f>
        <v>2022</v>
      </c>
      <c r="C2637" s="17" t="n">
        <v>43979.48</v>
      </c>
      <c r="D2637" s="23" t="n">
        <f aca="false">A2637-A2636</f>
        <v>1</v>
      </c>
      <c r="E2637" s="24" t="n">
        <f aca="false">LN(C2637)</f>
        <v>10.6914784404827</v>
      </c>
      <c r="F2637" s="25" t="n">
        <f aca="false">LN(C2637/C2636)</f>
        <v>0.0239128483445842</v>
      </c>
      <c r="G2637" s="25" t="n">
        <f aca="false">IF(AND(D2637=1,A2637&gt;=$R$2),F2637,"")</f>
        <v>0.0239128483445842</v>
      </c>
      <c r="H2637" s="27" t="n">
        <f aca="false">IF(G2637="","",G2637^2)</f>
        <v>0.000571824315951083</v>
      </c>
      <c r="I2637" s="25" t="n">
        <f aca="false">IF(G2637="","",C2637/C2636-1)</f>
        <v>0.024201053183631</v>
      </c>
      <c r="J2637" s="17" t="n">
        <f aca="false">AVERAGE(C2438:C2637)</f>
        <v>48340.1604</v>
      </c>
      <c r="K2637" s="17" t="n">
        <f aca="false">MAX(K2636,C2637)</f>
        <v>67510.06</v>
      </c>
      <c r="L2637" s="25" t="n">
        <f aca="false">C2637/K2637-1</f>
        <v>-0.348549238439427</v>
      </c>
      <c r="M2637" s="25" t="n">
        <f aca="false">IF(COUNT(G2608:G2637)&lt;20,"",_xlfn.STDEV.S(G2608:G2637)*SQRT($R$3))</f>
        <v>0.789200557690127</v>
      </c>
      <c r="N2637" s="25" t="n">
        <f aca="false">IF(A2637-7&lt;$R$2,"",C2637/INDEX(Clean_Data!$C$2:$C$4314,MATCH(A2637-7,Clean_Data!$A$2:$A$4314,1))-1)</f>
        <v>0.0736110938195351</v>
      </c>
      <c r="O2637" s="25" t="n">
        <f aca="false">IF(A2637-30&lt;$R$2,"",C2637/INDEX(Clean_Data!$C$2:$C$4314,MATCH(A2637-30,Clean_Data!$A$2:$A$4314,1))-1)</f>
        <v>0.149445943777368</v>
      </c>
    </row>
    <row r="2638" customFormat="false" ht="15" hidden="false" customHeight="false" outlineLevel="0" collapsed="false">
      <c r="A2638" s="16" t="n">
        <v>44645</v>
      </c>
      <c r="B2638" s="23" t="n">
        <f aca="false">YEAR(A2638)</f>
        <v>2022</v>
      </c>
      <c r="C2638" s="17" t="n">
        <v>44355.11</v>
      </c>
      <c r="D2638" s="23" t="n">
        <f aca="false">A2638-A2637</f>
        <v>1</v>
      </c>
      <c r="E2638" s="24" t="n">
        <f aca="false">LN(C2638)</f>
        <v>10.6999832009426</v>
      </c>
      <c r="F2638" s="25" t="n">
        <f aca="false">LN(C2638/C2637)</f>
        <v>0.00850476045990236</v>
      </c>
      <c r="G2638" s="25" t="n">
        <f aca="false">IF(AND(D2638=1,A2638&gt;=$R$2),F2638,"")</f>
        <v>0.00850476045990236</v>
      </c>
      <c r="H2638" s="27" t="n">
        <f aca="false">IF(G2638="","",G2638^2)</f>
        <v>7.23309504803186E-005</v>
      </c>
      <c r="I2638" s="25" t="n">
        <f aca="false">IF(G2638="","",C2638/C2637-1)</f>
        <v>0.00854102867973872</v>
      </c>
      <c r="J2638" s="17" t="n">
        <f aca="false">AVERAGE(C2439:C2638)</f>
        <v>48298.47995</v>
      </c>
      <c r="K2638" s="17" t="n">
        <f aca="false">MAX(K2637,C2638)</f>
        <v>67510.06</v>
      </c>
      <c r="L2638" s="25" t="n">
        <f aca="false">C2638/K2638-1</f>
        <v>-0.3429851788015</v>
      </c>
      <c r="M2638" s="25" t="n">
        <f aca="false">IF(COUNT(G2609:G2638)&lt;20,"",_xlfn.STDEV.S(G2609:G2638)*SQRT($R$3))</f>
        <v>0.780710798147617</v>
      </c>
      <c r="N2638" s="25" t="n">
        <f aca="false">IF(A2638-7&lt;$R$2,"",C2638/INDEX(Clean_Data!$C$2:$C$4314,MATCH(A2638-7,Clean_Data!$A$2:$A$4314,1))-1)</f>
        <v>0.0609739791125825</v>
      </c>
      <c r="O2638" s="25" t="n">
        <f aca="false">IF(A2638-30&lt;$R$2,"",C2638/INDEX(Clean_Data!$C$2:$C$4314,MATCH(A2638-30,Clean_Data!$A$2:$A$4314,1))-1)</f>
        <v>0.191540899932841</v>
      </c>
    </row>
    <row r="2639" customFormat="false" ht="15" hidden="false" customHeight="false" outlineLevel="0" collapsed="false">
      <c r="A2639" s="16" t="n">
        <v>44646</v>
      </c>
      <c r="B2639" s="23" t="n">
        <f aca="false">YEAR(A2639)</f>
        <v>2022</v>
      </c>
      <c r="C2639" s="17" t="n">
        <v>44548.42</v>
      </c>
      <c r="D2639" s="23" t="n">
        <f aca="false">A2639-A2638</f>
        <v>1</v>
      </c>
      <c r="E2639" s="24" t="n">
        <f aca="false">LN(C2639)</f>
        <v>10.7043319665012</v>
      </c>
      <c r="F2639" s="25" t="n">
        <f aca="false">LN(C2639/C2638)</f>
        <v>0.004348765558637</v>
      </c>
      <c r="G2639" s="25" t="n">
        <f aca="false">IF(AND(D2639=1,A2639&gt;=$R$2),F2639,"")</f>
        <v>0.004348765558637</v>
      </c>
      <c r="H2639" s="27" t="n">
        <f aca="false">IF(G2639="","",G2639^2)</f>
        <v>1.89117618839873E-005</v>
      </c>
      <c r="I2639" s="25" t="n">
        <f aca="false">IF(G2639="","",C2639/C2638-1)</f>
        <v>0.0043582351616307</v>
      </c>
      <c r="J2639" s="17" t="n">
        <f aca="false">AVERAGE(C2440:C2639)</f>
        <v>48286.50295</v>
      </c>
      <c r="K2639" s="17" t="n">
        <f aca="false">MAX(K2638,C2639)</f>
        <v>67510.06</v>
      </c>
      <c r="L2639" s="25" t="n">
        <f aca="false">C2639/K2639-1</f>
        <v>-0.34012175370604</v>
      </c>
      <c r="M2639" s="25" t="n">
        <f aca="false">IF(COUNT(G2610:G2639)&lt;20,"",_xlfn.STDEV.S(G2610:G2639)*SQRT($R$3))</f>
        <v>0.775737217367273</v>
      </c>
      <c r="N2639" s="25" t="n">
        <f aca="false">IF(A2639-7&lt;$R$2,"",C2639/INDEX(Clean_Data!$C$2:$C$4314,MATCH(A2639-7,Clean_Data!$A$2:$A$4314,1))-1)</f>
        <v>0.055160938475185</v>
      </c>
      <c r="O2639" s="25" t="n">
        <f aca="false">IF(A2639-30&lt;$R$2,"",C2639/INDEX(Clean_Data!$C$2:$C$4314,MATCH(A2639-30,Clean_Data!$A$2:$A$4314,1))-1)</f>
        <v>0.161094475261816</v>
      </c>
    </row>
    <row r="2640" customFormat="false" ht="15" hidden="false" customHeight="false" outlineLevel="0" collapsed="false">
      <c r="A2640" s="16" t="n">
        <v>44647</v>
      </c>
      <c r="B2640" s="23" t="n">
        <f aca="false">YEAR(A2640)</f>
        <v>2022</v>
      </c>
      <c r="C2640" s="17" t="n">
        <v>46819.78</v>
      </c>
      <c r="D2640" s="23" t="n">
        <f aca="false">A2640-A2639</f>
        <v>1</v>
      </c>
      <c r="E2640" s="24" t="n">
        <f aca="false">LN(C2640)</f>
        <v>10.7540610421872</v>
      </c>
      <c r="F2640" s="25" t="n">
        <f aca="false">LN(C2640/C2639)</f>
        <v>0.0497290756859844</v>
      </c>
      <c r="G2640" s="25" t="n">
        <f aca="false">IF(AND(D2640=1,A2640&gt;=$R$2),F2640,"")</f>
        <v>0.0497290756859844</v>
      </c>
      <c r="H2640" s="27" t="n">
        <f aca="false">IF(G2640="","",G2640^2)</f>
        <v>0.00247298096858237</v>
      </c>
      <c r="I2640" s="25" t="n">
        <f aca="false">IF(G2640="","",C2640/C2639-1)</f>
        <v>0.0509863200535508</v>
      </c>
      <c r="J2640" s="17" t="n">
        <f aca="false">AVERAGE(C2441:C2640)</f>
        <v>48290.48945</v>
      </c>
      <c r="K2640" s="17" t="n">
        <f aca="false">MAX(K2639,C2640)</f>
        <v>67510.06</v>
      </c>
      <c r="L2640" s="25" t="n">
        <f aca="false">C2640/K2640-1</f>
        <v>-0.306476990244121</v>
      </c>
      <c r="M2640" s="25" t="n">
        <f aca="false">IF(COUNT(G2611:G2640)&lt;20,"",_xlfn.STDEV.S(G2611:G2640)*SQRT($R$3))</f>
        <v>0.789359756847109</v>
      </c>
      <c r="N2640" s="25" t="n">
        <f aca="false">IF(A2640-7&lt;$R$2,"",C2640/INDEX(Clean_Data!$C$2:$C$4314,MATCH(A2640-7,Clean_Data!$A$2:$A$4314,1))-1)</f>
        <v>0.134443859424251</v>
      </c>
      <c r="O2640" s="25" t="n">
        <f aca="false">IF(A2640-30&lt;$R$2,"",C2640/INDEX(Clean_Data!$C$2:$C$4314,MATCH(A2640-30,Clean_Data!$A$2:$A$4314,1))-1)</f>
        <v>0.193992267830912</v>
      </c>
    </row>
    <row r="2641" customFormat="false" ht="15" hidden="false" customHeight="false" outlineLevel="0" collapsed="false">
      <c r="A2641" s="16" t="n">
        <v>44648</v>
      </c>
      <c r="B2641" s="23" t="n">
        <f aca="false">YEAR(A2641)</f>
        <v>2022</v>
      </c>
      <c r="C2641" s="17" t="n">
        <v>47191.31</v>
      </c>
      <c r="D2641" s="23" t="n">
        <f aca="false">A2641-A2640</f>
        <v>1</v>
      </c>
      <c r="E2641" s="24" t="n">
        <f aca="false">LN(C2641)</f>
        <v>10.7619650444538</v>
      </c>
      <c r="F2641" s="25" t="n">
        <f aca="false">LN(C2641/C2640)</f>
        <v>0.007904002266582</v>
      </c>
      <c r="G2641" s="25" t="n">
        <f aca="false">IF(AND(D2641=1,A2641&gt;=$R$2),F2641,"")</f>
        <v>0.007904002266582</v>
      </c>
      <c r="H2641" s="27" t="n">
        <f aca="false">IF(G2641="","",G2641^2)</f>
        <v>6.24732518301333E-005</v>
      </c>
      <c r="I2641" s="25" t="n">
        <f aca="false">IF(G2641="","",C2641/C2640-1)</f>
        <v>0.00793532135349628</v>
      </c>
      <c r="J2641" s="17" t="n">
        <f aca="false">AVERAGE(C2442:C2641)</f>
        <v>48294.3731</v>
      </c>
      <c r="K2641" s="17" t="n">
        <f aca="false">MAX(K2640,C2641)</f>
        <v>67510.06</v>
      </c>
      <c r="L2641" s="25" t="n">
        <f aca="false">C2641/K2641-1</f>
        <v>-0.300973662295664</v>
      </c>
      <c r="M2641" s="25" t="n">
        <f aca="false">IF(COUNT(G2612:G2641)&lt;20,"",_xlfn.STDEV.S(G2612:G2641)*SQRT($R$3))</f>
        <v>0.788878947805745</v>
      </c>
      <c r="N2641" s="25" t="n">
        <f aca="false">IF(A2641-7&lt;$R$2,"",C2641/INDEX(Clean_Data!$C$2:$C$4314,MATCH(A2641-7,Clean_Data!$A$2:$A$4314,1))-1)</f>
        <v>0.150727457072644</v>
      </c>
      <c r="O2641" s="25" t="n">
        <f aca="false">IF(A2641-30&lt;$R$2,"",C2641/INDEX(Clean_Data!$C$2:$C$4314,MATCH(A2641-30,Clean_Data!$A$2:$A$4314,1))-1)</f>
        <v>0.205760559821208</v>
      </c>
    </row>
    <row r="2642" customFormat="false" ht="15" hidden="false" customHeight="false" outlineLevel="0" collapsed="false">
      <c r="A2642" s="16" t="n">
        <v>44649</v>
      </c>
      <c r="B2642" s="23" t="n">
        <f aca="false">YEAR(A2642)</f>
        <v>2022</v>
      </c>
      <c r="C2642" s="17" t="n">
        <v>47430.74</v>
      </c>
      <c r="D2642" s="23" t="n">
        <f aca="false">A2642-A2641</f>
        <v>1</v>
      </c>
      <c r="E2642" s="24" t="n">
        <f aca="false">LN(C2642)</f>
        <v>10.7670258206896</v>
      </c>
      <c r="F2642" s="25" t="n">
        <f aca="false">LN(C2642/C2641)</f>
        <v>0.00506077623582163</v>
      </c>
      <c r="G2642" s="25" t="n">
        <f aca="false">IF(AND(D2642=1,A2642&gt;=$R$2),F2642,"")</f>
        <v>0.00506077623582163</v>
      </c>
      <c r="H2642" s="27" t="n">
        <f aca="false">IF(G2642="","",G2642^2)</f>
        <v>2.56114561090569E-005</v>
      </c>
      <c r="I2642" s="25" t="n">
        <f aca="false">IF(G2642="","",C2642/C2641-1)</f>
        <v>0.00507360359354303</v>
      </c>
      <c r="J2642" s="17" t="n">
        <f aca="false">AVERAGE(C2443:C2642)</f>
        <v>48307.03805</v>
      </c>
      <c r="K2642" s="17" t="n">
        <f aca="false">MAX(K2641,C2642)</f>
        <v>67510.06</v>
      </c>
      <c r="L2642" s="25" t="n">
        <f aca="false">C2642/K2642-1</f>
        <v>-0.297427079756706</v>
      </c>
      <c r="M2642" s="25" t="n">
        <f aca="false">IF(COUNT(G2613:G2642)&lt;20,"",_xlfn.STDEV.S(G2613:G2642)*SQRT($R$3))</f>
        <v>0.773033046208389</v>
      </c>
      <c r="N2642" s="25" t="n">
        <f aca="false">IF(A2642-7&lt;$R$2,"",C2642/INDEX(Clean_Data!$C$2:$C$4314,MATCH(A2642-7,Clean_Data!$A$2:$A$4314,1))-1)</f>
        <v>0.119709026560038</v>
      </c>
      <c r="O2642" s="25" t="n">
        <f aca="false">IF(A2642-30&lt;$R$2,"",C2642/INDEX(Clean_Data!$C$2:$C$4314,MATCH(A2642-30,Clean_Data!$A$2:$A$4314,1))-1)</f>
        <v>0.258109814323607</v>
      </c>
    </row>
    <row r="2643" customFormat="false" ht="15" hidden="false" customHeight="false" outlineLevel="0" collapsed="false">
      <c r="A2643" s="16" t="n">
        <v>44650</v>
      </c>
      <c r="B2643" s="23" t="n">
        <f aca="false">YEAR(A2643)</f>
        <v>2022</v>
      </c>
      <c r="C2643" s="17" t="n">
        <v>47022.82</v>
      </c>
      <c r="D2643" s="23" t="n">
        <f aca="false">A2643-A2642</f>
        <v>1</v>
      </c>
      <c r="E2643" s="24" t="n">
        <f aca="false">LN(C2643)</f>
        <v>10.7583882947746</v>
      </c>
      <c r="F2643" s="25" t="n">
        <f aca="false">LN(C2643/C2642)</f>
        <v>-0.00863752591501049</v>
      </c>
      <c r="G2643" s="25" t="n">
        <f aca="false">IF(AND(D2643=1,A2643&gt;=$R$2),F2643,"")</f>
        <v>-0.00863752591501049</v>
      </c>
      <c r="H2643" s="27" t="n">
        <f aca="false">IF(G2643="","",G2643^2)</f>
        <v>7.46068539324778E-005</v>
      </c>
      <c r="I2643" s="25" t="n">
        <f aca="false">IF(G2643="","",C2643/C2642-1)</f>
        <v>-0.00860032965962576</v>
      </c>
      <c r="J2643" s="17" t="n">
        <f aca="false">AVERAGE(C2444:C2643)</f>
        <v>48316.51475</v>
      </c>
      <c r="K2643" s="17" t="n">
        <f aca="false">MAX(K2642,C2643)</f>
        <v>67510.06</v>
      </c>
      <c r="L2643" s="25" t="n">
        <f aca="false">C2643/K2643-1</f>
        <v>-0.303469438480724</v>
      </c>
      <c r="M2643" s="25" t="n">
        <f aca="false">IF(COUNT(G2614:G2643)&lt;20,"",_xlfn.STDEV.S(G2614:G2643)*SQRT($R$3))</f>
        <v>0.619468146761436</v>
      </c>
      <c r="N2643" s="25" t="n">
        <f aca="false">IF(A2643-7&lt;$R$2,"",C2643/INDEX(Clean_Data!$C$2:$C$4314,MATCH(A2643-7,Clean_Data!$A$2:$A$4314,1))-1)</f>
        <v>0.0950748341650312</v>
      </c>
      <c r="O2643" s="25" t="n">
        <f aca="false">IF(A2643-30&lt;$R$2,"",C2643/INDEX(Clean_Data!$C$2:$C$4314,MATCH(A2643-30,Clean_Data!$A$2:$A$4314,1))-1)</f>
        <v>0.0883395415731421</v>
      </c>
    </row>
    <row r="2644" customFormat="false" ht="15" hidden="false" customHeight="false" outlineLevel="0" collapsed="false">
      <c r="A2644" s="16" t="n">
        <v>44651</v>
      </c>
      <c r="B2644" s="23" t="n">
        <f aca="false">YEAR(A2644)</f>
        <v>2022</v>
      </c>
      <c r="C2644" s="17" t="n">
        <v>45475.83</v>
      </c>
      <c r="D2644" s="23" t="n">
        <f aca="false">A2644-A2643</f>
        <v>1</v>
      </c>
      <c r="E2644" s="24" t="n">
        <f aca="false">LN(C2644)</f>
        <v>10.7249362550065</v>
      </c>
      <c r="F2644" s="25" t="n">
        <f aca="false">LN(C2644/C2643)</f>
        <v>-0.0334520397681512</v>
      </c>
      <c r="G2644" s="25" t="n">
        <f aca="false">IF(AND(D2644=1,A2644&gt;=$R$2),F2644,"")</f>
        <v>-0.0334520397681512</v>
      </c>
      <c r="H2644" s="27" t="n">
        <f aca="false">IF(G2644="","",G2644^2)</f>
        <v>0.00111903896464997</v>
      </c>
      <c r="I2644" s="25" t="n">
        <f aca="false">IF(G2644="","",C2644/C2643-1)</f>
        <v>-0.0328987074786241</v>
      </c>
      <c r="J2644" s="17" t="n">
        <f aca="false">AVERAGE(C2445:C2644)</f>
        <v>48313.84325</v>
      </c>
      <c r="K2644" s="17" t="n">
        <f aca="false">MAX(K2643,C2644)</f>
        <v>67510.06</v>
      </c>
      <c r="L2644" s="25" t="n">
        <f aca="false">C2644/K2644-1</f>
        <v>-0.326384393674069</v>
      </c>
      <c r="M2644" s="25" t="n">
        <f aca="false">IF(COUNT(G2615:G2644)&lt;20,"",_xlfn.STDEV.S(G2615:G2644)*SQRT($R$3))</f>
        <v>0.625343598944327</v>
      </c>
      <c r="N2644" s="25" t="n">
        <f aca="false">IF(A2644-7&lt;$R$2,"",C2644/INDEX(Clean_Data!$C$2:$C$4314,MATCH(A2644-7,Clean_Data!$A$2:$A$4314,1))-1)</f>
        <v>0.0340238220188143</v>
      </c>
      <c r="O2644" s="25" t="n">
        <f aca="false">IF(A2644-30&lt;$R$2,"",C2644/INDEX(Clean_Data!$C$2:$C$4314,MATCH(A2644-30,Clean_Data!$A$2:$A$4314,1))-1)</f>
        <v>0.0239490500358011</v>
      </c>
    </row>
    <row r="2645" customFormat="false" ht="15" hidden="false" customHeight="false" outlineLevel="0" collapsed="false">
      <c r="A2645" s="16" t="n">
        <v>44652</v>
      </c>
      <c r="B2645" s="23" t="n">
        <f aca="false">YEAR(A2645)</f>
        <v>2022</v>
      </c>
      <c r="C2645" s="17" t="n">
        <v>46222.43</v>
      </c>
      <c r="D2645" s="23" t="n">
        <f aca="false">A2645-A2644</f>
        <v>1</v>
      </c>
      <c r="E2645" s="24" t="n">
        <f aca="false">LN(C2645)</f>
        <v>10.7412204570894</v>
      </c>
      <c r="F2645" s="25" t="n">
        <f aca="false">LN(C2645/C2644)</f>
        <v>0.016284202082928</v>
      </c>
      <c r="G2645" s="25" t="n">
        <f aca="false">IF(AND(D2645=1,A2645&gt;=$R$2),F2645,"")</f>
        <v>0.016284202082928</v>
      </c>
      <c r="H2645" s="27" t="n">
        <f aca="false">IF(G2645="","",G2645^2)</f>
        <v>0.000265175237477637</v>
      </c>
      <c r="I2645" s="25" t="n">
        <f aca="false">IF(G2645="","",C2645/C2644-1)</f>
        <v>0.0164175123356736</v>
      </c>
      <c r="J2645" s="17" t="n">
        <f aca="false">AVERAGE(C2446:C2645)</f>
        <v>48320.1103</v>
      </c>
      <c r="K2645" s="17" t="n">
        <f aca="false">MAX(K2644,C2645)</f>
        <v>67510.06</v>
      </c>
      <c r="L2645" s="25" t="n">
        <f aca="false">C2645/K2645-1</f>
        <v>-0.31532530114771</v>
      </c>
      <c r="M2645" s="25" t="n">
        <f aca="false">IF(COUNT(G2616:G2645)&lt;20,"",_xlfn.STDEV.S(G2616:G2645)*SQRT($R$3))</f>
        <v>0.625719351052438</v>
      </c>
      <c r="N2645" s="25" t="n">
        <f aca="false">IF(A2645-7&lt;$R$2,"",C2645/INDEX(Clean_Data!$C$2:$C$4314,MATCH(A2645-7,Clean_Data!$A$2:$A$4314,1))-1)</f>
        <v>0.0420993206870639</v>
      </c>
      <c r="O2645" s="25" t="n">
        <f aca="false">IF(A2645-30&lt;$R$2,"",C2645/INDEX(Clean_Data!$C$2:$C$4314,MATCH(A2645-30,Clean_Data!$A$2:$A$4314,1))-1)</f>
        <v>0.0537969005591306</v>
      </c>
    </row>
    <row r="2646" customFormat="false" ht="15" hidden="false" customHeight="false" outlineLevel="0" collapsed="false">
      <c r="A2646" s="16" t="n">
        <v>44653</v>
      </c>
      <c r="B2646" s="23" t="n">
        <f aca="false">YEAR(A2646)</f>
        <v>2022</v>
      </c>
      <c r="C2646" s="17" t="n">
        <v>45871.46</v>
      </c>
      <c r="D2646" s="23" t="n">
        <f aca="false">A2646-A2645</f>
        <v>1</v>
      </c>
      <c r="E2646" s="24" t="n">
        <f aca="false">LN(C2646)</f>
        <v>10.7335984161669</v>
      </c>
      <c r="F2646" s="25" t="n">
        <f aca="false">LN(C2646/C2645)</f>
        <v>-0.00762204092251334</v>
      </c>
      <c r="G2646" s="25" t="n">
        <f aca="false">IF(AND(D2646=1,A2646&gt;=$R$2),F2646,"")</f>
        <v>-0.00762204092251334</v>
      </c>
      <c r="H2646" s="27" t="n">
        <f aca="false">IF(G2646="","",G2646^2)</f>
        <v>5.80955078244679E-005</v>
      </c>
      <c r="I2646" s="25" t="n">
        <f aca="false">IF(G2646="","",C2646/C2645-1)</f>
        <v>-0.00759306682924288</v>
      </c>
      <c r="J2646" s="17" t="n">
        <f aca="false">AVERAGE(C2447:C2646)</f>
        <v>48313.9852</v>
      </c>
      <c r="K2646" s="17" t="n">
        <f aca="false">MAX(K2645,C2646)</f>
        <v>67510.06</v>
      </c>
      <c r="L2646" s="25" t="n">
        <f aca="false">C2646/K2646-1</f>
        <v>-0.320524081892388</v>
      </c>
      <c r="M2646" s="25" t="n">
        <f aca="false">IF(COUNT(G2617:G2646)&lt;20,"",_xlfn.STDEV.S(G2617:G2646)*SQRT($R$3))</f>
        <v>0.614017469824251</v>
      </c>
      <c r="N2646" s="25" t="n">
        <f aca="false">IF(A2646-7&lt;$R$2,"",C2646/INDEX(Clean_Data!$C$2:$C$4314,MATCH(A2646-7,Clean_Data!$A$2:$A$4314,1))-1)</f>
        <v>0.029698920859595</v>
      </c>
      <c r="O2646" s="25" t="n">
        <f aca="false">IF(A2646-30&lt;$R$2,"",C2646/INDEX(Clean_Data!$C$2:$C$4314,MATCH(A2646-30,Clean_Data!$A$2:$A$4314,1))-1)</f>
        <v>0.0810581636500753</v>
      </c>
    </row>
    <row r="2647" customFormat="false" ht="15" hidden="false" customHeight="false" outlineLevel="0" collapsed="false">
      <c r="A2647" s="16" t="n">
        <v>44654</v>
      </c>
      <c r="B2647" s="23" t="n">
        <f aca="false">YEAR(A2647)</f>
        <v>2022</v>
      </c>
      <c r="C2647" s="17" t="n">
        <v>46358.05</v>
      </c>
      <c r="D2647" s="23" t="n">
        <f aca="false">A2647-A2646</f>
        <v>1</v>
      </c>
      <c r="E2647" s="24" t="n">
        <f aca="false">LN(C2647)</f>
        <v>10.7441502344465</v>
      </c>
      <c r="F2647" s="25" t="n">
        <f aca="false">LN(C2647/C2646)</f>
        <v>0.0105518182796608</v>
      </c>
      <c r="G2647" s="25" t="n">
        <f aca="false">IF(AND(D2647=1,A2647&gt;=$R$2),F2647,"")</f>
        <v>0.0105518182796608</v>
      </c>
      <c r="H2647" s="27" t="n">
        <f aca="false">IF(G2647="","",G2647^2)</f>
        <v>0.000111340869006983</v>
      </c>
      <c r="I2647" s="25" t="n">
        <f aca="false">IF(G2647="","",C2647/C2646-1)</f>
        <v>0.010607685039892</v>
      </c>
      <c r="J2647" s="17" t="n">
        <f aca="false">AVERAGE(C2448:C2647)</f>
        <v>48305.2419</v>
      </c>
      <c r="K2647" s="17" t="n">
        <f aca="false">MAX(K2646,C2647)</f>
        <v>67510.06</v>
      </c>
      <c r="L2647" s="25" t="n">
        <f aca="false">C2647/K2647-1</f>
        <v>-0.313316415360911</v>
      </c>
      <c r="M2647" s="25" t="n">
        <f aca="false">IF(COUNT(G2618:G2647)&lt;20,"",_xlfn.STDEV.S(G2618:G2647)*SQRT($R$3))</f>
        <v>0.538961273790202</v>
      </c>
      <c r="N2647" s="25" t="n">
        <f aca="false">IF(A2647-7&lt;$R$2,"",C2647/INDEX(Clean_Data!$C$2:$C$4314,MATCH(A2647-7,Clean_Data!$A$2:$A$4314,1))-1)</f>
        <v>-0.00986185753115443</v>
      </c>
      <c r="O2647" s="25" t="n">
        <f aca="false">IF(A2647-30&lt;$R$2,"",C2647/INDEX(Clean_Data!$C$2:$C$4314,MATCH(A2647-30,Clean_Data!$A$2:$A$4314,1))-1)</f>
        <v>0.182429269977353</v>
      </c>
    </row>
    <row r="2648" customFormat="false" ht="15" hidden="false" customHeight="false" outlineLevel="0" collapsed="false">
      <c r="A2648" s="16" t="n">
        <v>44655</v>
      </c>
      <c r="B2648" s="23" t="n">
        <f aca="false">YEAR(A2648)</f>
        <v>2022</v>
      </c>
      <c r="C2648" s="17" t="n">
        <v>46568.89</v>
      </c>
      <c r="D2648" s="23" t="n">
        <f aca="false">A2648-A2647</f>
        <v>1</v>
      </c>
      <c r="E2648" s="24" t="n">
        <f aca="false">LN(C2648)</f>
        <v>10.7486880006054</v>
      </c>
      <c r="F2648" s="25" t="n">
        <f aca="false">LN(C2648/C2647)</f>
        <v>0.004537766158864</v>
      </c>
      <c r="G2648" s="25" t="n">
        <f aca="false">IF(AND(D2648=1,A2648&gt;=$R$2),F2648,"")</f>
        <v>0.004537766158864</v>
      </c>
      <c r="H2648" s="27" t="n">
        <f aca="false">IF(G2648="","",G2648^2)</f>
        <v>2.05913217125314E-005</v>
      </c>
      <c r="I2648" s="25" t="n">
        <f aca="false">IF(G2648="","",C2648/C2647-1)</f>
        <v>0.00454807741050356</v>
      </c>
      <c r="J2648" s="17" t="n">
        <f aca="false">AVERAGE(C2449:C2648)</f>
        <v>48299.22285</v>
      </c>
      <c r="K2648" s="17" t="n">
        <f aca="false">MAX(K2647,C2648)</f>
        <v>67510.06</v>
      </c>
      <c r="L2648" s="25" t="n">
        <f aca="false">C2648/K2648-1</f>
        <v>-0.31019332526145</v>
      </c>
      <c r="M2648" s="25" t="n">
        <f aca="false">IF(COUNT(G2619:G2648)&lt;20,"",_xlfn.STDEV.S(G2619:G2648)*SQRT($R$3))</f>
        <v>0.538965143810631</v>
      </c>
      <c r="N2648" s="25" t="n">
        <f aca="false">IF(A2648-7&lt;$R$2,"",C2648/INDEX(Clean_Data!$C$2:$C$4314,MATCH(A2648-7,Clean_Data!$A$2:$A$4314,1))-1)</f>
        <v>-0.0131892926896922</v>
      </c>
      <c r="O2648" s="25" t="n">
        <f aca="false">IF(A2648-30&lt;$R$2,"",C2648/INDEX(Clean_Data!$C$2:$C$4314,MATCH(A2648-30,Clean_Data!$A$2:$A$4314,1))-1)</f>
        <v>0.182224874837811</v>
      </c>
    </row>
    <row r="2649" customFormat="false" ht="15" hidden="false" customHeight="false" outlineLevel="0" collapsed="false">
      <c r="A2649" s="16" t="n">
        <v>44656</v>
      </c>
      <c r="B2649" s="23" t="n">
        <f aca="false">YEAR(A2649)</f>
        <v>2022</v>
      </c>
      <c r="C2649" s="17" t="n">
        <v>45449.25</v>
      </c>
      <c r="D2649" s="23" t="n">
        <f aca="false">A2649-A2648</f>
        <v>1</v>
      </c>
      <c r="E2649" s="24" t="n">
        <f aca="false">LN(C2649)</f>
        <v>10.7243515978193</v>
      </c>
      <c r="F2649" s="25" t="n">
        <f aca="false">LN(C2649/C2648)</f>
        <v>-0.0243364027860907</v>
      </c>
      <c r="G2649" s="25" t="n">
        <f aca="false">IF(AND(D2649=1,A2649&gt;=$R$2),F2649,"")</f>
        <v>-0.0243364027860907</v>
      </c>
      <c r="H2649" s="27" t="n">
        <f aca="false">IF(G2649="","",G2649^2)</f>
        <v>0.000592260500566844</v>
      </c>
      <c r="I2649" s="25" t="n">
        <f aca="false">IF(G2649="","",C2649/C2648-1)</f>
        <v>-0.0240426602394861</v>
      </c>
      <c r="J2649" s="17" t="n">
        <f aca="false">AVERAGE(C2450:C2649)</f>
        <v>48289.7801</v>
      </c>
      <c r="K2649" s="17" t="n">
        <f aca="false">MAX(K2648,C2649)</f>
        <v>67510.06</v>
      </c>
      <c r="L2649" s="25" t="n">
        <f aca="false">C2649/K2649-1</f>
        <v>-0.326778112773119</v>
      </c>
      <c r="M2649" s="25" t="n">
        <f aca="false">IF(COUNT(G2620:G2649)&lt;20,"",_xlfn.STDEV.S(G2620:G2649)*SQRT($R$3))</f>
        <v>0.538750997509608</v>
      </c>
      <c r="N2649" s="25" t="n">
        <f aca="false">IF(A2649-7&lt;$R$2,"",C2649/INDEX(Clean_Data!$C$2:$C$4314,MATCH(A2649-7,Clean_Data!$A$2:$A$4314,1))-1)</f>
        <v>-0.0417764934723768</v>
      </c>
      <c r="O2649" s="25" t="n">
        <f aca="false">IF(A2649-30&lt;$R$2,"",C2649/INDEX(Clean_Data!$C$2:$C$4314,MATCH(A2649-30,Clean_Data!$A$2:$A$4314,1))-1)</f>
        <v>0.182585343349611</v>
      </c>
    </row>
    <row r="2650" customFormat="false" ht="15" hidden="false" customHeight="false" outlineLevel="0" collapsed="false">
      <c r="A2650" s="16" t="n">
        <v>44657</v>
      </c>
      <c r="B2650" s="23" t="n">
        <f aca="false">YEAR(A2650)</f>
        <v>2022</v>
      </c>
      <c r="C2650" s="17" t="n">
        <v>43206.04</v>
      </c>
      <c r="D2650" s="23" t="n">
        <f aca="false">A2650-A2649</f>
        <v>1</v>
      </c>
      <c r="E2650" s="24" t="n">
        <f aca="false">LN(C2650)</f>
        <v>10.6737355792738</v>
      </c>
      <c r="F2650" s="25" t="n">
        <f aca="false">LN(C2650/C2649)</f>
        <v>-0.05061601854547</v>
      </c>
      <c r="G2650" s="25" t="n">
        <f aca="false">IF(AND(D2650=1,A2650&gt;=$R$2),F2650,"")</f>
        <v>-0.05061601854547</v>
      </c>
      <c r="H2650" s="27" t="n">
        <f aca="false">IF(G2650="","",G2650^2)</f>
        <v>0.00256198133339536</v>
      </c>
      <c r="I2650" s="25" t="n">
        <f aca="false">IF(G2650="","",C2650/C2649-1)</f>
        <v>-0.049356370017107</v>
      </c>
      <c r="J2650" s="17" t="n">
        <f aca="false">AVERAGE(C2451:C2650)</f>
        <v>48264.3101</v>
      </c>
      <c r="K2650" s="17" t="n">
        <f aca="false">MAX(K2649,C2650)</f>
        <v>67510.06</v>
      </c>
      <c r="L2650" s="25" t="n">
        <f aca="false">C2650/K2650-1</f>
        <v>-0.360005901342704</v>
      </c>
      <c r="M2650" s="25" t="n">
        <f aca="false">IF(COUNT(G2621:G2650)&lt;20,"",_xlfn.STDEV.S(G2621:G2650)*SQRT($R$3))</f>
        <v>0.570806844359445</v>
      </c>
      <c r="N2650" s="25" t="n">
        <f aca="false">IF(A2650-7&lt;$R$2,"",C2650/INDEX(Clean_Data!$C$2:$C$4314,MATCH(A2650-7,Clean_Data!$A$2:$A$4314,1))-1)</f>
        <v>-0.0811686751241205</v>
      </c>
      <c r="O2650" s="25" t="n">
        <f aca="false">IF(A2650-30&lt;$R$2,"",C2650/INDEX(Clean_Data!$C$2:$C$4314,MATCH(A2650-30,Clean_Data!$A$2:$A$4314,1))-1)</f>
        <v>0.136860740082343</v>
      </c>
    </row>
    <row r="2651" customFormat="false" ht="15" hidden="false" customHeight="false" outlineLevel="0" collapsed="false">
      <c r="A2651" s="16" t="n">
        <v>44658</v>
      </c>
      <c r="B2651" s="23" t="n">
        <f aca="false">YEAR(A2651)</f>
        <v>2022</v>
      </c>
      <c r="C2651" s="17" t="n">
        <v>43432.08</v>
      </c>
      <c r="D2651" s="23" t="n">
        <f aca="false">A2651-A2650</f>
        <v>1</v>
      </c>
      <c r="E2651" s="24" t="n">
        <f aca="false">LN(C2651)</f>
        <v>10.6789536175434</v>
      </c>
      <c r="F2651" s="25" t="n">
        <f aca="false">LN(C2651/C2650)</f>
        <v>0.00521803826959966</v>
      </c>
      <c r="G2651" s="25" t="n">
        <f aca="false">IF(AND(D2651=1,A2651&gt;=$R$2),F2651,"")</f>
        <v>0.00521803826959966</v>
      </c>
      <c r="H2651" s="27" t="n">
        <f aca="false">IF(G2651="","",G2651^2)</f>
        <v>2.72279233830066E-005</v>
      </c>
      <c r="I2651" s="25" t="n">
        <f aca="false">IF(G2651="","",C2651/C2650-1)</f>
        <v>0.00523167594160445</v>
      </c>
      <c r="J2651" s="17" t="n">
        <f aca="false">AVERAGE(C2452:C2651)</f>
        <v>48245.11675</v>
      </c>
      <c r="K2651" s="17" t="n">
        <f aca="false">MAX(K2650,C2651)</f>
        <v>67510.06</v>
      </c>
      <c r="L2651" s="25" t="n">
        <f aca="false">C2651/K2651-1</f>
        <v>-0.356657659613989</v>
      </c>
      <c r="M2651" s="25" t="n">
        <f aca="false">IF(COUNT(G2622:G2651)&lt;20,"",_xlfn.STDEV.S(G2622:G2651)*SQRT($R$3))</f>
        <v>0.568432838228864</v>
      </c>
      <c r="N2651" s="25" t="n">
        <f aca="false">IF(A2651-7&lt;$R$2,"",C2651/INDEX(Clean_Data!$C$2:$C$4314,MATCH(A2651-7,Clean_Data!$A$2:$A$4314,1))-1)</f>
        <v>-0.0449414557139474</v>
      </c>
      <c r="O2651" s="25" t="n">
        <f aca="false">IF(A2651-30&lt;$R$2,"",C2651/INDEX(Clean_Data!$C$2:$C$4314,MATCH(A2651-30,Clean_Data!$A$2:$A$4314,1))-1)</f>
        <v>0.12157433295605</v>
      </c>
    </row>
    <row r="2652" customFormat="false" ht="15" hidden="false" customHeight="false" outlineLevel="0" collapsed="false">
      <c r="A2652" s="16" t="n">
        <v>44659</v>
      </c>
      <c r="B2652" s="23" t="n">
        <f aca="false">YEAR(A2652)</f>
        <v>2022</v>
      </c>
      <c r="C2652" s="17" t="n">
        <v>42281.5</v>
      </c>
      <c r="D2652" s="23" t="n">
        <f aca="false">A2652-A2651</f>
        <v>1</v>
      </c>
      <c r="E2652" s="24" t="n">
        <f aca="false">LN(C2652)</f>
        <v>10.6521049171221</v>
      </c>
      <c r="F2652" s="25" t="n">
        <f aca="false">LN(C2652/C2651)</f>
        <v>-0.0268487004213173</v>
      </c>
      <c r="G2652" s="25" t="n">
        <f aca="false">IF(AND(D2652=1,A2652&gt;=$R$2),F2652,"")</f>
        <v>-0.0268487004213173</v>
      </c>
      <c r="H2652" s="27" t="n">
        <f aca="false">IF(G2652="","",G2652^2)</f>
        <v>0.000720852714313643</v>
      </c>
      <c r="I2652" s="25" t="n">
        <f aca="false">IF(G2652="","",C2652/C2651-1)</f>
        <v>-0.0264914781884728</v>
      </c>
      <c r="J2652" s="17" t="n">
        <f aca="false">AVERAGE(C2453:C2652)</f>
        <v>48241.56855</v>
      </c>
      <c r="K2652" s="17" t="n">
        <f aca="false">MAX(K2651,C2652)</f>
        <v>67510.06</v>
      </c>
      <c r="L2652" s="25" t="n">
        <f aca="false">C2652/K2652-1</f>
        <v>-0.373700749192046</v>
      </c>
      <c r="M2652" s="25" t="n">
        <f aca="false">IF(COUNT(G2623:G2652)&lt;20,"",_xlfn.STDEV.S(G2623:G2652)*SQRT($R$3))</f>
        <v>0.505353106488856</v>
      </c>
      <c r="N2652" s="25" t="n">
        <f aca="false">IF(A2652-7&lt;$R$2,"",C2652/INDEX(Clean_Data!$C$2:$C$4314,MATCH(A2652-7,Clean_Data!$A$2:$A$4314,1))-1)</f>
        <v>-0.0852601215470498</v>
      </c>
      <c r="O2652" s="25" t="n">
        <f aca="false">IF(A2652-30&lt;$R$2,"",C2652/INDEX(Clean_Data!$C$2:$C$4314,MATCH(A2652-30,Clean_Data!$A$2:$A$4314,1))-1)</f>
        <v>0.00704141822985172</v>
      </c>
    </row>
    <row r="2653" customFormat="false" ht="15" hidden="false" customHeight="false" outlineLevel="0" collapsed="false">
      <c r="A2653" s="16" t="n">
        <v>44660</v>
      </c>
      <c r="B2653" s="23" t="n">
        <f aca="false">YEAR(A2653)</f>
        <v>2022</v>
      </c>
      <c r="C2653" s="17" t="n">
        <v>42773.37</v>
      </c>
      <c r="D2653" s="23" t="n">
        <f aca="false">A2653-A2652</f>
        <v>1</v>
      </c>
      <c r="E2653" s="24" t="n">
        <f aca="false">LN(C2653)</f>
        <v>10.6636709916638</v>
      </c>
      <c r="F2653" s="25" t="n">
        <f aca="false">LN(C2653/C2652)</f>
        <v>0.0115660745416659</v>
      </c>
      <c r="G2653" s="25" t="n">
        <f aca="false">IF(AND(D2653=1,A2653&gt;=$R$2),F2653,"")</f>
        <v>0.0115660745416659</v>
      </c>
      <c r="H2653" s="27" t="n">
        <f aca="false">IF(G2653="","",G2653^2)</f>
        <v>0.000133774080303372</v>
      </c>
      <c r="I2653" s="25" t="n">
        <f aca="false">IF(G2653="","",C2653/C2652-1)</f>
        <v>0.0116332202026892</v>
      </c>
      <c r="J2653" s="17" t="n">
        <f aca="false">AVERAGE(C2454:C2653)</f>
        <v>48252.15475</v>
      </c>
      <c r="K2653" s="17" t="n">
        <f aca="false">MAX(K2652,C2653)</f>
        <v>67510.06</v>
      </c>
      <c r="L2653" s="25" t="n">
        <f aca="false">C2653/K2653-1</f>
        <v>-0.366414872094618</v>
      </c>
      <c r="M2653" s="25" t="n">
        <f aca="false">IF(COUNT(G2624:G2653)&lt;20,"",_xlfn.STDEV.S(G2624:G2653)*SQRT($R$3))</f>
        <v>0.453535452837719</v>
      </c>
      <c r="N2653" s="25" t="n">
        <f aca="false">IF(A2653-7&lt;$R$2,"",C2653/INDEX(Clean_Data!$C$2:$C$4314,MATCH(A2653-7,Clean_Data!$A$2:$A$4314,1))-1)</f>
        <v>-0.0675385086936408</v>
      </c>
      <c r="O2653" s="25" t="n">
        <f aca="false">IF(A2653-30&lt;$R$2,"",C2653/INDEX(Clean_Data!$C$2:$C$4314,MATCH(A2653-30,Clean_Data!$A$2:$A$4314,1))-1)</f>
        <v>0.0841087551422677</v>
      </c>
    </row>
    <row r="2654" customFormat="false" ht="15" hidden="false" customHeight="false" outlineLevel="0" collapsed="false">
      <c r="A2654" s="16" t="n">
        <v>44661</v>
      </c>
      <c r="B2654" s="23" t="n">
        <f aca="false">YEAR(A2654)</f>
        <v>2022</v>
      </c>
      <c r="C2654" s="17" t="n">
        <v>42177.2</v>
      </c>
      <c r="D2654" s="23" t="n">
        <f aca="false">A2654-A2653</f>
        <v>1</v>
      </c>
      <c r="E2654" s="24" t="n">
        <f aca="false">LN(C2654)</f>
        <v>10.6496350696577</v>
      </c>
      <c r="F2654" s="25" t="n">
        <f aca="false">LN(C2654/C2653)</f>
        <v>-0.0140359220060582</v>
      </c>
      <c r="G2654" s="25" t="n">
        <f aca="false">IF(AND(D2654=1,A2654&gt;=$R$2),F2654,"")</f>
        <v>-0.0140359220060582</v>
      </c>
      <c r="H2654" s="27" t="n">
        <f aca="false">IF(G2654="","",G2654^2)</f>
        <v>0.000197007106560149</v>
      </c>
      <c r="I2654" s="25" t="n">
        <f aca="false">IF(G2654="","",C2654/C2653-1)</f>
        <v>-0.0139378777028792</v>
      </c>
      <c r="J2654" s="17" t="n">
        <f aca="false">AVERAGE(C2455:C2654)</f>
        <v>48245.3203</v>
      </c>
      <c r="K2654" s="17" t="n">
        <f aca="false">MAX(K2653,C2654)</f>
        <v>67510.06</v>
      </c>
      <c r="L2654" s="25" t="n">
        <f aca="false">C2654/K2654-1</f>
        <v>-0.375245704121726</v>
      </c>
      <c r="M2654" s="25" t="n">
        <f aca="false">IF(COUNT(G2625:G2654)&lt;20,"",_xlfn.STDEV.S(G2625:G2654)*SQRT($R$3))</f>
        <v>0.450197598356241</v>
      </c>
      <c r="N2654" s="25" t="n">
        <f aca="false">IF(A2654-7&lt;$R$2,"",C2654/INDEX(Clean_Data!$C$2:$C$4314,MATCH(A2654-7,Clean_Data!$A$2:$A$4314,1))-1)</f>
        <v>-0.0901860626147994</v>
      </c>
      <c r="O2654" s="25" t="n">
        <f aca="false">IF(A2654-30&lt;$R$2,"",C2654/INDEX(Clean_Data!$C$2:$C$4314,MATCH(A2654-30,Clean_Data!$A$2:$A$4314,1))-1)</f>
        <v>0.0906741941456541</v>
      </c>
    </row>
    <row r="2655" customFormat="false" ht="15" hidden="false" customHeight="false" outlineLevel="0" collapsed="false">
      <c r="A2655" s="16" t="n">
        <v>44662</v>
      </c>
      <c r="B2655" s="23" t="n">
        <f aca="false">YEAR(A2655)</f>
        <v>2022</v>
      </c>
      <c r="C2655" s="17" t="n">
        <v>39615.2</v>
      </c>
      <c r="D2655" s="23" t="n">
        <f aca="false">A2655-A2654</f>
        <v>1</v>
      </c>
      <c r="E2655" s="24" t="n">
        <f aca="false">LN(C2655)</f>
        <v>10.5869681619793</v>
      </c>
      <c r="F2655" s="25" t="n">
        <f aca="false">LN(C2655/C2654)</f>
        <v>-0.0626669076784234</v>
      </c>
      <c r="G2655" s="25" t="n">
        <f aca="false">IF(AND(D2655=1,A2655&gt;=$R$2),F2655,"")</f>
        <v>-0.0626669076784234</v>
      </c>
      <c r="H2655" s="27" t="n">
        <f aca="false">IF(G2655="","",G2655^2)</f>
        <v>0.00392714131797605</v>
      </c>
      <c r="I2655" s="25" t="n">
        <f aca="false">IF(G2655="","",C2655/C2654-1)</f>
        <v>-0.0607437193554812</v>
      </c>
      <c r="J2655" s="17" t="n">
        <f aca="false">AVERAGE(C2456:C2655)</f>
        <v>48218.93275</v>
      </c>
      <c r="K2655" s="17" t="n">
        <f aca="false">MAX(K2654,C2655)</f>
        <v>67510.06</v>
      </c>
      <c r="L2655" s="25" t="n">
        <f aca="false">C2655/K2655-1</f>
        <v>-0.413195603736688</v>
      </c>
      <c r="M2655" s="25" t="n">
        <f aca="false">IF(COUNT(G2626:G2655)&lt;20,"",_xlfn.STDEV.S(G2626:G2655)*SQRT($R$3))</f>
        <v>0.50496623312911</v>
      </c>
      <c r="N2655" s="25" t="n">
        <f aca="false">IF(A2655-7&lt;$R$2,"",C2655/INDEX(Clean_Data!$C$2:$C$4314,MATCH(A2655-7,Clean_Data!$A$2:$A$4314,1))-1)</f>
        <v>-0.149320501304626</v>
      </c>
      <c r="O2655" s="25" t="n">
        <f aca="false">IF(A2655-30&lt;$R$2,"",C2655/INDEX(Clean_Data!$C$2:$C$4314,MATCH(A2655-30,Clean_Data!$A$2:$A$4314,1))-1)</f>
        <v>0.0218536018642188</v>
      </c>
    </row>
    <row r="2656" customFormat="false" ht="15" hidden="false" customHeight="false" outlineLevel="0" collapsed="false">
      <c r="A2656" s="16" t="n">
        <v>44663</v>
      </c>
      <c r="B2656" s="23" t="n">
        <f aca="false">YEAR(A2656)</f>
        <v>2022</v>
      </c>
      <c r="C2656" s="17" t="n">
        <v>40105.2</v>
      </c>
      <c r="D2656" s="23" t="n">
        <f aca="false">A2656-A2655</f>
        <v>1</v>
      </c>
      <c r="E2656" s="24" t="n">
        <f aca="false">LN(C2656)</f>
        <v>10.599261280698</v>
      </c>
      <c r="F2656" s="25" t="n">
        <f aca="false">LN(C2656/C2655)</f>
        <v>0.0122931187186503</v>
      </c>
      <c r="G2656" s="25" t="n">
        <f aca="false">IF(AND(D2656=1,A2656&gt;=$R$2),F2656,"")</f>
        <v>0.0122931187186503</v>
      </c>
      <c r="H2656" s="27" t="n">
        <f aca="false">IF(G2656="","",G2656^2)</f>
        <v>0.000151120767830831</v>
      </c>
      <c r="I2656" s="25" t="n">
        <f aca="false">IF(G2656="","",C2656/C2655-1)</f>
        <v>0.0123689896807286</v>
      </c>
      <c r="J2656" s="17" t="n">
        <f aca="false">AVERAGE(C2457:C2656)</f>
        <v>48205.3755</v>
      </c>
      <c r="K2656" s="17" t="n">
        <f aca="false">MAX(K2655,C2656)</f>
        <v>67510.06</v>
      </c>
      <c r="L2656" s="25" t="n">
        <f aca="false">C2656/K2656-1</f>
        <v>-0.4059374262147</v>
      </c>
      <c r="M2656" s="25" t="n">
        <f aca="false">IF(COUNT(G2627:G2656)&lt;20,"",_xlfn.STDEV.S(G2627:G2656)*SQRT($R$3))</f>
        <v>0.497199679754305</v>
      </c>
      <c r="N2656" s="25" t="n">
        <f aca="false">IF(A2656-7&lt;$R$2,"",C2656/INDEX(Clean_Data!$C$2:$C$4314,MATCH(A2656-7,Clean_Data!$A$2:$A$4314,1))-1)</f>
        <v>-0.117582798396013</v>
      </c>
      <c r="O2656" s="25" t="n">
        <f aca="false">IF(A2656-30&lt;$R$2,"",C2656/INDEX(Clean_Data!$C$2:$C$4314,MATCH(A2656-30,Clean_Data!$A$2:$A$4314,1))-1)</f>
        <v>0.0615418577061917</v>
      </c>
    </row>
    <row r="2657" customFormat="false" ht="15" hidden="false" customHeight="false" outlineLevel="0" collapsed="false">
      <c r="A2657" s="16" t="n">
        <v>44664</v>
      </c>
      <c r="B2657" s="23" t="n">
        <f aca="false">YEAR(A2657)</f>
        <v>2022</v>
      </c>
      <c r="C2657" s="17" t="n">
        <v>41101.04</v>
      </c>
      <c r="D2657" s="23" t="n">
        <f aca="false">A2657-A2656</f>
        <v>1</v>
      </c>
      <c r="E2657" s="24" t="n">
        <f aca="false">LN(C2657)</f>
        <v>10.6237887043004</v>
      </c>
      <c r="F2657" s="25" t="n">
        <f aca="false">LN(C2657/C2656)</f>
        <v>0.0245274236024815</v>
      </c>
      <c r="G2657" s="25" t="n">
        <f aca="false">IF(AND(D2657=1,A2657&gt;=$R$2),F2657,"")</f>
        <v>0.0245274236024815</v>
      </c>
      <c r="H2657" s="27" t="n">
        <f aca="false">IF(G2657="","",G2657^2)</f>
        <v>0.000601594508575566</v>
      </c>
      <c r="I2657" s="25" t="n">
        <f aca="false">IF(G2657="","",C2657/C2656-1)</f>
        <v>0.0248306952714361</v>
      </c>
      <c r="J2657" s="17" t="n">
        <f aca="false">AVERAGE(C2458:C2657)</f>
        <v>48197.4694</v>
      </c>
      <c r="K2657" s="17" t="n">
        <f aca="false">MAX(K2656,C2657)</f>
        <v>67510.06</v>
      </c>
      <c r="L2657" s="25" t="n">
        <f aca="false">C2657/K2657-1</f>
        <v>-0.391186439472873</v>
      </c>
      <c r="M2657" s="25" t="n">
        <f aca="false">IF(COUNT(G2628:G2657)&lt;20,"",_xlfn.STDEV.S(G2628:G2657)*SQRT($R$3))</f>
        <v>0.475936384249554</v>
      </c>
      <c r="N2657" s="25" t="n">
        <f aca="false">IF(A2657-7&lt;$R$2,"",C2657/INDEX(Clean_Data!$C$2:$C$4314,MATCH(A2657-7,Clean_Data!$A$2:$A$4314,1))-1)</f>
        <v>-0.0487200400684719</v>
      </c>
      <c r="O2657" s="25" t="n">
        <f aca="false">IF(A2657-30&lt;$R$2,"",C2657/INDEX(Clean_Data!$C$2:$C$4314,MATCH(A2657-30,Clean_Data!$A$2:$A$4314,1))-1)</f>
        <v>0.0367300897366825</v>
      </c>
    </row>
    <row r="2658" customFormat="false" ht="15" hidden="false" customHeight="false" outlineLevel="0" collapsed="false">
      <c r="A2658" s="16" t="n">
        <v>44665</v>
      </c>
      <c r="B2658" s="23" t="n">
        <f aca="false">YEAR(A2658)</f>
        <v>2022</v>
      </c>
      <c r="C2658" s="17" t="n">
        <v>39910.05</v>
      </c>
      <c r="D2658" s="23" t="n">
        <f aca="false">A2658-A2657</f>
        <v>1</v>
      </c>
      <c r="E2658" s="24" t="n">
        <f aca="false">LN(C2658)</f>
        <v>10.5943834508608</v>
      </c>
      <c r="F2658" s="25" t="n">
        <f aca="false">LN(C2658/C2657)</f>
        <v>-0.0294052534395976</v>
      </c>
      <c r="G2658" s="25" t="n">
        <f aca="false">IF(AND(D2658=1,A2658&gt;=$R$2),F2658,"")</f>
        <v>-0.0294052534395976</v>
      </c>
      <c r="H2658" s="27" t="n">
        <f aca="false">IF(G2658="","",G2658^2)</f>
        <v>0.000864668929846964</v>
      </c>
      <c r="I2658" s="25" t="n">
        <f aca="false">IF(G2658="","",C2658/C2657-1)</f>
        <v>-0.0289771256396432</v>
      </c>
      <c r="J2658" s="17" t="n">
        <f aca="false">AVERAGE(C2459:C2658)</f>
        <v>48181.30945</v>
      </c>
      <c r="K2658" s="17" t="n">
        <f aca="false">MAX(K2657,C2658)</f>
        <v>67510.06</v>
      </c>
      <c r="L2658" s="25" t="n">
        <f aca="false">C2658/K2658-1</f>
        <v>-0.408828106507386</v>
      </c>
      <c r="M2658" s="25" t="n">
        <f aca="false">IF(COUNT(G2629:G2658)&lt;20,"",_xlfn.STDEV.S(G2629:G2658)*SQRT($R$3))</f>
        <v>0.48704772929695</v>
      </c>
      <c r="N2658" s="25" t="n">
        <f aca="false">IF(A2658-7&lt;$R$2,"",C2658/INDEX(Clean_Data!$C$2:$C$4314,MATCH(A2658-7,Clean_Data!$A$2:$A$4314,1))-1)</f>
        <v>-0.0810928235534655</v>
      </c>
      <c r="O2658" s="25" t="n">
        <f aca="false">IF(A2658-30&lt;$R$2,"",C2658/INDEX(Clean_Data!$C$2:$C$4314,MATCH(A2658-30,Clean_Data!$A$2:$A$4314,1))-1)</f>
        <v>0.0139398130552399</v>
      </c>
    </row>
    <row r="2659" customFormat="false" ht="15" hidden="false" customHeight="false" outlineLevel="0" collapsed="false">
      <c r="A2659" s="16" t="n">
        <v>44666</v>
      </c>
      <c r="B2659" s="23" t="n">
        <f aca="false">YEAR(A2659)</f>
        <v>2022</v>
      </c>
      <c r="C2659" s="17" t="n">
        <v>40566.6</v>
      </c>
      <c r="D2659" s="23" t="n">
        <f aca="false">A2659-A2658</f>
        <v>1</v>
      </c>
      <c r="E2659" s="24" t="n">
        <f aca="false">LN(C2659)</f>
        <v>10.6107003469208</v>
      </c>
      <c r="F2659" s="25" t="n">
        <f aca="false">LN(C2659/C2658)</f>
        <v>0.0163168960599473</v>
      </c>
      <c r="G2659" s="25" t="n">
        <f aca="false">IF(AND(D2659=1,A2659&gt;=$R$2),F2659,"")</f>
        <v>0.0163168960599473</v>
      </c>
      <c r="H2659" s="27" t="n">
        <f aca="false">IF(G2659="","",G2659^2)</f>
        <v>0.000266241097031122</v>
      </c>
      <c r="I2659" s="25" t="n">
        <f aca="false">IF(G2659="","",C2659/C2658-1)</f>
        <v>0.0164507436096921</v>
      </c>
      <c r="J2659" s="17" t="n">
        <f aca="false">AVERAGE(C2460:C2659)</f>
        <v>48173.06985</v>
      </c>
      <c r="K2659" s="17" t="n">
        <f aca="false">MAX(K2658,C2659)</f>
        <v>67510.06</v>
      </c>
      <c r="L2659" s="25" t="n">
        <f aca="false">C2659/K2659-1</f>
        <v>-0.399102889258282</v>
      </c>
      <c r="M2659" s="25" t="n">
        <f aca="false">IF(COUNT(G2630:G2659)&lt;20,"",_xlfn.STDEV.S(G2630:G2659)*SQRT($R$3))</f>
        <v>0.465614351188908</v>
      </c>
      <c r="N2659" s="25" t="n">
        <f aca="false">IF(A2659-7&lt;$R$2,"",C2659/INDEX(Clean_Data!$C$2:$C$4314,MATCH(A2659-7,Clean_Data!$A$2:$A$4314,1))-1)</f>
        <v>-0.0405591097761433</v>
      </c>
      <c r="O2659" s="25" t="n">
        <f aca="false">IF(A2659-30&lt;$R$2,"",C2659/INDEX(Clean_Data!$C$2:$C$4314,MATCH(A2659-30,Clean_Data!$A$2:$A$4314,1))-1)</f>
        <v>-0.013214594555806</v>
      </c>
    </row>
    <row r="2660" customFormat="false" ht="15" hidden="false" customHeight="false" outlineLevel="0" collapsed="false">
      <c r="A2660" s="16" t="n">
        <v>44667</v>
      </c>
      <c r="B2660" s="23" t="n">
        <f aca="false">YEAR(A2660)</f>
        <v>2022</v>
      </c>
      <c r="C2660" s="17" t="n">
        <v>40378.25</v>
      </c>
      <c r="D2660" s="23" t="n">
        <f aca="false">A2660-A2659</f>
        <v>1</v>
      </c>
      <c r="E2660" s="24" t="n">
        <f aca="false">LN(C2660)</f>
        <v>10.6060465526414</v>
      </c>
      <c r="F2660" s="25" t="n">
        <f aca="false">LN(C2660/C2659)</f>
        <v>-0.00465379427936708</v>
      </c>
      <c r="G2660" s="25" t="n">
        <f aca="false">IF(AND(D2660=1,A2660&gt;=$R$2),F2660,"")</f>
        <v>-0.00465379427936708</v>
      </c>
      <c r="H2660" s="27" t="n">
        <f aca="false">IF(G2660="","",G2660^2)</f>
        <v>2.16578011946697E-005</v>
      </c>
      <c r="I2660" s="25" t="n">
        <f aca="false">IF(G2660="","",C2660/C2659-1)</f>
        <v>-0.00464298215773562</v>
      </c>
      <c r="J2660" s="17" t="n">
        <f aca="false">AVERAGE(C2461:C2660)</f>
        <v>48169.93015</v>
      </c>
      <c r="K2660" s="17" t="n">
        <f aca="false">MAX(K2659,C2660)</f>
        <v>67510.06</v>
      </c>
      <c r="L2660" s="25" t="n">
        <f aca="false">C2660/K2660-1</f>
        <v>-0.401892843822091</v>
      </c>
      <c r="M2660" s="25" t="n">
        <f aca="false">IF(COUNT(G2631:G2660)&lt;20,"",_xlfn.STDEV.S(G2631:G2660)*SQRT($R$3))</f>
        <v>0.465722747787194</v>
      </c>
      <c r="N2660" s="25" t="n">
        <f aca="false">IF(A2660-7&lt;$R$2,"",C2660/INDEX(Clean_Data!$C$2:$C$4314,MATCH(A2660-7,Clean_Data!$A$2:$A$4314,1))-1)</f>
        <v>-0.0559955879090192</v>
      </c>
      <c r="O2660" s="25" t="n">
        <f aca="false">IF(A2660-30&lt;$R$2,"",C2660/INDEX(Clean_Data!$C$2:$C$4314,MATCH(A2660-30,Clean_Data!$A$2:$A$4314,1))-1)</f>
        <v>-0.0143008250889133</v>
      </c>
    </row>
    <row r="2661" customFormat="false" ht="15" hidden="false" customHeight="false" outlineLevel="0" collapsed="false">
      <c r="A2661" s="16" t="n">
        <v>44668</v>
      </c>
      <c r="B2661" s="23" t="n">
        <f aca="false">YEAR(A2661)</f>
        <v>2022</v>
      </c>
      <c r="C2661" s="17" t="n">
        <v>39670.73</v>
      </c>
      <c r="D2661" s="23" t="n">
        <f aca="false">A2661-A2660</f>
        <v>1</v>
      </c>
      <c r="E2661" s="24" t="n">
        <f aca="false">LN(C2661)</f>
        <v>10.588368915154</v>
      </c>
      <c r="F2661" s="25" t="n">
        <f aca="false">LN(C2661/C2660)</f>
        <v>-0.0176776374873793</v>
      </c>
      <c r="G2661" s="25" t="n">
        <f aca="false">IF(AND(D2661=1,A2661&gt;=$R$2),F2661,"")</f>
        <v>-0.0176776374873793</v>
      </c>
      <c r="H2661" s="27" t="n">
        <f aca="false">IF(G2661="","",G2661^2)</f>
        <v>0.000312498867135199</v>
      </c>
      <c r="I2661" s="25" t="n">
        <f aca="false">IF(G2661="","",C2661/C2660-1)</f>
        <v>-0.0175223047061226</v>
      </c>
      <c r="J2661" s="17" t="n">
        <f aca="false">AVERAGE(C2462:C2661)</f>
        <v>48160.67135</v>
      </c>
      <c r="K2661" s="17" t="n">
        <f aca="false">MAX(K2660,C2661)</f>
        <v>67510.06</v>
      </c>
      <c r="L2661" s="25" t="n">
        <f aca="false">C2661/K2661-1</f>
        <v>-0.412373059659553</v>
      </c>
      <c r="M2661" s="25" t="n">
        <f aca="false">IF(COUNT(G2632:G2661)&lt;20,"",_xlfn.STDEV.S(G2632:G2661)*SQRT($R$3))</f>
        <v>0.463200776582267</v>
      </c>
      <c r="N2661" s="25" t="n">
        <f aca="false">IF(A2661-7&lt;$R$2,"",C2661/INDEX(Clean_Data!$C$2:$C$4314,MATCH(A2661-7,Clean_Data!$A$2:$A$4314,1))-1)</f>
        <v>-0.0594271312462656</v>
      </c>
      <c r="O2661" s="25" t="n">
        <f aca="false">IF(A2661-30&lt;$R$2,"",C2661/INDEX(Clean_Data!$C$2:$C$4314,MATCH(A2661-30,Clean_Data!$A$2:$A$4314,1))-1)</f>
        <v>-0.0510763638642559</v>
      </c>
    </row>
    <row r="2662" customFormat="false" ht="15" hidden="false" customHeight="false" outlineLevel="0" collapsed="false">
      <c r="A2662" s="16" t="n">
        <v>44669</v>
      </c>
      <c r="B2662" s="23" t="n">
        <f aca="false">YEAR(A2662)</f>
        <v>2022</v>
      </c>
      <c r="C2662" s="17" t="n">
        <v>40817.48</v>
      </c>
      <c r="D2662" s="23" t="n">
        <f aca="false">A2662-A2661</f>
        <v>1</v>
      </c>
      <c r="E2662" s="24" t="n">
        <f aca="false">LN(C2662)</f>
        <v>10.6168657000143</v>
      </c>
      <c r="F2662" s="25" t="n">
        <f aca="false">LN(C2662/C2661)</f>
        <v>0.0284967848602485</v>
      </c>
      <c r="G2662" s="25" t="n">
        <f aca="false">IF(AND(D2662=1,A2662&gt;=$R$2),F2662,"")</f>
        <v>0.0284967848602485</v>
      </c>
      <c r="H2662" s="27" t="n">
        <f aca="false">IF(G2662="","",G2662^2)</f>
        <v>0.000812066747371288</v>
      </c>
      <c r="I2662" s="25" t="n">
        <f aca="false">IF(G2662="","",C2662/C2661-1)</f>
        <v>0.0289067027503653</v>
      </c>
      <c r="J2662" s="17" t="n">
        <f aca="false">AVERAGE(C2463:C2662)</f>
        <v>48145.5886</v>
      </c>
      <c r="K2662" s="17" t="n">
        <f aca="false">MAX(K2661,C2662)</f>
        <v>67510.06</v>
      </c>
      <c r="L2662" s="25" t="n">
        <f aca="false">C2662/K2662-1</f>
        <v>-0.395386702367025</v>
      </c>
      <c r="M2662" s="25" t="n">
        <f aca="false">IF(COUNT(G2633:G2662)&lt;20,"",_xlfn.STDEV.S(G2633:G2662)*SQRT($R$3))</f>
        <v>0.473530409538068</v>
      </c>
      <c r="N2662" s="25" t="n">
        <f aca="false">IF(A2662-7&lt;$R$2,"",C2662/INDEX(Clean_Data!$C$2:$C$4314,MATCH(A2662-7,Clean_Data!$A$2:$A$4314,1))-1)</f>
        <v>0.0303489569660131</v>
      </c>
      <c r="O2662" s="25" t="n">
        <f aca="false">IF(A2662-30&lt;$R$2,"",C2662/INDEX(Clean_Data!$C$2:$C$4314,MATCH(A2662-30,Clean_Data!$A$2:$A$4314,1))-1)</f>
        <v>-0.0332090228342083</v>
      </c>
    </row>
    <row r="2663" customFormat="false" ht="15" hidden="false" customHeight="false" outlineLevel="0" collapsed="false">
      <c r="A2663" s="16" t="n">
        <v>44670</v>
      </c>
      <c r="B2663" s="23" t="n">
        <f aca="false">YEAR(A2663)</f>
        <v>2022</v>
      </c>
      <c r="C2663" s="17" t="n">
        <v>41480.25</v>
      </c>
      <c r="D2663" s="23" t="n">
        <f aca="false">A2663-A2662</f>
        <v>1</v>
      </c>
      <c r="E2663" s="24" t="n">
        <f aca="false">LN(C2663)</f>
        <v>10.6329726893263</v>
      </c>
      <c r="F2663" s="25" t="n">
        <f aca="false">LN(C2663/C2662)</f>
        <v>0.0161069893119791</v>
      </c>
      <c r="G2663" s="25" t="n">
        <f aca="false">IF(AND(D2663=1,A2663&gt;=$R$2),F2663,"")</f>
        <v>0.0161069893119791</v>
      </c>
      <c r="H2663" s="27" t="n">
        <f aca="false">IF(G2663="","",G2663^2)</f>
        <v>0.00025943510469621</v>
      </c>
      <c r="I2663" s="25" t="n">
        <f aca="false">IF(G2663="","",C2663/C2662-1)</f>
        <v>0.0162374061309027</v>
      </c>
      <c r="J2663" s="17" t="n">
        <f aca="false">AVERAGE(C2464:C2663)</f>
        <v>48112.26315</v>
      </c>
      <c r="K2663" s="17" t="n">
        <f aca="false">MAX(K2662,C2663)</f>
        <v>67510.06</v>
      </c>
      <c r="L2663" s="25" t="n">
        <f aca="false">C2663/K2663-1</f>
        <v>-0.385569350701214</v>
      </c>
      <c r="M2663" s="25" t="n">
        <f aca="false">IF(COUNT(G2634:G2663)&lt;20,"",_xlfn.STDEV.S(G2634:G2663)*SQRT($R$3))</f>
        <v>0.470602908356774</v>
      </c>
      <c r="N2663" s="25" t="n">
        <f aca="false">IF(A2663-7&lt;$R$2,"",C2663/INDEX(Clean_Data!$C$2:$C$4314,MATCH(A2663-7,Clean_Data!$A$2:$A$4314,1))-1)</f>
        <v>0.0342860776158704</v>
      </c>
      <c r="O2663" s="25" t="n">
        <f aca="false">IF(A2663-30&lt;$R$2,"",C2663/INDEX(Clean_Data!$C$2:$C$4314,MATCH(A2663-30,Clean_Data!$A$2:$A$4314,1))-1)</f>
        <v>0.00506698023533647</v>
      </c>
    </row>
    <row r="2664" customFormat="false" ht="15" hidden="false" customHeight="false" outlineLevel="0" collapsed="false">
      <c r="A2664" s="16" t="n">
        <v>44671</v>
      </c>
      <c r="B2664" s="23" t="n">
        <f aca="false">YEAR(A2664)</f>
        <v>2022</v>
      </c>
      <c r="C2664" s="17" t="n">
        <v>41350.25</v>
      </c>
      <c r="D2664" s="23" t="n">
        <f aca="false">A2664-A2663</f>
        <v>1</v>
      </c>
      <c r="E2664" s="24" t="n">
        <f aca="false">LN(C2664)</f>
        <v>10.6298337463828</v>
      </c>
      <c r="F2664" s="25" t="n">
        <f aca="false">LN(C2664/C2663)</f>
        <v>-0.00313894294349089</v>
      </c>
      <c r="G2664" s="25" t="n">
        <f aca="false">IF(AND(D2664=1,A2664&gt;=$R$2),F2664,"")</f>
        <v>-0.00313894294349089</v>
      </c>
      <c r="H2664" s="27" t="n">
        <f aca="false">IF(G2664="","",G2664^2)</f>
        <v>9.85296280249127E-006</v>
      </c>
      <c r="I2664" s="25" t="n">
        <f aca="false">IF(G2664="","",C2664/C2663-1)</f>
        <v>-0.00313402161269516</v>
      </c>
      <c r="J2664" s="17" t="n">
        <f aca="false">AVERAGE(C2465:C2664)</f>
        <v>48080.55015</v>
      </c>
      <c r="K2664" s="17" t="n">
        <f aca="false">MAX(K2663,C2664)</f>
        <v>67510.06</v>
      </c>
      <c r="L2664" s="25" t="n">
        <f aca="false">C2664/K2664-1</f>
        <v>-0.387494989635619</v>
      </c>
      <c r="M2664" s="25" t="n">
        <f aca="false">IF(COUNT(G2635:G2664)&lt;20,"",_xlfn.STDEV.S(G2635:G2664)*SQRT($R$3))</f>
        <v>0.470176593862102</v>
      </c>
      <c r="N2664" s="25" t="n">
        <f aca="false">IF(A2664-7&lt;$R$2,"",C2664/INDEX(Clean_Data!$C$2:$C$4314,MATCH(A2664-7,Clean_Data!$A$2:$A$4314,1))-1)</f>
        <v>0.00606335022179483</v>
      </c>
      <c r="O2664" s="25" t="n">
        <f aca="false">IF(A2664-30&lt;$R$2,"",C2664/INDEX(Clean_Data!$C$2:$C$4314,MATCH(A2664-30,Clean_Data!$A$2:$A$4314,1))-1)</f>
        <v>0.00829724862094539</v>
      </c>
    </row>
    <row r="2665" customFormat="false" ht="15" hidden="false" customHeight="false" outlineLevel="0" collapsed="false">
      <c r="A2665" s="16" t="n">
        <v>44672</v>
      </c>
      <c r="B2665" s="23" t="n">
        <f aca="false">YEAR(A2665)</f>
        <v>2022</v>
      </c>
      <c r="C2665" s="17" t="n">
        <v>40464.52</v>
      </c>
      <c r="D2665" s="23" t="n">
        <f aca="false">A2665-A2664</f>
        <v>1</v>
      </c>
      <c r="E2665" s="24" t="n">
        <f aca="false">LN(C2665)</f>
        <v>10.6081808197564</v>
      </c>
      <c r="F2665" s="25" t="n">
        <f aca="false">LN(C2665/C2664)</f>
        <v>-0.0216529266263798</v>
      </c>
      <c r="G2665" s="25" t="n">
        <f aca="false">IF(AND(D2665=1,A2665&gt;=$R$2),F2665,"")</f>
        <v>-0.0216529266263798</v>
      </c>
      <c r="H2665" s="27" t="n">
        <f aca="false">IF(G2665="","",G2665^2)</f>
        <v>0.000468849231487389</v>
      </c>
      <c r="I2665" s="25" t="n">
        <f aca="false">IF(G2665="","",C2665/C2664-1)</f>
        <v>-0.0214201848840092</v>
      </c>
      <c r="J2665" s="17" t="n">
        <f aca="false">AVERAGE(C2466:C2665)</f>
        <v>48041.9736</v>
      </c>
      <c r="K2665" s="17" t="n">
        <f aca="false">MAX(K2664,C2665)</f>
        <v>67510.06</v>
      </c>
      <c r="L2665" s="25" t="n">
        <f aca="false">C2665/K2665-1</f>
        <v>-0.400614960200006</v>
      </c>
      <c r="M2665" s="25" t="n">
        <f aca="false">IF(COUNT(G2636:G2665)&lt;20,"",_xlfn.STDEV.S(G2636:G2665)*SQRT($R$3))</f>
        <v>0.461427466350283</v>
      </c>
      <c r="N2665" s="25" t="n">
        <f aca="false">IF(A2665-7&lt;$R$2,"",C2665/INDEX(Clean_Data!$C$2:$C$4314,MATCH(A2665-7,Clean_Data!$A$2:$A$4314,1))-1)</f>
        <v>0.0138929918654573</v>
      </c>
      <c r="O2665" s="25" t="n">
        <f aca="false">IF(A2665-30&lt;$R$2,"",C2665/INDEX(Clean_Data!$C$2:$C$4314,MATCH(A2665-30,Clean_Data!$A$2:$A$4314,1))-1)</f>
        <v>-0.0447442249600329</v>
      </c>
    </row>
    <row r="2666" customFormat="false" ht="15" hidden="false" customHeight="false" outlineLevel="0" collapsed="false">
      <c r="A2666" s="16" t="n">
        <v>44673</v>
      </c>
      <c r="B2666" s="23" t="n">
        <f aca="false">YEAR(A2666)</f>
        <v>2022</v>
      </c>
      <c r="C2666" s="17" t="n">
        <v>39708.2</v>
      </c>
      <c r="D2666" s="23" t="n">
        <f aca="false">A2666-A2665</f>
        <v>1</v>
      </c>
      <c r="E2666" s="24" t="n">
        <f aca="false">LN(C2666)</f>
        <v>10.5893129944653</v>
      </c>
      <c r="F2666" s="25" t="n">
        <f aca="false">LN(C2666/C2665)</f>
        <v>-0.0188678252910576</v>
      </c>
      <c r="G2666" s="25" t="n">
        <f aca="false">IF(AND(D2666=1,A2666&gt;=$R$2),F2666,"")</f>
        <v>-0.0188678252910576</v>
      </c>
      <c r="H2666" s="27" t="n">
        <f aca="false">IF(G2666="","",G2666^2)</f>
        <v>0.000355994831213872</v>
      </c>
      <c r="I2666" s="25" t="n">
        <f aca="false">IF(G2666="","",C2666/C2665-1)</f>
        <v>-0.0186909420895145</v>
      </c>
      <c r="J2666" s="17" t="n">
        <f aca="false">AVERAGE(C2467:C2666)</f>
        <v>47994.2712</v>
      </c>
      <c r="K2666" s="17" t="n">
        <f aca="false">MAX(K2665,C2666)</f>
        <v>67510.06</v>
      </c>
      <c r="L2666" s="25" t="n">
        <f aca="false">C2666/K2666-1</f>
        <v>-0.411818031268229</v>
      </c>
      <c r="M2666" s="25" t="n">
        <f aca="false">IF(COUNT(G2637:G2666)&lt;20,"",_xlfn.STDEV.S(G2637:G2666)*SQRT($R$3))</f>
        <v>0.461925447499711</v>
      </c>
      <c r="N2666" s="25" t="n">
        <f aca="false">IF(A2666-7&lt;$R$2,"",C2666/INDEX(Clean_Data!$C$2:$C$4314,MATCH(A2666-7,Clean_Data!$A$2:$A$4314,1))-1)</f>
        <v>-0.0211602648484222</v>
      </c>
      <c r="O2666" s="25" t="n">
        <f aca="false">IF(A2666-30&lt;$R$2,"",C2666/INDEX(Clean_Data!$C$2:$C$4314,MATCH(A2666-30,Clean_Data!$A$2:$A$4314,1))-1)</f>
        <v>-0.0752691878115374</v>
      </c>
    </row>
    <row r="2667" customFormat="false" ht="15" hidden="false" customHeight="false" outlineLevel="0" collapsed="false">
      <c r="A2667" s="16" t="n">
        <v>44674</v>
      </c>
      <c r="B2667" s="23" t="n">
        <f aca="false">YEAR(A2667)</f>
        <v>2022</v>
      </c>
      <c r="C2667" s="17" t="n">
        <v>39468.1</v>
      </c>
      <c r="D2667" s="23" t="n">
        <f aca="false">A2667-A2666</f>
        <v>1</v>
      </c>
      <c r="E2667" s="24" t="n">
        <f aca="false">LN(C2667)</f>
        <v>10.583248029672</v>
      </c>
      <c r="F2667" s="25" t="n">
        <f aca="false">LN(C2667/C2666)</f>
        <v>-0.00606496479330398</v>
      </c>
      <c r="G2667" s="25" t="n">
        <f aca="false">IF(AND(D2667=1,A2667&gt;=$R$2),F2667,"")</f>
        <v>-0.00606496479330398</v>
      </c>
      <c r="H2667" s="27" t="n">
        <f aca="false">IF(G2667="","",G2667^2)</f>
        <v>3.67837979440168E-005</v>
      </c>
      <c r="I2667" s="25" t="n">
        <f aca="false">IF(G2667="","",C2667/C2666-1)</f>
        <v>-0.00604661002009654</v>
      </c>
      <c r="J2667" s="17" t="n">
        <f aca="false">AVERAGE(C2468:C2667)</f>
        <v>47934.403</v>
      </c>
      <c r="K2667" s="17" t="n">
        <f aca="false">MAX(K2666,C2667)</f>
        <v>67510.06</v>
      </c>
      <c r="L2667" s="25" t="n">
        <f aca="false">C2667/K2667-1</f>
        <v>-0.415374538254002</v>
      </c>
      <c r="M2667" s="25" t="n">
        <f aca="false">IF(COUNT(G2638:G2667)&lt;20,"",_xlfn.STDEV.S(G2638:G2667)*SQRT($R$3))</f>
        <v>0.451990719483218</v>
      </c>
      <c r="N2667" s="25" t="n">
        <f aca="false">IF(A2667-7&lt;$R$2,"",C2667/INDEX(Clean_Data!$C$2:$C$4314,MATCH(A2667-7,Clean_Data!$A$2:$A$4314,1))-1)</f>
        <v>-0.0225406004470229</v>
      </c>
      <c r="O2667" s="25" t="n">
        <f aca="false">IF(A2667-30&lt;$R$2,"",C2667/INDEX(Clean_Data!$C$2:$C$4314,MATCH(A2667-30,Clean_Data!$A$2:$A$4314,1))-1)</f>
        <v>-0.102579202846419</v>
      </c>
    </row>
    <row r="2668" customFormat="false" ht="15" hidden="false" customHeight="false" outlineLevel="0" collapsed="false">
      <c r="A2668" s="16" t="n">
        <v>44675</v>
      </c>
      <c r="B2668" s="23" t="n">
        <f aca="false">YEAR(A2668)</f>
        <v>2022</v>
      </c>
      <c r="C2668" s="17" t="n">
        <v>39489.71</v>
      </c>
      <c r="D2668" s="23" t="n">
        <f aca="false">A2668-A2667</f>
        <v>1</v>
      </c>
      <c r="E2668" s="24" t="n">
        <f aca="false">LN(C2668)</f>
        <v>10.5837954106224</v>
      </c>
      <c r="F2668" s="25" t="n">
        <f aca="false">LN(C2668/C2667)</f>
        <v>0.000547380950398165</v>
      </c>
      <c r="G2668" s="25" t="n">
        <f aca="false">IF(AND(D2668=1,A2668&gt;=$R$2),F2668,"")</f>
        <v>0.000547380950398165</v>
      </c>
      <c r="H2668" s="27" t="n">
        <f aca="false">IF(G2668="","",G2668^2)</f>
        <v>2.99625904858799E-007</v>
      </c>
      <c r="I2668" s="25" t="n">
        <f aca="false">IF(G2668="","",C2668/C2667-1)</f>
        <v>0.000547530790689255</v>
      </c>
      <c r="J2668" s="17" t="n">
        <f aca="false">AVERAGE(C2469:C2668)</f>
        <v>47855.45835</v>
      </c>
      <c r="K2668" s="17" t="n">
        <f aca="false">MAX(K2667,C2668)</f>
        <v>67510.06</v>
      </c>
      <c r="L2668" s="25" t="n">
        <f aca="false">C2668/K2668-1</f>
        <v>-0.415054437812676</v>
      </c>
      <c r="M2668" s="25" t="n">
        <f aca="false">IF(COUNT(G2639:G2668)&lt;20,"",_xlfn.STDEV.S(G2639:G2668)*SQRT($R$3))</f>
        <v>0.45015530926499</v>
      </c>
      <c r="N2668" s="25" t="n">
        <f aca="false">IF(A2668-7&lt;$R$2,"",C2668/INDEX(Clean_Data!$C$2:$C$4314,MATCH(A2668-7,Clean_Data!$A$2:$A$4314,1))-1)</f>
        <v>-0.00456306198549927</v>
      </c>
      <c r="O2668" s="25" t="n">
        <f aca="false">IF(A2668-30&lt;$R$2,"",C2668/INDEX(Clean_Data!$C$2:$C$4314,MATCH(A2668-30,Clean_Data!$A$2:$A$4314,1))-1)</f>
        <v>-0.109691983629395</v>
      </c>
    </row>
    <row r="2669" customFormat="false" ht="15" hidden="false" customHeight="false" outlineLevel="0" collapsed="false">
      <c r="A2669" s="16" t="n">
        <v>44676</v>
      </c>
      <c r="B2669" s="23" t="n">
        <f aca="false">YEAR(A2669)</f>
        <v>2022</v>
      </c>
      <c r="C2669" s="17" t="n">
        <v>40490.41</v>
      </c>
      <c r="D2669" s="23" t="n">
        <f aca="false">A2669-A2668</f>
        <v>1</v>
      </c>
      <c r="E2669" s="24" t="n">
        <f aca="false">LN(C2669)</f>
        <v>10.608820434932</v>
      </c>
      <c r="F2669" s="25" t="n">
        <f aca="false">LN(C2669/C2668)</f>
        <v>0.0250250243095347</v>
      </c>
      <c r="G2669" s="25" t="n">
        <f aca="false">IF(AND(D2669=1,A2669&gt;=$R$2),F2669,"")</f>
        <v>0.0250250243095347</v>
      </c>
      <c r="H2669" s="27" t="n">
        <f aca="false">IF(G2669="","",G2669^2)</f>
        <v>0.000626251841692804</v>
      </c>
      <c r="I2669" s="25" t="n">
        <f aca="false">IF(G2669="","",C2669/C2668-1)</f>
        <v>0.0253407786484126</v>
      </c>
      <c r="J2669" s="17" t="n">
        <f aca="false">AVERAGE(C2470:C2669)</f>
        <v>47788.6867</v>
      </c>
      <c r="K2669" s="17" t="n">
        <f aca="false">MAX(K2668,C2669)</f>
        <v>67510.06</v>
      </c>
      <c r="L2669" s="25" t="n">
        <f aca="false">C2669/K2669-1</f>
        <v>-0.400231461799915</v>
      </c>
      <c r="M2669" s="25" t="n">
        <f aca="false">IF(COUNT(G2640:G2669)&lt;20,"",_xlfn.STDEV.S(G2640:G2669)*SQRT($R$3))</f>
        <v>0.460565197186683</v>
      </c>
      <c r="N2669" s="25" t="n">
        <f aca="false">IF(A2669-7&lt;$R$2,"",C2669/INDEX(Clean_Data!$C$2:$C$4314,MATCH(A2669-7,Clean_Data!$A$2:$A$4314,1))-1)</f>
        <v>-0.00801298855294352</v>
      </c>
      <c r="O2669" s="25" t="n">
        <f aca="false">IF(A2669-30&lt;$R$2,"",C2669/INDEX(Clean_Data!$C$2:$C$4314,MATCH(A2669-30,Clean_Data!$A$2:$A$4314,1))-1)</f>
        <v>-0.0910921195409399</v>
      </c>
    </row>
    <row r="2670" customFormat="false" ht="15" hidden="false" customHeight="false" outlineLevel="0" collapsed="false">
      <c r="A2670" s="16" t="n">
        <v>44677</v>
      </c>
      <c r="B2670" s="23" t="n">
        <f aca="false">YEAR(A2670)</f>
        <v>2022</v>
      </c>
      <c r="C2670" s="17" t="n">
        <v>38102.78</v>
      </c>
      <c r="D2670" s="23" t="n">
        <f aca="false">A2670-A2669</f>
        <v>1</v>
      </c>
      <c r="E2670" s="24" t="n">
        <f aca="false">LN(C2670)</f>
        <v>10.5480425243322</v>
      </c>
      <c r="F2670" s="25" t="n">
        <f aca="false">LN(C2670/C2669)</f>
        <v>-0.060777910599789</v>
      </c>
      <c r="G2670" s="25" t="n">
        <f aca="false">IF(AND(D2670=1,A2670&gt;=$R$2),F2670,"")</f>
        <v>-0.060777910599789</v>
      </c>
      <c r="H2670" s="27" t="n">
        <f aca="false">IF(G2670="","",G2670^2)</f>
        <v>0.00369395441687594</v>
      </c>
      <c r="I2670" s="25" t="n">
        <f aca="false">IF(G2670="","",C2670/C2669-1)</f>
        <v>-0.0589677901508037</v>
      </c>
      <c r="J2670" s="17" t="n">
        <f aca="false">AVERAGE(C2471:C2670)</f>
        <v>47709.28455</v>
      </c>
      <c r="K2670" s="17" t="n">
        <f aca="false">MAX(K2669,C2670)</f>
        <v>67510.06</v>
      </c>
      <c r="L2670" s="25" t="n">
        <f aca="false">C2670/K2670-1</f>
        <v>-0.435598487099552</v>
      </c>
      <c r="M2670" s="25" t="n">
        <f aca="false">IF(COUNT(G2641:G2670)&lt;20,"",_xlfn.STDEV.S(G2641:G2670)*SQRT($R$3))</f>
        <v>0.462069422296154</v>
      </c>
      <c r="N2670" s="25" t="n">
        <f aca="false">IF(A2670-7&lt;$R$2,"",C2670/INDEX(Clean_Data!$C$2:$C$4314,MATCH(A2670-7,Clean_Data!$A$2:$A$4314,1))-1)</f>
        <v>-0.0814235690479205</v>
      </c>
      <c r="O2670" s="25" t="n">
        <f aca="false">IF(A2670-30&lt;$R$2,"",C2670/INDEX(Clean_Data!$C$2:$C$4314,MATCH(A2670-30,Clean_Data!$A$2:$A$4314,1))-1)</f>
        <v>-0.186181994020476</v>
      </c>
    </row>
    <row r="2671" customFormat="false" ht="15" hidden="false" customHeight="false" outlineLevel="0" collapsed="false">
      <c r="A2671" s="16" t="n">
        <v>44678</v>
      </c>
      <c r="B2671" s="23" t="n">
        <f aca="false">YEAR(A2671)</f>
        <v>2022</v>
      </c>
      <c r="C2671" s="17" t="n">
        <v>39188.42</v>
      </c>
      <c r="D2671" s="23" t="n">
        <f aca="false">A2671-A2670</f>
        <v>1</v>
      </c>
      <c r="E2671" s="24" t="n">
        <f aca="false">LN(C2671)</f>
        <v>10.5761365739737</v>
      </c>
      <c r="F2671" s="25" t="n">
        <f aca="false">LN(C2671/C2670)</f>
        <v>0.0280940496415251</v>
      </c>
      <c r="G2671" s="25" t="n">
        <f aca="false">IF(AND(D2671=1,A2671&gt;=$R$2),F2671,"")</f>
        <v>0.0280940496415251</v>
      </c>
      <c r="H2671" s="27" t="n">
        <f aca="false">IF(G2671="","",G2671^2)</f>
        <v>0.000789275625260476</v>
      </c>
      <c r="I2671" s="25" t="n">
        <f aca="false">IF(G2671="","",C2671/C2670-1)</f>
        <v>0.0284924092152856</v>
      </c>
      <c r="J2671" s="17" t="n">
        <f aca="false">AVERAGE(C2472:C2671)</f>
        <v>47630.47015</v>
      </c>
      <c r="K2671" s="17" t="n">
        <f aca="false">MAX(K2670,C2671)</f>
        <v>67510.06</v>
      </c>
      <c r="L2671" s="25" t="n">
        <f aca="false">C2671/K2671-1</f>
        <v>-0.419517328232266</v>
      </c>
      <c r="M2671" s="25" t="n">
        <f aca="false">IF(COUNT(G2642:G2671)&lt;20,"",_xlfn.STDEV.S(G2642:G2671)*SQRT($R$3))</f>
        <v>0.475368268319318</v>
      </c>
      <c r="N2671" s="25" t="n">
        <f aca="false">IF(A2671-7&lt;$R$2,"",C2671/INDEX(Clean_Data!$C$2:$C$4314,MATCH(A2671-7,Clean_Data!$A$2:$A$4314,1))-1)</f>
        <v>-0.0522809414695196</v>
      </c>
      <c r="O2671" s="25" t="n">
        <f aca="false">IF(A2671-30&lt;$R$2,"",C2671/INDEX(Clean_Data!$C$2:$C$4314,MATCH(A2671-30,Clean_Data!$A$2:$A$4314,1))-1)</f>
        <v>-0.169583976371921</v>
      </c>
    </row>
    <row r="2672" customFormat="false" ht="15" hidden="false" customHeight="false" outlineLevel="0" collapsed="false">
      <c r="A2672" s="16" t="n">
        <v>44679</v>
      </c>
      <c r="B2672" s="23" t="n">
        <f aca="false">YEAR(A2672)</f>
        <v>2022</v>
      </c>
      <c r="C2672" s="17" t="n">
        <v>39737.71</v>
      </c>
      <c r="D2672" s="23" t="n">
        <f aca="false">A2672-A2671</f>
        <v>1</v>
      </c>
      <c r="E2672" s="24" t="n">
        <f aca="false">LN(C2672)</f>
        <v>10.5900558898858</v>
      </c>
      <c r="F2672" s="25" t="n">
        <f aca="false">LN(C2672/C2671)</f>
        <v>0.0139193159121093</v>
      </c>
      <c r="G2672" s="25" t="n">
        <f aca="false">IF(AND(D2672=1,A2672&gt;=$R$2),F2672,"")</f>
        <v>0.0139193159121093</v>
      </c>
      <c r="H2672" s="27" t="n">
        <f aca="false">IF(G2672="","",G2672^2)</f>
        <v>0.000193747355461099</v>
      </c>
      <c r="I2672" s="25" t="n">
        <f aca="false">IF(G2672="","",C2672/C2671-1)</f>
        <v>0.0140166406300637</v>
      </c>
      <c r="J2672" s="17" t="n">
        <f aca="false">AVERAGE(C2473:C2672)</f>
        <v>47555.8822</v>
      </c>
      <c r="K2672" s="17" t="n">
        <f aca="false">MAX(K2671,C2672)</f>
        <v>67510.06</v>
      </c>
      <c r="L2672" s="25" t="n">
        <f aca="false">C2672/K2672-1</f>
        <v>-0.411380911230119</v>
      </c>
      <c r="M2672" s="25" t="n">
        <f aca="false">IF(COUNT(G2643:G2672)&lt;20,"",_xlfn.STDEV.S(G2643:G2672)*SQRT($R$3))</f>
        <v>0.478998464502556</v>
      </c>
      <c r="N2672" s="25" t="n">
        <f aca="false">IF(A2672-7&lt;$R$2,"",C2672/INDEX(Clean_Data!$C$2:$C$4314,MATCH(A2672-7,Clean_Data!$A$2:$A$4314,1))-1)</f>
        <v>-0.0179616612281573</v>
      </c>
      <c r="O2672" s="25" t="n">
        <f aca="false">IF(A2672-30&lt;$R$2,"",C2672/INDEX(Clean_Data!$C$2:$C$4314,MATCH(A2672-30,Clean_Data!$A$2:$A$4314,1))-1)</f>
        <v>-0.162195023733553</v>
      </c>
    </row>
    <row r="2673" customFormat="false" ht="15" hidden="false" customHeight="false" outlineLevel="0" collapsed="false">
      <c r="A2673" s="16" t="n">
        <v>44680</v>
      </c>
      <c r="B2673" s="23" t="n">
        <f aca="false">YEAR(A2673)</f>
        <v>2022</v>
      </c>
      <c r="C2673" s="17" t="n">
        <v>38597.17</v>
      </c>
      <c r="D2673" s="23" t="n">
        <f aca="false">A2673-A2672</f>
        <v>1</v>
      </c>
      <c r="E2673" s="24" t="n">
        <f aca="false">LN(C2673)</f>
        <v>10.560934236703</v>
      </c>
      <c r="F2673" s="25" t="n">
        <f aca="false">LN(C2673/C2672)</f>
        <v>-0.0291216531828193</v>
      </c>
      <c r="G2673" s="25" t="n">
        <f aca="false">IF(AND(D2673=1,A2673&gt;=$R$2),F2673,"")</f>
        <v>-0.0291216531828193</v>
      </c>
      <c r="H2673" s="27" t="n">
        <f aca="false">IF(G2673="","",G2673^2)</f>
        <v>0.000848070684100407</v>
      </c>
      <c r="I2673" s="25" t="n">
        <f aca="false">IF(G2673="","",C2673/C2672-1)</f>
        <v>-0.0287017042501946</v>
      </c>
      <c r="J2673" s="17" t="n">
        <f aca="false">AVERAGE(C2474:C2673)</f>
        <v>47461.6678</v>
      </c>
      <c r="K2673" s="17" t="n">
        <f aca="false">MAX(K2672,C2673)</f>
        <v>67510.06</v>
      </c>
      <c r="L2673" s="25" t="n">
        <f aca="false">C2673/K2673-1</f>
        <v>-0.428275282232011</v>
      </c>
      <c r="M2673" s="25" t="n">
        <f aca="false">IF(COUNT(G2644:G2673)&lt;20,"",_xlfn.STDEV.S(G2644:G2673)*SQRT($R$3))</f>
        <v>0.485753781952967</v>
      </c>
      <c r="N2673" s="25" t="n">
        <f aca="false">IF(A2673-7&lt;$R$2,"",C2673/INDEX(Clean_Data!$C$2:$C$4314,MATCH(A2673-7,Clean_Data!$A$2:$A$4314,1))-1)</f>
        <v>-0.0279798631013242</v>
      </c>
      <c r="O2673" s="25" t="n">
        <f aca="false">IF(A2673-30&lt;$R$2,"",C2673/INDEX(Clean_Data!$C$2:$C$4314,MATCH(A2673-30,Clean_Data!$A$2:$A$4314,1))-1)</f>
        <v>-0.179182150283628</v>
      </c>
    </row>
    <row r="2674" customFormat="false" ht="15" hidden="false" customHeight="false" outlineLevel="0" collapsed="false">
      <c r="A2674" s="16" t="n">
        <v>44681</v>
      </c>
      <c r="B2674" s="23" t="n">
        <f aca="false">YEAR(A2674)</f>
        <v>2022</v>
      </c>
      <c r="C2674" s="17" t="n">
        <v>37658.53</v>
      </c>
      <c r="D2674" s="23" t="n">
        <f aca="false">A2674-A2673</f>
        <v>1</v>
      </c>
      <c r="E2674" s="24" t="n">
        <f aca="false">LN(C2674)</f>
        <v>10.5363147679921</v>
      </c>
      <c r="F2674" s="25" t="n">
        <f aca="false">LN(C2674/C2673)</f>
        <v>-0.024619468710923</v>
      </c>
      <c r="G2674" s="25" t="n">
        <f aca="false">IF(AND(D2674=1,A2674&gt;=$R$2),F2674,"")</f>
        <v>-0.024619468710923</v>
      </c>
      <c r="H2674" s="27" t="n">
        <f aca="false">IF(G2674="","",G2674^2)</f>
        <v>0.000606118239608118</v>
      </c>
      <c r="I2674" s="25" t="n">
        <f aca="false">IF(G2674="","",C2674/C2673-1)</f>
        <v>-0.0243188814102173</v>
      </c>
      <c r="J2674" s="17" t="n">
        <f aca="false">AVERAGE(C2475:C2674)</f>
        <v>47369.864</v>
      </c>
      <c r="K2674" s="17" t="n">
        <f aca="false">MAX(K2673,C2674)</f>
        <v>67510.06</v>
      </c>
      <c r="L2674" s="25" t="n">
        <f aca="false">C2674/K2674-1</f>
        <v>-0.442178987842701</v>
      </c>
      <c r="M2674" s="25" t="n">
        <f aca="false">IF(COUNT(G2645:G2674)&lt;20,"",_xlfn.STDEV.S(G2645:G2674)*SQRT($R$3))</f>
        <v>0.480553492494069</v>
      </c>
      <c r="N2674" s="25" t="n">
        <f aca="false">IF(A2674-7&lt;$R$2,"",C2674/INDEX(Clean_Data!$C$2:$C$4314,MATCH(A2674-7,Clean_Data!$A$2:$A$4314,1))-1)</f>
        <v>-0.0458489260947449</v>
      </c>
      <c r="O2674" s="25" t="n">
        <f aca="false">IF(A2674-30&lt;$R$2,"",C2674/INDEX(Clean_Data!$C$2:$C$4314,MATCH(A2674-30,Clean_Data!$A$2:$A$4314,1))-1)</f>
        <v>-0.171900106056338</v>
      </c>
    </row>
    <row r="2675" customFormat="false" ht="15" hidden="false" customHeight="false" outlineLevel="0" collapsed="false">
      <c r="A2675" s="16" t="n">
        <v>44682</v>
      </c>
      <c r="B2675" s="23" t="n">
        <f aca="false">YEAR(A2675)</f>
        <v>2022</v>
      </c>
      <c r="C2675" s="17" t="n">
        <v>38496.42</v>
      </c>
      <c r="D2675" s="23" t="n">
        <f aca="false">A2675-A2674</f>
        <v>1</v>
      </c>
      <c r="E2675" s="24" t="n">
        <f aca="false">LN(C2675)</f>
        <v>10.5583205289393</v>
      </c>
      <c r="F2675" s="25" t="n">
        <f aca="false">LN(C2675/C2674)</f>
        <v>0.0220057609472592</v>
      </c>
      <c r="G2675" s="25" t="n">
        <f aca="false">IF(AND(D2675=1,A2675&gt;=$R$2),F2675,"")</f>
        <v>0.0220057609472592</v>
      </c>
      <c r="H2675" s="27" t="n">
        <f aca="false">IF(G2675="","",G2675^2)</f>
        <v>0.000484253514867918</v>
      </c>
      <c r="I2675" s="25" t="n">
        <f aca="false">IF(G2675="","",C2675/C2674-1)</f>
        <v>0.02224967357993</v>
      </c>
      <c r="J2675" s="17" t="n">
        <f aca="false">AVERAGE(C2476:C2675)</f>
        <v>47275.48315</v>
      </c>
      <c r="K2675" s="17" t="n">
        <f aca="false">MAX(K2674,C2675)</f>
        <v>67510.06</v>
      </c>
      <c r="L2675" s="25" t="n">
        <f aca="false">C2675/K2675-1</f>
        <v>-0.429767652406175</v>
      </c>
      <c r="M2675" s="25" t="n">
        <f aca="false">IF(COUNT(G2646:G2675)&lt;20,"",_xlfn.STDEV.S(G2646:G2675)*SQRT($R$3))</f>
        <v>0.484335454659826</v>
      </c>
      <c r="N2675" s="25" t="n">
        <f aca="false">IF(A2675-7&lt;$R$2,"",C2675/INDEX(Clean_Data!$C$2:$C$4314,MATCH(A2675-7,Clean_Data!$A$2:$A$4314,1))-1)</f>
        <v>-0.0251531348293012</v>
      </c>
      <c r="O2675" s="25" t="n">
        <f aca="false">IF(A2675-30&lt;$R$2,"",C2675/INDEX(Clean_Data!$C$2:$C$4314,MATCH(A2675-30,Clean_Data!$A$2:$A$4314,1))-1)</f>
        <v>-0.167148503443025</v>
      </c>
    </row>
    <row r="2676" customFormat="false" ht="15" hidden="false" customHeight="false" outlineLevel="0" collapsed="false">
      <c r="A2676" s="16" t="n">
        <v>44683</v>
      </c>
      <c r="B2676" s="23" t="n">
        <f aca="false">YEAR(A2676)</f>
        <v>2022</v>
      </c>
      <c r="C2676" s="17" t="n">
        <v>38488.36</v>
      </c>
      <c r="D2676" s="23" t="n">
        <f aca="false">A2676-A2675</f>
        <v>1</v>
      </c>
      <c r="E2676" s="24" t="n">
        <f aca="false">LN(C2676)</f>
        <v>10.5581111369003</v>
      </c>
      <c r="F2676" s="25" t="n">
        <f aca="false">LN(C2676/C2675)</f>
        <v>-0.000209392039035396</v>
      </c>
      <c r="G2676" s="25" t="n">
        <f aca="false">IF(AND(D2676=1,A2676&gt;=$R$2),F2676,"")</f>
        <v>-0.000209392039035396</v>
      </c>
      <c r="H2676" s="27" t="n">
        <f aca="false">IF(G2676="","",G2676^2)</f>
        <v>4.38450260114007E-008</v>
      </c>
      <c r="I2676" s="25" t="n">
        <f aca="false">IF(G2676="","",C2676/C2675-1)</f>
        <v>-0.000209370118052443</v>
      </c>
      <c r="J2676" s="17" t="n">
        <f aca="false">AVERAGE(C2477:C2676)</f>
        <v>47181.2895</v>
      </c>
      <c r="K2676" s="17" t="n">
        <f aca="false">MAX(K2675,C2676)</f>
        <v>67510.06</v>
      </c>
      <c r="L2676" s="25" t="n">
        <f aca="false">C2676/K2676-1</f>
        <v>-0.429887042020108</v>
      </c>
      <c r="M2676" s="25" t="n">
        <f aca="false">IF(COUNT(G2647:G2676)&lt;20,"",_xlfn.STDEV.S(G2647:G2676)*SQRT($R$3))</f>
        <v>0.484731608584667</v>
      </c>
      <c r="N2676" s="25" t="n">
        <f aca="false">IF(A2676-7&lt;$R$2,"",C2676/INDEX(Clean_Data!$C$2:$C$4314,MATCH(A2676-7,Clean_Data!$A$2:$A$4314,1))-1)</f>
        <v>-0.0494450414307981</v>
      </c>
      <c r="O2676" s="25" t="n">
        <f aca="false">IF(A2676-30&lt;$R$2,"",C2676/INDEX(Clean_Data!$C$2:$C$4314,MATCH(A2676-30,Clean_Data!$A$2:$A$4314,1))-1)</f>
        <v>-0.160951929587591</v>
      </c>
    </row>
    <row r="2677" customFormat="false" ht="15" hidden="false" customHeight="false" outlineLevel="0" collapsed="false">
      <c r="A2677" s="16" t="n">
        <v>44684</v>
      </c>
      <c r="B2677" s="23" t="n">
        <f aca="false">YEAR(A2677)</f>
        <v>2022</v>
      </c>
      <c r="C2677" s="17" t="n">
        <v>37708.41</v>
      </c>
      <c r="D2677" s="23" t="n">
        <f aca="false">A2677-A2676</f>
        <v>1</v>
      </c>
      <c r="E2677" s="24" t="n">
        <f aca="false">LN(C2677)</f>
        <v>10.5376384254812</v>
      </c>
      <c r="F2677" s="25" t="n">
        <f aca="false">LN(C2677/C2676)</f>
        <v>-0.0204727114190708</v>
      </c>
      <c r="G2677" s="25" t="n">
        <f aca="false">IF(AND(D2677=1,A2677&gt;=$R$2),F2677,"")</f>
        <v>-0.0204727114190708</v>
      </c>
      <c r="H2677" s="27" t="n">
        <f aca="false">IF(G2677="","",G2677^2)</f>
        <v>0.00041913191284855</v>
      </c>
      <c r="I2677" s="25" t="n">
        <f aca="false">IF(G2677="","",C2677/C2676-1)</f>
        <v>-0.0202645683006498</v>
      </c>
      <c r="J2677" s="17" t="n">
        <f aca="false">AVERAGE(C2478:C2677)</f>
        <v>47061.41915</v>
      </c>
      <c r="K2677" s="17" t="n">
        <f aca="false">MAX(K2676,C2677)</f>
        <v>67510.06</v>
      </c>
      <c r="L2677" s="25" t="n">
        <f aca="false">C2677/K2677-1</f>
        <v>-0.441440134996177</v>
      </c>
      <c r="M2677" s="25" t="n">
        <f aca="false">IF(COUNT(G2648:G2677)&lt;20,"",_xlfn.STDEV.S(G2648:G2677)*SQRT($R$3))</f>
        <v>0.483597497252027</v>
      </c>
      <c r="N2677" s="25" t="n">
        <f aca="false">IF(A2677-7&lt;$R$2,"",C2677/INDEX(Clean_Data!$C$2:$C$4314,MATCH(A2677-7,Clean_Data!$A$2:$A$4314,1))-1)</f>
        <v>-0.0103501634263955</v>
      </c>
      <c r="O2677" s="25" t="n">
        <f aca="false">IF(A2677-30&lt;$R$2,"",C2677/INDEX(Clean_Data!$C$2:$C$4314,MATCH(A2677-30,Clean_Data!$A$2:$A$4314,1))-1)</f>
        <v>-0.186583344208827</v>
      </c>
    </row>
    <row r="2678" customFormat="false" ht="15" hidden="false" customHeight="false" outlineLevel="0" collapsed="false">
      <c r="A2678" s="16" t="n">
        <v>44685</v>
      </c>
      <c r="B2678" s="23" t="n">
        <f aca="false">YEAR(A2678)</f>
        <v>2022</v>
      </c>
      <c r="C2678" s="17" t="n">
        <v>39671.83</v>
      </c>
      <c r="D2678" s="23" t="n">
        <f aca="false">A2678-A2677</f>
        <v>1</v>
      </c>
      <c r="E2678" s="24" t="n">
        <f aca="false">LN(C2678)</f>
        <v>10.5883966430217</v>
      </c>
      <c r="F2678" s="25" t="n">
        <f aca="false">LN(C2678/C2677)</f>
        <v>0.0507582175404339</v>
      </c>
      <c r="G2678" s="25" t="n">
        <f aca="false">IF(AND(D2678=1,A2678&gt;=$R$2),F2678,"")</f>
        <v>0.0507582175404339</v>
      </c>
      <c r="H2678" s="27" t="n">
        <f aca="false">IF(G2678="","",G2678^2)</f>
        <v>0.00257639664788201</v>
      </c>
      <c r="I2678" s="25" t="n">
        <f aca="false">IF(G2678="","",C2678/C2677-1)</f>
        <v>0.0520684908220739</v>
      </c>
      <c r="J2678" s="17" t="n">
        <f aca="false">AVERAGE(C2479:C2678)</f>
        <v>46955.37405</v>
      </c>
      <c r="K2678" s="17" t="n">
        <f aca="false">MAX(K2677,C2678)</f>
        <v>67510.06</v>
      </c>
      <c r="L2678" s="25" t="n">
        <f aca="false">C2678/K2678-1</f>
        <v>-0.412356765791646</v>
      </c>
      <c r="M2678" s="25" t="n">
        <f aca="false">IF(COUNT(G2649:G2678)&lt;20,"",_xlfn.STDEV.S(G2649:G2678)*SQRT($R$3))</f>
        <v>0.52263489975856</v>
      </c>
      <c r="N2678" s="25" t="n">
        <f aca="false">IF(A2678-7&lt;$R$2,"",C2678/INDEX(Clean_Data!$C$2:$C$4314,MATCH(A2678-7,Clean_Data!$A$2:$A$4314,1))-1)</f>
        <v>0.0123355317718858</v>
      </c>
      <c r="O2678" s="25" t="n">
        <f aca="false">IF(A2678-30&lt;$R$2,"",C2678/INDEX(Clean_Data!$C$2:$C$4314,MATCH(A2678-30,Clean_Data!$A$2:$A$4314,1))-1)</f>
        <v>-0.148104453423734</v>
      </c>
    </row>
    <row r="2679" customFormat="false" ht="15" hidden="false" customHeight="false" outlineLevel="0" collapsed="false">
      <c r="A2679" s="16" t="n">
        <v>44686</v>
      </c>
      <c r="B2679" s="23" t="n">
        <f aca="false">YEAR(A2679)</f>
        <v>2022</v>
      </c>
      <c r="C2679" s="17" t="n">
        <v>36516.79</v>
      </c>
      <c r="D2679" s="23" t="n">
        <f aca="false">A2679-A2678</f>
        <v>1</v>
      </c>
      <c r="E2679" s="24" t="n">
        <f aca="false">LN(C2679)</f>
        <v>10.505527433803</v>
      </c>
      <c r="F2679" s="25" t="n">
        <f aca="false">LN(C2679/C2678)</f>
        <v>-0.0828692092186389</v>
      </c>
      <c r="G2679" s="25" t="n">
        <f aca="false">IF(AND(D2679=1,A2679&gt;=$R$2),F2679,"")</f>
        <v>-0.0828692092186389</v>
      </c>
      <c r="H2679" s="27" t="n">
        <f aca="false">IF(G2679="","",G2679^2)</f>
        <v>0.00686730583652254</v>
      </c>
      <c r="I2679" s="25" t="n">
        <f aca="false">IF(G2679="","",C2679/C2678-1)</f>
        <v>-0.0795284714619921</v>
      </c>
      <c r="J2679" s="17" t="n">
        <f aca="false">AVERAGE(C2480:C2679)</f>
        <v>46830.25295</v>
      </c>
      <c r="K2679" s="17" t="n">
        <f aca="false">MAX(K2678,C2679)</f>
        <v>67510.06</v>
      </c>
      <c r="L2679" s="25" t="n">
        <f aca="false">C2679/K2679-1</f>
        <v>-0.459091133973218</v>
      </c>
      <c r="M2679" s="25" t="n">
        <f aca="false">IF(COUNT(G2650:G2679)&lt;20,"",_xlfn.STDEV.S(G2650:G2679)*SQRT($R$3))</f>
        <v>0.585505224453574</v>
      </c>
      <c r="N2679" s="25" t="n">
        <f aca="false">IF(A2679-7&lt;$R$2,"",C2679/INDEX(Clean_Data!$C$2:$C$4314,MATCH(A2679-7,Clean_Data!$A$2:$A$4314,1))-1)</f>
        <v>-0.0810544945846149</v>
      </c>
      <c r="O2679" s="25" t="n">
        <f aca="false">IF(A2679-30&lt;$R$2,"",C2679/INDEX(Clean_Data!$C$2:$C$4314,MATCH(A2679-30,Clean_Data!$A$2:$A$4314,1))-1)</f>
        <v>-0.19653701656243</v>
      </c>
    </row>
    <row r="2680" customFormat="false" ht="15" hidden="false" customHeight="false" outlineLevel="0" collapsed="false">
      <c r="A2680" s="16" t="n">
        <v>44687</v>
      </c>
      <c r="B2680" s="23" t="n">
        <f aca="false">YEAR(A2680)</f>
        <v>2022</v>
      </c>
      <c r="C2680" s="17" t="n">
        <v>36013.22</v>
      </c>
      <c r="D2680" s="23" t="n">
        <f aca="false">A2680-A2679</f>
        <v>1</v>
      </c>
      <c r="E2680" s="24" t="n">
        <f aca="false">LN(C2680)</f>
        <v>10.4916413722509</v>
      </c>
      <c r="F2680" s="25" t="n">
        <f aca="false">LN(C2680/C2679)</f>
        <v>-0.0138860615521256</v>
      </c>
      <c r="G2680" s="25" t="n">
        <f aca="false">IF(AND(D2680=1,A2680&gt;=$R$2),F2680,"")</f>
        <v>-0.0138860615521256</v>
      </c>
      <c r="H2680" s="27" t="n">
        <f aca="false">IF(G2680="","",G2680^2)</f>
        <v>0.000192822705429421</v>
      </c>
      <c r="I2680" s="25" t="n">
        <f aca="false">IF(G2680="","",C2680/C2679-1)</f>
        <v>-0.0137900949125046</v>
      </c>
      <c r="J2680" s="17" t="n">
        <f aca="false">AVERAGE(C2481:C2680)</f>
        <v>46700.1343</v>
      </c>
      <c r="K2680" s="17" t="n">
        <f aca="false">MAX(K2679,C2680)</f>
        <v>67510.06</v>
      </c>
      <c r="L2680" s="25" t="n">
        <f aca="false">C2680/K2680-1</f>
        <v>-0.466550318574743</v>
      </c>
      <c r="M2680" s="25" t="n">
        <f aca="false">IF(COUNT(G2651:G2680)&lt;20,"",_xlfn.STDEV.S(G2651:G2680)*SQRT($R$3))</f>
        <v>0.564956349515259</v>
      </c>
      <c r="N2680" s="25" t="n">
        <f aca="false">IF(A2680-7&lt;$R$2,"",C2680/INDEX(Clean_Data!$C$2:$C$4314,MATCH(A2680-7,Clean_Data!$A$2:$A$4314,1))-1)</f>
        <v>-0.0669466181069751</v>
      </c>
      <c r="O2680" s="25" t="n">
        <f aca="false">IF(A2680-30&lt;$R$2,"",C2680/INDEX(Clean_Data!$C$2:$C$4314,MATCH(A2680-30,Clean_Data!$A$2:$A$4314,1))-1)</f>
        <v>-0.166477186985894</v>
      </c>
    </row>
    <row r="2681" customFormat="false" ht="15" hidden="false" customHeight="false" outlineLevel="0" collapsed="false">
      <c r="A2681" s="16" t="n">
        <v>44688</v>
      </c>
      <c r="B2681" s="23" t="n">
        <f aca="false">YEAR(A2681)</f>
        <v>2022</v>
      </c>
      <c r="C2681" s="17" t="n">
        <v>35445.54</v>
      </c>
      <c r="D2681" s="23" t="n">
        <f aca="false">A2681-A2680</f>
        <v>1</v>
      </c>
      <c r="E2681" s="24" t="n">
        <f aca="false">LN(C2681)</f>
        <v>10.475752713044</v>
      </c>
      <c r="F2681" s="25" t="n">
        <f aca="false">LN(C2681/C2680)</f>
        <v>-0.0158886592068962</v>
      </c>
      <c r="G2681" s="25" t="n">
        <f aca="false">IF(AND(D2681=1,A2681&gt;=$R$2),F2681,"")</f>
        <v>-0.0158886592068962</v>
      </c>
      <c r="H2681" s="27" t="n">
        <f aca="false">IF(G2681="","",G2681^2)</f>
        <v>0.000252449491392887</v>
      </c>
      <c r="I2681" s="25" t="n">
        <f aca="false">IF(G2681="","",C2681/C2680-1)</f>
        <v>-0.0157631003281573</v>
      </c>
      <c r="J2681" s="17" t="n">
        <f aca="false">AVERAGE(C2482:C2681)</f>
        <v>46555.59435</v>
      </c>
      <c r="K2681" s="17" t="n">
        <f aca="false">MAX(K2680,C2681)</f>
        <v>67510.06</v>
      </c>
      <c r="L2681" s="25" t="n">
        <f aca="false">C2681/K2681-1</f>
        <v>-0.474959139423073</v>
      </c>
      <c r="M2681" s="25" t="n">
        <f aca="false">IF(COUNT(G2652:G2681)&lt;20,"",_xlfn.STDEV.S(G2652:G2681)*SQRT($R$3))</f>
        <v>0.564445331286957</v>
      </c>
      <c r="N2681" s="25" t="n">
        <f aca="false">IF(A2681-7&lt;$R$2,"",C2681/INDEX(Clean_Data!$C$2:$C$4314,MATCH(A2681-7,Clean_Data!$A$2:$A$4314,1))-1)</f>
        <v>-0.0587646411052157</v>
      </c>
      <c r="O2681" s="25" t="n">
        <f aca="false">IF(A2681-30&lt;$R$2,"",C2681/INDEX(Clean_Data!$C$2:$C$4314,MATCH(A2681-30,Clean_Data!$A$2:$A$4314,1))-1)</f>
        <v>-0.183885736073428</v>
      </c>
    </row>
    <row r="2682" customFormat="false" ht="15" hidden="false" customHeight="false" outlineLevel="0" collapsed="false">
      <c r="A2682" s="16" t="n">
        <v>44689</v>
      </c>
      <c r="B2682" s="23" t="n">
        <f aca="false">YEAR(A2682)</f>
        <v>2022</v>
      </c>
      <c r="C2682" s="17" t="n">
        <v>34089.76</v>
      </c>
      <c r="D2682" s="23" t="n">
        <f aca="false">A2682-A2681</f>
        <v>1</v>
      </c>
      <c r="E2682" s="24" t="n">
        <f aca="false">LN(C2682)</f>
        <v>10.4367523249194</v>
      </c>
      <c r="F2682" s="25" t="n">
        <f aca="false">LN(C2682/C2681)</f>
        <v>-0.039000388124567</v>
      </c>
      <c r="G2682" s="25" t="n">
        <f aca="false">IF(AND(D2682=1,A2682&gt;=$R$2),F2682,"")</f>
        <v>-0.039000388124567</v>
      </c>
      <c r="H2682" s="27" t="n">
        <f aca="false">IF(G2682="","",G2682^2)</f>
        <v>0.00152103027386687</v>
      </c>
      <c r="I2682" s="25" t="n">
        <f aca="false">IF(G2682="","",C2682/C2681-1)</f>
        <v>-0.0382496641326384</v>
      </c>
      <c r="J2682" s="17" t="n">
        <f aca="false">AVERAGE(C2483:C2682)</f>
        <v>46396.0173</v>
      </c>
      <c r="K2682" s="17" t="n">
        <f aca="false">MAX(K2681,C2682)</f>
        <v>67510.06</v>
      </c>
      <c r="L2682" s="25" t="n">
        <f aca="false">C2682/K2682-1</f>
        <v>-0.495041775996052</v>
      </c>
      <c r="M2682" s="25" t="n">
        <f aca="false">IF(COUNT(G2653:G2682)&lt;20,"",_xlfn.STDEV.S(G2653:G2682)*SQRT($R$3))</f>
        <v>0.571433194347489</v>
      </c>
      <c r="N2682" s="25" t="n">
        <f aca="false">IF(A2682-7&lt;$R$2,"",C2682/INDEX(Clean_Data!$C$2:$C$4314,MATCH(A2682-7,Clean_Data!$A$2:$A$4314,1))-1)</f>
        <v>-0.114469345461214</v>
      </c>
      <c r="O2682" s="25" t="n">
        <f aca="false">IF(A2682-30&lt;$R$2,"",C2682/INDEX(Clean_Data!$C$2:$C$4314,MATCH(A2682-30,Clean_Data!$A$2:$A$4314,1))-1)</f>
        <v>-0.193742889916394</v>
      </c>
    </row>
    <row r="2683" customFormat="false" ht="15" hidden="false" customHeight="false" outlineLevel="0" collapsed="false">
      <c r="A2683" s="16" t="n">
        <v>44690</v>
      </c>
      <c r="B2683" s="23" t="n">
        <f aca="false">YEAR(A2683)</f>
        <v>2022</v>
      </c>
      <c r="C2683" s="17" t="n">
        <v>30176.73</v>
      </c>
      <c r="D2683" s="23" t="n">
        <f aca="false">A2683-A2682</f>
        <v>1</v>
      </c>
      <c r="E2683" s="24" t="n">
        <f aca="false">LN(C2683)</f>
        <v>10.314826376551</v>
      </c>
      <c r="F2683" s="25" t="n">
        <f aca="false">LN(C2683/C2682)</f>
        <v>-0.121925948368459</v>
      </c>
      <c r="G2683" s="25" t="n">
        <f aca="false">IF(AND(D2683=1,A2683&gt;=$R$2),F2683,"")</f>
        <v>-0.121925948368459</v>
      </c>
      <c r="H2683" s="27" t="n">
        <f aca="false">IF(G2683="","",G2683^2)</f>
        <v>0.0148659368855482</v>
      </c>
      <c r="I2683" s="25" t="n">
        <f aca="false">IF(G2683="","",C2683/C2682-1)</f>
        <v>-0.11478608238955</v>
      </c>
      <c r="J2683" s="17" t="n">
        <f aca="false">AVERAGE(C2484:C2683)</f>
        <v>46236.1405</v>
      </c>
      <c r="K2683" s="17" t="n">
        <f aca="false">MAX(K2682,C2683)</f>
        <v>67510.06</v>
      </c>
      <c r="L2683" s="25" t="n">
        <f aca="false">C2683/K2683-1</f>
        <v>-0.55300395229985</v>
      </c>
      <c r="M2683" s="25" t="n">
        <f aca="false">IF(COUNT(G2654:G2683)&lt;20,"",_xlfn.STDEV.S(G2654:G2683)*SQRT($R$3))</f>
        <v>0.693080028227965</v>
      </c>
      <c r="N2683" s="25" t="n">
        <f aca="false">IF(A2683-7&lt;$R$2,"",C2683/INDEX(Clean_Data!$C$2:$C$4314,MATCH(A2683-7,Clean_Data!$A$2:$A$4314,1))-1)</f>
        <v>-0.215951783864005</v>
      </c>
      <c r="O2683" s="25" t="n">
        <f aca="false">IF(A2683-30&lt;$R$2,"",C2683/INDEX(Clean_Data!$C$2:$C$4314,MATCH(A2683-30,Clean_Data!$A$2:$A$4314,1))-1)</f>
        <v>-0.294497253781968</v>
      </c>
    </row>
    <row r="2684" customFormat="false" ht="15" hidden="false" customHeight="false" outlineLevel="0" collapsed="false">
      <c r="A2684" s="16" t="n">
        <v>44691</v>
      </c>
      <c r="B2684" s="23" t="n">
        <f aca="false">YEAR(A2684)</f>
        <v>2022</v>
      </c>
      <c r="C2684" s="17" t="n">
        <v>30961.83</v>
      </c>
      <c r="D2684" s="23" t="n">
        <f aca="false">A2684-A2683</f>
        <v>1</v>
      </c>
      <c r="E2684" s="24" t="n">
        <f aca="false">LN(C2684)</f>
        <v>10.340510434484</v>
      </c>
      <c r="F2684" s="25" t="n">
        <f aca="false">LN(C2684/C2683)</f>
        <v>0.0256840579329862</v>
      </c>
      <c r="G2684" s="25" t="n">
        <f aca="false">IF(AND(D2684=1,A2684&gt;=$R$2),F2684,"")</f>
        <v>0.0256840579329862</v>
      </c>
      <c r="H2684" s="27" t="n">
        <f aca="false">IF(G2684="","",G2684^2)</f>
        <v>0.000659670831904989</v>
      </c>
      <c r="I2684" s="25" t="n">
        <f aca="false">IF(G2684="","",C2684/C2683-1)</f>
        <v>0.0260167354116898</v>
      </c>
      <c r="J2684" s="17" t="n">
        <f aca="false">AVERAGE(C2485:C2684)</f>
        <v>46087.5909</v>
      </c>
      <c r="K2684" s="17" t="n">
        <f aca="false">MAX(K2683,C2684)</f>
        <v>67510.06</v>
      </c>
      <c r="L2684" s="25" t="n">
        <f aca="false">C2684/K2684-1</f>
        <v>-0.541374574396764</v>
      </c>
      <c r="M2684" s="25" t="n">
        <f aca="false">IF(COUNT(G2655:G2684)&lt;20,"",_xlfn.STDEV.S(G2655:G2684)*SQRT($R$3))</f>
        <v>0.705086939109379</v>
      </c>
      <c r="N2684" s="25" t="n">
        <f aca="false">IF(A2684-7&lt;$R$2,"",C2684/INDEX(Clean_Data!$C$2:$C$4314,MATCH(A2684-7,Clean_Data!$A$2:$A$4314,1))-1)</f>
        <v>-0.178914464969486</v>
      </c>
      <c r="O2684" s="25" t="n">
        <f aca="false">IF(A2684-30&lt;$R$2,"",C2684/INDEX(Clean_Data!$C$2:$C$4314,MATCH(A2684-30,Clean_Data!$A$2:$A$4314,1))-1)</f>
        <v>-0.26591072901947</v>
      </c>
    </row>
    <row r="2685" customFormat="false" ht="15" hidden="false" customHeight="false" outlineLevel="0" collapsed="false">
      <c r="A2685" s="16" t="n">
        <v>44692</v>
      </c>
      <c r="B2685" s="23" t="n">
        <f aca="false">YEAR(A2685)</f>
        <v>2022</v>
      </c>
      <c r="C2685" s="17" t="n">
        <v>29027.82</v>
      </c>
      <c r="D2685" s="23" t="n">
        <f aca="false">A2685-A2684</f>
        <v>1</v>
      </c>
      <c r="E2685" s="24" t="n">
        <f aca="false">LN(C2685)</f>
        <v>10.2760099594693</v>
      </c>
      <c r="F2685" s="25" t="n">
        <f aca="false">LN(C2685/C2684)</f>
        <v>-0.06450047501462</v>
      </c>
      <c r="G2685" s="25" t="n">
        <f aca="false">IF(AND(D2685=1,A2685&gt;=$R$2),F2685,"")</f>
        <v>-0.06450047501462</v>
      </c>
      <c r="H2685" s="27" t="n">
        <f aca="false">IF(G2685="","",G2685^2)</f>
        <v>0.00416031127711162</v>
      </c>
      <c r="I2685" s="25" t="n">
        <f aca="false">IF(G2685="","",C2685/C2684-1)</f>
        <v>-0.0624643310812055</v>
      </c>
      <c r="J2685" s="17" t="n">
        <f aca="false">AVERAGE(C2486:C2685)</f>
        <v>45926.18955</v>
      </c>
      <c r="K2685" s="17" t="n">
        <f aca="false">MAX(K2684,C2685)</f>
        <v>67510.06</v>
      </c>
      <c r="L2685" s="25" t="n">
        <f aca="false">C2685/K2685-1</f>
        <v>-0.570022304823903</v>
      </c>
      <c r="M2685" s="25" t="n">
        <f aca="false">IF(COUNT(G2656:G2685)&lt;20,"",_xlfn.STDEV.S(G2656:G2685)*SQRT($R$3))</f>
        <v>0.706827641695465</v>
      </c>
      <c r="N2685" s="25" t="n">
        <f aca="false">IF(A2685-7&lt;$R$2,"",C2685/INDEX(Clean_Data!$C$2:$C$4314,MATCH(A2685-7,Clean_Data!$A$2:$A$4314,1))-1)</f>
        <v>-0.268301462271844</v>
      </c>
      <c r="O2685" s="25" t="n">
        <f aca="false">IF(A2685-30&lt;$R$2,"",C2685/INDEX(Clean_Data!$C$2:$C$4314,MATCH(A2685-30,Clean_Data!$A$2:$A$4314,1))-1)</f>
        <v>-0.267255497889699</v>
      </c>
    </row>
    <row r="2686" customFormat="false" ht="15" hidden="false" customHeight="false" outlineLevel="0" collapsed="false">
      <c r="A2686" s="16" t="n">
        <v>44693</v>
      </c>
      <c r="B2686" s="23" t="n">
        <f aca="false">YEAR(A2686)</f>
        <v>2022</v>
      </c>
      <c r="C2686" s="17" t="n">
        <v>28959.93</v>
      </c>
      <c r="D2686" s="23" t="n">
        <f aca="false">A2686-A2685</f>
        <v>1</v>
      </c>
      <c r="E2686" s="24" t="n">
        <f aca="false">LN(C2686)</f>
        <v>10.2736684293697</v>
      </c>
      <c r="F2686" s="25" t="n">
        <f aca="false">LN(C2686/C2685)</f>
        <v>-0.00234153009967552</v>
      </c>
      <c r="G2686" s="25" t="n">
        <f aca="false">IF(AND(D2686=1,A2686&gt;=$R$2),F2686,"")</f>
        <v>-0.00234153009967552</v>
      </c>
      <c r="H2686" s="27" t="n">
        <f aca="false">IF(G2686="","",G2686^2)</f>
        <v>5.48276320768643E-006</v>
      </c>
      <c r="I2686" s="25" t="n">
        <f aca="false">IF(G2686="","",C2686/C2685-1)</f>
        <v>-0.00233879085649558</v>
      </c>
      <c r="J2686" s="17" t="n">
        <f aca="false">AVERAGE(C2487:C2686)</f>
        <v>45766.54215</v>
      </c>
      <c r="K2686" s="17" t="n">
        <f aca="false">MAX(K2685,C2686)</f>
        <v>67510.06</v>
      </c>
      <c r="L2686" s="25" t="n">
        <f aca="false">C2686/K2686-1</f>
        <v>-0.571027932725878</v>
      </c>
      <c r="M2686" s="25" t="n">
        <f aca="false">IF(COUNT(G2657:G2686)&lt;20,"",_xlfn.STDEV.S(G2657:G2686)*SQRT($R$3))</f>
        <v>0.70275456143227</v>
      </c>
      <c r="N2686" s="25" t="n">
        <f aca="false">IF(A2686-7&lt;$R$2,"",C2686/INDEX(Clean_Data!$C$2:$C$4314,MATCH(A2686-7,Clean_Data!$A$2:$A$4314,1))-1)</f>
        <v>-0.206942066923188</v>
      </c>
      <c r="O2686" s="25" t="n">
        <f aca="false">IF(A2686-30&lt;$R$2,"",C2686/INDEX(Clean_Data!$C$2:$C$4314,MATCH(A2686-30,Clean_Data!$A$2:$A$4314,1))-1)</f>
        <v>-0.277900870710033</v>
      </c>
    </row>
    <row r="2687" customFormat="false" ht="15" hidden="false" customHeight="false" outlineLevel="0" collapsed="false">
      <c r="A2687" s="16" t="n">
        <v>44694</v>
      </c>
      <c r="B2687" s="23" t="n">
        <f aca="false">YEAR(A2687)</f>
        <v>2022</v>
      </c>
      <c r="C2687" s="17" t="n">
        <v>29292.4</v>
      </c>
      <c r="D2687" s="23" t="n">
        <f aca="false">A2687-A2686</f>
        <v>1</v>
      </c>
      <c r="E2687" s="24" t="n">
        <f aca="false">LN(C2687)</f>
        <v>10.2850833756934</v>
      </c>
      <c r="F2687" s="25" t="n">
        <f aca="false">LN(C2687/C2686)</f>
        <v>0.01141494632369</v>
      </c>
      <c r="G2687" s="25" t="n">
        <f aca="false">IF(AND(D2687=1,A2687&gt;=$R$2),F2687,"")</f>
        <v>0.01141494632369</v>
      </c>
      <c r="H2687" s="27" t="n">
        <f aca="false">IF(G2687="","",G2687^2)</f>
        <v>0.000130300999572724</v>
      </c>
      <c r="I2687" s="25" t="n">
        <f aca="false">IF(G2687="","",C2687/C2686-1)</f>
        <v>0.0114803454290118</v>
      </c>
      <c r="J2687" s="17" t="n">
        <f aca="false">AVERAGE(C2488:C2687)</f>
        <v>45597.49</v>
      </c>
      <c r="K2687" s="17" t="n">
        <f aca="false">MAX(K2686,C2687)</f>
        <v>67510.06</v>
      </c>
      <c r="L2687" s="25" t="n">
        <f aca="false">C2687/K2687-1</f>
        <v>-0.566103185214174</v>
      </c>
      <c r="M2687" s="25" t="n">
        <f aca="false">IF(COUNT(G2658:G2687)&lt;20,"",_xlfn.STDEV.S(G2658:G2687)*SQRT($R$3))</f>
        <v>0.69590066177552</v>
      </c>
      <c r="N2687" s="25" t="n">
        <f aca="false">IF(A2687-7&lt;$R$2,"",C2687/INDEX(Clean_Data!$C$2:$C$4314,MATCH(A2687-7,Clean_Data!$A$2:$A$4314,1))-1)</f>
        <v>-0.186620913098023</v>
      </c>
      <c r="O2687" s="25" t="n">
        <f aca="false">IF(A2687-30&lt;$R$2,"",C2687/INDEX(Clean_Data!$C$2:$C$4314,MATCH(A2687-30,Clean_Data!$A$2:$A$4314,1))-1)</f>
        <v>-0.287307571779206</v>
      </c>
    </row>
    <row r="2688" customFormat="false" ht="15" hidden="false" customHeight="false" outlineLevel="0" collapsed="false">
      <c r="A2688" s="16" t="n">
        <v>44695</v>
      </c>
      <c r="B2688" s="23" t="n">
        <f aca="false">YEAR(A2688)</f>
        <v>2022</v>
      </c>
      <c r="C2688" s="17" t="n">
        <v>30012.62</v>
      </c>
      <c r="D2688" s="23" t="n">
        <f aca="false">A2688-A2687</f>
        <v>1</v>
      </c>
      <c r="E2688" s="24" t="n">
        <f aca="false">LN(C2688)</f>
        <v>10.3093732388555</v>
      </c>
      <c r="F2688" s="25" t="n">
        <f aca="false">LN(C2688/C2687)</f>
        <v>0.0242898631621931</v>
      </c>
      <c r="G2688" s="25" t="n">
        <f aca="false">IF(AND(D2688=1,A2688&gt;=$R$2),F2688,"")</f>
        <v>0.0242898631621931</v>
      </c>
      <c r="H2688" s="27" t="n">
        <f aca="false">IF(G2688="","",G2688^2)</f>
        <v>0.000589997452438065</v>
      </c>
      <c r="I2688" s="25" t="n">
        <f aca="false">IF(G2688="","",C2688/C2687-1)</f>
        <v>0.0245872649560976</v>
      </c>
      <c r="J2688" s="17" t="n">
        <f aca="false">AVERAGE(C2489:C2688)</f>
        <v>45445.84705</v>
      </c>
      <c r="K2688" s="17" t="n">
        <f aca="false">MAX(K2687,C2688)</f>
        <v>67510.06</v>
      </c>
      <c r="L2688" s="25" t="n">
        <f aca="false">C2688/K2688-1</f>
        <v>-0.555434849265428</v>
      </c>
      <c r="M2688" s="25" t="n">
        <f aca="false">IF(COUNT(G2659:G2688)&lt;20,"",_xlfn.STDEV.S(G2659:G2688)*SQRT($R$3))</f>
        <v>0.703470868011268</v>
      </c>
      <c r="N2688" s="25" t="n">
        <f aca="false">IF(A2688-7&lt;$R$2,"",C2688/INDEX(Clean_Data!$C$2:$C$4314,MATCH(A2688-7,Clean_Data!$A$2:$A$4314,1))-1)</f>
        <v>-0.153275137013006</v>
      </c>
      <c r="O2688" s="25" t="n">
        <f aca="false">IF(A2688-30&lt;$R$2,"",C2688/INDEX(Clean_Data!$C$2:$C$4314,MATCH(A2688-30,Clean_Data!$A$2:$A$4314,1))-1)</f>
        <v>-0.247993425214952</v>
      </c>
    </row>
    <row r="2689" customFormat="false" ht="15" hidden="false" customHeight="false" outlineLevel="0" collapsed="false">
      <c r="A2689" s="16" t="n">
        <v>44696</v>
      </c>
      <c r="B2689" s="23" t="n">
        <f aca="false">YEAR(A2689)</f>
        <v>2022</v>
      </c>
      <c r="C2689" s="17" t="n">
        <v>31258.75</v>
      </c>
      <c r="D2689" s="23" t="n">
        <f aca="false">A2689-A2688</f>
        <v>1</v>
      </c>
      <c r="E2689" s="24" t="n">
        <f aca="false">LN(C2689)</f>
        <v>10.3500546159719</v>
      </c>
      <c r="F2689" s="25" t="n">
        <f aca="false">LN(C2689/C2688)</f>
        <v>0.0406813771163206</v>
      </c>
      <c r="G2689" s="25" t="n">
        <f aca="false">IF(AND(D2689=1,A2689&gt;=$R$2),F2689,"")</f>
        <v>0.0406813771163206</v>
      </c>
      <c r="H2689" s="27" t="n">
        <f aca="false">IF(G2689="","",G2689^2)</f>
        <v>0.00165497444408029</v>
      </c>
      <c r="I2689" s="25" t="n">
        <f aca="false">IF(G2689="","",C2689/C2688-1)</f>
        <v>0.0415202005023221</v>
      </c>
      <c r="J2689" s="17" t="n">
        <f aca="false">AVERAGE(C2490:C2689)</f>
        <v>45309.55275</v>
      </c>
      <c r="K2689" s="17" t="n">
        <f aca="false">MAX(K2688,C2689)</f>
        <v>67510.06</v>
      </c>
      <c r="L2689" s="25" t="n">
        <f aca="false">C2689/K2689-1</f>
        <v>-0.536976415070584</v>
      </c>
      <c r="M2689" s="25" t="n">
        <f aca="false">IF(COUNT(G2660:G2689)&lt;20,"",_xlfn.STDEV.S(G2660:G2689)*SQRT($R$3))</f>
        <v>0.719671992599231</v>
      </c>
      <c r="N2689" s="25" t="n">
        <f aca="false">IF(A2689-7&lt;$R$2,"",C2689/INDEX(Clean_Data!$C$2:$C$4314,MATCH(A2689-7,Clean_Data!$A$2:$A$4314,1))-1)</f>
        <v>-0.0830457591957233</v>
      </c>
      <c r="O2689" s="25" t="n">
        <f aca="false">IF(A2689-30&lt;$R$2,"",C2689/INDEX(Clean_Data!$C$2:$C$4314,MATCH(A2689-30,Clean_Data!$A$2:$A$4314,1))-1)</f>
        <v>-0.229446145351102</v>
      </c>
    </row>
    <row r="2690" customFormat="false" ht="15" hidden="false" customHeight="false" outlineLevel="0" collapsed="false">
      <c r="A2690" s="16" t="n">
        <v>44697</v>
      </c>
      <c r="B2690" s="23" t="n">
        <f aca="false">YEAR(A2690)</f>
        <v>2022</v>
      </c>
      <c r="C2690" s="17" t="n">
        <v>29854.67</v>
      </c>
      <c r="D2690" s="23" t="n">
        <f aca="false">A2690-A2689</f>
        <v>1</v>
      </c>
      <c r="E2690" s="24" t="n">
        <f aca="false">LN(C2690)</f>
        <v>10.3040965554951</v>
      </c>
      <c r="F2690" s="25" t="n">
        <f aca="false">LN(C2690/C2689)</f>
        <v>-0.0459580604767471</v>
      </c>
      <c r="G2690" s="25" t="n">
        <f aca="false">IF(AND(D2690=1,A2690&gt;=$R$2),F2690,"")</f>
        <v>-0.0459580604767471</v>
      </c>
      <c r="H2690" s="27" t="n">
        <f aca="false">IF(G2690="","",G2690^2)</f>
        <v>0.00211214332278434</v>
      </c>
      <c r="I2690" s="25" t="n">
        <f aca="false">IF(G2690="","",C2690/C2689-1)</f>
        <v>-0.0449179829647699</v>
      </c>
      <c r="J2690" s="17" t="n">
        <f aca="false">AVERAGE(C2491:C2690)</f>
        <v>45155.938</v>
      </c>
      <c r="K2690" s="17" t="n">
        <f aca="false">MAX(K2689,C2690)</f>
        <v>67510.06</v>
      </c>
      <c r="L2690" s="25" t="n">
        <f aca="false">C2690/K2690-1</f>
        <v>-0.55777450057073</v>
      </c>
      <c r="M2690" s="25" t="n">
        <f aca="false">IF(COUNT(G2661:G2690)&lt;20,"",_xlfn.STDEV.S(G2661:G2690)*SQRT($R$3))</f>
        <v>0.731088196195408</v>
      </c>
      <c r="N2690" s="25" t="n">
        <f aca="false">IF(A2690-7&lt;$R$2,"",C2690/INDEX(Clean_Data!$C$2:$C$4314,MATCH(A2690-7,Clean_Data!$A$2:$A$4314,1))-1)</f>
        <v>-0.0106724618605131</v>
      </c>
      <c r="O2690" s="25" t="n">
        <f aca="false">IF(A2690-30&lt;$R$2,"",C2690/INDEX(Clean_Data!$C$2:$C$4314,MATCH(A2690-30,Clean_Data!$A$2:$A$4314,1))-1)</f>
        <v>-0.260624965173082</v>
      </c>
    </row>
    <row r="2691" customFormat="false" ht="15" hidden="false" customHeight="false" outlineLevel="0" collapsed="false">
      <c r="A2691" s="16" t="n">
        <v>44698</v>
      </c>
      <c r="B2691" s="23" t="n">
        <f aca="false">YEAR(A2691)</f>
        <v>2022</v>
      </c>
      <c r="C2691" s="17" t="n">
        <v>30391.04</v>
      </c>
      <c r="D2691" s="23" t="n">
        <f aca="false">A2691-A2690</f>
        <v>1</v>
      </c>
      <c r="E2691" s="24" t="n">
        <f aca="false">LN(C2691)</f>
        <v>10.3219031071088</v>
      </c>
      <c r="F2691" s="25" t="n">
        <f aca="false">LN(C2691/C2690)</f>
        <v>0.0178065516136521</v>
      </c>
      <c r="G2691" s="25" t="n">
        <f aca="false">IF(AND(D2691=1,A2691&gt;=$R$2),F2691,"")</f>
        <v>0.0178065516136521</v>
      </c>
      <c r="H2691" s="27" t="n">
        <f aca="false">IF(G2691="","",G2691^2)</f>
        <v>0.000317073280369658</v>
      </c>
      <c r="I2691" s="25" t="n">
        <f aca="false">IF(G2691="","",C2691/C2690-1)</f>
        <v>0.0179660334547327</v>
      </c>
      <c r="J2691" s="17" t="n">
        <f aca="false">AVERAGE(C2492:C2691)</f>
        <v>44996.3112</v>
      </c>
      <c r="K2691" s="17" t="n">
        <f aca="false">MAX(K2690,C2691)</f>
        <v>67510.06</v>
      </c>
      <c r="L2691" s="25" t="n">
        <f aca="false">C2691/K2691-1</f>
        <v>-0.549829462453448</v>
      </c>
      <c r="M2691" s="25" t="n">
        <f aca="false">IF(COUNT(G2662:G2691)&lt;20,"",_xlfn.STDEV.S(G2662:G2691)*SQRT($R$3))</f>
        <v>0.736891821582071</v>
      </c>
      <c r="N2691" s="25" t="n">
        <f aca="false">IF(A2691-7&lt;$R$2,"",C2691/INDEX(Clean_Data!$C$2:$C$4314,MATCH(A2691-7,Clean_Data!$A$2:$A$4314,1))-1)</f>
        <v>-0.0184352798268062</v>
      </c>
      <c r="O2691" s="25" t="n">
        <f aca="false">IF(A2691-30&lt;$R$2,"",C2691/INDEX(Clean_Data!$C$2:$C$4314,MATCH(A2691-30,Clean_Data!$A$2:$A$4314,1))-1)</f>
        <v>-0.233917802873806</v>
      </c>
    </row>
    <row r="2692" customFormat="false" ht="15" hidden="false" customHeight="false" outlineLevel="0" collapsed="false">
      <c r="A2692" s="16" t="n">
        <v>44699</v>
      </c>
      <c r="B2692" s="23" t="n">
        <f aca="false">YEAR(A2692)</f>
        <v>2022</v>
      </c>
      <c r="C2692" s="17" t="n">
        <v>28762.93</v>
      </c>
      <c r="D2692" s="23" t="n">
        <f aca="false">A2692-A2691</f>
        <v>1</v>
      </c>
      <c r="E2692" s="24" t="n">
        <f aca="false">LN(C2692)</f>
        <v>10.2668426842536</v>
      </c>
      <c r="F2692" s="25" t="n">
        <f aca="false">LN(C2692/C2691)</f>
        <v>-0.0550604228551678</v>
      </c>
      <c r="G2692" s="25" t="n">
        <f aca="false">IF(AND(D2692=1,A2692&gt;=$R$2),F2692,"")</f>
        <v>-0.0550604228551678</v>
      </c>
      <c r="H2692" s="27" t="n">
        <f aca="false">IF(G2692="","",G2692^2)</f>
        <v>0.00303165016498989</v>
      </c>
      <c r="I2692" s="25" t="n">
        <f aca="false">IF(G2692="","",C2692/C2691-1)</f>
        <v>-0.0535720396537928</v>
      </c>
      <c r="J2692" s="17" t="n">
        <f aca="false">AVERAGE(C2493:C2692)</f>
        <v>44829.81145</v>
      </c>
      <c r="K2692" s="17" t="n">
        <f aca="false">MAX(K2691,C2692)</f>
        <v>67510.06</v>
      </c>
      <c r="L2692" s="25" t="n">
        <f aca="false">C2692/K2692-1</f>
        <v>-0.573946016341861</v>
      </c>
      <c r="M2692" s="25" t="n">
        <f aca="false">IF(COUNT(G2663:G2692)&lt;20,"",_xlfn.STDEV.S(G2663:G2692)*SQRT($R$3))</f>
        <v>0.741170898628553</v>
      </c>
      <c r="N2692" s="25" t="n">
        <f aca="false">IF(A2692-7&lt;$R$2,"",C2692/INDEX(Clean_Data!$C$2:$C$4314,MATCH(A2692-7,Clean_Data!$A$2:$A$4314,1))-1)</f>
        <v>-0.009125383855901</v>
      </c>
      <c r="O2692" s="25" t="n">
        <f aca="false">IF(A2692-30&lt;$R$2,"",C2692/INDEX(Clean_Data!$C$2:$C$4314,MATCH(A2692-30,Clean_Data!$A$2:$A$4314,1))-1)</f>
        <v>-0.295328129027074</v>
      </c>
    </row>
    <row r="2693" customFormat="false" ht="15" hidden="false" customHeight="false" outlineLevel="0" collapsed="false">
      <c r="A2693" s="16" t="n">
        <v>44700</v>
      </c>
      <c r="B2693" s="23" t="n">
        <f aca="false">YEAR(A2693)</f>
        <v>2022</v>
      </c>
      <c r="C2693" s="17" t="n">
        <v>30258.84</v>
      </c>
      <c r="D2693" s="23" t="n">
        <f aca="false">A2693-A2692</f>
        <v>1</v>
      </c>
      <c r="E2693" s="24" t="n">
        <f aca="false">LN(C2693)</f>
        <v>10.3175436521727</v>
      </c>
      <c r="F2693" s="25" t="n">
        <f aca="false">LN(C2693/C2692)</f>
        <v>0.0507009679190656</v>
      </c>
      <c r="G2693" s="25" t="n">
        <f aca="false">IF(AND(D2693=1,A2693&gt;=$R$2),F2693,"")</f>
        <v>0.0507009679190656</v>
      </c>
      <c r="H2693" s="27" t="n">
        <f aca="false">IF(G2693="","",G2693^2)</f>
        <v>0.00257058814793012</v>
      </c>
      <c r="I2693" s="25" t="n">
        <f aca="false">IF(G2693="","",C2693/C2692-1)</f>
        <v>0.0520082620233753</v>
      </c>
      <c r="J2693" s="17" t="n">
        <f aca="false">AVERAGE(C2494:C2693)</f>
        <v>44674.4384</v>
      </c>
      <c r="K2693" s="17" t="n">
        <f aca="false">MAX(K2692,C2693)</f>
        <v>67510.06</v>
      </c>
      <c r="L2693" s="25" t="n">
        <f aca="false">C2693/K2693-1</f>
        <v>-0.551787689123665</v>
      </c>
      <c r="M2693" s="25" t="n">
        <f aca="false">IF(COUNT(G2664:G2693)&lt;20,"",_xlfn.STDEV.S(G2664:G2693)*SQRT($R$3))</f>
        <v>0.766864416608758</v>
      </c>
      <c r="N2693" s="25" t="n">
        <f aca="false">IF(A2693-7&lt;$R$2,"",C2693/INDEX(Clean_Data!$C$2:$C$4314,MATCH(A2693-7,Clean_Data!$A$2:$A$4314,1))-1)</f>
        <v>0.0448519730538022</v>
      </c>
      <c r="O2693" s="25" t="n">
        <f aca="false">IF(A2693-30&lt;$R$2,"",C2693/INDEX(Clean_Data!$C$2:$C$4314,MATCH(A2693-30,Clean_Data!$A$2:$A$4314,1))-1)</f>
        <v>-0.270524165114723</v>
      </c>
    </row>
    <row r="2694" customFormat="false" ht="15" hidden="false" customHeight="false" outlineLevel="0" collapsed="false">
      <c r="A2694" s="16" t="n">
        <v>44701</v>
      </c>
      <c r="B2694" s="23" t="n">
        <f aca="false">YEAR(A2694)</f>
        <v>2022</v>
      </c>
      <c r="C2694" s="17" t="n">
        <v>29138.15</v>
      </c>
      <c r="D2694" s="23" t="n">
        <f aca="false">A2694-A2693</f>
        <v>1</v>
      </c>
      <c r="E2694" s="24" t="n">
        <f aca="false">LN(C2694)</f>
        <v>10.2798035911175</v>
      </c>
      <c r="F2694" s="25" t="n">
        <f aca="false">LN(C2694/C2693)</f>
        <v>-0.0377400610551657</v>
      </c>
      <c r="G2694" s="25" t="n">
        <f aca="false">IF(AND(D2694=1,A2694&gt;=$R$2),F2694,"")</f>
        <v>-0.0377400610551657</v>
      </c>
      <c r="H2694" s="27" t="n">
        <f aca="false">IF(G2694="","",G2694^2)</f>
        <v>0.00142431220844763</v>
      </c>
      <c r="I2694" s="25" t="n">
        <f aca="false">IF(G2694="","",C2694/C2693-1)</f>
        <v>-0.0370367799955318</v>
      </c>
      <c r="J2694" s="17" t="n">
        <f aca="false">AVERAGE(C2495:C2694)</f>
        <v>44515.37915</v>
      </c>
      <c r="K2694" s="17" t="n">
        <f aca="false">MAX(K2693,C2694)</f>
        <v>67510.06</v>
      </c>
      <c r="L2694" s="25" t="n">
        <f aca="false">C2694/K2694-1</f>
        <v>-0.568388029872881</v>
      </c>
      <c r="M2694" s="25" t="n">
        <f aca="false">IF(COUNT(G2665:G2694)&lt;20,"",_xlfn.STDEV.S(G2665:G2694)*SQRT($R$3))</f>
        <v>0.77215512119145</v>
      </c>
      <c r="N2694" s="25" t="n">
        <f aca="false">IF(A2694-7&lt;$R$2,"",C2694/INDEX(Clean_Data!$C$2:$C$4314,MATCH(A2694-7,Clean_Data!$A$2:$A$4314,1))-1)</f>
        <v>-0.00526587101091069</v>
      </c>
      <c r="O2694" s="25" t="n">
        <f aca="false">IF(A2694-30&lt;$R$2,"",C2694/INDEX(Clean_Data!$C$2:$C$4314,MATCH(A2694-30,Clean_Data!$A$2:$A$4314,1))-1)</f>
        <v>-0.29533316001717</v>
      </c>
    </row>
    <row r="2695" customFormat="false" ht="15" hidden="false" customHeight="false" outlineLevel="0" collapsed="false">
      <c r="A2695" s="16" t="n">
        <v>44702</v>
      </c>
      <c r="B2695" s="23" t="n">
        <f aca="false">YEAR(A2695)</f>
        <v>2022</v>
      </c>
      <c r="C2695" s="17" t="n">
        <v>29426.6</v>
      </c>
      <c r="D2695" s="23" t="n">
        <f aca="false">A2695-A2694</f>
        <v>1</v>
      </c>
      <c r="E2695" s="24" t="n">
        <f aca="false">LN(C2695)</f>
        <v>10.2896543061812</v>
      </c>
      <c r="F2695" s="25" t="n">
        <f aca="false">LN(C2695/C2694)</f>
        <v>0.0098507150636925</v>
      </c>
      <c r="G2695" s="25" t="n">
        <f aca="false">IF(AND(D2695=1,A2695&gt;=$R$2),F2695,"")</f>
        <v>0.0098507150636925</v>
      </c>
      <c r="H2695" s="27" t="n">
        <f aca="false">IF(G2695="","",G2695^2)</f>
        <v>9.70365872660584E-005</v>
      </c>
      <c r="I2695" s="25" t="n">
        <f aca="false">IF(G2695="","",C2695/C2694-1)</f>
        <v>0.00989939306373255</v>
      </c>
      <c r="J2695" s="17" t="n">
        <f aca="false">AVERAGE(C2496:C2695)</f>
        <v>44345.72615</v>
      </c>
      <c r="K2695" s="17" t="n">
        <f aca="false">MAX(K2694,C2695)</f>
        <v>67510.06</v>
      </c>
      <c r="L2695" s="25" t="n">
        <f aca="false">C2695/K2695-1</f>
        <v>-0.564115333329581</v>
      </c>
      <c r="M2695" s="25" t="n">
        <f aca="false">IF(COUNT(G2666:G2695)&lt;20,"",_xlfn.STDEV.S(G2666:G2695)*SQRT($R$3))</f>
        <v>0.774842025153364</v>
      </c>
      <c r="N2695" s="25" t="n">
        <f aca="false">IF(A2695-7&lt;$R$2,"",C2695/INDEX(Clean_Data!$C$2:$C$4314,MATCH(A2695-7,Clean_Data!$A$2:$A$4314,1))-1)</f>
        <v>-0.0195257861526251</v>
      </c>
      <c r="O2695" s="25" t="n">
        <f aca="false">IF(A2695-30&lt;$R$2,"",C2695/INDEX(Clean_Data!$C$2:$C$4314,MATCH(A2695-30,Clean_Data!$A$2:$A$4314,1))-1)</f>
        <v>-0.272780203496792</v>
      </c>
    </row>
    <row r="2696" customFormat="false" ht="15" hidden="false" customHeight="false" outlineLevel="0" collapsed="false">
      <c r="A2696" s="16" t="n">
        <v>44703</v>
      </c>
      <c r="B2696" s="23" t="n">
        <f aca="false">YEAR(A2696)</f>
        <v>2022</v>
      </c>
      <c r="C2696" s="17" t="n">
        <v>30221.12</v>
      </c>
      <c r="D2696" s="23" t="n">
        <f aca="false">A2696-A2695</f>
        <v>1</v>
      </c>
      <c r="E2696" s="24" t="n">
        <f aca="false">LN(C2696)</f>
        <v>10.3162962966886</v>
      </c>
      <c r="F2696" s="25" t="n">
        <f aca="false">LN(C2696/C2695)</f>
        <v>0.0266419905074188</v>
      </c>
      <c r="G2696" s="25" t="n">
        <f aca="false">IF(AND(D2696=1,A2696&gt;=$R$2),F2696,"")</f>
        <v>0.0266419905074188</v>
      </c>
      <c r="H2696" s="27" t="n">
        <f aca="false">IF(G2696="","",G2696^2)</f>
        <v>0.000709795658197391</v>
      </c>
      <c r="I2696" s="25" t="n">
        <f aca="false">IF(G2696="","",C2696/C2695-1)</f>
        <v>0.0270000611691463</v>
      </c>
      <c r="J2696" s="17" t="n">
        <f aca="false">AVERAGE(C2497:C2696)</f>
        <v>44182.10975</v>
      </c>
      <c r="K2696" s="17" t="n">
        <f aca="false">MAX(K2695,C2696)</f>
        <v>67510.06</v>
      </c>
      <c r="L2696" s="25" t="n">
        <f aca="false">C2696/K2696-1</f>
        <v>-0.552346420666787</v>
      </c>
      <c r="M2696" s="25" t="n">
        <f aca="false">IF(COUNT(G2667:G2696)&lt;20,"",_xlfn.STDEV.S(G2667:G2696)*SQRT($R$3))</f>
        <v>0.784937976120788</v>
      </c>
      <c r="N2696" s="25" t="n">
        <f aca="false">IF(A2696-7&lt;$R$2,"",C2696/INDEX(Clean_Data!$C$2:$C$4314,MATCH(A2696-7,Clean_Data!$A$2:$A$4314,1))-1)</f>
        <v>-0.0331948654376775</v>
      </c>
      <c r="O2696" s="25" t="n">
        <f aca="false">IF(A2696-30&lt;$R$2,"",C2696/INDEX(Clean_Data!$C$2:$C$4314,MATCH(A2696-30,Clean_Data!$A$2:$A$4314,1))-1)</f>
        <v>-0.238919920822399</v>
      </c>
    </row>
    <row r="2697" customFormat="false" ht="15" hidden="false" customHeight="false" outlineLevel="0" collapsed="false">
      <c r="A2697" s="16" t="n">
        <v>44704</v>
      </c>
      <c r="B2697" s="23" t="n">
        <f aca="false">YEAR(A2697)</f>
        <v>2022</v>
      </c>
      <c r="C2697" s="17" t="n">
        <v>29095.68</v>
      </c>
      <c r="D2697" s="23" t="n">
        <f aca="false">A2697-A2696</f>
        <v>1</v>
      </c>
      <c r="E2697" s="24" t="n">
        <f aca="false">LN(C2697)</f>
        <v>10.278344988531</v>
      </c>
      <c r="F2697" s="25" t="n">
        <f aca="false">LN(C2697/C2696)</f>
        <v>-0.0379513081576028</v>
      </c>
      <c r="G2697" s="25" t="n">
        <f aca="false">IF(AND(D2697=1,A2697&gt;=$R$2),F2697,"")</f>
        <v>-0.0379513081576028</v>
      </c>
      <c r="H2697" s="27" t="n">
        <f aca="false">IF(G2697="","",G2697^2)</f>
        <v>0.00144030179087333</v>
      </c>
      <c r="I2697" s="25" t="n">
        <f aca="false">IF(G2697="","",C2697/C2696-1)</f>
        <v>-0.0372401817007444</v>
      </c>
      <c r="J2697" s="17" t="n">
        <f aca="false">AVERAGE(C2498:C2697)</f>
        <v>44020.09195</v>
      </c>
      <c r="K2697" s="17" t="n">
        <f aca="false">MAX(K2696,C2697)</f>
        <v>67510.06</v>
      </c>
      <c r="L2697" s="25" t="n">
        <f aca="false">C2697/K2697-1</f>
        <v>-0.569017121300144</v>
      </c>
      <c r="M2697" s="25" t="n">
        <f aca="false">IF(COUNT(G2668:G2697)&lt;20,"",_xlfn.STDEV.S(G2668:G2697)*SQRT($R$3))</f>
        <v>0.791240426727935</v>
      </c>
      <c r="N2697" s="25" t="n">
        <f aca="false">IF(A2697-7&lt;$R$2,"",C2697/INDEX(Clean_Data!$C$2:$C$4314,MATCH(A2697-7,Clean_Data!$A$2:$A$4314,1))-1)</f>
        <v>-0.0254228232969916</v>
      </c>
      <c r="O2697" s="25" t="n">
        <f aca="false">IF(A2697-30&lt;$R$2,"",C2697/INDEX(Clean_Data!$C$2:$C$4314,MATCH(A2697-30,Clean_Data!$A$2:$A$4314,1))-1)</f>
        <v>-0.262805151502099</v>
      </c>
    </row>
    <row r="2698" customFormat="false" ht="15" hidden="false" customHeight="false" outlineLevel="0" collapsed="false">
      <c r="A2698" s="16" t="n">
        <v>44705</v>
      </c>
      <c r="B2698" s="23" t="n">
        <f aca="false">YEAR(A2698)</f>
        <v>2022</v>
      </c>
      <c r="C2698" s="17" t="n">
        <v>29605.66</v>
      </c>
      <c r="D2698" s="23" t="n">
        <f aca="false">A2698-A2697</f>
        <v>1</v>
      </c>
      <c r="E2698" s="24" t="n">
        <f aca="false">LN(C2698)</f>
        <v>10.2957208382489</v>
      </c>
      <c r="F2698" s="25" t="n">
        <f aca="false">LN(C2698/C2697)</f>
        <v>0.0173758497178685</v>
      </c>
      <c r="G2698" s="25" t="n">
        <f aca="false">IF(AND(D2698=1,A2698&gt;=$R$2),F2698,"")</f>
        <v>0.0173758497178685</v>
      </c>
      <c r="H2698" s="27" t="n">
        <f aca="false">IF(G2698="","",G2698^2)</f>
        <v>0.000301920153417951</v>
      </c>
      <c r="I2698" s="25" t="n">
        <f aca="false">IF(G2698="","",C2698/C2697-1)</f>
        <v>0.0175276879591746</v>
      </c>
      <c r="J2698" s="17" t="n">
        <f aca="false">AVERAGE(C2499:C2698)</f>
        <v>43863.1202</v>
      </c>
      <c r="K2698" s="17" t="n">
        <f aca="false">MAX(K2697,C2698)</f>
        <v>67510.06</v>
      </c>
      <c r="L2698" s="25" t="n">
        <f aca="false">C2698/K2698-1</f>
        <v>-0.561462987886546</v>
      </c>
      <c r="M2698" s="25" t="n">
        <f aca="false">IF(COUNT(G2669:G2698)&lt;20,"",_xlfn.STDEV.S(G2669:G2698)*SQRT($R$3))</f>
        <v>0.796268939149476</v>
      </c>
      <c r="N2698" s="25" t="n">
        <f aca="false">IF(A2698-7&lt;$R$2,"",C2698/INDEX(Clean_Data!$C$2:$C$4314,MATCH(A2698-7,Clean_Data!$A$2:$A$4314,1))-1)</f>
        <v>-0.0258424851535189</v>
      </c>
      <c r="O2698" s="25" t="n">
        <f aca="false">IF(A2698-30&lt;$R$2,"",C2698/INDEX(Clean_Data!$C$2:$C$4314,MATCH(A2698-30,Clean_Data!$A$2:$A$4314,1))-1)</f>
        <v>-0.250294317177817</v>
      </c>
    </row>
    <row r="2699" customFormat="false" ht="15" hidden="false" customHeight="false" outlineLevel="0" collapsed="false">
      <c r="A2699" s="16" t="n">
        <v>44706</v>
      </c>
      <c r="B2699" s="23" t="n">
        <f aca="false">YEAR(A2699)</f>
        <v>2022</v>
      </c>
      <c r="C2699" s="17" t="n">
        <v>29487.83</v>
      </c>
      <c r="D2699" s="23" t="n">
        <f aca="false">A2699-A2698</f>
        <v>1</v>
      </c>
      <c r="E2699" s="24" t="n">
        <f aca="false">LN(C2699)</f>
        <v>10.291732914836</v>
      </c>
      <c r="F2699" s="25" t="n">
        <f aca="false">LN(C2699/C2698)</f>
        <v>-0.00398792341286317</v>
      </c>
      <c r="G2699" s="25" t="n">
        <f aca="false">IF(AND(D2699=1,A2699&gt;=$R$2),F2699,"")</f>
        <v>-0.00398792341286317</v>
      </c>
      <c r="H2699" s="27" t="n">
        <f aca="false">IF(G2699="","",G2699^2)</f>
        <v>1.59035331468622E-005</v>
      </c>
      <c r="I2699" s="25" t="n">
        <f aca="false">IF(G2699="","",C2699/C2698-1)</f>
        <v>-0.00397998220610507</v>
      </c>
      <c r="J2699" s="17" t="n">
        <f aca="false">AVERAGE(C2500:C2699)</f>
        <v>43702.86285</v>
      </c>
      <c r="K2699" s="17" t="n">
        <f aca="false">MAX(K2698,C2699)</f>
        <v>67510.06</v>
      </c>
      <c r="L2699" s="25" t="n">
        <f aca="false">C2699/K2699-1</f>
        <v>-0.563208357391476</v>
      </c>
      <c r="M2699" s="25" t="n">
        <f aca="false">IF(COUNT(G2670:G2699)&lt;20,"",_xlfn.STDEV.S(G2670:G2699)*SQRT($R$3))</f>
        <v>0.786763090523647</v>
      </c>
      <c r="N2699" s="25" t="n">
        <f aca="false">IF(A2699-7&lt;$R$2,"",C2699/INDEX(Clean_Data!$C$2:$C$4314,MATCH(A2699-7,Clean_Data!$A$2:$A$4314,1))-1)</f>
        <v>0.0252025784577581</v>
      </c>
      <c r="O2699" s="25" t="n">
        <f aca="false">IF(A2699-30&lt;$R$2,"",C2699/INDEX(Clean_Data!$C$2:$C$4314,MATCH(A2699-30,Clean_Data!$A$2:$A$4314,1))-1)</f>
        <v>-0.271732985662531</v>
      </c>
    </row>
    <row r="2700" customFormat="false" ht="15" hidden="false" customHeight="false" outlineLevel="0" collapsed="false">
      <c r="A2700" s="16" t="n">
        <v>44707</v>
      </c>
      <c r="B2700" s="23" t="n">
        <f aca="false">YEAR(A2700)</f>
        <v>2022</v>
      </c>
      <c r="C2700" s="17" t="n">
        <v>29160.96</v>
      </c>
      <c r="D2700" s="23" t="n">
        <f aca="false">A2700-A2699</f>
        <v>1</v>
      </c>
      <c r="E2700" s="24" t="n">
        <f aca="false">LN(C2700)</f>
        <v>10.2805861073914</v>
      </c>
      <c r="F2700" s="25" t="n">
        <f aca="false">LN(C2700/C2699)</f>
        <v>-0.0111468074446311</v>
      </c>
      <c r="G2700" s="25" t="n">
        <f aca="false">IF(AND(D2700=1,A2700&gt;=$R$2),F2700,"")</f>
        <v>-0.0111468074446311</v>
      </c>
      <c r="H2700" s="27" t="n">
        <f aca="false">IF(G2700="","",G2700^2)</f>
        <v>0.000124251316207684</v>
      </c>
      <c r="I2700" s="25" t="n">
        <f aca="false">IF(G2700="","",C2700/C2699-1)</f>
        <v>-0.0110849119789419</v>
      </c>
      <c r="J2700" s="17" t="n">
        <f aca="false">AVERAGE(C2501:C2700)</f>
        <v>43531.49935</v>
      </c>
      <c r="K2700" s="17" t="n">
        <f aca="false">MAX(K2699,C2700)</f>
        <v>67510.06</v>
      </c>
      <c r="L2700" s="25" t="n">
        <f aca="false">C2700/K2700-1</f>
        <v>-0.568050154302929</v>
      </c>
      <c r="M2700" s="25" t="n">
        <f aca="false">IF(COUNT(G2671:G2700)&lt;20,"",_xlfn.STDEV.S(G2671:G2700)*SQRT($R$3))</f>
        <v>0.765662233338855</v>
      </c>
      <c r="N2700" s="25" t="n">
        <f aca="false">IF(A2700-7&lt;$R$2,"",C2700/INDEX(Clean_Data!$C$2:$C$4314,MATCH(A2700-7,Clean_Data!$A$2:$A$4314,1))-1)</f>
        <v>-0.0362829507013488</v>
      </c>
      <c r="O2700" s="25" t="n">
        <f aca="false">IF(A2700-30&lt;$R$2,"",C2700/INDEX(Clean_Data!$C$2:$C$4314,MATCH(A2700-30,Clean_Data!$A$2:$A$4314,1))-1)</f>
        <v>-0.234676314956547</v>
      </c>
    </row>
    <row r="2701" customFormat="false" ht="15" hidden="false" customHeight="false" outlineLevel="0" collapsed="false">
      <c r="A2701" s="16" t="n">
        <v>44708</v>
      </c>
      <c r="B2701" s="23" t="n">
        <f aca="false">YEAR(A2701)</f>
        <v>2022</v>
      </c>
      <c r="C2701" s="17" t="n">
        <v>28608.55</v>
      </c>
      <c r="D2701" s="23" t="n">
        <f aca="false">A2701-A2700</f>
        <v>1</v>
      </c>
      <c r="E2701" s="24" t="n">
        <f aca="false">LN(C2701)</f>
        <v>10.2614609031799</v>
      </c>
      <c r="F2701" s="25" t="n">
        <f aca="false">LN(C2701/C2700)</f>
        <v>-0.019125204211449</v>
      </c>
      <c r="G2701" s="25" t="n">
        <f aca="false">IF(AND(D2701=1,A2701&gt;=$R$2),F2701,"")</f>
        <v>-0.019125204211449</v>
      </c>
      <c r="H2701" s="27" t="n">
        <f aca="false">IF(G2701="","",G2701^2)</f>
        <v>0.000365773436129626</v>
      </c>
      <c r="I2701" s="25" t="n">
        <f aca="false">IF(G2701="","",C2701/C2700-1)</f>
        <v>-0.0189434778553244</v>
      </c>
      <c r="J2701" s="17" t="n">
        <f aca="false">AVERAGE(C2502:C2701)</f>
        <v>43336.9918</v>
      </c>
      <c r="K2701" s="17" t="n">
        <f aca="false">MAX(K2700,C2701)</f>
        <v>67510.06</v>
      </c>
      <c r="L2701" s="25" t="n">
        <f aca="false">C2701/K2701-1</f>
        <v>-0.576232786639502</v>
      </c>
      <c r="M2701" s="25" t="n">
        <f aca="false">IF(COUNT(G2672:G2701)&lt;20,"",_xlfn.STDEV.S(G2672:G2701)*SQRT($R$3))</f>
        <v>0.754570151469923</v>
      </c>
      <c r="N2701" s="25" t="n">
        <f aca="false">IF(A2701-7&lt;$R$2,"",C2701/INDEX(Clean_Data!$C$2:$C$4314,MATCH(A2701-7,Clean_Data!$A$2:$A$4314,1))-1)</f>
        <v>-0.0181754847167718</v>
      </c>
      <c r="O2701" s="25" t="n">
        <f aca="false">IF(A2701-30&lt;$R$2,"",C2701/INDEX(Clean_Data!$C$2:$C$4314,MATCH(A2701-30,Clean_Data!$A$2:$A$4314,1))-1)</f>
        <v>-0.269974395497445</v>
      </c>
    </row>
    <row r="2702" customFormat="false" ht="15" hidden="false" customHeight="false" outlineLevel="0" collapsed="false">
      <c r="A2702" s="16" t="n">
        <v>44709</v>
      </c>
      <c r="B2702" s="23" t="n">
        <f aca="false">YEAR(A2702)</f>
        <v>2022</v>
      </c>
      <c r="C2702" s="17" t="n">
        <v>28974.3</v>
      </c>
      <c r="D2702" s="23" t="n">
        <f aca="false">A2702-A2701</f>
        <v>1</v>
      </c>
      <c r="E2702" s="24" t="n">
        <f aca="false">LN(C2702)</f>
        <v>10.2741645091586</v>
      </c>
      <c r="F2702" s="25" t="n">
        <f aca="false">LN(C2702/C2701)</f>
        <v>0.0127036059786412</v>
      </c>
      <c r="G2702" s="25" t="n">
        <f aca="false">IF(AND(D2702=1,A2702&gt;=$R$2),F2702,"")</f>
        <v>0.0127036059786412</v>
      </c>
      <c r="H2702" s="27" t="n">
        <f aca="false">IF(G2702="","",G2702^2)</f>
        <v>0.000161381604860569</v>
      </c>
      <c r="I2702" s="25" t="n">
        <f aca="false">IF(G2702="","",C2702/C2701-1)</f>
        <v>0.0127846395570554</v>
      </c>
      <c r="J2702" s="17" t="n">
        <f aca="false">AVERAGE(C2503:C2702)</f>
        <v>43147.0234</v>
      </c>
      <c r="K2702" s="17" t="n">
        <f aca="false">MAX(K2701,C2702)</f>
        <v>67510.06</v>
      </c>
      <c r="L2702" s="25" t="n">
        <f aca="false">C2702/K2702-1</f>
        <v>-0.570815075560591</v>
      </c>
      <c r="M2702" s="25" t="n">
        <f aca="false">IF(COUNT(G2673:G2702)&lt;20,"",_xlfn.STDEV.S(G2673:G2702)*SQRT($R$3))</f>
        <v>0.754086956209745</v>
      </c>
      <c r="N2702" s="25" t="n">
        <f aca="false">IF(A2702-7&lt;$R$2,"",C2702/INDEX(Clean_Data!$C$2:$C$4314,MATCH(A2702-7,Clean_Data!$A$2:$A$4314,1))-1)</f>
        <v>-0.0153704471464593</v>
      </c>
      <c r="O2702" s="25" t="n">
        <f aca="false">IF(A2702-30&lt;$R$2,"",C2702/INDEX(Clean_Data!$C$2:$C$4314,MATCH(A2702-30,Clean_Data!$A$2:$A$4314,1))-1)</f>
        <v>-0.270861355624167</v>
      </c>
    </row>
    <row r="2703" customFormat="false" ht="15" hidden="false" customHeight="false" outlineLevel="0" collapsed="false">
      <c r="A2703" s="16" t="n">
        <v>44710</v>
      </c>
      <c r="B2703" s="23" t="n">
        <f aca="false">YEAR(A2703)</f>
        <v>2022</v>
      </c>
      <c r="C2703" s="17" t="n">
        <v>29441.17</v>
      </c>
      <c r="D2703" s="23" t="n">
        <f aca="false">A2703-A2702</f>
        <v>1</v>
      </c>
      <c r="E2703" s="24" t="n">
        <f aca="false">LN(C2703)</f>
        <v>10.290149313901</v>
      </c>
      <c r="F2703" s="25" t="n">
        <f aca="false">LN(C2703/C2702)</f>
        <v>0.0159848047423768</v>
      </c>
      <c r="G2703" s="25" t="n">
        <f aca="false">IF(AND(D2703=1,A2703&gt;=$R$2),F2703,"")</f>
        <v>0.0159848047423768</v>
      </c>
      <c r="H2703" s="27" t="n">
        <f aca="false">IF(G2703="","",G2703^2)</f>
        <v>0.000255513982651912</v>
      </c>
      <c r="I2703" s="25" t="n">
        <f aca="false">IF(G2703="","",C2703/C2702-1)</f>
        <v>0.0161132451862511</v>
      </c>
      <c r="J2703" s="17" t="n">
        <f aca="false">AVERAGE(C2504:C2703)</f>
        <v>42969.74495</v>
      </c>
      <c r="K2703" s="17" t="n">
        <f aca="false">MAX(K2702,C2703)</f>
        <v>67510.06</v>
      </c>
      <c r="L2703" s="25" t="n">
        <f aca="false">C2703/K2703-1</f>
        <v>-0.563899513642856</v>
      </c>
      <c r="M2703" s="25" t="n">
        <f aca="false">IF(COUNT(G2674:G2703)&lt;20,"",_xlfn.STDEV.S(G2674:G2703)*SQRT($R$3))</f>
        <v>0.756499400685612</v>
      </c>
      <c r="N2703" s="25" t="n">
        <f aca="false">IF(A2703-7&lt;$R$2,"",C2703/INDEX(Clean_Data!$C$2:$C$4314,MATCH(A2703-7,Clean_Data!$A$2:$A$4314,1))-1)</f>
        <v>-0.0258081103546129</v>
      </c>
      <c r="O2703" s="25" t="n">
        <f aca="false">IF(A2703-30&lt;$R$2,"",C2703/INDEX(Clean_Data!$C$2:$C$4314,MATCH(A2703-30,Clean_Data!$A$2:$A$4314,1))-1)</f>
        <v>-0.237219464535871</v>
      </c>
    </row>
    <row r="2704" customFormat="false" ht="15" hidden="false" customHeight="false" outlineLevel="0" collapsed="false">
      <c r="A2704" s="16" t="n">
        <v>44711</v>
      </c>
      <c r="B2704" s="23" t="n">
        <f aca="false">YEAR(A2704)</f>
        <v>2022</v>
      </c>
      <c r="C2704" s="17" t="n">
        <v>31691.54</v>
      </c>
      <c r="D2704" s="23" t="n">
        <f aca="false">A2704-A2703</f>
        <v>1</v>
      </c>
      <c r="E2704" s="24" t="n">
        <f aca="false">LN(C2704)</f>
        <v>10.3638050472758</v>
      </c>
      <c r="F2704" s="25" t="n">
        <f aca="false">LN(C2704/C2703)</f>
        <v>0.0736557333748147</v>
      </c>
      <c r="G2704" s="25" t="n">
        <f aca="false">IF(AND(D2704=1,A2704&gt;=$R$2),F2704,"")</f>
        <v>0.0736557333748147</v>
      </c>
      <c r="H2704" s="27" t="n">
        <f aca="false">IF(G2704="","",G2704^2)</f>
        <v>0.00542516705898179</v>
      </c>
      <c r="I2704" s="25" t="n">
        <f aca="false">IF(G2704="","",C2704/C2703-1)</f>
        <v>0.0764361606553001</v>
      </c>
      <c r="J2704" s="17" t="n">
        <f aca="false">AVERAGE(C2505:C2704)</f>
        <v>42804.2342</v>
      </c>
      <c r="K2704" s="17" t="n">
        <f aca="false">MAX(K2703,C2704)</f>
        <v>67510.06</v>
      </c>
      <c r="L2704" s="25" t="n">
        <f aca="false">C2704/K2704-1</f>
        <v>-0.530565666805806</v>
      </c>
      <c r="M2704" s="25" t="n">
        <f aca="false">IF(COUNT(G2675:G2704)&lt;20,"",_xlfn.STDEV.S(G2675:G2704)*SQRT($R$3))</f>
        <v>0.806983335999532</v>
      </c>
      <c r="N2704" s="25" t="n">
        <f aca="false">IF(A2704-7&lt;$R$2,"",C2704/INDEX(Clean_Data!$C$2:$C$4314,MATCH(A2704-7,Clean_Data!$A$2:$A$4314,1))-1)</f>
        <v>0.0892180557388589</v>
      </c>
      <c r="O2704" s="25" t="n">
        <f aca="false">IF(A2704-30&lt;$R$2,"",C2704/INDEX(Clean_Data!$C$2:$C$4314,MATCH(A2704-30,Clean_Data!$A$2:$A$4314,1))-1)</f>
        <v>-0.158449891697844</v>
      </c>
    </row>
    <row r="2705" customFormat="false" ht="15" hidden="false" customHeight="false" outlineLevel="0" collapsed="false">
      <c r="A2705" s="16" t="n">
        <v>44712</v>
      </c>
      <c r="B2705" s="23" t="n">
        <f aca="false">YEAR(A2705)</f>
        <v>2022</v>
      </c>
      <c r="C2705" s="17" t="n">
        <v>31804.27</v>
      </c>
      <c r="D2705" s="23" t="n">
        <f aca="false">A2705-A2704</f>
        <v>1</v>
      </c>
      <c r="E2705" s="24" t="n">
        <f aca="false">LN(C2705)</f>
        <v>10.3673558364835</v>
      </c>
      <c r="F2705" s="25" t="n">
        <f aca="false">LN(C2705/C2704)</f>
        <v>0.00355078920774792</v>
      </c>
      <c r="G2705" s="25" t="n">
        <f aca="false">IF(AND(D2705=1,A2705&gt;=$R$2),F2705,"")</f>
        <v>0.00355078920774792</v>
      </c>
      <c r="H2705" s="27" t="n">
        <f aca="false">IF(G2705="","",G2705^2)</f>
        <v>1.26081039978591E-005</v>
      </c>
      <c r="I2705" s="25" t="n">
        <f aca="false">IF(G2705="","",C2705/C2704-1)</f>
        <v>0.00355710072782833</v>
      </c>
      <c r="J2705" s="17" t="n">
        <f aca="false">AVERAGE(C2506:C2705)</f>
        <v>42642.463</v>
      </c>
      <c r="K2705" s="17" t="n">
        <f aca="false">MAX(K2704,C2705)</f>
        <v>67510.06</v>
      </c>
      <c r="L2705" s="25" t="n">
        <f aca="false">C2705/K2705-1</f>
        <v>-0.528895841597534</v>
      </c>
      <c r="M2705" s="25" t="n">
        <f aca="false">IF(COUNT(G2676:G2705)&lt;20,"",_xlfn.STDEV.S(G2676:G2705)*SQRT($R$3))</f>
        <v>0.801543286257682</v>
      </c>
      <c r="N2705" s="25" t="n">
        <f aca="false">IF(A2705-7&lt;$R$2,"",C2705/INDEX(Clean_Data!$C$2:$C$4314,MATCH(A2705-7,Clean_Data!$A$2:$A$4314,1))-1)</f>
        <v>0.0742631645435365</v>
      </c>
      <c r="O2705" s="25" t="n">
        <f aca="false">IF(A2705-30&lt;$R$2,"",C2705/INDEX(Clean_Data!$C$2:$C$4314,MATCH(A2705-30,Clean_Data!$A$2:$A$4314,1))-1)</f>
        <v>-0.173838242621002</v>
      </c>
    </row>
    <row r="2706" customFormat="false" ht="15" hidden="false" customHeight="false" outlineLevel="0" collapsed="false">
      <c r="A2706" s="16" t="n">
        <v>44713</v>
      </c>
      <c r="B2706" s="23" t="n">
        <f aca="false">YEAR(A2706)</f>
        <v>2022</v>
      </c>
      <c r="C2706" s="17" t="n">
        <v>29779.16</v>
      </c>
      <c r="D2706" s="23" t="n">
        <f aca="false">A2706-A2705</f>
        <v>1</v>
      </c>
      <c r="E2706" s="24" t="n">
        <f aca="false">LN(C2706)</f>
        <v>10.3015640989899</v>
      </c>
      <c r="F2706" s="25" t="n">
        <f aca="false">LN(C2706/C2705)</f>
        <v>-0.0657917374935706</v>
      </c>
      <c r="G2706" s="25" t="n">
        <f aca="false">IF(AND(D2706=1,A2706&gt;=$R$2),F2706,"")</f>
        <v>-0.0657917374935706</v>
      </c>
      <c r="H2706" s="27" t="n">
        <f aca="false">IF(G2706="","",G2706^2)</f>
        <v>0.0043285527224229</v>
      </c>
      <c r="I2706" s="25" t="n">
        <f aca="false">IF(G2706="","",C2706/C2705-1)</f>
        <v>-0.0636741544452993</v>
      </c>
      <c r="J2706" s="17" t="n">
        <f aca="false">AVERAGE(C2507:C2706)</f>
        <v>42468.9461</v>
      </c>
      <c r="K2706" s="17" t="n">
        <f aca="false">MAX(K2705,C2706)</f>
        <v>67510.06</v>
      </c>
      <c r="L2706" s="25" t="n">
        <f aca="false">C2706/K2706-1</f>
        <v>-0.558893000539475</v>
      </c>
      <c r="M2706" s="25" t="n">
        <f aca="false">IF(COUNT(G2677:G2706)&lt;20,"",_xlfn.STDEV.S(G2677:G2706)*SQRT($R$3))</f>
        <v>0.82742861735972</v>
      </c>
      <c r="N2706" s="25" t="n">
        <f aca="false">IF(A2706-7&lt;$R$2,"",C2706/INDEX(Clean_Data!$C$2:$C$4314,MATCH(A2706-7,Clean_Data!$A$2:$A$4314,1))-1)</f>
        <v>0.00987966900243253</v>
      </c>
      <c r="O2706" s="25" t="n">
        <f aca="false">IF(A2706-30&lt;$R$2,"",C2706/INDEX(Clean_Data!$C$2:$C$4314,MATCH(A2706-30,Clean_Data!$A$2:$A$4314,1))-1)</f>
        <v>-0.226281400402615</v>
      </c>
    </row>
    <row r="2707" customFormat="false" ht="15" hidden="false" customHeight="false" outlineLevel="0" collapsed="false">
      <c r="A2707" s="16" t="n">
        <v>44714</v>
      </c>
      <c r="B2707" s="23" t="n">
        <f aca="false">YEAR(A2707)</f>
        <v>2022</v>
      </c>
      <c r="C2707" s="17" t="n">
        <v>30428.98</v>
      </c>
      <c r="D2707" s="23" t="n">
        <f aca="false">A2707-A2706</f>
        <v>1</v>
      </c>
      <c r="E2707" s="24" t="n">
        <f aca="false">LN(C2707)</f>
        <v>10.3231507227762</v>
      </c>
      <c r="F2707" s="25" t="n">
        <f aca="false">LN(C2707/C2706)</f>
        <v>0.0215866237862072</v>
      </c>
      <c r="G2707" s="25" t="n">
        <f aca="false">IF(AND(D2707=1,A2707&gt;=$R$2),F2707,"")</f>
        <v>0.0215866237862072</v>
      </c>
      <c r="H2707" s="27" t="n">
        <f aca="false">IF(G2707="","",G2707^2)</f>
        <v>0.000465982326487244</v>
      </c>
      <c r="I2707" s="25" t="n">
        <f aca="false">IF(G2707="","",C2707/C2706-1)</f>
        <v>0.0218213005336618</v>
      </c>
      <c r="J2707" s="17" t="n">
        <f aca="false">AVERAGE(C2508:C2707)</f>
        <v>42292.52075</v>
      </c>
      <c r="K2707" s="17" t="n">
        <f aca="false">MAX(K2706,C2707)</f>
        <v>67510.06</v>
      </c>
      <c r="L2707" s="25" t="n">
        <f aca="false">C2707/K2707-1</f>
        <v>-0.549267472136745</v>
      </c>
      <c r="M2707" s="25" t="n">
        <f aca="false">IF(COUNT(G2678:G2707)&lt;20,"",_xlfn.STDEV.S(G2678:G2707)*SQRT($R$3))</f>
        <v>0.832790170758659</v>
      </c>
      <c r="N2707" s="25" t="n">
        <f aca="false">IF(A2707-7&lt;$R$2,"",C2707/INDEX(Clean_Data!$C$2:$C$4314,MATCH(A2707-7,Clean_Data!$A$2:$A$4314,1))-1)</f>
        <v>0.0434834792818892</v>
      </c>
      <c r="O2707" s="25" t="n">
        <f aca="false">IF(A2707-30&lt;$R$2,"",C2707/INDEX(Clean_Data!$C$2:$C$4314,MATCH(A2707-30,Clean_Data!$A$2:$A$4314,1))-1)</f>
        <v>-0.193045264968743</v>
      </c>
    </row>
    <row r="2708" customFormat="false" ht="15" hidden="false" customHeight="false" outlineLevel="0" collapsed="false">
      <c r="A2708" s="16" t="n">
        <v>44715</v>
      </c>
      <c r="B2708" s="23" t="n">
        <f aca="false">YEAR(A2708)</f>
        <v>2022</v>
      </c>
      <c r="C2708" s="17" t="n">
        <v>29684.67</v>
      </c>
      <c r="D2708" s="23" t="n">
        <f aca="false">A2708-A2707</f>
        <v>1</v>
      </c>
      <c r="E2708" s="24" t="n">
        <f aca="false">LN(C2708)</f>
        <v>10.2983860299174</v>
      </c>
      <c r="F2708" s="25" t="n">
        <f aca="false">LN(C2708/C2707)</f>
        <v>-0.0247646928587859</v>
      </c>
      <c r="G2708" s="25" t="n">
        <f aca="false">IF(AND(D2708=1,A2708&gt;=$R$2),F2708,"")</f>
        <v>-0.0247646928587859</v>
      </c>
      <c r="H2708" s="27" t="n">
        <f aca="false">IF(G2708="","",G2708^2)</f>
        <v>0.00061329001239</v>
      </c>
      <c r="I2708" s="25" t="n">
        <f aca="false">IF(G2708="","",C2708/C2707-1)</f>
        <v>-0.0244605635811651</v>
      </c>
      <c r="J2708" s="17" t="n">
        <f aca="false">AVERAGE(C2509:C2708)</f>
        <v>42123.7357</v>
      </c>
      <c r="K2708" s="17" t="n">
        <f aca="false">MAX(K2707,C2708)</f>
        <v>67510.06</v>
      </c>
      <c r="L2708" s="25" t="n">
        <f aca="false">C2708/K2708-1</f>
        <v>-0.560292643792644</v>
      </c>
      <c r="M2708" s="25" t="n">
        <f aca="false">IF(COUNT(G2679:G2708)&lt;20,"",_xlfn.STDEV.S(G2679:G2708)*SQRT($R$3))</f>
        <v>0.80798912366427</v>
      </c>
      <c r="N2708" s="25" t="n">
        <f aca="false">IF(A2708-7&lt;$R$2,"",C2708/INDEX(Clean_Data!$C$2:$C$4314,MATCH(A2708-7,Clean_Data!$A$2:$A$4314,1))-1)</f>
        <v>0.037615328284726</v>
      </c>
      <c r="O2708" s="25" t="n">
        <f aca="false">IF(A2708-30&lt;$R$2,"",C2708/INDEX(Clean_Data!$C$2:$C$4314,MATCH(A2708-30,Clean_Data!$A$2:$A$4314,1))-1)</f>
        <v>-0.251744373778573</v>
      </c>
    </row>
    <row r="2709" customFormat="false" ht="15" hidden="false" customHeight="false" outlineLevel="0" collapsed="false">
      <c r="A2709" s="16" t="n">
        <v>44716</v>
      </c>
      <c r="B2709" s="23" t="n">
        <f aca="false">YEAR(A2709)</f>
        <v>2022</v>
      </c>
      <c r="C2709" s="17" t="n">
        <v>29832.02</v>
      </c>
      <c r="D2709" s="23" t="n">
        <f aca="false">A2709-A2708</f>
        <v>1</v>
      </c>
      <c r="E2709" s="24" t="n">
        <f aca="false">LN(C2709)</f>
        <v>10.3033375922795</v>
      </c>
      <c r="F2709" s="25" t="n">
        <f aca="false">LN(C2709/C2708)</f>
        <v>0.0049515623620909</v>
      </c>
      <c r="G2709" s="25" t="n">
        <f aca="false">IF(AND(D2709=1,A2709&gt;=$R$2),F2709,"")</f>
        <v>0.0049515623620909</v>
      </c>
      <c r="H2709" s="27" t="n">
        <f aca="false">IF(G2709="","",G2709^2)</f>
        <v>2.45179698256752E-005</v>
      </c>
      <c r="I2709" s="25" t="n">
        <f aca="false">IF(G2709="","",C2709/C2708-1)</f>
        <v>0.00496384160578511</v>
      </c>
      <c r="J2709" s="17" t="n">
        <f aca="false">AVERAGE(C2510:C2709)</f>
        <v>41972.1592</v>
      </c>
      <c r="K2709" s="17" t="n">
        <f aca="false">MAX(K2708,C2709)</f>
        <v>67510.06</v>
      </c>
      <c r="L2709" s="25" t="n">
        <f aca="false">C2709/K2709-1</f>
        <v>-0.558110006123532</v>
      </c>
      <c r="M2709" s="25" t="n">
        <f aca="false">IF(COUNT(G2680:G2709)&lt;20,"",_xlfn.STDEV.S(G2680:G2709)*SQRT($R$3))</f>
        <v>0.764759102146127</v>
      </c>
      <c r="N2709" s="25" t="n">
        <f aca="false">IF(A2709-7&lt;$R$2,"",C2709/INDEX(Clean_Data!$C$2:$C$4314,MATCH(A2709-7,Clean_Data!$A$2:$A$4314,1))-1)</f>
        <v>0.029602785917175</v>
      </c>
      <c r="O2709" s="25" t="n">
        <f aca="false">IF(A2709-30&lt;$R$2,"",C2709/INDEX(Clean_Data!$C$2:$C$4314,MATCH(A2709-30,Clean_Data!$A$2:$A$4314,1))-1)</f>
        <v>-0.183060175880739</v>
      </c>
    </row>
    <row r="2710" customFormat="false" ht="15" hidden="false" customHeight="false" outlineLevel="0" collapsed="false">
      <c r="A2710" s="16" t="n">
        <v>44717</v>
      </c>
      <c r="B2710" s="23" t="n">
        <f aca="false">YEAR(A2710)</f>
        <v>2022</v>
      </c>
      <c r="C2710" s="17" t="n">
        <v>29893.98</v>
      </c>
      <c r="D2710" s="23" t="n">
        <f aca="false">A2710-A2709</f>
        <v>1</v>
      </c>
      <c r="E2710" s="24" t="n">
        <f aca="false">LN(C2710)</f>
        <v>10.305412401315</v>
      </c>
      <c r="F2710" s="25" t="n">
        <f aca="false">LN(C2710/C2709)</f>
        <v>0.00207480903550494</v>
      </c>
      <c r="G2710" s="25" t="n">
        <f aca="false">IF(AND(D2710=1,A2710&gt;=$R$2),F2710,"")</f>
        <v>0.00207480903550494</v>
      </c>
      <c r="H2710" s="27" t="n">
        <f aca="false">IF(G2710="","",G2710^2)</f>
        <v>4.30483253381293E-006</v>
      </c>
      <c r="I2710" s="25" t="n">
        <f aca="false">IF(G2710="","",C2710/C2709-1)</f>
        <v>0.00207696294116189</v>
      </c>
      <c r="J2710" s="17" t="n">
        <f aca="false">AVERAGE(C2511:C2710)</f>
        <v>41820.0577</v>
      </c>
      <c r="K2710" s="17" t="n">
        <f aca="false">MAX(K2709,C2710)</f>
        <v>67510.06</v>
      </c>
      <c r="L2710" s="25" t="n">
        <f aca="false">C2710/K2710-1</f>
        <v>-0.55719221698218</v>
      </c>
      <c r="M2710" s="25" t="n">
        <f aca="false">IF(COUNT(G2681:G2710)&lt;20,"",_xlfn.STDEV.S(G2681:G2710)*SQRT($R$3))</f>
        <v>0.764908295173502</v>
      </c>
      <c r="N2710" s="25" t="n">
        <f aca="false">IF(A2710-7&lt;$R$2,"",C2710/INDEX(Clean_Data!$C$2:$C$4314,MATCH(A2710-7,Clean_Data!$A$2:$A$4314,1))-1)</f>
        <v>0.0153801632204156</v>
      </c>
      <c r="O2710" s="25" t="n">
        <f aca="false">IF(A2710-30&lt;$R$2,"",C2710/INDEX(Clean_Data!$C$2:$C$4314,MATCH(A2710-30,Clean_Data!$A$2:$A$4314,1))-1)</f>
        <v>-0.169916491777186</v>
      </c>
    </row>
    <row r="2711" customFormat="false" ht="15" hidden="false" customHeight="false" outlineLevel="0" collapsed="false">
      <c r="A2711" s="16" t="n">
        <v>44718</v>
      </c>
      <c r="B2711" s="23" t="n">
        <f aca="false">YEAR(A2711)</f>
        <v>2022</v>
      </c>
      <c r="C2711" s="17" t="n">
        <v>31324.88</v>
      </c>
      <c r="D2711" s="23" t="n">
        <f aca="false">A2711-A2710</f>
        <v>1</v>
      </c>
      <c r="E2711" s="24" t="n">
        <f aca="false">LN(C2711)</f>
        <v>10.3521679489509</v>
      </c>
      <c r="F2711" s="25" t="n">
        <f aca="false">LN(C2711/C2710)</f>
        <v>0.0467555476359047</v>
      </c>
      <c r="G2711" s="25" t="n">
        <f aca="false">IF(AND(D2711=1,A2711&gt;=$R$2),F2711,"")</f>
        <v>0.0467555476359047</v>
      </c>
      <c r="H2711" s="27" t="n">
        <f aca="false">IF(G2711="","",G2711^2)</f>
        <v>0.00218608123473335</v>
      </c>
      <c r="I2711" s="25" t="n">
        <f aca="false">IF(G2711="","",C2711/C2710-1)</f>
        <v>0.0478658244904158</v>
      </c>
      <c r="J2711" s="17" t="n">
        <f aca="false">AVERAGE(C2512:C2711)</f>
        <v>41691.5952</v>
      </c>
      <c r="K2711" s="17" t="n">
        <f aca="false">MAX(K2710,C2711)</f>
        <v>67510.06</v>
      </c>
      <c r="L2711" s="25" t="n">
        <f aca="false">C2711/K2711-1</f>
        <v>-0.535996857357259</v>
      </c>
      <c r="M2711" s="25" t="n">
        <f aca="false">IF(COUNT(G2682:G2711)&lt;20,"",_xlfn.STDEV.S(G2682:G2711)*SQRT($R$3))</f>
        <v>0.785852556761006</v>
      </c>
      <c r="N2711" s="25" t="n">
        <f aca="false">IF(A2711-7&lt;$R$2,"",C2711/INDEX(Clean_Data!$C$2:$C$4314,MATCH(A2711-7,Clean_Data!$A$2:$A$4314,1))-1)</f>
        <v>-0.0115696491871332</v>
      </c>
      <c r="O2711" s="25" t="n">
        <f aca="false">IF(A2711-30&lt;$R$2,"",C2711/INDEX(Clean_Data!$C$2:$C$4314,MATCH(A2711-30,Clean_Data!$A$2:$A$4314,1))-1)</f>
        <v>-0.116253271920811</v>
      </c>
    </row>
    <row r="2712" customFormat="false" ht="15" hidden="false" customHeight="false" outlineLevel="0" collapsed="false">
      <c r="A2712" s="16" t="n">
        <v>44719</v>
      </c>
      <c r="B2712" s="23" t="n">
        <f aca="false">YEAR(A2712)</f>
        <v>2022</v>
      </c>
      <c r="C2712" s="17" t="n">
        <v>31073.76</v>
      </c>
      <c r="D2712" s="23" t="n">
        <f aca="false">A2712-A2711</f>
        <v>1</v>
      </c>
      <c r="E2712" s="24" t="n">
        <f aca="false">LN(C2712)</f>
        <v>10.3441190121234</v>
      </c>
      <c r="F2712" s="25" t="n">
        <f aca="false">LN(C2712/C2711)</f>
        <v>-0.00804893682749092</v>
      </c>
      <c r="G2712" s="25" t="n">
        <f aca="false">IF(AND(D2712=1,A2712&gt;=$R$2),F2712,"")</f>
        <v>-0.00804893682749092</v>
      </c>
      <c r="H2712" s="27" t="n">
        <f aca="false">IF(G2712="","",G2712^2)</f>
        <v>6.47853840529396E-005</v>
      </c>
      <c r="I2712" s="25" t="n">
        <f aca="false">IF(G2712="","",C2712/C2711-1)</f>
        <v>-0.00801663086977511</v>
      </c>
      <c r="J2712" s="17" t="n">
        <f aca="false">AVERAGE(C2513:C2712)</f>
        <v>41556.02475</v>
      </c>
      <c r="K2712" s="17" t="n">
        <f aca="false">MAX(K2711,C2712)</f>
        <v>67510.06</v>
      </c>
      <c r="L2712" s="25" t="n">
        <f aca="false">C2712/K2712-1</f>
        <v>-0.539716599274241</v>
      </c>
      <c r="M2712" s="25" t="n">
        <f aca="false">IF(COUNT(G2683:G2712)&lt;20,"",_xlfn.STDEV.S(G2683:G2712)*SQRT($R$3))</f>
        <v>0.775914502484643</v>
      </c>
      <c r="N2712" s="25" t="n">
        <f aca="false">IF(A2712-7&lt;$R$2,"",C2712/INDEX(Clean_Data!$C$2:$C$4314,MATCH(A2712-7,Clean_Data!$A$2:$A$4314,1))-1)</f>
        <v>-0.0229689283860313</v>
      </c>
      <c r="O2712" s="25" t="n">
        <f aca="false">IF(A2712-30&lt;$R$2,"",C2712/INDEX(Clean_Data!$C$2:$C$4314,MATCH(A2712-30,Clean_Data!$A$2:$A$4314,1))-1)</f>
        <v>-0.0884723154401792</v>
      </c>
    </row>
    <row r="2713" customFormat="false" ht="15" hidden="false" customHeight="false" outlineLevel="0" collapsed="false">
      <c r="A2713" s="16" t="n">
        <v>44720</v>
      </c>
      <c r="B2713" s="23" t="n">
        <f aca="false">YEAR(A2713)</f>
        <v>2022</v>
      </c>
      <c r="C2713" s="17" t="n">
        <v>30195.33</v>
      </c>
      <c r="D2713" s="23" t="n">
        <f aca="false">A2713-A2712</f>
        <v>1</v>
      </c>
      <c r="E2713" s="24" t="n">
        <f aca="false">LN(C2713)</f>
        <v>10.315442555644</v>
      </c>
      <c r="F2713" s="25" t="n">
        <f aca="false">LN(C2713/C2712)</f>
        <v>-0.0286764564793456</v>
      </c>
      <c r="G2713" s="25" t="n">
        <f aca="false">IF(AND(D2713=1,A2713&gt;=$R$2),F2713,"")</f>
        <v>-0.0286764564793456</v>
      </c>
      <c r="H2713" s="27" t="n">
        <f aca="false">IF(G2713="","",G2713^2)</f>
        <v>0.0008223391562118</v>
      </c>
      <c r="I2713" s="25" t="n">
        <f aca="false">IF(G2713="","",C2713/C2712-1)</f>
        <v>-0.0282691891808393</v>
      </c>
      <c r="J2713" s="17" t="n">
        <f aca="false">AVERAGE(C2514:C2713)</f>
        <v>41408.14285</v>
      </c>
      <c r="K2713" s="17" t="n">
        <f aca="false">MAX(K2712,C2713)</f>
        <v>67510.06</v>
      </c>
      <c r="L2713" s="25" t="n">
        <f aca="false">C2713/K2713-1</f>
        <v>-0.552728437806158</v>
      </c>
      <c r="M2713" s="25" t="n">
        <f aca="false">IF(COUNT(G2684:G2713)&lt;20,"",_xlfn.STDEV.S(G2684:G2713)*SQRT($R$3))</f>
        <v>0.65489508693846</v>
      </c>
      <c r="N2713" s="25" t="n">
        <f aca="false">IF(A2713-7&lt;$R$2,"",C2713/INDEX(Clean_Data!$C$2:$C$4314,MATCH(A2713-7,Clean_Data!$A$2:$A$4314,1))-1)</f>
        <v>0.0139752095089318</v>
      </c>
      <c r="O2713" s="25" t="n">
        <f aca="false">IF(A2713-30&lt;$R$2,"",C2713/INDEX(Clean_Data!$C$2:$C$4314,MATCH(A2713-30,Clean_Data!$A$2:$A$4314,1))-1)</f>
        <v>0.00061636897039552</v>
      </c>
    </row>
    <row r="2714" customFormat="false" ht="15" hidden="false" customHeight="false" outlineLevel="0" collapsed="false">
      <c r="A2714" s="16" t="n">
        <v>44721</v>
      </c>
      <c r="B2714" s="23" t="n">
        <f aca="false">YEAR(A2714)</f>
        <v>2022</v>
      </c>
      <c r="C2714" s="17" t="n">
        <v>30070.71</v>
      </c>
      <c r="D2714" s="23" t="n">
        <f aca="false">A2714-A2713</f>
        <v>1</v>
      </c>
      <c r="E2714" s="24" t="n">
        <f aca="false">LN(C2714)</f>
        <v>10.3113068872768</v>
      </c>
      <c r="F2714" s="25" t="n">
        <f aca="false">LN(C2714/C2713)</f>
        <v>-0.0041356683672073</v>
      </c>
      <c r="G2714" s="25" t="n">
        <f aca="false">IF(AND(D2714=1,A2714&gt;=$R$2),F2714,"")</f>
        <v>-0.0041356683672073</v>
      </c>
      <c r="H2714" s="27" t="n">
        <f aca="false">IF(G2714="","",G2714^2)</f>
        <v>1.71037528435191E-005</v>
      </c>
      <c r="I2714" s="25" t="n">
        <f aca="false">IF(G2714="","",C2714/C2713-1)</f>
        <v>-0.00412712826784811</v>
      </c>
      <c r="J2714" s="17" t="n">
        <f aca="false">AVERAGE(C2515:C2714)</f>
        <v>41264.7819</v>
      </c>
      <c r="K2714" s="17" t="n">
        <f aca="false">MAX(K2713,C2714)</f>
        <v>67510.06</v>
      </c>
      <c r="L2714" s="25" t="n">
        <f aca="false">C2714/K2714-1</f>
        <v>-0.554574384913893</v>
      </c>
      <c r="M2714" s="25" t="n">
        <f aca="false">IF(COUNT(G2685:G2714)&lt;20,"",_xlfn.STDEV.S(G2685:G2714)*SQRT($R$3))</f>
        <v>0.648415336251582</v>
      </c>
      <c r="N2714" s="25" t="n">
        <f aca="false">IF(A2714-7&lt;$R$2,"",C2714/INDEX(Clean_Data!$C$2:$C$4314,MATCH(A2714-7,Clean_Data!$A$2:$A$4314,1))-1)</f>
        <v>-0.0117739733635501</v>
      </c>
      <c r="O2714" s="25" t="n">
        <f aca="false">IF(A2714-30&lt;$R$2,"",C2714/INDEX(Clean_Data!$C$2:$C$4314,MATCH(A2714-30,Clean_Data!$A$2:$A$4314,1))-1)</f>
        <v>-0.0287812445194616</v>
      </c>
    </row>
    <row r="2715" customFormat="false" ht="15" hidden="false" customHeight="false" outlineLevel="0" collapsed="false">
      <c r="A2715" s="16" t="n">
        <v>44722</v>
      </c>
      <c r="B2715" s="23" t="n">
        <f aca="false">YEAR(A2715)</f>
        <v>2022</v>
      </c>
      <c r="C2715" s="17" t="n">
        <v>29061.88</v>
      </c>
      <c r="D2715" s="23" t="n">
        <f aca="false">A2715-A2714</f>
        <v>1</v>
      </c>
      <c r="E2715" s="24" t="n">
        <f aca="false">LN(C2715)</f>
        <v>10.2771826287688</v>
      </c>
      <c r="F2715" s="25" t="n">
        <f aca="false">LN(C2715/C2714)</f>
        <v>-0.0341242585080023</v>
      </c>
      <c r="G2715" s="25" t="n">
        <f aca="false">IF(AND(D2715=1,A2715&gt;=$R$2),F2715,"")</f>
        <v>-0.0341242585080023</v>
      </c>
      <c r="H2715" s="27" t="n">
        <f aca="false">IF(G2715="","",G2715^2)</f>
        <v>0.00116446501872096</v>
      </c>
      <c r="I2715" s="25" t="n">
        <f aca="false">IF(G2715="","",C2715/C2714-1)</f>
        <v>-0.0335485926338287</v>
      </c>
      <c r="J2715" s="17" t="n">
        <f aca="false">AVERAGE(C2516:C2715)</f>
        <v>41128.81845</v>
      </c>
      <c r="K2715" s="17" t="n">
        <f aca="false">MAX(K2714,C2715)</f>
        <v>67510.06</v>
      </c>
      <c r="L2715" s="25" t="n">
        <f aca="false">C2715/K2715-1</f>
        <v>-0.569517787423089</v>
      </c>
      <c r="M2715" s="25" t="n">
        <f aca="false">IF(COUNT(G2686:G2715)&lt;20,"",_xlfn.STDEV.S(G2686:G2715)*SQRT($R$3))</f>
        <v>0.61894534024686</v>
      </c>
      <c r="N2715" s="25" t="n">
        <f aca="false">IF(A2715-7&lt;$R$2,"",C2715/INDEX(Clean_Data!$C$2:$C$4314,MATCH(A2715-7,Clean_Data!$A$2:$A$4314,1))-1)</f>
        <v>-0.0209801894378477</v>
      </c>
      <c r="O2715" s="25" t="n">
        <f aca="false">IF(A2715-30&lt;$R$2,"",C2715/INDEX(Clean_Data!$C$2:$C$4314,MATCH(A2715-30,Clean_Data!$A$2:$A$4314,1))-1)</f>
        <v>0.00117335714497346</v>
      </c>
    </row>
    <row r="2716" customFormat="false" ht="15" hidden="false" customHeight="false" outlineLevel="0" collapsed="false">
      <c r="A2716" s="16" t="n">
        <v>44723</v>
      </c>
      <c r="B2716" s="23" t="n">
        <f aca="false">YEAR(A2716)</f>
        <v>2022</v>
      </c>
      <c r="C2716" s="17" t="n">
        <v>28381.45</v>
      </c>
      <c r="D2716" s="23" t="n">
        <f aca="false">A2716-A2715</f>
        <v>1</v>
      </c>
      <c r="E2716" s="24" t="n">
        <f aca="false">LN(C2716)</f>
        <v>10.2534910417274</v>
      </c>
      <c r="F2716" s="25" t="n">
        <f aca="false">LN(C2716/C2715)</f>
        <v>-0.0236915870414203</v>
      </c>
      <c r="G2716" s="25" t="n">
        <f aca="false">IF(AND(D2716=1,A2716&gt;=$R$2),F2716,"")</f>
        <v>-0.0236915870414203</v>
      </c>
      <c r="H2716" s="27" t="n">
        <f aca="false">IF(G2716="","",G2716^2)</f>
        <v>0.000561291296541193</v>
      </c>
      <c r="I2716" s="25" t="n">
        <f aca="false">IF(G2716="","",C2716/C2715-1)</f>
        <v>-0.0234131446417094</v>
      </c>
      <c r="J2716" s="17" t="n">
        <f aca="false">AVERAGE(C2517:C2716)</f>
        <v>40982.72575</v>
      </c>
      <c r="K2716" s="17" t="n">
        <f aca="false">MAX(K2715,C2716)</f>
        <v>67510.06</v>
      </c>
      <c r="L2716" s="25" t="n">
        <f aca="false">C2716/K2716-1</f>
        <v>-0.579596729731836</v>
      </c>
      <c r="M2716" s="25" t="n">
        <f aca="false">IF(COUNT(G2687:G2716)&lt;20,"",_xlfn.STDEV.S(G2687:G2716)*SQRT($R$3))</f>
        <v>0.624434645257115</v>
      </c>
      <c r="N2716" s="25" t="n">
        <f aca="false">IF(A2716-7&lt;$R$2,"",C2716/INDEX(Clean_Data!$C$2:$C$4314,MATCH(A2716-7,Clean_Data!$A$2:$A$4314,1))-1)</f>
        <v>-0.0486245986694833</v>
      </c>
      <c r="O2716" s="25" t="n">
        <f aca="false">IF(A2716-30&lt;$R$2,"",C2716/INDEX(Clean_Data!$C$2:$C$4314,MATCH(A2716-30,Clean_Data!$A$2:$A$4314,1))-1)</f>
        <v>-0.0199751864041108</v>
      </c>
    </row>
    <row r="2717" customFormat="false" ht="15" hidden="false" customHeight="false" outlineLevel="0" collapsed="false">
      <c r="A2717" s="16" t="n">
        <v>44724</v>
      </c>
      <c r="B2717" s="23" t="n">
        <f aca="false">YEAR(A2717)</f>
        <v>2022</v>
      </c>
      <c r="C2717" s="17" t="n">
        <v>26633.35</v>
      </c>
      <c r="D2717" s="23" t="n">
        <f aca="false">A2717-A2716</f>
        <v>1</v>
      </c>
      <c r="E2717" s="24" t="n">
        <f aca="false">LN(C2717)</f>
        <v>10.1899194688683</v>
      </c>
      <c r="F2717" s="25" t="n">
        <f aca="false">LN(C2717/C2716)</f>
        <v>-0.0635715728591115</v>
      </c>
      <c r="G2717" s="25" t="n">
        <f aca="false">IF(AND(D2717=1,A2717&gt;=$R$2),F2717,"")</f>
        <v>-0.0635715728591115</v>
      </c>
      <c r="H2717" s="27" t="n">
        <f aca="false">IF(G2717="","",G2717^2)</f>
        <v>0.00404134487578132</v>
      </c>
      <c r="I2717" s="25" t="n">
        <f aca="false">IF(G2717="","",C2717/C2716-1)</f>
        <v>-0.0615930475715653</v>
      </c>
      <c r="J2717" s="17" t="n">
        <f aca="false">AVERAGE(C2518:C2717)</f>
        <v>40829.6163</v>
      </c>
      <c r="K2717" s="17" t="n">
        <f aca="false">MAX(K2716,C2717)</f>
        <v>67510.06</v>
      </c>
      <c r="L2717" s="25" t="n">
        <f aca="false">C2717/K2717-1</f>
        <v>-0.605490648356704</v>
      </c>
      <c r="M2717" s="25" t="n">
        <f aca="false">IF(COUNT(G2688:G2717)&lt;20,"",_xlfn.STDEV.S(G2688:G2717)*SQRT($R$3))</f>
        <v>0.659935763886224</v>
      </c>
      <c r="N2717" s="25" t="n">
        <f aca="false">IF(A2717-7&lt;$R$2,"",C2717/INDEX(Clean_Data!$C$2:$C$4314,MATCH(A2717-7,Clean_Data!$A$2:$A$4314,1))-1)</f>
        <v>-0.109073131112017</v>
      </c>
      <c r="O2717" s="25" t="n">
        <f aca="false">IF(A2717-30&lt;$R$2,"",C2717/INDEX(Clean_Data!$C$2:$C$4314,MATCH(A2717-30,Clean_Data!$A$2:$A$4314,1))-1)</f>
        <v>-0.090776105747566</v>
      </c>
    </row>
    <row r="2718" customFormat="false" ht="15" hidden="false" customHeight="false" outlineLevel="0" collapsed="false">
      <c r="A2718" s="16" t="n">
        <v>44725</v>
      </c>
      <c r="B2718" s="23" t="n">
        <f aca="false">YEAR(A2718)</f>
        <v>2022</v>
      </c>
      <c r="C2718" s="17" t="n">
        <v>22333</v>
      </c>
      <c r="D2718" s="23" t="n">
        <f aca="false">A2718-A2717</f>
        <v>1</v>
      </c>
      <c r="E2718" s="24" t="n">
        <f aca="false">LN(C2718)</f>
        <v>10.0138206842205</v>
      </c>
      <c r="F2718" s="25" t="n">
        <f aca="false">LN(C2718/C2717)</f>
        <v>-0.176098784647814</v>
      </c>
      <c r="G2718" s="25" t="n">
        <f aca="false">IF(AND(D2718=1,A2718&gt;=$R$2),F2718,"")</f>
        <v>-0.176098784647814</v>
      </c>
      <c r="H2718" s="27" t="n">
        <f aca="false">IF(G2718="","",G2718^2)</f>
        <v>0.0310107819544371</v>
      </c>
      <c r="I2718" s="25" t="n">
        <f aca="false">IF(G2718="","",C2718/C2717-1)</f>
        <v>-0.161464855153407</v>
      </c>
      <c r="J2718" s="17" t="n">
        <f aca="false">AVERAGE(C2519:C2718)</f>
        <v>40646.1691</v>
      </c>
      <c r="K2718" s="17" t="n">
        <f aca="false">MAX(K2717,C2718)</f>
        <v>67510.06</v>
      </c>
      <c r="L2718" s="25" t="n">
        <f aca="false">C2718/K2718-1</f>
        <v>-0.669190043676454</v>
      </c>
      <c r="M2718" s="25" t="n">
        <f aca="false">IF(COUNT(G2689:G2718)&lt;20,"",_xlfn.STDEV.S(G2689:G2718)*SQRT($R$3))</f>
        <v>0.886312325141266</v>
      </c>
      <c r="N2718" s="25" t="n">
        <f aca="false">IF(A2718-7&lt;$R$2,"",C2718/INDEX(Clean_Data!$C$2:$C$4314,MATCH(A2718-7,Clean_Data!$A$2:$A$4314,1))-1)</f>
        <v>-0.287052336672958</v>
      </c>
      <c r="O2718" s="25" t="n">
        <f aca="false">IF(A2718-30&lt;$R$2,"",C2718/INDEX(Clean_Data!$C$2:$C$4314,MATCH(A2718-30,Clean_Data!$A$2:$A$4314,1))-1)</f>
        <v>-0.255879693275695</v>
      </c>
    </row>
    <row r="2719" customFormat="false" ht="15" hidden="false" customHeight="false" outlineLevel="0" collapsed="false">
      <c r="A2719" s="16" t="n">
        <v>44726</v>
      </c>
      <c r="B2719" s="23" t="n">
        <f aca="false">YEAR(A2719)</f>
        <v>2022</v>
      </c>
      <c r="C2719" s="17" t="n">
        <v>22122.57</v>
      </c>
      <c r="D2719" s="23" t="n">
        <f aca="false">A2719-A2718</f>
        <v>1</v>
      </c>
      <c r="E2719" s="24" t="n">
        <f aca="false">LN(C2719)</f>
        <v>10.0043536333358</v>
      </c>
      <c r="F2719" s="25" t="n">
        <f aca="false">LN(C2719/C2718)</f>
        <v>-0.00946705088463089</v>
      </c>
      <c r="G2719" s="25" t="n">
        <f aca="false">IF(AND(D2719=1,A2719&gt;=$R$2),F2719,"")</f>
        <v>-0.00946705088463089</v>
      </c>
      <c r="H2719" s="27" t="n">
        <f aca="false">IF(G2719="","",G2719^2)</f>
        <v>8.96250524521905E-005</v>
      </c>
      <c r="I2719" s="25" t="n">
        <f aca="false">IF(G2719="","",C2719/C2718-1)</f>
        <v>-0.00942237943849911</v>
      </c>
      <c r="J2719" s="17" t="n">
        <f aca="false">AVERAGE(C2520:C2719)</f>
        <v>40487.585</v>
      </c>
      <c r="K2719" s="17" t="n">
        <f aca="false">MAX(K2718,C2719)</f>
        <v>67510.06</v>
      </c>
      <c r="L2719" s="25" t="n">
        <f aca="false">C2719/K2719-1</f>
        <v>-0.672307060606967</v>
      </c>
      <c r="M2719" s="25" t="n">
        <f aca="false">IF(COUNT(G2690:G2719)&lt;20,"",_xlfn.STDEV.S(G2690:G2719)*SQRT($R$3))</f>
        <v>0.867384696507767</v>
      </c>
      <c r="N2719" s="25" t="n">
        <f aca="false">IF(A2719-7&lt;$R$2,"",C2719/INDEX(Clean_Data!$C$2:$C$4314,MATCH(A2719-7,Clean_Data!$A$2:$A$4314,1))-1)</f>
        <v>-0.288062661229282</v>
      </c>
      <c r="O2719" s="25" t="n">
        <f aca="false">IF(A2719-30&lt;$R$2,"",C2719/INDEX(Clean_Data!$C$2:$C$4314,MATCH(A2719-30,Clean_Data!$A$2:$A$4314,1))-1)</f>
        <v>-0.292275922741632</v>
      </c>
    </row>
    <row r="2720" customFormat="false" ht="15" hidden="false" customHeight="false" outlineLevel="0" collapsed="false">
      <c r="A2720" s="16" t="n">
        <v>44727</v>
      </c>
      <c r="B2720" s="23" t="n">
        <f aca="false">YEAR(A2720)</f>
        <v>2022</v>
      </c>
      <c r="C2720" s="17" t="n">
        <v>22544.07</v>
      </c>
      <c r="D2720" s="23" t="n">
        <f aca="false">A2720-A2719</f>
        <v>1</v>
      </c>
      <c r="E2720" s="24" t="n">
        <f aca="false">LN(C2720)</f>
        <v>10.0232273391727</v>
      </c>
      <c r="F2720" s="25" t="n">
        <f aca="false">LN(C2720/C2719)</f>
        <v>0.0188737058368319</v>
      </c>
      <c r="G2720" s="25" t="n">
        <f aca="false">IF(AND(D2720=1,A2720&gt;=$R$2),F2720,"")</f>
        <v>0.0188737058368319</v>
      </c>
      <c r="H2720" s="27" t="n">
        <f aca="false">IF(G2720="","",G2720^2)</f>
        <v>0.000356216772015263</v>
      </c>
      <c r="I2720" s="25" t="n">
        <f aca="false">IF(G2720="","",C2720/C2719-1)</f>
        <v>0.019052940051721</v>
      </c>
      <c r="J2720" s="17" t="n">
        <f aca="false">AVERAGE(C2521:C2720)</f>
        <v>40326.9757</v>
      </c>
      <c r="K2720" s="17" t="n">
        <f aca="false">MAX(K2719,C2720)</f>
        <v>67510.06</v>
      </c>
      <c r="L2720" s="25" t="n">
        <f aca="false">C2720/K2720-1</f>
        <v>-0.66606354667734</v>
      </c>
      <c r="M2720" s="25" t="n">
        <f aca="false">IF(COUNT(G2691:G2720)&lt;20,"",_xlfn.STDEV.S(G2691:G2720)*SQRT($R$3))</f>
        <v>0.864464096647358</v>
      </c>
      <c r="N2720" s="25" t="n">
        <f aca="false">IF(A2720-7&lt;$R$2,"",C2720/INDEX(Clean_Data!$C$2:$C$4314,MATCH(A2720-7,Clean_Data!$A$2:$A$4314,1))-1)</f>
        <v>-0.253392163622653</v>
      </c>
      <c r="O2720" s="25" t="n">
        <f aca="false">IF(A2720-30&lt;$R$2,"",C2720/INDEX(Clean_Data!$C$2:$C$4314,MATCH(A2720-30,Clean_Data!$A$2:$A$4314,1))-1)</f>
        <v>-0.244872912679993</v>
      </c>
    </row>
    <row r="2721" customFormat="false" ht="15" hidden="false" customHeight="false" outlineLevel="0" collapsed="false">
      <c r="A2721" s="16" t="n">
        <v>44728</v>
      </c>
      <c r="B2721" s="23" t="n">
        <f aca="false">YEAR(A2721)</f>
        <v>2022</v>
      </c>
      <c r="C2721" s="17" t="n">
        <v>20336.62</v>
      </c>
      <c r="D2721" s="23" t="n">
        <f aca="false">A2721-A2720</f>
        <v>1</v>
      </c>
      <c r="E2721" s="24" t="n">
        <f aca="false">LN(C2721)</f>
        <v>9.92017848076937</v>
      </c>
      <c r="F2721" s="25" t="n">
        <f aca="false">LN(C2721/C2720)</f>
        <v>-0.103048858403306</v>
      </c>
      <c r="G2721" s="25" t="n">
        <f aca="false">IF(AND(D2721=1,A2721&gt;=$R$2),F2721,"")</f>
        <v>-0.103048858403306</v>
      </c>
      <c r="H2721" s="27" t="n">
        <f aca="false">IF(G2721="","",G2721^2)</f>
        <v>0.0106190672182246</v>
      </c>
      <c r="I2721" s="25" t="n">
        <f aca="false">IF(G2721="","",C2721/C2720-1)</f>
        <v>-0.0979171019252514</v>
      </c>
      <c r="J2721" s="17" t="n">
        <f aca="false">AVERAGE(C2522:C2721)</f>
        <v>40141.29945</v>
      </c>
      <c r="K2721" s="17" t="n">
        <f aca="false">MAX(K2720,C2721)</f>
        <v>67510.06</v>
      </c>
      <c r="L2721" s="25" t="n">
        <f aca="false">C2721/K2721-1</f>
        <v>-0.698761636413892</v>
      </c>
      <c r="M2721" s="25" t="n">
        <f aca="false">IF(COUNT(G2692:G2721)&lt;20,"",_xlfn.STDEV.S(G2692:G2721)*SQRT($R$3))</f>
        <v>0.917796907645276</v>
      </c>
      <c r="N2721" s="25" t="n">
        <f aca="false">IF(A2721-7&lt;$R$2,"",C2721/INDEX(Clean_Data!$C$2:$C$4314,MATCH(A2721-7,Clean_Data!$A$2:$A$4314,1))-1)</f>
        <v>-0.323706689998341</v>
      </c>
      <c r="O2721" s="25" t="n">
        <f aca="false">IF(A2721-30&lt;$R$2,"",C2721/INDEX(Clean_Data!$C$2:$C$4314,MATCH(A2721-30,Clean_Data!$A$2:$A$4314,1))-1)</f>
        <v>-0.330835009265889</v>
      </c>
    </row>
    <row r="2722" customFormat="false" ht="15" hidden="false" customHeight="false" outlineLevel="0" collapsed="false">
      <c r="A2722" s="16" t="n">
        <v>44729</v>
      </c>
      <c r="B2722" s="23" t="n">
        <f aca="false">YEAR(A2722)</f>
        <v>2022</v>
      </c>
      <c r="C2722" s="17" t="n">
        <v>20421.22</v>
      </c>
      <c r="D2722" s="23" t="n">
        <f aca="false">A2722-A2721</f>
        <v>1</v>
      </c>
      <c r="E2722" s="24" t="n">
        <f aca="false">LN(C2722)</f>
        <v>9.92432983528167</v>
      </c>
      <c r="F2722" s="25" t="n">
        <f aca="false">LN(C2722/C2721)</f>
        <v>0.00415135451230308</v>
      </c>
      <c r="G2722" s="25" t="n">
        <f aca="false">IF(AND(D2722=1,A2722&gt;=$R$2),F2722,"")</f>
        <v>0.00415135451230308</v>
      </c>
      <c r="H2722" s="27" t="n">
        <f aca="false">IF(G2722="","",G2722^2)</f>
        <v>1.72337442868191E-005</v>
      </c>
      <c r="I2722" s="25" t="n">
        <f aca="false">IF(G2722="","",C2722/C2721-1)</f>
        <v>0.00415998332072887</v>
      </c>
      <c r="J2722" s="17" t="n">
        <f aca="false">AVERAGE(C2523:C2722)</f>
        <v>39954.2639</v>
      </c>
      <c r="K2722" s="17" t="n">
        <f aca="false">MAX(K2721,C2722)</f>
        <v>67510.06</v>
      </c>
      <c r="L2722" s="25" t="n">
        <f aca="false">C2722/K2722-1</f>
        <v>-0.69750848984581</v>
      </c>
      <c r="M2722" s="25" t="n">
        <f aca="false">IF(COUNT(G2693:G2722)&lt;20,"",_xlfn.STDEV.S(G2693:G2722)*SQRT($R$3))</f>
        <v>0.907137936543327</v>
      </c>
      <c r="N2722" s="25" t="n">
        <f aca="false">IF(A2722-7&lt;$R$2,"",C2722/INDEX(Clean_Data!$C$2:$C$4314,MATCH(A2722-7,Clean_Data!$A$2:$A$4314,1))-1)</f>
        <v>-0.297319375071399</v>
      </c>
      <c r="O2722" s="25" t="n">
        <f aca="false">IF(A2722-30&lt;$R$2,"",C2722/INDEX(Clean_Data!$C$2:$C$4314,MATCH(A2722-30,Clean_Data!$A$2:$A$4314,1))-1)</f>
        <v>-0.2900160032375</v>
      </c>
    </row>
    <row r="2723" customFormat="false" ht="15" hidden="false" customHeight="false" outlineLevel="0" collapsed="false">
      <c r="A2723" s="16" t="n">
        <v>44730</v>
      </c>
      <c r="B2723" s="23" t="n">
        <f aca="false">YEAR(A2723)</f>
        <v>2022</v>
      </c>
      <c r="C2723" s="17" t="n">
        <v>18989.21</v>
      </c>
      <c r="D2723" s="23" t="n">
        <f aca="false">A2723-A2722</f>
        <v>1</v>
      </c>
      <c r="E2723" s="24" t="n">
        <f aca="false">LN(C2723)</f>
        <v>9.85162620209844</v>
      </c>
      <c r="F2723" s="25" t="n">
        <f aca="false">LN(C2723/C2722)</f>
        <v>-0.072703633183229</v>
      </c>
      <c r="G2723" s="25" t="n">
        <f aca="false">IF(AND(D2723=1,A2723&gt;=$R$2),F2723,"")</f>
        <v>-0.072703633183229</v>
      </c>
      <c r="H2723" s="27" t="n">
        <f aca="false">IF(G2723="","",G2723^2)</f>
        <v>0.00528581827804152</v>
      </c>
      <c r="I2723" s="25" t="n">
        <f aca="false">IF(G2723="","",C2723/C2722-1)</f>
        <v>-0.0701236263063618</v>
      </c>
      <c r="J2723" s="17" t="n">
        <f aca="false">AVERAGE(C2524:C2723)</f>
        <v>39764.8126</v>
      </c>
      <c r="K2723" s="17" t="n">
        <f aca="false">MAX(K2722,C2723)</f>
        <v>67510.06</v>
      </c>
      <c r="L2723" s="25" t="n">
        <f aca="false">C2723/K2723-1</f>
        <v>-0.718720291464709</v>
      </c>
      <c r="M2723" s="25" t="n">
        <f aca="false">IF(COUNT(G2694:G2723)&lt;20,"",_xlfn.STDEV.S(G2694:G2723)*SQRT($R$3))</f>
        <v>0.902894603383545</v>
      </c>
      <c r="N2723" s="25" t="n">
        <f aca="false">IF(A2723-7&lt;$R$2,"",C2723/INDEX(Clean_Data!$C$2:$C$4314,MATCH(A2723-7,Clean_Data!$A$2:$A$4314,1))-1)</f>
        <v>-0.33092882851299</v>
      </c>
      <c r="O2723" s="25" t="n">
        <f aca="false">IF(A2723-30&lt;$R$2,"",C2723/INDEX(Clean_Data!$C$2:$C$4314,MATCH(A2723-30,Clean_Data!$A$2:$A$4314,1))-1)</f>
        <v>-0.372440913134806</v>
      </c>
    </row>
    <row r="2724" customFormat="false" ht="15" hidden="false" customHeight="false" outlineLevel="0" collapsed="false">
      <c r="A2724" s="16" t="n">
        <v>44731</v>
      </c>
      <c r="B2724" s="23" t="n">
        <f aca="false">YEAR(A2724)</f>
        <v>2022</v>
      </c>
      <c r="C2724" s="17" t="n">
        <v>20520.28</v>
      </c>
      <c r="D2724" s="23" t="n">
        <f aca="false">A2724-A2723</f>
        <v>1</v>
      </c>
      <c r="E2724" s="24" t="n">
        <f aca="false">LN(C2724)</f>
        <v>9.92916894441578</v>
      </c>
      <c r="F2724" s="25" t="n">
        <f aca="false">LN(C2724/C2723)</f>
        <v>0.0775427423173384</v>
      </c>
      <c r="G2724" s="25" t="n">
        <f aca="false">IF(AND(D2724=1,A2724&gt;=$R$2),F2724,"")</f>
        <v>0.0775427423173384</v>
      </c>
      <c r="H2724" s="27" t="n">
        <f aca="false">IF(G2724="","",G2724^2)</f>
        <v>0.00601287688609314</v>
      </c>
      <c r="I2724" s="25" t="n">
        <f aca="false">IF(G2724="","",C2724/C2723-1)</f>
        <v>0.0806284200343248</v>
      </c>
      <c r="J2724" s="17" t="n">
        <f aca="false">AVERAGE(C2525:C2724)</f>
        <v>39581.27165</v>
      </c>
      <c r="K2724" s="17" t="n">
        <f aca="false">MAX(K2723,C2724)</f>
        <v>67510.06</v>
      </c>
      <c r="L2724" s="25" t="n">
        <f aca="false">C2724/K2724-1</f>
        <v>-0.696041152977793</v>
      </c>
      <c r="M2724" s="25" t="n">
        <f aca="false">IF(COUNT(G2695:G2724)&lt;20,"",_xlfn.STDEV.S(G2695:G2724)*SQRT($R$3))</f>
        <v>0.955230057756871</v>
      </c>
      <c r="N2724" s="25" t="n">
        <f aca="false">IF(A2724-7&lt;$R$2,"",C2724/INDEX(Clean_Data!$C$2:$C$4314,MATCH(A2724-7,Clean_Data!$A$2:$A$4314,1))-1)</f>
        <v>-0.229526890158392</v>
      </c>
      <c r="O2724" s="25" t="n">
        <f aca="false">IF(A2724-30&lt;$R$2,"",C2724/INDEX(Clean_Data!$C$2:$C$4314,MATCH(A2724-30,Clean_Data!$A$2:$A$4314,1))-1)</f>
        <v>-0.295758996367306</v>
      </c>
    </row>
    <row r="2725" customFormat="false" ht="15" hidden="false" customHeight="false" outlineLevel="0" collapsed="false">
      <c r="A2725" s="16" t="n">
        <v>44732</v>
      </c>
      <c r="B2725" s="23" t="n">
        <f aca="false">YEAR(A2725)</f>
        <v>2022</v>
      </c>
      <c r="C2725" s="17" t="n">
        <v>20534.33</v>
      </c>
      <c r="D2725" s="23" t="n">
        <f aca="false">A2725-A2724</f>
        <v>1</v>
      </c>
      <c r="E2725" s="24" t="n">
        <f aca="false">LN(C2725)</f>
        <v>9.92985339863656</v>
      </c>
      <c r="F2725" s="25" t="n">
        <f aca="false">LN(C2725/C2724)</f>
        <v>0.000684454220781052</v>
      </c>
      <c r="G2725" s="25" t="n">
        <f aca="false">IF(AND(D2725=1,A2725&gt;=$R$2),F2725,"")</f>
        <v>0.000684454220781052</v>
      </c>
      <c r="H2725" s="27" t="n">
        <f aca="false">IF(G2725="","",G2725^2)</f>
        <v>4.68477580344997E-007</v>
      </c>
      <c r="I2725" s="25" t="n">
        <f aca="false">IF(G2725="","",C2725/C2724-1)</f>
        <v>0.00068468851302228</v>
      </c>
      <c r="J2725" s="17" t="n">
        <f aca="false">AVERAGE(C2526:C2725)</f>
        <v>39401.11185</v>
      </c>
      <c r="K2725" s="17" t="n">
        <f aca="false">MAX(K2724,C2725)</f>
        <v>67510.06</v>
      </c>
      <c r="L2725" s="25" t="n">
        <f aca="false">C2725/K2725-1</f>
        <v>-0.695833035846806</v>
      </c>
      <c r="M2725" s="25" t="n">
        <f aca="false">IF(COUNT(G2696:G2725)&lt;20,"",_xlfn.STDEV.S(G2696:G2725)*SQRT($R$3))</f>
        <v>0.953161568298572</v>
      </c>
      <c r="N2725" s="25" t="n">
        <f aca="false">IF(A2725-7&lt;$R$2,"",C2725/INDEX(Clean_Data!$C$2:$C$4314,MATCH(A2725-7,Clean_Data!$A$2:$A$4314,1))-1)</f>
        <v>-0.0805386647561903</v>
      </c>
      <c r="O2725" s="25" t="n">
        <f aca="false">IF(A2725-30&lt;$R$2,"",C2725/INDEX(Clean_Data!$C$2:$C$4314,MATCH(A2725-30,Clean_Data!$A$2:$A$4314,1))-1)</f>
        <v>-0.302184758008061</v>
      </c>
    </row>
    <row r="2726" customFormat="false" ht="15" hidden="false" customHeight="false" outlineLevel="0" collapsed="false">
      <c r="A2726" s="16" t="n">
        <v>44733</v>
      </c>
      <c r="B2726" s="23" t="n">
        <f aca="false">YEAR(A2726)</f>
        <v>2022</v>
      </c>
      <c r="C2726" s="17" t="n">
        <v>20675.12</v>
      </c>
      <c r="D2726" s="23" t="n">
        <f aca="false">A2726-A2725</f>
        <v>1</v>
      </c>
      <c r="E2726" s="24" t="n">
        <f aca="false">LN(C2726)</f>
        <v>9.93668632398629</v>
      </c>
      <c r="F2726" s="25" t="n">
        <f aca="false">LN(C2726/C2725)</f>
        <v>0.00683292534973034</v>
      </c>
      <c r="G2726" s="25" t="n">
        <f aca="false">IF(AND(D2726=1,A2726&gt;=$R$2),F2726,"")</f>
        <v>0.00683292534973034</v>
      </c>
      <c r="H2726" s="27" t="n">
        <f aca="false">IF(G2726="","",G2726^2)</f>
        <v>4.66888688349875E-005</v>
      </c>
      <c r="I2726" s="25" t="n">
        <f aca="false">IF(G2726="","",C2726/C2725-1)</f>
        <v>0.00685632304535844</v>
      </c>
      <c r="J2726" s="17" t="n">
        <f aca="false">AVERAGE(C2527:C2726)</f>
        <v>39236.07765</v>
      </c>
      <c r="K2726" s="17" t="n">
        <f aca="false">MAX(K2725,C2726)</f>
        <v>67510.06</v>
      </c>
      <c r="L2726" s="25" t="n">
        <f aca="false">C2726/K2726-1</f>
        <v>-0.693747568880845</v>
      </c>
      <c r="M2726" s="25" t="n">
        <f aca="false">IF(COUNT(G2697:G2726)&lt;20,"",_xlfn.STDEV.S(G2697:G2726)*SQRT($R$3))</f>
        <v>0.945529457086508</v>
      </c>
      <c r="N2726" s="25" t="n">
        <f aca="false">IF(A2726-7&lt;$R$2,"",C2726/INDEX(Clean_Data!$C$2:$C$4314,MATCH(A2726-7,Clean_Data!$A$2:$A$4314,1))-1)</f>
        <v>-0.065428654989</v>
      </c>
      <c r="O2726" s="25" t="n">
        <f aca="false">IF(A2726-30&lt;$R$2,"",C2726/INDEX(Clean_Data!$C$2:$C$4314,MATCH(A2726-30,Clean_Data!$A$2:$A$4314,1))-1)</f>
        <v>-0.315871814148516</v>
      </c>
    </row>
    <row r="2727" customFormat="false" ht="15" hidden="false" customHeight="false" outlineLevel="0" collapsed="false">
      <c r="A2727" s="16" t="n">
        <v>44734</v>
      </c>
      <c r="B2727" s="23" t="n">
        <f aca="false">YEAR(A2727)</f>
        <v>2022</v>
      </c>
      <c r="C2727" s="17" t="n">
        <v>19997.23</v>
      </c>
      <c r="D2727" s="23" t="n">
        <f aca="false">A2727-A2726</f>
        <v>1</v>
      </c>
      <c r="E2727" s="24" t="n">
        <f aca="false">LN(C2727)</f>
        <v>9.90334904294412</v>
      </c>
      <c r="F2727" s="25" t="n">
        <f aca="false">LN(C2727/C2726)</f>
        <v>-0.0333372810421764</v>
      </c>
      <c r="G2727" s="25" t="n">
        <f aca="false">IF(AND(D2727=1,A2727&gt;=$R$2),F2727,"")</f>
        <v>-0.0333372810421764</v>
      </c>
      <c r="H2727" s="27" t="n">
        <f aca="false">IF(G2727="","",G2727^2)</f>
        <v>0.00111137430728505</v>
      </c>
      <c r="I2727" s="25" t="n">
        <f aca="false">IF(G2727="","",C2727/C2726-1)</f>
        <v>-0.0327877177980104</v>
      </c>
      <c r="J2727" s="17" t="n">
        <f aca="false">AVERAGE(C2528:C2727)</f>
        <v>39089.3888</v>
      </c>
      <c r="K2727" s="17" t="n">
        <f aca="false">MAX(K2726,C2727)</f>
        <v>67510.06</v>
      </c>
      <c r="L2727" s="25" t="n">
        <f aca="false">C2727/K2727-1</f>
        <v>-0.703788887167335</v>
      </c>
      <c r="M2727" s="25" t="n">
        <f aca="false">IF(COUNT(G2698:G2727)&lt;20,"",_xlfn.STDEV.S(G2698:G2727)*SQRT($R$3))</f>
        <v>0.944111618587474</v>
      </c>
      <c r="N2727" s="25" t="n">
        <f aca="false">IF(A2727-7&lt;$R$2,"",C2727/INDEX(Clean_Data!$C$2:$C$4314,MATCH(A2727-7,Clean_Data!$A$2:$A$4314,1))-1)</f>
        <v>-0.112971615152011</v>
      </c>
      <c r="O2727" s="25" t="n">
        <f aca="false">IF(A2727-30&lt;$R$2,"",C2727/INDEX(Clean_Data!$C$2:$C$4314,MATCH(A2727-30,Clean_Data!$A$2:$A$4314,1))-1)</f>
        <v>-0.312707934648718</v>
      </c>
    </row>
    <row r="2728" customFormat="false" ht="15" hidden="false" customHeight="false" outlineLevel="0" collapsed="false">
      <c r="A2728" s="16" t="n">
        <v>44735</v>
      </c>
      <c r="B2728" s="23" t="n">
        <f aca="false">YEAR(A2728)</f>
        <v>2022</v>
      </c>
      <c r="C2728" s="17" t="n">
        <v>21121.55</v>
      </c>
      <c r="D2728" s="23" t="n">
        <f aca="false">A2728-A2727</f>
        <v>1</v>
      </c>
      <c r="E2728" s="24" t="n">
        <f aca="false">LN(C2728)</f>
        <v>9.95804912527879</v>
      </c>
      <c r="F2728" s="25" t="n">
        <f aca="false">LN(C2728/C2727)</f>
        <v>0.0547000823346702</v>
      </c>
      <c r="G2728" s="25" t="n">
        <f aca="false">IF(AND(D2728=1,A2728&gt;=$R$2),F2728,"")</f>
        <v>0.0547000823346702</v>
      </c>
      <c r="H2728" s="27" t="n">
        <f aca="false">IF(G2728="","",G2728^2)</f>
        <v>0.0029920990074197</v>
      </c>
      <c r="I2728" s="25" t="n">
        <f aca="false">IF(G2728="","",C2728/C2727-1)</f>
        <v>0.0562237869944988</v>
      </c>
      <c r="J2728" s="17" t="n">
        <f aca="false">AVERAGE(C2529:C2728)</f>
        <v>38947.43775</v>
      </c>
      <c r="K2728" s="17" t="n">
        <f aca="false">MAX(K2727,C2728)</f>
        <v>67510.06</v>
      </c>
      <c r="L2728" s="25" t="n">
        <f aca="false">C2728/K2728-1</f>
        <v>-0.687134776654028</v>
      </c>
      <c r="M2728" s="25" t="n">
        <f aca="false">IF(COUNT(G2699:G2728)&lt;20,"",_xlfn.STDEV.S(G2699:G2728)*SQRT($R$3))</f>
        <v>0.967659842647229</v>
      </c>
      <c r="N2728" s="25" t="n">
        <f aca="false">IF(A2728-7&lt;$R$2,"",C2728/INDEX(Clean_Data!$C$2:$C$4314,MATCH(A2728-7,Clean_Data!$A$2:$A$4314,1))-1)</f>
        <v>0.0385968759803743</v>
      </c>
      <c r="O2728" s="25" t="n">
        <f aca="false">IF(A2728-30&lt;$R$2,"",C2728/INDEX(Clean_Data!$C$2:$C$4314,MATCH(A2728-30,Clean_Data!$A$2:$A$4314,1))-1)</f>
        <v>-0.286570540903327</v>
      </c>
    </row>
    <row r="2729" customFormat="false" ht="15" hidden="false" customHeight="false" outlineLevel="0" collapsed="false">
      <c r="A2729" s="16" t="n">
        <v>44736</v>
      </c>
      <c r="B2729" s="23" t="n">
        <f aca="false">YEAR(A2729)</f>
        <v>2022</v>
      </c>
      <c r="C2729" s="17" t="n">
        <v>21206.32</v>
      </c>
      <c r="D2729" s="23" t="n">
        <f aca="false">A2729-A2728</f>
        <v>1</v>
      </c>
      <c r="E2729" s="24" t="n">
        <f aca="false">LN(C2729)</f>
        <v>9.96205452944074</v>
      </c>
      <c r="F2729" s="25" t="n">
        <f aca="false">LN(C2729/C2728)</f>
        <v>0.00400540416195048</v>
      </c>
      <c r="G2729" s="25" t="n">
        <f aca="false">IF(AND(D2729=1,A2729&gt;=$R$2),F2729,"")</f>
        <v>0.00400540416195048</v>
      </c>
      <c r="H2729" s="27" t="n">
        <f aca="false">IF(G2729="","",G2729^2)</f>
        <v>1.60432625005702E-005</v>
      </c>
      <c r="I2729" s="25" t="n">
        <f aca="false">IF(G2729="","",C2729/C2728-1)</f>
        <v>0.00401343651389219</v>
      </c>
      <c r="J2729" s="17" t="n">
        <f aca="false">AVERAGE(C2530:C2729)</f>
        <v>38800.5248</v>
      </c>
      <c r="K2729" s="17" t="n">
        <f aca="false">MAX(K2728,C2729)</f>
        <v>67510.06</v>
      </c>
      <c r="L2729" s="25" t="n">
        <f aca="false">C2729/K2729-1</f>
        <v>-0.685879111942724</v>
      </c>
      <c r="M2729" s="25" t="n">
        <f aca="false">IF(COUNT(G2700:G2729)&lt;20,"",_xlfn.STDEV.S(G2700:G2729)*SQRT($R$3))</f>
        <v>0.968816444584341</v>
      </c>
      <c r="N2729" s="25" t="n">
        <f aca="false">IF(A2729-7&lt;$R$2,"",C2729/INDEX(Clean_Data!$C$2:$C$4314,MATCH(A2729-7,Clean_Data!$A$2:$A$4314,1))-1)</f>
        <v>0.03844530346375</v>
      </c>
      <c r="O2729" s="25" t="n">
        <f aca="false">IF(A2729-30&lt;$R$2,"",C2729/INDEX(Clean_Data!$C$2:$C$4314,MATCH(A2729-30,Clean_Data!$A$2:$A$4314,1))-1)</f>
        <v>-0.280845013010452</v>
      </c>
    </row>
    <row r="2730" customFormat="false" ht="15" hidden="false" customHeight="false" outlineLevel="0" collapsed="false">
      <c r="A2730" s="16" t="n">
        <v>44737</v>
      </c>
      <c r="B2730" s="23" t="n">
        <f aca="false">YEAR(A2730)</f>
        <v>2022</v>
      </c>
      <c r="C2730" s="17" t="n">
        <v>21474.76</v>
      </c>
      <c r="D2730" s="23" t="n">
        <f aca="false">A2730-A2729</f>
        <v>1</v>
      </c>
      <c r="E2730" s="24" t="n">
        <f aca="false">LN(C2730)</f>
        <v>9.97463357100421</v>
      </c>
      <c r="F2730" s="25" t="n">
        <f aca="false">LN(C2730/C2729)</f>
        <v>0.0125790415634711</v>
      </c>
      <c r="G2730" s="25" t="n">
        <f aca="false">IF(AND(D2730=1,A2730&gt;=$R$2),F2730,"")</f>
        <v>0.0125790415634711</v>
      </c>
      <c r="H2730" s="27" t="n">
        <f aca="false">IF(G2730="","",G2730^2)</f>
        <v>0.000158232286655533</v>
      </c>
      <c r="I2730" s="25" t="n">
        <f aca="false">IF(G2730="","",C2730/C2729-1)</f>
        <v>0.0126584904877414</v>
      </c>
      <c r="J2730" s="17" t="n">
        <f aca="false">AVERAGE(C2531:C2730)</f>
        <v>38654.51815</v>
      </c>
      <c r="K2730" s="17" t="n">
        <f aca="false">MAX(K2729,C2730)</f>
        <v>67510.06</v>
      </c>
      <c r="L2730" s="25" t="n">
        <f aca="false">C2730/K2730-1</f>
        <v>-0.68190281566925</v>
      </c>
      <c r="M2730" s="25" t="n">
        <f aca="false">IF(COUNT(G2701:G2730)&lt;20,"",_xlfn.STDEV.S(G2701:G2730)*SQRT($R$3))</f>
        <v>0.972296267635409</v>
      </c>
      <c r="N2730" s="25" t="n">
        <f aca="false">IF(A2730-7&lt;$R$2,"",C2730/INDEX(Clean_Data!$C$2:$C$4314,MATCH(A2730-7,Clean_Data!$A$2:$A$4314,1))-1)</f>
        <v>0.130892754358923</v>
      </c>
      <c r="O2730" s="25" t="n">
        <f aca="false">IF(A2730-30&lt;$R$2,"",C2730/INDEX(Clean_Data!$C$2:$C$4314,MATCH(A2730-30,Clean_Data!$A$2:$A$4314,1))-1)</f>
        <v>-0.263578428145027</v>
      </c>
    </row>
    <row r="2731" customFormat="false" ht="15" hidden="false" customHeight="false" outlineLevel="0" collapsed="false">
      <c r="A2731" s="16" t="n">
        <v>44738</v>
      </c>
      <c r="B2731" s="23" t="n">
        <f aca="false">YEAR(A2731)</f>
        <v>2022</v>
      </c>
      <c r="C2731" s="17" t="n">
        <v>21025.22</v>
      </c>
      <c r="D2731" s="23" t="n">
        <f aca="false">A2731-A2730</f>
        <v>1</v>
      </c>
      <c r="E2731" s="24" t="n">
        <f aca="false">LN(C2731)</f>
        <v>9.95347794852006</v>
      </c>
      <c r="F2731" s="25" t="n">
        <f aca="false">LN(C2731/C2730)</f>
        <v>-0.0211556224841542</v>
      </c>
      <c r="G2731" s="25" t="n">
        <f aca="false">IF(AND(D2731=1,A2731&gt;=$R$2),F2731,"")</f>
        <v>-0.0211556224841542</v>
      </c>
      <c r="H2731" s="27" t="n">
        <f aca="false">IF(G2731="","",G2731^2)</f>
        <v>0.000447560362692051</v>
      </c>
      <c r="I2731" s="25" t="n">
        <f aca="false">IF(G2731="","",C2731/C2730-1)</f>
        <v>-0.0209334120614152</v>
      </c>
      <c r="J2731" s="17" t="n">
        <f aca="false">AVERAGE(C2532:C2731)</f>
        <v>38506.9867</v>
      </c>
      <c r="K2731" s="17" t="n">
        <f aca="false">MAX(K2730,C2731)</f>
        <v>67510.06</v>
      </c>
      <c r="L2731" s="25" t="n">
        <f aca="false">C2731/K2731-1</f>
        <v>-0.688561675104422</v>
      </c>
      <c r="M2731" s="25" t="n">
        <f aca="false">IF(COUNT(G2702:G2731)&lt;20,"",_xlfn.STDEV.S(G2702:G2731)*SQRT($R$3))</f>
        <v>0.972556652904559</v>
      </c>
      <c r="N2731" s="25" t="n">
        <f aca="false">IF(A2731-7&lt;$R$2,"",C2731/INDEX(Clean_Data!$C$2:$C$4314,MATCH(A2731-7,Clean_Data!$A$2:$A$4314,1))-1)</f>
        <v>0.0246068767092849</v>
      </c>
      <c r="O2731" s="25" t="n">
        <f aca="false">IF(A2731-30&lt;$R$2,"",C2731/INDEX(Clean_Data!$C$2:$C$4314,MATCH(A2731-30,Clean_Data!$A$2:$A$4314,1))-1)</f>
        <v>-0.265072155002613</v>
      </c>
    </row>
    <row r="2732" customFormat="false" ht="15" hidden="false" customHeight="false" outlineLevel="0" collapsed="false">
      <c r="A2732" s="16" t="n">
        <v>44739</v>
      </c>
      <c r="B2732" s="23" t="n">
        <f aca="false">YEAR(A2732)</f>
        <v>2022</v>
      </c>
      <c r="C2732" s="17" t="n">
        <v>20718.74</v>
      </c>
      <c r="D2732" s="23" t="n">
        <f aca="false">A2732-A2731</f>
        <v>1</v>
      </c>
      <c r="E2732" s="24" t="n">
        <f aca="false">LN(C2732)</f>
        <v>9.93879388371356</v>
      </c>
      <c r="F2732" s="25" t="n">
        <f aca="false">LN(C2732/C2731)</f>
        <v>-0.0146840648064985</v>
      </c>
      <c r="G2732" s="25" t="n">
        <f aca="false">IF(AND(D2732=1,A2732&gt;=$R$2),F2732,"")</f>
        <v>-0.0146840648064985</v>
      </c>
      <c r="H2732" s="27" t="n">
        <f aca="false">IF(G2732="","",G2732^2)</f>
        <v>0.000215621759241446</v>
      </c>
      <c r="I2732" s="25" t="n">
        <f aca="false">IF(G2732="","",C2732/C2731-1)</f>
        <v>-0.0145767796960031</v>
      </c>
      <c r="J2732" s="17" t="n">
        <f aca="false">AVERAGE(C2533:C2732)</f>
        <v>38372.38505</v>
      </c>
      <c r="K2732" s="17" t="n">
        <f aca="false">MAX(K2731,C2732)</f>
        <v>67510.06</v>
      </c>
      <c r="L2732" s="25" t="n">
        <f aca="false">C2732/K2732-1</f>
        <v>-0.693101442955317</v>
      </c>
      <c r="M2732" s="25" t="n">
        <f aca="false">IF(COUNT(G2703:G2732)&lt;20,"",_xlfn.STDEV.S(G2703:G2732)*SQRT($R$3))</f>
        <v>0.969101047622036</v>
      </c>
      <c r="N2732" s="25" t="n">
        <f aca="false">IF(A2732-7&lt;$R$2,"",C2732/INDEX(Clean_Data!$C$2:$C$4314,MATCH(A2732-7,Clean_Data!$A$2:$A$4314,1))-1)</f>
        <v>0.00898057058594071</v>
      </c>
      <c r="O2732" s="25" t="n">
        <f aca="false">IF(A2732-30&lt;$R$2,"",C2732/INDEX(Clean_Data!$C$2:$C$4314,MATCH(A2732-30,Clean_Data!$A$2:$A$4314,1))-1)</f>
        <v>-0.284926987019531</v>
      </c>
    </row>
    <row r="2733" customFormat="false" ht="15" hidden="false" customHeight="false" outlineLevel="0" collapsed="false">
      <c r="A2733" s="16" t="n">
        <v>44740</v>
      </c>
      <c r="B2733" s="23" t="n">
        <f aca="false">YEAR(A2733)</f>
        <v>2022</v>
      </c>
      <c r="C2733" s="17" t="n">
        <v>20251.34</v>
      </c>
      <c r="D2733" s="23" t="n">
        <f aca="false">A2733-A2732</f>
        <v>1</v>
      </c>
      <c r="E2733" s="24" t="n">
        <f aca="false">LN(C2733)</f>
        <v>9.91597624318487</v>
      </c>
      <c r="F2733" s="25" t="n">
        <f aca="false">LN(C2733/C2732)</f>
        <v>-0.0228176405286907</v>
      </c>
      <c r="G2733" s="25" t="n">
        <f aca="false">IF(AND(D2733=1,A2733&gt;=$R$2),F2733,"")</f>
        <v>-0.0228176405286907</v>
      </c>
      <c r="H2733" s="27" t="n">
        <f aca="false">IF(G2733="","",G2733^2)</f>
        <v>0.00052064471929655</v>
      </c>
      <c r="I2733" s="25" t="n">
        <f aca="false">IF(G2733="","",C2733/C2732-1)</f>
        <v>-0.0225592869064433</v>
      </c>
      <c r="J2733" s="17" t="n">
        <f aca="false">AVERAGE(C2534:C2733)</f>
        <v>38237.29935</v>
      </c>
      <c r="K2733" s="17" t="n">
        <f aca="false">MAX(K2732,C2733)</f>
        <v>67510.06</v>
      </c>
      <c r="L2733" s="25" t="n">
        <f aca="false">C2733/K2733-1</f>
        <v>-0.700024855554861</v>
      </c>
      <c r="M2733" s="25" t="n">
        <f aca="false">IF(COUNT(G2704:G2733)&lt;20,"",_xlfn.STDEV.S(G2704:G2733)*SQRT($R$3))</f>
        <v>0.964853893824929</v>
      </c>
      <c r="N2733" s="25" t="n">
        <f aca="false">IF(A2733-7&lt;$R$2,"",C2733/INDEX(Clean_Data!$C$2:$C$4314,MATCH(A2733-7,Clean_Data!$A$2:$A$4314,1))-1)</f>
        <v>-0.0204970998959135</v>
      </c>
      <c r="O2733" s="25" t="n">
        <f aca="false">IF(A2733-30&lt;$R$2,"",C2733/INDEX(Clean_Data!$C$2:$C$4314,MATCH(A2733-30,Clean_Data!$A$2:$A$4314,1))-1)</f>
        <v>-0.312142146524748</v>
      </c>
    </row>
    <row r="2734" customFormat="false" ht="15" hidden="false" customHeight="false" outlineLevel="0" collapsed="false">
      <c r="A2734" s="16" t="n">
        <v>44741</v>
      </c>
      <c r="B2734" s="23" t="n">
        <f aca="false">YEAR(A2734)</f>
        <v>2022</v>
      </c>
      <c r="C2734" s="17" t="n">
        <v>20094.43</v>
      </c>
      <c r="D2734" s="23" t="n">
        <f aca="false">A2734-A2733</f>
        <v>1</v>
      </c>
      <c r="E2734" s="24" t="n">
        <f aca="false">LN(C2734)</f>
        <v>9.90819794121601</v>
      </c>
      <c r="F2734" s="25" t="n">
        <f aca="false">LN(C2734/C2733)</f>
        <v>-0.00777830196885715</v>
      </c>
      <c r="G2734" s="25" t="n">
        <f aca="false">IF(AND(D2734=1,A2734&gt;=$R$2),F2734,"")</f>
        <v>-0.00777830196885715</v>
      </c>
      <c r="H2734" s="27" t="n">
        <f aca="false">IF(G2734="","",G2734^2)</f>
        <v>6.0501981518727E-005</v>
      </c>
      <c r="I2734" s="25" t="n">
        <f aca="false">IF(G2734="","",C2734/C2733-1)</f>
        <v>-0.00774812925959467</v>
      </c>
      <c r="J2734" s="17" t="n">
        <f aca="false">AVERAGE(C2535:C2734)</f>
        <v>38090.6092</v>
      </c>
      <c r="K2734" s="17" t="n">
        <f aca="false">MAX(K2733,C2734)</f>
        <v>67510.06</v>
      </c>
      <c r="L2734" s="25" t="n">
        <f aca="false">C2734/K2734-1</f>
        <v>-0.702349101748688</v>
      </c>
      <c r="M2734" s="25" t="n">
        <f aca="false">IF(COUNT(G2705:G2734)&lt;20,"",_xlfn.STDEV.S(G2705:G2734)*SQRT($R$3))</f>
        <v>0.913823250589365</v>
      </c>
      <c r="N2734" s="25" t="n">
        <f aca="false">IF(A2734-7&lt;$R$2,"",C2734/INDEX(Clean_Data!$C$2:$C$4314,MATCH(A2734-7,Clean_Data!$A$2:$A$4314,1))-1)</f>
        <v>0.00486067320323858</v>
      </c>
      <c r="O2734" s="25" t="n">
        <f aca="false">IF(A2734-30&lt;$R$2,"",C2734/INDEX(Clean_Data!$C$2:$C$4314,MATCH(A2734-30,Clean_Data!$A$2:$A$4314,1))-1)</f>
        <v>-0.365937092359664</v>
      </c>
    </row>
    <row r="2735" customFormat="false" ht="15" hidden="false" customHeight="false" outlineLevel="0" collapsed="false">
      <c r="A2735" s="16" t="n">
        <v>44742</v>
      </c>
      <c r="B2735" s="23" t="n">
        <f aca="false">YEAR(A2735)</f>
        <v>2022</v>
      </c>
      <c r="C2735" s="17" t="n">
        <v>19837.58</v>
      </c>
      <c r="D2735" s="23" t="n">
        <f aca="false">A2735-A2734</f>
        <v>1</v>
      </c>
      <c r="E2735" s="24" t="n">
        <f aca="false">LN(C2735)</f>
        <v>9.89533339759276</v>
      </c>
      <c r="F2735" s="25" t="n">
        <f aca="false">LN(C2735/C2734)</f>
        <v>-0.0128645436232499</v>
      </c>
      <c r="G2735" s="25" t="n">
        <f aca="false">IF(AND(D2735=1,A2735&gt;=$R$2),F2735,"")</f>
        <v>-0.0128645436232499</v>
      </c>
      <c r="H2735" s="27" t="n">
        <f aca="false">IF(G2735="","",G2735^2)</f>
        <v>0.000165496482634499</v>
      </c>
      <c r="I2735" s="25" t="n">
        <f aca="false">IF(G2735="","",C2735/C2734-1)</f>
        <v>-0.012782149083104</v>
      </c>
      <c r="J2735" s="17" t="n">
        <f aca="false">AVERAGE(C2536:C2735)</f>
        <v>37939.47015</v>
      </c>
      <c r="K2735" s="17" t="n">
        <f aca="false">MAX(K2734,C2735)</f>
        <v>67510.06</v>
      </c>
      <c r="L2735" s="25" t="n">
        <f aca="false">C2735/K2735-1</f>
        <v>-0.706153719904856</v>
      </c>
      <c r="M2735" s="25" t="n">
        <f aca="false">IF(COUNT(G2706:G2735)&lt;20,"",_xlfn.STDEV.S(G2706:G2735)*SQRT($R$3))</f>
        <v>0.911377382382594</v>
      </c>
      <c r="N2735" s="25" t="n">
        <f aca="false">IF(A2735-7&lt;$R$2,"",C2735/INDEX(Clean_Data!$C$2:$C$4314,MATCH(A2735-7,Clean_Data!$A$2:$A$4314,1))-1)</f>
        <v>-0.0607895727349554</v>
      </c>
      <c r="O2735" s="25" t="n">
        <f aca="false">IF(A2735-30&lt;$R$2,"",C2735/INDEX(Clean_Data!$C$2:$C$4314,MATCH(A2735-30,Clean_Data!$A$2:$A$4314,1))-1)</f>
        <v>-0.376260483262153</v>
      </c>
    </row>
    <row r="2736" customFormat="false" ht="15" hidden="false" customHeight="false" outlineLevel="0" collapsed="false">
      <c r="A2736" s="16" t="n">
        <v>44743</v>
      </c>
      <c r="B2736" s="23" t="n">
        <f aca="false">YEAR(A2736)</f>
        <v>2022</v>
      </c>
      <c r="C2736" s="17" t="n">
        <v>19270.3</v>
      </c>
      <c r="D2736" s="23" t="n">
        <f aca="false">A2736-A2735</f>
        <v>1</v>
      </c>
      <c r="E2736" s="24" t="n">
        <f aca="false">LN(C2736)</f>
        <v>9.86632032952802</v>
      </c>
      <c r="F2736" s="25" t="n">
        <f aca="false">LN(C2736/C2735)</f>
        <v>-0.0290130680647416</v>
      </c>
      <c r="G2736" s="25" t="n">
        <f aca="false">IF(AND(D2736=1,A2736&gt;=$R$2),F2736,"")</f>
        <v>-0.0290130680647416</v>
      </c>
      <c r="H2736" s="27" t="n">
        <f aca="false">IF(G2736="","",G2736^2)</f>
        <v>0.000841758118529326</v>
      </c>
      <c r="I2736" s="25" t="n">
        <f aca="false">IF(G2736="","",C2736/C2735-1)</f>
        <v>-0.0285962299836977</v>
      </c>
      <c r="J2736" s="17" t="n">
        <f aca="false">AVERAGE(C2537:C2736)</f>
        <v>37802.62235</v>
      </c>
      <c r="K2736" s="17" t="n">
        <f aca="false">MAX(K2735,C2736)</f>
        <v>67510.06</v>
      </c>
      <c r="L2736" s="25" t="n">
        <f aca="false">C2736/K2736-1</f>
        <v>-0.714556615710311</v>
      </c>
      <c r="M2736" s="25" t="n">
        <f aca="false">IF(COUNT(G2707:G2736)&lt;20,"",_xlfn.STDEV.S(G2707:G2736)*SQRT($R$3))</f>
        <v>0.894830962619396</v>
      </c>
      <c r="N2736" s="25" t="n">
        <f aca="false">IF(A2736-7&lt;$R$2,"",C2736/INDEX(Clean_Data!$C$2:$C$4314,MATCH(A2736-7,Clean_Data!$A$2:$A$4314,1))-1)</f>
        <v>-0.0912944820223406</v>
      </c>
      <c r="O2736" s="25" t="n">
        <f aca="false">IF(A2736-30&lt;$R$2,"",C2736/INDEX(Clean_Data!$C$2:$C$4314,MATCH(A2736-30,Clean_Data!$A$2:$A$4314,1))-1)</f>
        <v>-0.352893097051764</v>
      </c>
    </row>
    <row r="2737" customFormat="false" ht="15" hidden="false" customHeight="false" outlineLevel="0" collapsed="false">
      <c r="A2737" s="16" t="n">
        <v>44744</v>
      </c>
      <c r="B2737" s="23" t="n">
        <f aca="false">YEAR(A2737)</f>
        <v>2022</v>
      </c>
      <c r="C2737" s="17" t="n">
        <v>19210.52</v>
      </c>
      <c r="D2737" s="23" t="n">
        <f aca="false">A2737-A2736</f>
        <v>1</v>
      </c>
      <c r="E2737" s="24" t="n">
        <f aca="false">LN(C2737)</f>
        <v>9.86321332463101</v>
      </c>
      <c r="F2737" s="25" t="n">
        <f aca="false">LN(C2737/C2736)</f>
        <v>-0.00310700489700622</v>
      </c>
      <c r="G2737" s="25" t="n">
        <f aca="false">IF(AND(D2737=1,A2737&gt;=$R$2),F2737,"")</f>
        <v>-0.00310700489700622</v>
      </c>
      <c r="H2737" s="27" t="n">
        <f aca="false">IF(G2737="","",G2737^2)</f>
        <v>9.65347943002065E-006</v>
      </c>
      <c r="I2737" s="25" t="n">
        <f aca="false">IF(G2737="","",C2737/C2736-1)</f>
        <v>-0.00310218315231203</v>
      </c>
      <c r="J2737" s="17" t="n">
        <f aca="false">AVERAGE(C2538:C2737)</f>
        <v>37656.95915</v>
      </c>
      <c r="K2737" s="17" t="n">
        <f aca="false">MAX(K2736,C2737)</f>
        <v>67510.06</v>
      </c>
      <c r="L2737" s="25" t="n">
        <f aca="false">C2737/K2737-1</f>
        <v>-0.715442113367993</v>
      </c>
      <c r="M2737" s="25" t="n">
        <f aca="false">IF(COUNT(G2708:G2737)&lt;20,"",_xlfn.STDEV.S(G2708:G2737)*SQRT($R$3))</f>
        <v>0.886399995348376</v>
      </c>
      <c r="N2737" s="25" t="n">
        <f aca="false">IF(A2737-7&lt;$R$2,"",C2737/INDEX(Clean_Data!$C$2:$C$4314,MATCH(A2737-7,Clean_Data!$A$2:$A$4314,1))-1)</f>
        <v>-0.10543726681928</v>
      </c>
      <c r="O2737" s="25" t="n">
        <f aca="false">IF(A2737-30&lt;$R$2,"",C2737/INDEX(Clean_Data!$C$2:$C$4314,MATCH(A2737-30,Clean_Data!$A$2:$A$4314,1))-1)</f>
        <v>-0.368676833728899</v>
      </c>
    </row>
    <row r="2738" customFormat="false" ht="15" hidden="false" customHeight="false" outlineLevel="0" collapsed="false">
      <c r="A2738" s="16" t="n">
        <v>44745</v>
      </c>
      <c r="B2738" s="23" t="n">
        <f aca="false">YEAR(A2738)</f>
        <v>2022</v>
      </c>
      <c r="C2738" s="17" t="n">
        <v>19283.07</v>
      </c>
      <c r="D2738" s="23" t="n">
        <f aca="false">A2738-A2737</f>
        <v>1</v>
      </c>
      <c r="E2738" s="24" t="n">
        <f aca="false">LN(C2738)</f>
        <v>9.86698278785356</v>
      </c>
      <c r="F2738" s="25" t="n">
        <f aca="false">LN(C2738/C2737)</f>
        <v>0.0037694632225437</v>
      </c>
      <c r="G2738" s="25" t="n">
        <f aca="false">IF(AND(D2738=1,A2738&gt;=$R$2),F2738,"")</f>
        <v>0.0037694632225437</v>
      </c>
      <c r="H2738" s="27" t="n">
        <f aca="false">IF(G2738="","",G2738^2)</f>
        <v>1.42088529861095E-005</v>
      </c>
      <c r="I2738" s="25" t="n">
        <f aca="false">IF(G2738="","",C2738/C2737-1)</f>
        <v>0.00377657658408004</v>
      </c>
      <c r="J2738" s="17" t="n">
        <f aca="false">AVERAGE(C2539:C2738)</f>
        <v>37508.94465</v>
      </c>
      <c r="K2738" s="17" t="n">
        <f aca="false">MAX(K2737,C2738)</f>
        <v>67510.06</v>
      </c>
      <c r="L2738" s="25" t="n">
        <f aca="false">C2738/K2738-1</f>
        <v>-0.714367458716523</v>
      </c>
      <c r="M2738" s="25" t="n">
        <f aca="false">IF(COUNT(G2709:G2738)&lt;20,"",_xlfn.STDEV.S(G2709:G2738)*SQRT($R$3))</f>
        <v>0.888163967372414</v>
      </c>
      <c r="N2738" s="25" t="n">
        <f aca="false">IF(A2738-7&lt;$R$2,"",C2738/INDEX(Clean_Data!$C$2:$C$4314,MATCH(A2738-7,Clean_Data!$A$2:$A$4314,1))-1)</f>
        <v>-0.0828600128797702</v>
      </c>
      <c r="O2738" s="25" t="n">
        <f aca="false">IF(A2738-30&lt;$R$2,"",C2738/INDEX(Clean_Data!$C$2:$C$4314,MATCH(A2738-30,Clean_Data!$A$2:$A$4314,1))-1)</f>
        <v>-0.350403086845837</v>
      </c>
    </row>
    <row r="2739" customFormat="false" ht="15" hidden="false" customHeight="false" outlineLevel="0" collapsed="false">
      <c r="A2739" s="16" t="n">
        <v>44746</v>
      </c>
      <c r="B2739" s="23" t="n">
        <f aca="false">YEAR(A2739)</f>
        <v>2022</v>
      </c>
      <c r="C2739" s="17" t="n">
        <v>20205.89</v>
      </c>
      <c r="D2739" s="23" t="n">
        <f aca="false">A2739-A2738</f>
        <v>1</v>
      </c>
      <c r="E2739" s="24" t="n">
        <f aca="false">LN(C2739)</f>
        <v>9.91372942504531</v>
      </c>
      <c r="F2739" s="25" t="n">
        <f aca="false">LN(C2739/C2738)</f>
        <v>0.0467466371917586</v>
      </c>
      <c r="G2739" s="25" t="n">
        <f aca="false">IF(AND(D2739=1,A2739&gt;=$R$2),F2739,"")</f>
        <v>0.0467466371917586</v>
      </c>
      <c r="H2739" s="27" t="n">
        <f aca="false">IF(G2739="","",G2739^2)</f>
        <v>0.00218524808873791</v>
      </c>
      <c r="I2739" s="25" t="n">
        <f aca="false">IF(G2739="","",C2739/C2738-1)</f>
        <v>0.0478564875821121</v>
      </c>
      <c r="J2739" s="17" t="n">
        <f aca="false">AVERAGE(C2540:C2739)</f>
        <v>37371.9467</v>
      </c>
      <c r="K2739" s="17" t="n">
        <f aca="false">MAX(K2738,C2739)</f>
        <v>67510.06</v>
      </c>
      <c r="L2739" s="25" t="n">
        <f aca="false">C2739/K2739-1</f>
        <v>-0.700698088551543</v>
      </c>
      <c r="M2739" s="25" t="n">
        <f aca="false">IF(COUNT(G2710:G2739)&lt;20,"",_xlfn.STDEV.S(G2710:G2739)*SQRT($R$3))</f>
        <v>0.911277581522098</v>
      </c>
      <c r="N2739" s="25" t="n">
        <f aca="false">IF(A2739-7&lt;$R$2,"",C2739/INDEX(Clean_Data!$C$2:$C$4314,MATCH(A2739-7,Clean_Data!$A$2:$A$4314,1))-1)</f>
        <v>-0.0247529531235974</v>
      </c>
      <c r="O2739" s="25" t="n">
        <f aca="false">IF(A2739-30&lt;$R$2,"",C2739/INDEX(Clean_Data!$C$2:$C$4314,MATCH(A2739-30,Clean_Data!$A$2:$A$4314,1))-1)</f>
        <v>-0.322677780452011</v>
      </c>
    </row>
    <row r="2740" customFormat="false" ht="15" hidden="false" customHeight="false" outlineLevel="0" collapsed="false">
      <c r="A2740" s="16" t="n">
        <v>44747</v>
      </c>
      <c r="B2740" s="23" t="n">
        <f aca="false">YEAR(A2740)</f>
        <v>2022</v>
      </c>
      <c r="C2740" s="17" t="n">
        <v>20171.1</v>
      </c>
      <c r="D2740" s="23" t="n">
        <f aca="false">A2740-A2739</f>
        <v>1</v>
      </c>
      <c r="E2740" s="24" t="n">
        <f aca="false">LN(C2740)</f>
        <v>9.91200616590146</v>
      </c>
      <c r="F2740" s="25" t="n">
        <f aca="false">LN(C2740/C2739)</f>
        <v>-0.00172325914385546</v>
      </c>
      <c r="G2740" s="25" t="n">
        <f aca="false">IF(AND(D2740=1,A2740&gt;=$R$2),F2740,"")</f>
        <v>-0.00172325914385546</v>
      </c>
      <c r="H2740" s="27" t="n">
        <f aca="false">IF(G2740="","",G2740^2)</f>
        <v>2.96962207688145E-006</v>
      </c>
      <c r="I2740" s="25" t="n">
        <f aca="false">IF(G2740="","",C2740/C2739-1)</f>
        <v>-0.00172177518535444</v>
      </c>
      <c r="J2740" s="17" t="n">
        <f aca="false">AVERAGE(C2541:C2740)</f>
        <v>37241.60145</v>
      </c>
      <c r="K2740" s="17" t="n">
        <f aca="false">MAX(K2739,C2740)</f>
        <v>67510.06</v>
      </c>
      <c r="L2740" s="25" t="n">
        <f aca="false">C2740/K2740-1</f>
        <v>-0.701213419155604</v>
      </c>
      <c r="M2740" s="25" t="n">
        <f aca="false">IF(COUNT(G2711:G2740)&lt;20,"",_xlfn.STDEV.S(G2711:G2740)*SQRT($R$3))</f>
        <v>0.910583514567991</v>
      </c>
      <c r="N2740" s="25" t="n">
        <f aca="false">IF(A2740-7&lt;$R$2,"",C2740/INDEX(Clean_Data!$C$2:$C$4314,MATCH(A2740-7,Clean_Data!$A$2:$A$4314,1))-1)</f>
        <v>-0.00396220694531824</v>
      </c>
      <c r="O2740" s="25" t="n">
        <f aca="false">IF(A2740-30&lt;$R$2,"",C2740/INDEX(Clean_Data!$C$2:$C$4314,MATCH(A2740-30,Clean_Data!$A$2:$A$4314,1))-1)</f>
        <v>-0.325245417304755</v>
      </c>
    </row>
    <row r="2741" customFormat="false" ht="15" hidden="false" customHeight="false" outlineLevel="0" collapsed="false">
      <c r="A2741" s="16" t="n">
        <v>44748</v>
      </c>
      <c r="B2741" s="23" t="n">
        <f aca="false">YEAR(A2741)</f>
        <v>2022</v>
      </c>
      <c r="C2741" s="17" t="n">
        <v>20556.8</v>
      </c>
      <c r="D2741" s="23" t="n">
        <f aca="false">A2741-A2740</f>
        <v>1</v>
      </c>
      <c r="E2741" s="24" t="n">
        <f aca="false">LN(C2741)</f>
        <v>9.93094706543228</v>
      </c>
      <c r="F2741" s="25" t="n">
        <f aca="false">LN(C2741/C2740)</f>
        <v>0.0189408995308208</v>
      </c>
      <c r="G2741" s="25" t="n">
        <f aca="false">IF(AND(D2741=1,A2741&gt;=$R$2),F2741,"")</f>
        <v>0.0189408995308208</v>
      </c>
      <c r="H2741" s="27" t="n">
        <f aca="false">IF(G2741="","",G2741^2)</f>
        <v>0.000358757675036648</v>
      </c>
      <c r="I2741" s="25" t="n">
        <f aca="false">IF(G2741="","",C2741/C2740-1)</f>
        <v>0.019121416283693</v>
      </c>
      <c r="J2741" s="17" t="n">
        <f aca="false">AVERAGE(C2542:C2741)</f>
        <v>37110.3198</v>
      </c>
      <c r="K2741" s="17" t="n">
        <f aca="false">MAX(K2740,C2741)</f>
        <v>67510.06</v>
      </c>
      <c r="L2741" s="25" t="n">
        <f aca="false">C2741/K2741-1</f>
        <v>-0.695500196563297</v>
      </c>
      <c r="M2741" s="25" t="n">
        <f aca="false">IF(COUNT(G2712:G2741)&lt;20,"",_xlfn.STDEV.S(G2712:G2741)*SQRT($R$3))</f>
        <v>0.892556488045726</v>
      </c>
      <c r="N2741" s="25" t="n">
        <f aca="false">IF(A2741-7&lt;$R$2,"",C2741/INDEX(Clean_Data!$C$2:$C$4314,MATCH(A2741-7,Clean_Data!$A$2:$A$4314,1))-1)</f>
        <v>0.0230098589509631</v>
      </c>
      <c r="O2741" s="25" t="n">
        <f aca="false">IF(A2741-30&lt;$R$2,"",C2741/INDEX(Clean_Data!$C$2:$C$4314,MATCH(A2741-30,Clean_Data!$A$2:$A$4314,1))-1)</f>
        <v>-0.343754868334691</v>
      </c>
    </row>
    <row r="2742" customFormat="false" ht="15" hidden="false" customHeight="false" outlineLevel="0" collapsed="false">
      <c r="A2742" s="16" t="n">
        <v>44749</v>
      </c>
      <c r="B2742" s="23" t="n">
        <f aca="false">YEAR(A2742)</f>
        <v>2022</v>
      </c>
      <c r="C2742" s="17" t="n">
        <v>21657.39</v>
      </c>
      <c r="D2742" s="23" t="n">
        <f aca="false">A2742-A2741</f>
        <v>1</v>
      </c>
      <c r="E2742" s="24" t="n">
        <f aca="false">LN(C2742)</f>
        <v>9.98310201467948</v>
      </c>
      <c r="F2742" s="25" t="n">
        <f aca="false">LN(C2742/C2741)</f>
        <v>0.0521549492472034</v>
      </c>
      <c r="G2742" s="25" t="n">
        <f aca="false">IF(AND(D2742=1,A2742&gt;=$R$2),F2742,"")</f>
        <v>0.0521549492472034</v>
      </c>
      <c r="H2742" s="27" t="n">
        <f aca="false">IF(G2742="","",G2742^2)</f>
        <v>0.00272013873097836</v>
      </c>
      <c r="I2742" s="25" t="n">
        <f aca="false">IF(G2742="","",C2742/C2741-1)</f>
        <v>0.0535389749377335</v>
      </c>
      <c r="J2742" s="17" t="n">
        <f aca="false">AVERAGE(C2543:C2742)</f>
        <v>36985.1879</v>
      </c>
      <c r="K2742" s="17" t="n">
        <f aca="false">MAX(K2741,C2742)</f>
        <v>67510.06</v>
      </c>
      <c r="L2742" s="25" t="n">
        <f aca="false">C2742/K2742-1</f>
        <v>-0.679197589218555</v>
      </c>
      <c r="M2742" s="25" t="n">
        <f aca="false">IF(COUNT(G2713:G2742)&lt;20,"",_xlfn.STDEV.S(G2713:G2742)*SQRT($R$3))</f>
        <v>0.921865303593582</v>
      </c>
      <c r="N2742" s="25" t="n">
        <f aca="false">IF(A2742-7&lt;$R$2,"",C2742/INDEX(Clean_Data!$C$2:$C$4314,MATCH(A2742-7,Clean_Data!$A$2:$A$4314,1))-1)</f>
        <v>0.0917354838644633</v>
      </c>
      <c r="O2742" s="25" t="n">
        <f aca="false">IF(A2742-30&lt;$R$2,"",C2742/INDEX(Clean_Data!$C$2:$C$4314,MATCH(A2742-30,Clean_Data!$A$2:$A$4314,1))-1)</f>
        <v>-0.303032848293866</v>
      </c>
    </row>
    <row r="2743" customFormat="false" ht="15" hidden="false" customHeight="false" outlineLevel="0" collapsed="false">
      <c r="A2743" s="16" t="n">
        <v>44750</v>
      </c>
      <c r="B2743" s="23" t="n">
        <f aca="false">YEAR(A2743)</f>
        <v>2022</v>
      </c>
      <c r="C2743" s="17" t="n">
        <v>21582.54</v>
      </c>
      <c r="D2743" s="23" t="n">
        <f aca="false">A2743-A2742</f>
        <v>1</v>
      </c>
      <c r="E2743" s="24" t="n">
        <f aca="false">LN(C2743)</f>
        <v>9.97963993346137</v>
      </c>
      <c r="F2743" s="25" t="n">
        <f aca="false">LN(C2743/C2742)</f>
        <v>-0.0034620812181101</v>
      </c>
      <c r="G2743" s="25" t="n">
        <f aca="false">IF(AND(D2743=1,A2743&gt;=$R$2),F2743,"")</f>
        <v>-0.0034620812181101</v>
      </c>
      <c r="H2743" s="27" t="n">
        <f aca="false">IF(G2743="","",G2743^2)</f>
        <v>1.19860063607907E-005</v>
      </c>
      <c r="I2743" s="25" t="n">
        <f aca="false">IF(G2743="","",C2743/C2742-1)</f>
        <v>-0.00345609512503575</v>
      </c>
      <c r="J2743" s="17" t="n">
        <f aca="false">AVERAGE(C2544:C2743)</f>
        <v>36858.28205</v>
      </c>
      <c r="K2743" s="17" t="n">
        <f aca="false">MAX(K2742,C2743)</f>
        <v>67510.06</v>
      </c>
      <c r="L2743" s="25" t="n">
        <f aca="false">C2743/K2743-1</f>
        <v>-0.680306312866557</v>
      </c>
      <c r="M2743" s="25" t="n">
        <f aca="false">IF(COUNT(G2714:G2743)&lt;20,"",_xlfn.STDEV.S(G2714:G2743)*SQRT($R$3))</f>
        <v>0.920330176319153</v>
      </c>
      <c r="N2743" s="25" t="n">
        <f aca="false">IF(A2743-7&lt;$R$2,"",C2743/INDEX(Clean_Data!$C$2:$C$4314,MATCH(A2743-7,Clean_Data!$A$2:$A$4314,1))-1)</f>
        <v>0.119989828907698</v>
      </c>
      <c r="O2743" s="25" t="n">
        <f aca="false">IF(A2743-30&lt;$R$2,"",C2743/INDEX(Clean_Data!$C$2:$C$4314,MATCH(A2743-30,Clean_Data!$A$2:$A$4314,1))-1)</f>
        <v>-0.285235829514034</v>
      </c>
    </row>
    <row r="2744" customFormat="false" ht="15" hidden="false" customHeight="false" outlineLevel="0" collapsed="false">
      <c r="A2744" s="16" t="n">
        <v>44751</v>
      </c>
      <c r="B2744" s="23" t="n">
        <f aca="false">YEAR(A2744)</f>
        <v>2022</v>
      </c>
      <c r="C2744" s="17" t="n">
        <v>21573.37</v>
      </c>
      <c r="D2744" s="23" t="n">
        <f aca="false">A2744-A2743</f>
        <v>1</v>
      </c>
      <c r="E2744" s="24" t="n">
        <f aca="false">LN(C2744)</f>
        <v>9.97921496269199</v>
      </c>
      <c r="F2744" s="25" t="n">
        <f aca="false">LN(C2744/C2743)</f>
        <v>-0.000424970769380579</v>
      </c>
      <c r="G2744" s="25" t="n">
        <f aca="false">IF(AND(D2744=1,A2744&gt;=$R$2),F2744,"")</f>
        <v>-0.000424970769380579</v>
      </c>
      <c r="H2744" s="27" t="n">
        <f aca="false">IF(G2744="","",G2744^2)</f>
        <v>1.80600154827921E-007</v>
      </c>
      <c r="I2744" s="25" t="n">
        <f aca="false">IF(G2744="","",C2744/C2743-1)</f>
        <v>-0.000424880482093437</v>
      </c>
      <c r="J2744" s="17" t="n">
        <f aca="false">AVERAGE(C2545:C2744)</f>
        <v>36721.37655</v>
      </c>
      <c r="K2744" s="17" t="n">
        <f aca="false">MAX(K2743,C2744)</f>
        <v>67510.06</v>
      </c>
      <c r="L2744" s="25" t="n">
        <f aca="false">C2744/K2744-1</f>
        <v>-0.680442144474468</v>
      </c>
      <c r="M2744" s="25" t="n">
        <f aca="false">IF(COUNT(G2715:G2744)&lt;20,"",_xlfn.STDEV.S(G2715:G2744)*SQRT($R$3))</f>
        <v>0.920779237732402</v>
      </c>
      <c r="N2744" s="25" t="n">
        <f aca="false">IF(A2744-7&lt;$R$2,"",C2744/INDEX(Clean_Data!$C$2:$C$4314,MATCH(A2744-7,Clean_Data!$A$2:$A$4314,1))-1)</f>
        <v>0.122997711670481</v>
      </c>
      <c r="O2744" s="25" t="n">
        <f aca="false">IF(A2744-30&lt;$R$2,"",C2744/INDEX(Clean_Data!$C$2:$C$4314,MATCH(A2744-30,Clean_Data!$A$2:$A$4314,1))-1)</f>
        <v>-0.282578628838494</v>
      </c>
    </row>
    <row r="2745" customFormat="false" ht="15" hidden="false" customHeight="false" outlineLevel="0" collapsed="false">
      <c r="A2745" s="16" t="n">
        <v>44752</v>
      </c>
      <c r="B2745" s="23" t="n">
        <f aca="false">YEAR(A2745)</f>
        <v>2022</v>
      </c>
      <c r="C2745" s="17" t="n">
        <v>20806.95</v>
      </c>
      <c r="D2745" s="23" t="n">
        <f aca="false">A2745-A2744</f>
        <v>1</v>
      </c>
      <c r="E2745" s="24" t="n">
        <f aca="false">LN(C2745)</f>
        <v>9.94304234449426</v>
      </c>
      <c r="F2745" s="25" t="n">
        <f aca="false">LN(C2745/C2744)</f>
        <v>-0.0361726181977358</v>
      </c>
      <c r="G2745" s="25" t="n">
        <f aca="false">IF(AND(D2745=1,A2745&gt;=$R$2),F2745,"")</f>
        <v>-0.0361726181977358</v>
      </c>
      <c r="H2745" s="27" t="n">
        <f aca="false">IF(G2745="","",G2745^2)</f>
        <v>0.00130845830727916</v>
      </c>
      <c r="I2745" s="25" t="n">
        <f aca="false">IF(G2745="","",C2745/C2744-1)</f>
        <v>-0.0355262066149145</v>
      </c>
      <c r="J2745" s="17" t="n">
        <f aca="false">AVERAGE(C2546:C2745)</f>
        <v>36582.1766</v>
      </c>
      <c r="K2745" s="17" t="n">
        <f aca="false">MAX(K2744,C2745)</f>
        <v>67510.06</v>
      </c>
      <c r="L2745" s="25" t="n">
        <f aca="false">C2745/K2745-1</f>
        <v>-0.691794822875287</v>
      </c>
      <c r="M2745" s="25" t="n">
        <f aca="false">IF(COUNT(G2716:G2745)&lt;20,"",_xlfn.STDEV.S(G2716:G2745)*SQRT($R$3))</f>
        <v>0.921452220387394</v>
      </c>
      <c r="N2745" s="25" t="n">
        <f aca="false">IF(A2745-7&lt;$R$2,"",C2745/INDEX(Clean_Data!$C$2:$C$4314,MATCH(A2745-7,Clean_Data!$A$2:$A$4314,1))-1)</f>
        <v>0.0790268354572172</v>
      </c>
      <c r="O2745" s="25" t="n">
        <f aca="false">IF(A2745-30&lt;$R$2,"",C2745/INDEX(Clean_Data!$C$2:$C$4314,MATCH(A2745-30,Clean_Data!$A$2:$A$4314,1))-1)</f>
        <v>-0.284046661812656</v>
      </c>
    </row>
    <row r="2746" customFormat="false" ht="15" hidden="false" customHeight="false" outlineLevel="0" collapsed="false">
      <c r="A2746" s="16" t="n">
        <v>44753</v>
      </c>
      <c r="B2746" s="23" t="n">
        <f aca="false">YEAR(A2746)</f>
        <v>2022</v>
      </c>
      <c r="C2746" s="17" t="n">
        <v>19942.91</v>
      </c>
      <c r="D2746" s="23" t="n">
        <f aca="false">A2746-A2745</f>
        <v>1</v>
      </c>
      <c r="E2746" s="24" t="n">
        <f aca="false">LN(C2746)</f>
        <v>9.90062897068138</v>
      </c>
      <c r="F2746" s="25" t="n">
        <f aca="false">LN(C2746/C2745)</f>
        <v>-0.0424133738128723</v>
      </c>
      <c r="G2746" s="25" t="n">
        <f aca="false">IF(AND(D2746=1,A2746&gt;=$R$2),F2746,"")</f>
        <v>-0.0424133738128723</v>
      </c>
      <c r="H2746" s="27" t="n">
        <f aca="false">IF(G2746="","",G2746^2)</f>
        <v>0.00179889427819044</v>
      </c>
      <c r="I2746" s="25" t="n">
        <f aca="false">IF(G2746="","",C2746/C2745-1)</f>
        <v>-0.0415265091712145</v>
      </c>
      <c r="J2746" s="17" t="n">
        <f aca="false">AVERAGE(C2547:C2746)</f>
        <v>36427.68885</v>
      </c>
      <c r="K2746" s="17" t="n">
        <f aca="false">MAX(K2745,C2746)</f>
        <v>67510.06</v>
      </c>
      <c r="L2746" s="25" t="n">
        <f aca="false">C2746/K2746-1</f>
        <v>-0.704593507989772</v>
      </c>
      <c r="M2746" s="25" t="n">
        <f aca="false">IF(COUNT(G2717:G2746)&lt;20,"",_xlfn.STDEV.S(G2717:G2746)*SQRT($R$3))</f>
        <v>0.926959994976584</v>
      </c>
      <c r="N2746" s="25" t="n">
        <f aca="false">IF(A2746-7&lt;$R$2,"",C2746/INDEX(Clean_Data!$C$2:$C$4314,MATCH(A2746-7,Clean_Data!$A$2:$A$4314,1))-1)</f>
        <v>-0.0130150169084361</v>
      </c>
      <c r="O2746" s="25" t="n">
        <f aca="false">IF(A2746-30&lt;$R$2,"",C2746/INDEX(Clean_Data!$C$2:$C$4314,MATCH(A2746-30,Clean_Data!$A$2:$A$4314,1))-1)</f>
        <v>-0.297325894202023</v>
      </c>
    </row>
    <row r="2747" customFormat="false" ht="15" hidden="false" customHeight="false" outlineLevel="0" collapsed="false">
      <c r="A2747" s="16" t="n">
        <v>44754</v>
      </c>
      <c r="B2747" s="23" t="n">
        <f aca="false">YEAR(A2747)</f>
        <v>2022</v>
      </c>
      <c r="C2747" s="17" t="n">
        <v>19302.71</v>
      </c>
      <c r="D2747" s="23" t="n">
        <f aca="false">A2747-A2746</f>
        <v>1</v>
      </c>
      <c r="E2747" s="24" t="n">
        <f aca="false">LN(C2747)</f>
        <v>9.86800077954356</v>
      </c>
      <c r="F2747" s="25" t="n">
        <f aca="false">LN(C2747/C2746)</f>
        <v>-0.0326281911378283</v>
      </c>
      <c r="G2747" s="25" t="n">
        <f aca="false">IF(AND(D2747=1,A2747&gt;=$R$2),F2747,"")</f>
        <v>-0.0326281911378283</v>
      </c>
      <c r="H2747" s="27" t="n">
        <f aca="false">IF(G2747="","",G2747^2)</f>
        <v>0.00106459885692666</v>
      </c>
      <c r="I2747" s="25" t="n">
        <f aca="false">IF(G2747="","",C2747/C2746-1)</f>
        <v>-0.0321016341145801</v>
      </c>
      <c r="J2747" s="17" t="n">
        <f aca="false">AVERAGE(C2548:C2747)</f>
        <v>36270.1239</v>
      </c>
      <c r="K2747" s="17" t="n">
        <f aca="false">MAX(K2746,C2747)</f>
        <v>67510.06</v>
      </c>
      <c r="L2747" s="25" t="n">
        <f aca="false">C2747/K2747-1</f>
        <v>-0.714076539111356</v>
      </c>
      <c r="M2747" s="25" t="n">
        <f aca="false">IF(COUNT(G2718:G2747)&lt;20,"",_xlfn.STDEV.S(G2718:G2747)*SQRT($R$3))</f>
        <v>0.911344550895696</v>
      </c>
      <c r="N2747" s="25" t="n">
        <f aca="false">IF(A2747-7&lt;$R$2,"",C2747/INDEX(Clean_Data!$C$2:$C$4314,MATCH(A2747-7,Clean_Data!$A$2:$A$4314,1))-1)</f>
        <v>-0.043051197009583</v>
      </c>
      <c r="O2747" s="25" t="n">
        <f aca="false">IF(A2747-30&lt;$R$2,"",C2747/INDEX(Clean_Data!$C$2:$C$4314,MATCH(A2747-30,Clean_Data!$A$2:$A$4314,1))-1)</f>
        <v>-0.275242881575168</v>
      </c>
    </row>
    <row r="2748" customFormat="false" ht="15" hidden="false" customHeight="false" outlineLevel="0" collapsed="false">
      <c r="A2748" s="16" t="n">
        <v>44755</v>
      </c>
      <c r="B2748" s="23" t="n">
        <f aca="false">YEAR(A2748)</f>
        <v>2022</v>
      </c>
      <c r="C2748" s="17" t="n">
        <v>20206.62</v>
      </c>
      <c r="D2748" s="23" t="n">
        <f aca="false">A2748-A2747</f>
        <v>1</v>
      </c>
      <c r="E2748" s="24" t="n">
        <f aca="false">LN(C2748)</f>
        <v>9.9137655524722</v>
      </c>
      <c r="F2748" s="25" t="n">
        <f aca="false">LN(C2748/C2747)</f>
        <v>0.0457647729286407</v>
      </c>
      <c r="G2748" s="25" t="n">
        <f aca="false">IF(AND(D2748=1,A2748&gt;=$R$2),F2748,"")</f>
        <v>0.0457647729286407</v>
      </c>
      <c r="H2748" s="27" t="n">
        <f aca="false">IF(G2748="","",G2748^2)</f>
        <v>0.00209441444121005</v>
      </c>
      <c r="I2748" s="25" t="n">
        <f aca="false">IF(G2748="","",C2748/C2747-1)</f>
        <v>0.0468281396757242</v>
      </c>
      <c r="J2748" s="17" t="n">
        <f aca="false">AVERAGE(C2549:C2748)</f>
        <v>36119.18165</v>
      </c>
      <c r="K2748" s="17" t="n">
        <f aca="false">MAX(K2747,C2748)</f>
        <v>67510.06</v>
      </c>
      <c r="L2748" s="25" t="n">
        <f aca="false">C2748/K2748-1</f>
        <v>-0.700687275348296</v>
      </c>
      <c r="M2748" s="25" t="n">
        <f aca="false">IF(COUNT(G2719:G2748)&lt;20,"",_xlfn.STDEV.S(G2719:G2748)*SQRT($R$3))</f>
        <v>0.711251797741778</v>
      </c>
      <c r="N2748" s="25" t="n">
        <f aca="false">IF(A2748-7&lt;$R$2,"",C2748/INDEX(Clean_Data!$C$2:$C$4314,MATCH(A2748-7,Clean_Data!$A$2:$A$4314,1))-1)</f>
        <v>-0.01703475249066</v>
      </c>
      <c r="O2748" s="25" t="n">
        <f aca="false">IF(A2748-30&lt;$R$2,"",C2748/INDEX(Clean_Data!$C$2:$C$4314,MATCH(A2748-30,Clean_Data!$A$2:$A$4314,1))-1)</f>
        <v>-0.0952124658576994</v>
      </c>
    </row>
    <row r="2749" customFormat="false" ht="15" hidden="false" customHeight="false" outlineLevel="0" collapsed="false">
      <c r="A2749" s="16" t="n">
        <v>44756</v>
      </c>
      <c r="B2749" s="23" t="n">
        <f aca="false">YEAR(A2749)</f>
        <v>2022</v>
      </c>
      <c r="C2749" s="17" t="n">
        <v>20583.48</v>
      </c>
      <c r="D2749" s="23" t="n">
        <f aca="false">A2749-A2748</f>
        <v>1</v>
      </c>
      <c r="E2749" s="24" t="n">
        <f aca="false">LN(C2749)</f>
        <v>9.9322440913028</v>
      </c>
      <c r="F2749" s="25" t="n">
        <f aca="false">LN(C2749/C2748)</f>
        <v>0.0184785388306051</v>
      </c>
      <c r="G2749" s="25" t="n">
        <f aca="false">IF(AND(D2749=1,A2749&gt;=$R$2),F2749,"")</f>
        <v>0.0184785388306051</v>
      </c>
      <c r="H2749" s="27" t="n">
        <f aca="false">IF(G2749="","",G2749^2)</f>
        <v>0.000341456397314182</v>
      </c>
      <c r="I2749" s="25" t="n">
        <f aca="false">IF(G2749="","",C2749/C2748-1)</f>
        <v>0.0186503235078406</v>
      </c>
      <c r="J2749" s="17" t="n">
        <f aca="false">AVERAGE(C2550:C2749)</f>
        <v>35967.8904</v>
      </c>
      <c r="K2749" s="17" t="n">
        <f aca="false">MAX(K2748,C2749)</f>
        <v>67510.06</v>
      </c>
      <c r="L2749" s="25" t="n">
        <f aca="false">C2749/K2749-1</f>
        <v>-0.695104996203529</v>
      </c>
      <c r="M2749" s="25" t="n">
        <f aca="false">IF(COUNT(G2720:G2749)&lt;20,"",_xlfn.STDEV.S(G2720:G2749)*SQRT($R$3))</f>
        <v>0.714889663749588</v>
      </c>
      <c r="N2749" s="25" t="n">
        <f aca="false">IF(A2749-7&lt;$R$2,"",C2749/INDEX(Clean_Data!$C$2:$C$4314,MATCH(A2749-7,Clean_Data!$A$2:$A$4314,1))-1)</f>
        <v>-0.049586307491346</v>
      </c>
      <c r="O2749" s="25" t="n">
        <f aca="false">IF(A2749-30&lt;$R$2,"",C2749/INDEX(Clean_Data!$C$2:$C$4314,MATCH(A2749-30,Clean_Data!$A$2:$A$4314,1))-1)</f>
        <v>-0.0695710308522021</v>
      </c>
    </row>
    <row r="2750" customFormat="false" ht="15" hidden="false" customHeight="false" outlineLevel="0" collapsed="false">
      <c r="A2750" s="16" t="n">
        <v>44757</v>
      </c>
      <c r="B2750" s="23" t="n">
        <f aca="false">YEAR(A2750)</f>
        <v>2022</v>
      </c>
      <c r="C2750" s="17" t="n">
        <v>20838.39</v>
      </c>
      <c r="D2750" s="23" t="n">
        <f aca="false">A2750-A2749</f>
        <v>1</v>
      </c>
      <c r="E2750" s="24" t="n">
        <f aca="false">LN(C2750)</f>
        <v>9.94455223760465</v>
      </c>
      <c r="F2750" s="25" t="n">
        <f aca="false">LN(C2750/C2749)</f>
        <v>0.0123081463018491</v>
      </c>
      <c r="G2750" s="25" t="n">
        <f aca="false">IF(AND(D2750=1,A2750&gt;=$R$2),F2750,"")</f>
        <v>0.0123081463018491</v>
      </c>
      <c r="H2750" s="27" t="n">
        <f aca="false">IF(G2750="","",G2750^2)</f>
        <v>0.000151490465387722</v>
      </c>
      <c r="I2750" s="25" t="n">
        <f aca="false">IF(G2750="","",C2750/C2749-1)</f>
        <v>0.0123842032542603</v>
      </c>
      <c r="J2750" s="17" t="n">
        <f aca="false">AVERAGE(C2551:C2750)</f>
        <v>35818.76605</v>
      </c>
      <c r="K2750" s="17" t="n">
        <f aca="false">MAX(K2749,C2750)</f>
        <v>67510.06</v>
      </c>
      <c r="L2750" s="25" t="n">
        <f aca="false">C2750/K2750-1</f>
        <v>-0.691329114505305</v>
      </c>
      <c r="M2750" s="25" t="n">
        <f aca="false">IF(COUNT(G2721:G2750)&lt;20,"",_xlfn.STDEV.S(G2721:G2750)*SQRT($R$3))</f>
        <v>0.712793914758319</v>
      </c>
      <c r="N2750" s="25" t="n">
        <f aca="false">IF(A2750-7&lt;$R$2,"",C2750/INDEX(Clean_Data!$C$2:$C$4314,MATCH(A2750-7,Clean_Data!$A$2:$A$4314,1))-1)</f>
        <v>-0.0344792596237515</v>
      </c>
      <c r="O2750" s="25" t="n">
        <f aca="false">IF(A2750-30&lt;$R$2,"",C2750/INDEX(Clean_Data!$C$2:$C$4314,MATCH(A2750-30,Clean_Data!$A$2:$A$4314,1))-1)</f>
        <v>-0.0756598076567363</v>
      </c>
    </row>
    <row r="2751" customFormat="false" ht="15" hidden="false" customHeight="false" outlineLevel="0" collapsed="false">
      <c r="A2751" s="16" t="n">
        <v>44758</v>
      </c>
      <c r="B2751" s="23" t="n">
        <f aca="false">YEAR(A2751)</f>
        <v>2022</v>
      </c>
      <c r="C2751" s="17" t="n">
        <v>21195.28</v>
      </c>
      <c r="D2751" s="23" t="n">
        <f aca="false">A2751-A2750</f>
        <v>1</v>
      </c>
      <c r="E2751" s="24" t="n">
        <f aca="false">LN(C2751)</f>
        <v>9.96153379436237</v>
      </c>
      <c r="F2751" s="25" t="n">
        <f aca="false">LN(C2751/C2750)</f>
        <v>0.0169815567577201</v>
      </c>
      <c r="G2751" s="25" t="n">
        <f aca="false">IF(AND(D2751=1,A2751&gt;=$R$2),F2751,"")</f>
        <v>0.0169815567577201</v>
      </c>
      <c r="H2751" s="27" t="n">
        <f aca="false">IF(G2751="","",G2751^2)</f>
        <v>0.000288373269915669</v>
      </c>
      <c r="I2751" s="25" t="n">
        <f aca="false">IF(G2751="","",C2751/C2750-1)</f>
        <v>0.0171265630406188</v>
      </c>
      <c r="J2751" s="17" t="n">
        <f aca="false">AVERAGE(C2552:C2751)</f>
        <v>35686.7697</v>
      </c>
      <c r="K2751" s="17" t="n">
        <f aca="false">MAX(K2750,C2751)</f>
        <v>67510.06</v>
      </c>
      <c r="L2751" s="25" t="n">
        <f aca="false">C2751/K2751-1</f>
        <v>-0.686042643126076</v>
      </c>
      <c r="M2751" s="25" t="n">
        <f aca="false">IF(COUNT(G2722:G2751)&lt;20,"",_xlfn.STDEV.S(G2722:G2751)*SQRT($R$3))</f>
        <v>0.616384821360883</v>
      </c>
      <c r="N2751" s="25" t="n">
        <f aca="false">IF(A2751-7&lt;$R$2,"",C2751/INDEX(Clean_Data!$C$2:$C$4314,MATCH(A2751-7,Clean_Data!$A$2:$A$4314,1))-1)</f>
        <v>-0.0175257736737469</v>
      </c>
      <c r="O2751" s="25" t="n">
        <f aca="false">IF(A2751-30&lt;$R$2,"",C2751/INDEX(Clean_Data!$C$2:$C$4314,MATCH(A2751-30,Clean_Data!$A$2:$A$4314,1))-1)</f>
        <v>0.0422223555340071</v>
      </c>
    </row>
    <row r="2752" customFormat="false" ht="15" hidden="false" customHeight="false" outlineLevel="0" collapsed="false">
      <c r="A2752" s="16" t="n">
        <v>44759</v>
      </c>
      <c r="B2752" s="23" t="n">
        <f aca="false">YEAR(A2752)</f>
        <v>2022</v>
      </c>
      <c r="C2752" s="17" t="n">
        <v>20762.12</v>
      </c>
      <c r="D2752" s="23" t="n">
        <f aca="false">A2752-A2751</f>
        <v>1</v>
      </c>
      <c r="E2752" s="24" t="n">
        <f aca="false">LN(C2752)</f>
        <v>9.94088545152649</v>
      </c>
      <c r="F2752" s="25" t="n">
        <f aca="false">LN(C2752/C2751)</f>
        <v>-0.0206483428358808</v>
      </c>
      <c r="G2752" s="25" t="n">
        <f aca="false">IF(AND(D2752=1,A2752&gt;=$R$2),F2752,"")</f>
        <v>-0.0206483428358808</v>
      </c>
      <c r="H2752" s="27" t="n">
        <f aca="false">IF(G2752="","",G2752^2)</f>
        <v>0.000426354061868072</v>
      </c>
      <c r="I2752" s="25" t="n">
        <f aca="false">IF(G2752="","",C2752/C2751-1)</f>
        <v>-0.02043662551285</v>
      </c>
      <c r="J2752" s="17" t="n">
        <f aca="false">AVERAGE(C2553:C2752)</f>
        <v>35557.9863</v>
      </c>
      <c r="K2752" s="17" t="n">
        <f aca="false">MAX(K2751,C2752)</f>
        <v>67510.06</v>
      </c>
      <c r="L2752" s="25" t="n">
        <f aca="false">C2752/K2752-1</f>
        <v>-0.692458872055513</v>
      </c>
      <c r="M2752" s="25" t="n">
        <f aca="false">IF(COUNT(G2723:G2752)&lt;20,"",_xlfn.STDEV.S(G2723:G2752)*SQRT($R$3))</f>
        <v>0.621033053501174</v>
      </c>
      <c r="N2752" s="25" t="n">
        <f aca="false">IF(A2752-7&lt;$R$2,"",C2752/INDEX(Clean_Data!$C$2:$C$4314,MATCH(A2752-7,Clean_Data!$A$2:$A$4314,1))-1)</f>
        <v>-0.00215456854560625</v>
      </c>
      <c r="O2752" s="25" t="n">
        <f aca="false">IF(A2752-30&lt;$R$2,"",C2752/INDEX(Clean_Data!$C$2:$C$4314,MATCH(A2752-30,Clean_Data!$A$2:$A$4314,1))-1)</f>
        <v>0.0166934198838267</v>
      </c>
    </row>
    <row r="2753" customFormat="false" ht="15" hidden="false" customHeight="false" outlineLevel="0" collapsed="false">
      <c r="A2753" s="16" t="n">
        <v>44760</v>
      </c>
      <c r="B2753" s="23" t="n">
        <f aca="false">YEAR(A2753)</f>
        <v>2022</v>
      </c>
      <c r="C2753" s="17" t="n">
        <v>22368.75</v>
      </c>
      <c r="D2753" s="23" t="n">
        <f aca="false">A2753-A2752</f>
        <v>1</v>
      </c>
      <c r="E2753" s="24" t="n">
        <f aca="false">LN(C2753)</f>
        <v>10.0154201745143</v>
      </c>
      <c r="F2753" s="25" t="n">
        <f aca="false">LN(C2753/C2752)</f>
        <v>0.0745347229878473</v>
      </c>
      <c r="G2753" s="25" t="n">
        <f aca="false">IF(AND(D2753=1,A2753&gt;=$R$2),F2753,"")</f>
        <v>0.0745347229878473</v>
      </c>
      <c r="H2753" s="27" t="n">
        <f aca="false">IF(G2753="","",G2753^2)</f>
        <v>0.00555542493087513</v>
      </c>
      <c r="I2753" s="25" t="n">
        <f aca="false">IF(G2753="","",C2753/C2752-1)</f>
        <v>0.0773827528210029</v>
      </c>
      <c r="J2753" s="17" t="n">
        <f aca="false">AVERAGE(C2554:C2753)</f>
        <v>35434.3408</v>
      </c>
      <c r="K2753" s="17" t="n">
        <f aca="false">MAX(K2752,C2753)</f>
        <v>67510.06</v>
      </c>
      <c r="L2753" s="25" t="n">
        <f aca="false">C2753/K2753-1</f>
        <v>-0.668660492969492</v>
      </c>
      <c r="M2753" s="25" t="n">
        <f aca="false">IF(COUNT(G2724:G2753)&lt;20,"",_xlfn.STDEV.S(G2724:G2753)*SQRT($R$3))</f>
        <v>0.614763978479197</v>
      </c>
      <c r="N2753" s="25" t="n">
        <f aca="false">IF(A2753-7&lt;$R$2,"",C2753/INDEX(Clean_Data!$C$2:$C$4314,MATCH(A2753-7,Clean_Data!$A$2:$A$4314,1))-1)</f>
        <v>0.121639219151067</v>
      </c>
      <c r="O2753" s="25" t="n">
        <f aca="false">IF(A2753-30&lt;$R$2,"",C2753/INDEX(Clean_Data!$C$2:$C$4314,MATCH(A2753-30,Clean_Data!$A$2:$A$4314,1))-1)</f>
        <v>0.177971595448152</v>
      </c>
    </row>
    <row r="2754" customFormat="false" ht="15" hidden="false" customHeight="false" outlineLevel="0" collapsed="false">
      <c r="A2754" s="16" t="n">
        <v>44761</v>
      </c>
      <c r="B2754" s="23" t="n">
        <f aca="false">YEAR(A2754)</f>
        <v>2022</v>
      </c>
      <c r="C2754" s="17" t="n">
        <v>23410.92</v>
      </c>
      <c r="D2754" s="23" t="n">
        <f aca="false">A2754-A2753</f>
        <v>1</v>
      </c>
      <c r="E2754" s="24" t="n">
        <f aca="false">LN(C2754)</f>
        <v>10.0609578591574</v>
      </c>
      <c r="F2754" s="25" t="n">
        <f aca="false">LN(C2754/C2753)</f>
        <v>0.0455376846430993</v>
      </c>
      <c r="G2754" s="25" t="n">
        <f aca="false">IF(AND(D2754=1,A2754&gt;=$R$2),F2754,"")</f>
        <v>0.0455376846430993</v>
      </c>
      <c r="H2754" s="27" t="n">
        <f aca="false">IF(G2754="","",G2754^2)</f>
        <v>0.00207368072265436</v>
      </c>
      <c r="I2754" s="25" t="n">
        <f aca="false">IF(G2754="","",C2754/C2753-1)</f>
        <v>0.0465904442581726</v>
      </c>
      <c r="J2754" s="17" t="n">
        <f aca="false">AVERAGE(C2555:C2754)</f>
        <v>35320.17225</v>
      </c>
      <c r="K2754" s="17" t="n">
        <f aca="false">MAX(K2753,C2754)</f>
        <v>67510.06</v>
      </c>
      <c r="L2754" s="25" t="n">
        <f aca="false">C2754/K2754-1</f>
        <v>-0.653223238136657</v>
      </c>
      <c r="M2754" s="25" t="n">
        <f aca="false">IF(COUNT(G2725:G2754)&lt;20,"",_xlfn.STDEV.S(G2725:G2754)*SQRT($R$3))</f>
        <v>0.576475605477639</v>
      </c>
      <c r="N2754" s="25" t="n">
        <f aca="false">IF(A2754-7&lt;$R$2,"",C2754/INDEX(Clean_Data!$C$2:$C$4314,MATCH(A2754-7,Clean_Data!$A$2:$A$4314,1))-1)</f>
        <v>0.21283073723845</v>
      </c>
      <c r="O2754" s="25" t="n">
        <f aca="false">IF(A2754-30&lt;$R$2,"",C2754/INDEX(Clean_Data!$C$2:$C$4314,MATCH(A2754-30,Clean_Data!$A$2:$A$4314,1))-1)</f>
        <v>0.140867473543246</v>
      </c>
    </row>
    <row r="2755" customFormat="false" ht="15" hidden="false" customHeight="false" outlineLevel="0" collapsed="false">
      <c r="A2755" s="16" t="n">
        <v>44762</v>
      </c>
      <c r="B2755" s="23" t="n">
        <f aca="false">YEAR(A2755)</f>
        <v>2022</v>
      </c>
      <c r="C2755" s="17" t="n">
        <v>23237.11</v>
      </c>
      <c r="D2755" s="23" t="n">
        <f aca="false">A2755-A2754</f>
        <v>1</v>
      </c>
      <c r="E2755" s="24" t="n">
        <f aca="false">LN(C2755)</f>
        <v>10.0535058486721</v>
      </c>
      <c r="F2755" s="25" t="n">
        <f aca="false">LN(C2755/C2754)</f>
        <v>-0.0074520104853587</v>
      </c>
      <c r="G2755" s="25" t="n">
        <f aca="false">IF(AND(D2755=1,A2755&gt;=$R$2),F2755,"")</f>
        <v>-0.0074520104853587</v>
      </c>
      <c r="H2755" s="27" t="n">
        <f aca="false">IF(G2755="","",G2755^2)</f>
        <v>5.5532460273896E-005</v>
      </c>
      <c r="I2755" s="25" t="n">
        <f aca="false">IF(G2755="","",C2755/C2754-1)</f>
        <v>-0.0074243130983318</v>
      </c>
      <c r="J2755" s="17" t="n">
        <f aca="false">AVERAGE(C2556:C2755)</f>
        <v>35197.61365</v>
      </c>
      <c r="K2755" s="17" t="n">
        <f aca="false">MAX(K2754,C2755)</f>
        <v>67510.06</v>
      </c>
      <c r="L2755" s="25" t="n">
        <f aca="false">C2755/K2755-1</f>
        <v>-0.655797817391956</v>
      </c>
      <c r="M2755" s="25" t="n">
        <f aca="false">IF(COUNT(G2726:G2755)&lt;20,"",_xlfn.STDEV.S(G2726:G2755)*SQRT($R$3))</f>
        <v>0.577831410067565</v>
      </c>
      <c r="N2755" s="25" t="n">
        <f aca="false">IF(A2755-7&lt;$R$2,"",C2755/INDEX(Clean_Data!$C$2:$C$4314,MATCH(A2755-7,Clean_Data!$A$2:$A$4314,1))-1)</f>
        <v>0.149975107167849</v>
      </c>
      <c r="O2755" s="25" t="n">
        <f aca="false">IF(A2755-30&lt;$R$2,"",C2755/INDEX(Clean_Data!$C$2:$C$4314,MATCH(A2755-30,Clean_Data!$A$2:$A$4314,1))-1)</f>
        <v>0.131622507284143</v>
      </c>
    </row>
    <row r="2756" customFormat="false" ht="15" hidden="false" customHeight="false" outlineLevel="0" collapsed="false">
      <c r="A2756" s="16" t="n">
        <v>44763</v>
      </c>
      <c r="B2756" s="23" t="n">
        <f aca="false">YEAR(A2756)</f>
        <v>2022</v>
      </c>
      <c r="C2756" s="17" t="n">
        <v>23140.92</v>
      </c>
      <c r="D2756" s="23" t="n">
        <f aca="false">A2756-A2755</f>
        <v>1</v>
      </c>
      <c r="E2756" s="24" t="n">
        <f aca="false">LN(C2756)</f>
        <v>10.0493577579522</v>
      </c>
      <c r="F2756" s="25" t="n">
        <f aca="false">LN(C2756/C2755)</f>
        <v>-0.00414809071992296</v>
      </c>
      <c r="G2756" s="25" t="n">
        <f aca="false">IF(AND(D2756=1,A2756&gt;=$R$2),F2756,"")</f>
        <v>-0.00414809071992296</v>
      </c>
      <c r="H2756" s="27" t="n">
        <f aca="false">IF(G2756="","",G2756^2)</f>
        <v>1.72066566207109E-005</v>
      </c>
      <c r="I2756" s="25" t="n">
        <f aca="false">IF(G2756="","",C2756/C2755-1)</f>
        <v>-0.00413949927508206</v>
      </c>
      <c r="J2756" s="17" t="n">
        <f aca="false">AVERAGE(C2557:C2756)</f>
        <v>35077.02565</v>
      </c>
      <c r="K2756" s="17" t="n">
        <f aca="false">MAX(K2755,C2756)</f>
        <v>67510.06</v>
      </c>
      <c r="L2756" s="25" t="n">
        <f aca="false">C2756/K2756-1</f>
        <v>-0.657222642077344</v>
      </c>
      <c r="M2756" s="25" t="n">
        <f aca="false">IF(COUNT(G2727:G2756)&lt;20,"",_xlfn.STDEV.S(G2727:G2756)*SQRT($R$3))</f>
        <v>0.578452079410141</v>
      </c>
      <c r="N2756" s="25" t="n">
        <f aca="false">IF(A2756-7&lt;$R$2,"",C2756/INDEX(Clean_Data!$C$2:$C$4314,MATCH(A2756-7,Clean_Data!$A$2:$A$4314,1))-1)</f>
        <v>0.124247211841729</v>
      </c>
      <c r="O2756" s="25" t="n">
        <f aca="false">IF(A2756-30&lt;$R$2,"",C2756/INDEX(Clean_Data!$C$2:$C$4314,MATCH(A2756-30,Clean_Data!$A$2:$A$4314,1))-1)</f>
        <v>0.119264120353352</v>
      </c>
    </row>
    <row r="2757" customFormat="false" ht="15" hidden="false" customHeight="false" outlineLevel="0" collapsed="false">
      <c r="A2757" s="16" t="n">
        <v>44764</v>
      </c>
      <c r="B2757" s="23" t="n">
        <f aca="false">YEAR(A2757)</f>
        <v>2022</v>
      </c>
      <c r="C2757" s="17" t="n">
        <v>22706.35</v>
      </c>
      <c r="D2757" s="23" t="n">
        <f aca="false">A2757-A2756</f>
        <v>1</v>
      </c>
      <c r="E2757" s="24" t="n">
        <f aca="false">LN(C2757)</f>
        <v>10.0303999000336</v>
      </c>
      <c r="F2757" s="25" t="n">
        <f aca="false">LN(C2757/C2756)</f>
        <v>-0.0189578579185712</v>
      </c>
      <c r="G2757" s="25" t="n">
        <f aca="false">IF(AND(D2757=1,A2757&gt;=$R$2),F2757,"")</f>
        <v>-0.0189578579185712</v>
      </c>
      <c r="H2757" s="27" t="n">
        <f aca="false">IF(G2757="","",G2757^2)</f>
        <v>0.000359400376860734</v>
      </c>
      <c r="I2757" s="25" t="n">
        <f aca="false">IF(G2757="","",C2757/C2756-1)</f>
        <v>-0.0187792879453367</v>
      </c>
      <c r="J2757" s="17" t="n">
        <f aca="false">AVERAGE(C2558:C2757)</f>
        <v>34957.9586</v>
      </c>
      <c r="K2757" s="17" t="n">
        <f aca="false">MAX(K2756,C2757)</f>
        <v>67510.06</v>
      </c>
      <c r="L2757" s="25" t="n">
        <f aca="false">C2757/K2757-1</f>
        <v>-0.663659756782915</v>
      </c>
      <c r="M2757" s="25" t="n">
        <f aca="false">IF(COUNT(G2728:G2757)&lt;20,"",_xlfn.STDEV.S(G2728:G2757)*SQRT($R$3))</f>
        <v>0.568942989144385</v>
      </c>
      <c r="N2757" s="25" t="n">
        <f aca="false">IF(A2757-7&lt;$R$2,"",C2757/INDEX(Clean_Data!$C$2:$C$4314,MATCH(A2757-7,Clean_Data!$A$2:$A$4314,1))-1)</f>
        <v>0.0896403225009226</v>
      </c>
      <c r="O2757" s="25" t="n">
        <f aca="false">IF(A2757-30&lt;$R$2,"",C2757/INDEX(Clean_Data!$C$2:$C$4314,MATCH(A2757-30,Clean_Data!$A$2:$A$4314,1))-1)</f>
        <v>0.135474763254711</v>
      </c>
    </row>
    <row r="2758" customFormat="false" ht="15" hidden="false" customHeight="false" outlineLevel="0" collapsed="false">
      <c r="A2758" s="16" t="n">
        <v>44765</v>
      </c>
      <c r="B2758" s="23" t="n">
        <f aca="false">YEAR(A2758)</f>
        <v>2022</v>
      </c>
      <c r="C2758" s="17" t="n">
        <v>22457.13</v>
      </c>
      <c r="D2758" s="23" t="n">
        <f aca="false">A2758-A2757</f>
        <v>1</v>
      </c>
      <c r="E2758" s="24" t="n">
        <f aca="false">LN(C2758)</f>
        <v>10.0193634374027</v>
      </c>
      <c r="F2758" s="25" t="n">
        <f aca="false">LN(C2758/C2757)</f>
        <v>-0.0110364626309002</v>
      </c>
      <c r="G2758" s="25" t="n">
        <f aca="false">IF(AND(D2758=1,A2758&gt;=$R$2),F2758,"")</f>
        <v>-0.0110364626309002</v>
      </c>
      <c r="H2758" s="27" t="n">
        <f aca="false">IF(G2758="","",G2758^2)</f>
        <v>0.000121803507403257</v>
      </c>
      <c r="I2758" s="25" t="n">
        <f aca="false">IF(G2758="","",C2758/C2757-1)</f>
        <v>-0.0109757843070329</v>
      </c>
      <c r="J2758" s="17" t="n">
        <f aca="false">AVERAGE(C2559:C2758)</f>
        <v>34840.79725</v>
      </c>
      <c r="K2758" s="17" t="n">
        <f aca="false">MAX(K2757,C2758)</f>
        <v>67510.06</v>
      </c>
      <c r="L2758" s="25" t="n">
        <f aca="false">C2758/K2758-1</f>
        <v>-0.667351354746241</v>
      </c>
      <c r="M2758" s="25" t="n">
        <f aca="false">IF(COUNT(G2729:G2758)&lt;20,"",_xlfn.STDEV.S(G2729:G2758)*SQRT($R$3))</f>
        <v>0.541077571575139</v>
      </c>
      <c r="N2758" s="25" t="n">
        <f aca="false">IF(A2758-7&lt;$R$2,"",C2758/INDEX(Clean_Data!$C$2:$C$4314,MATCH(A2758-7,Clean_Data!$A$2:$A$4314,1))-1)</f>
        <v>0.0595344812618659</v>
      </c>
      <c r="O2758" s="25" t="n">
        <f aca="false">IF(A2758-30&lt;$R$2,"",C2758/INDEX(Clean_Data!$C$2:$C$4314,MATCH(A2758-30,Clean_Data!$A$2:$A$4314,1))-1)</f>
        <v>0.0632330487109138</v>
      </c>
    </row>
    <row r="2759" customFormat="false" ht="15" hidden="false" customHeight="false" outlineLevel="0" collapsed="false">
      <c r="A2759" s="16" t="n">
        <v>44766</v>
      </c>
      <c r="B2759" s="23" t="n">
        <f aca="false">YEAR(A2759)</f>
        <v>2022</v>
      </c>
      <c r="C2759" s="17" t="n">
        <v>22592.39</v>
      </c>
      <c r="D2759" s="23" t="n">
        <f aca="false">A2759-A2758</f>
        <v>1</v>
      </c>
      <c r="E2759" s="24" t="n">
        <f aca="false">LN(C2759)</f>
        <v>10.0253684028918</v>
      </c>
      <c r="F2759" s="25" t="n">
        <f aca="false">LN(C2759/C2758)</f>
        <v>0.0060049654891623</v>
      </c>
      <c r="G2759" s="25" t="n">
        <f aca="false">IF(AND(D2759=1,A2759&gt;=$R$2),F2759,"")</f>
        <v>0.0060049654891623</v>
      </c>
      <c r="H2759" s="27" t="n">
        <f aca="false">IF(G2759="","",G2759^2)</f>
        <v>3.60596105260302E-005</v>
      </c>
      <c r="I2759" s="25" t="n">
        <f aca="false">IF(G2759="","",C2759/C2758-1)</f>
        <v>0.00602303143812222</v>
      </c>
      <c r="J2759" s="17" t="n">
        <f aca="false">AVERAGE(C2560:C2759)</f>
        <v>34736.64495</v>
      </c>
      <c r="K2759" s="17" t="n">
        <f aca="false">MAX(K2758,C2759)</f>
        <v>67510.06</v>
      </c>
      <c r="L2759" s="25" t="n">
        <f aca="false">C2759/K2759-1</f>
        <v>-0.665347801498029</v>
      </c>
      <c r="M2759" s="25" t="n">
        <f aca="false">IF(COUNT(G2730:G2759)&lt;20,"",_xlfn.STDEV.S(G2730:G2759)*SQRT($R$3))</f>
        <v>0.541213745409926</v>
      </c>
      <c r="N2759" s="25" t="n">
        <f aca="false">IF(A2759-7&lt;$R$2,"",C2759/INDEX(Clean_Data!$C$2:$C$4314,MATCH(A2759-7,Clean_Data!$A$2:$A$4314,1))-1)</f>
        <v>0.0881542925288941</v>
      </c>
      <c r="O2759" s="25" t="n">
        <f aca="false">IF(A2759-30&lt;$R$2,"",C2759/INDEX(Clean_Data!$C$2:$C$4314,MATCH(A2759-30,Clean_Data!$A$2:$A$4314,1))-1)</f>
        <v>0.0653611753477266</v>
      </c>
    </row>
    <row r="2760" customFormat="false" ht="15" hidden="false" customHeight="false" outlineLevel="0" collapsed="false">
      <c r="A2760" s="16" t="n">
        <v>44767</v>
      </c>
      <c r="B2760" s="23" t="n">
        <f aca="false">YEAR(A2760)</f>
        <v>2022</v>
      </c>
      <c r="C2760" s="17" t="n">
        <v>21248.31</v>
      </c>
      <c r="D2760" s="23" t="n">
        <f aca="false">A2760-A2759</f>
        <v>1</v>
      </c>
      <c r="E2760" s="24" t="n">
        <f aca="false">LN(C2760)</f>
        <v>9.96403264177817</v>
      </c>
      <c r="F2760" s="25" t="n">
        <f aca="false">LN(C2760/C2759)</f>
        <v>-0.0613357611136775</v>
      </c>
      <c r="G2760" s="25" t="n">
        <f aca="false">IF(AND(D2760=1,A2760&gt;=$R$2),F2760,"")</f>
        <v>-0.0613357611136775</v>
      </c>
      <c r="H2760" s="27" t="n">
        <f aca="false">IF(G2760="","",G2760^2)</f>
        <v>0.00376207559139412</v>
      </c>
      <c r="I2760" s="25" t="n">
        <f aca="false">IF(G2760="","",C2760/C2759-1)</f>
        <v>-0.0594925990565849</v>
      </c>
      <c r="J2760" s="17" t="n">
        <f aca="false">AVERAGE(C2561:C2760)</f>
        <v>34627.21985</v>
      </c>
      <c r="K2760" s="17" t="n">
        <f aca="false">MAX(K2759,C2760)</f>
        <v>67510.06</v>
      </c>
      <c r="L2760" s="25" t="n">
        <f aca="false">C2760/K2760-1</f>
        <v>-0.685257130566911</v>
      </c>
      <c r="M2760" s="25" t="n">
        <f aca="false">IF(COUNT(G2731:G2760)&lt;20,"",_xlfn.STDEV.S(G2731:G2760)*SQRT($R$3))</f>
        <v>0.583014302033453</v>
      </c>
      <c r="N2760" s="25" t="n">
        <f aca="false">IF(A2760-7&lt;$R$2,"",C2760/INDEX(Clean_Data!$C$2:$C$4314,MATCH(A2760-7,Clean_Data!$A$2:$A$4314,1))-1)</f>
        <v>-0.0500895222129085</v>
      </c>
      <c r="O2760" s="25" t="n">
        <f aca="false">IF(A2760-30&lt;$R$2,"",C2760/INDEX(Clean_Data!$C$2:$C$4314,MATCH(A2760-30,Clean_Data!$A$2:$A$4314,1))-1)</f>
        <v>-0.0105449374055867</v>
      </c>
    </row>
    <row r="2761" customFormat="false" ht="15" hidden="false" customHeight="false" outlineLevel="0" collapsed="false">
      <c r="A2761" s="16" t="n">
        <v>44768</v>
      </c>
      <c r="B2761" s="23" t="n">
        <f aca="false">YEAR(A2761)</f>
        <v>2022</v>
      </c>
      <c r="C2761" s="17" t="n">
        <v>21277.3</v>
      </c>
      <c r="D2761" s="23" t="n">
        <f aca="false">A2761-A2760</f>
        <v>1</v>
      </c>
      <c r="E2761" s="24" t="n">
        <f aca="false">LN(C2761)</f>
        <v>9.96539605570642</v>
      </c>
      <c r="F2761" s="25" t="n">
        <f aca="false">LN(C2761/C2760)</f>
        <v>0.0013634139282557</v>
      </c>
      <c r="G2761" s="25" t="n">
        <f aca="false">IF(AND(D2761=1,A2761&gt;=$R$2),F2761,"")</f>
        <v>0.0013634139282557</v>
      </c>
      <c r="H2761" s="27" t="n">
        <f aca="false">IF(G2761="","",G2761^2)</f>
        <v>1.85889753976163E-006</v>
      </c>
      <c r="I2761" s="25" t="n">
        <f aca="false">IF(G2761="","",C2761/C2760-1)</f>
        <v>0.00136434379957739</v>
      </c>
      <c r="J2761" s="17" t="n">
        <f aca="false">AVERAGE(C2562:C2761)</f>
        <v>34525.32555</v>
      </c>
      <c r="K2761" s="17" t="n">
        <f aca="false">MAX(K2760,C2761)</f>
        <v>67510.06</v>
      </c>
      <c r="L2761" s="25" t="n">
        <f aca="false">C2761/K2761-1</f>
        <v>-0.684827713084539</v>
      </c>
      <c r="M2761" s="25" t="n">
        <f aca="false">IF(COUNT(G2732:G2761)&lt;20,"",_xlfn.STDEV.S(G2732:G2761)*SQRT($R$3))</f>
        <v>0.578172587810603</v>
      </c>
      <c r="N2761" s="25" t="n">
        <f aca="false">IF(A2761-7&lt;$R$2,"",C2761/INDEX(Clean_Data!$C$2:$C$4314,MATCH(A2761-7,Clean_Data!$A$2:$A$4314,1))-1)</f>
        <v>-0.091137810901921</v>
      </c>
      <c r="O2761" s="25" t="n">
        <f aca="false">IF(A2761-30&lt;$R$2,"",C2761/INDEX(Clean_Data!$C$2:$C$4314,MATCH(A2761-30,Clean_Data!$A$2:$A$4314,1))-1)</f>
        <v>0.0119894108123482</v>
      </c>
    </row>
    <row r="2762" customFormat="false" ht="15" hidden="false" customHeight="false" outlineLevel="0" collapsed="false">
      <c r="A2762" s="16" t="n">
        <v>44769</v>
      </c>
      <c r="B2762" s="23" t="n">
        <f aca="false">YEAR(A2762)</f>
        <v>2022</v>
      </c>
      <c r="C2762" s="17" t="n">
        <v>22986.74</v>
      </c>
      <c r="D2762" s="23" t="n">
        <f aca="false">A2762-A2761</f>
        <v>1</v>
      </c>
      <c r="E2762" s="24" t="n">
        <f aca="false">LN(C2762)</f>
        <v>10.0426728069196</v>
      </c>
      <c r="F2762" s="25" t="n">
        <f aca="false">LN(C2762/C2761)</f>
        <v>0.0772767512131742</v>
      </c>
      <c r="G2762" s="25" t="n">
        <f aca="false">IF(AND(D2762=1,A2762&gt;=$R$2),F2762,"")</f>
        <v>0.0772767512131742</v>
      </c>
      <c r="H2762" s="27" t="n">
        <f aca="false">IF(G2762="","",G2762^2)</f>
        <v>0.00597169627806281</v>
      </c>
      <c r="I2762" s="25" t="n">
        <f aca="false">IF(G2762="","",C2762/C2761-1)</f>
        <v>0.0803410207122146</v>
      </c>
      <c r="J2762" s="17" t="n">
        <f aca="false">AVERAGE(C2563:C2762)</f>
        <v>34431.92185</v>
      </c>
      <c r="K2762" s="17" t="n">
        <f aca="false">MAX(K2761,C2762)</f>
        <v>67510.06</v>
      </c>
      <c r="L2762" s="25" t="n">
        <f aca="false">C2762/K2762-1</f>
        <v>-0.659506449853548</v>
      </c>
      <c r="M2762" s="25" t="n">
        <f aca="false">IF(COUNT(G2733:G2762)&lt;20,"",_xlfn.STDEV.S(G2733:G2762)*SQRT($R$3))</f>
        <v>0.634242138733645</v>
      </c>
      <c r="N2762" s="25" t="n">
        <f aca="false">IF(A2762-7&lt;$R$2,"",C2762/INDEX(Clean_Data!$C$2:$C$4314,MATCH(A2762-7,Clean_Data!$A$2:$A$4314,1))-1)</f>
        <v>-0.0107745756679725</v>
      </c>
      <c r="O2762" s="25" t="n">
        <f aca="false">IF(A2762-30&lt;$R$2,"",C2762/INDEX(Clean_Data!$C$2:$C$4314,MATCH(A2762-30,Clean_Data!$A$2:$A$4314,1))-1)</f>
        <v>0.109466116182741</v>
      </c>
    </row>
    <row r="2763" customFormat="false" ht="15" hidden="false" customHeight="false" outlineLevel="0" collapsed="false">
      <c r="A2763" s="16" t="n">
        <v>44770</v>
      </c>
      <c r="B2763" s="23" t="n">
        <f aca="false">YEAR(A2763)</f>
        <v>2022</v>
      </c>
      <c r="C2763" s="17" t="n">
        <v>23875.62</v>
      </c>
      <c r="D2763" s="23" t="n">
        <f aca="false">A2763-A2762</f>
        <v>1</v>
      </c>
      <c r="E2763" s="24" t="n">
        <f aca="false">LN(C2763)</f>
        <v>10.0806131335981</v>
      </c>
      <c r="F2763" s="25" t="n">
        <f aca="false">LN(C2763/C2762)</f>
        <v>0.0379403266785439</v>
      </c>
      <c r="G2763" s="25" t="n">
        <f aca="false">IF(AND(D2763=1,A2763&gt;=$R$2),F2763,"")</f>
        <v>0.0379403266785439</v>
      </c>
      <c r="H2763" s="27" t="n">
        <f aca="false">IF(G2763="","",G2763^2)</f>
        <v>0.00143946838847463</v>
      </c>
      <c r="I2763" s="25" t="n">
        <f aca="false">IF(G2763="","",C2763/C2762-1)</f>
        <v>0.0386692501851067</v>
      </c>
      <c r="J2763" s="17" t="n">
        <f aca="false">AVERAGE(C2564:C2763)</f>
        <v>34342.10605</v>
      </c>
      <c r="K2763" s="17" t="n">
        <f aca="false">MAX(K2762,C2763)</f>
        <v>67510.06</v>
      </c>
      <c r="L2763" s="25" t="n">
        <f aca="false">C2763/K2763-1</f>
        <v>-0.646339819576519</v>
      </c>
      <c r="M2763" s="25" t="n">
        <f aca="false">IF(COUNT(G2734:G2763)&lt;20,"",_xlfn.STDEV.S(G2734:G2763)*SQRT($R$3))</f>
        <v>0.637952205698691</v>
      </c>
      <c r="N2763" s="25" t="n">
        <f aca="false">IF(A2763-7&lt;$R$2,"",C2763/INDEX(Clean_Data!$C$2:$C$4314,MATCH(A2763-7,Clean_Data!$A$2:$A$4314,1))-1)</f>
        <v>0.0317489538013183</v>
      </c>
      <c r="O2763" s="25" t="n">
        <f aca="false">IF(A2763-30&lt;$R$2,"",C2763/INDEX(Clean_Data!$C$2:$C$4314,MATCH(A2763-30,Clean_Data!$A$2:$A$4314,1))-1)</f>
        <v>0.178964947504708</v>
      </c>
    </row>
    <row r="2764" customFormat="false" ht="15" hidden="false" customHeight="false" outlineLevel="0" collapsed="false">
      <c r="A2764" s="16" t="n">
        <v>44771</v>
      </c>
      <c r="B2764" s="23" t="n">
        <f aca="false">YEAR(A2764)</f>
        <v>2022</v>
      </c>
      <c r="C2764" s="17" t="n">
        <v>23817.5</v>
      </c>
      <c r="D2764" s="23" t="n">
        <f aca="false">A2764-A2763</f>
        <v>1</v>
      </c>
      <c r="E2764" s="24" t="n">
        <f aca="false">LN(C2764)</f>
        <v>10.0781758835809</v>
      </c>
      <c r="F2764" s="25" t="n">
        <f aca="false">LN(C2764/C2763)</f>
        <v>-0.00243725001720606</v>
      </c>
      <c r="G2764" s="25" t="n">
        <f aca="false">IF(AND(D2764=1,A2764&gt;=$R$2),F2764,"")</f>
        <v>-0.00243725001720606</v>
      </c>
      <c r="H2764" s="27" t="n">
        <f aca="false">IF(G2764="","",G2764^2)</f>
        <v>5.94018764637094E-006</v>
      </c>
      <c r="I2764" s="25" t="n">
        <f aca="false">IF(G2764="","",C2764/C2763-1)</f>
        <v>-0.00243428233486709</v>
      </c>
      <c r="J2764" s="17" t="n">
        <f aca="false">AVERAGE(C2565:C2764)</f>
        <v>34251.8312</v>
      </c>
      <c r="K2764" s="17" t="n">
        <f aca="false">MAX(K2763,C2764)</f>
        <v>67510.06</v>
      </c>
      <c r="L2764" s="25" t="n">
        <f aca="false">C2764/K2764-1</f>
        <v>-0.64720072830627</v>
      </c>
      <c r="M2764" s="25" t="n">
        <f aca="false">IF(COUNT(G2735:G2764)&lt;20,"",_xlfn.STDEV.S(G2735:G2764)*SQRT($R$3))</f>
        <v>0.636825321765763</v>
      </c>
      <c r="N2764" s="25" t="n">
        <f aca="false">IF(A2764-7&lt;$R$2,"",C2764/INDEX(Clean_Data!$C$2:$C$4314,MATCH(A2764-7,Clean_Data!$A$2:$A$4314,1))-1)</f>
        <v>0.0489356501595371</v>
      </c>
      <c r="O2764" s="25" t="n">
        <f aca="false">IF(A2764-30&lt;$R$2,"",C2764/INDEX(Clean_Data!$C$2:$C$4314,MATCH(A2764-30,Clean_Data!$A$2:$A$4314,1))-1)</f>
        <v>0.18527870658685</v>
      </c>
    </row>
    <row r="2765" customFormat="false" ht="15" hidden="false" customHeight="false" outlineLevel="0" collapsed="false">
      <c r="A2765" s="16" t="n">
        <v>44772</v>
      </c>
      <c r="B2765" s="23" t="n">
        <f aca="false">YEAR(A2765)</f>
        <v>2022</v>
      </c>
      <c r="C2765" s="17" t="n">
        <v>23643.31</v>
      </c>
      <c r="D2765" s="23" t="n">
        <f aca="false">A2765-A2764</f>
        <v>1</v>
      </c>
      <c r="E2765" s="24" t="n">
        <f aca="false">LN(C2765)</f>
        <v>10.0708354786391</v>
      </c>
      <c r="F2765" s="25" t="n">
        <f aca="false">LN(C2765/C2764)</f>
        <v>-0.00734040494188019</v>
      </c>
      <c r="G2765" s="25" t="n">
        <f aca="false">IF(AND(D2765=1,A2765&gt;=$R$2),F2765,"")</f>
        <v>-0.00734040494188019</v>
      </c>
      <c r="H2765" s="27" t="n">
        <f aca="false">IF(G2765="","",G2765^2)</f>
        <v>5.38815447107792E-005</v>
      </c>
      <c r="I2765" s="25" t="n">
        <f aca="false">IF(G2765="","",C2765/C2764-1)</f>
        <v>-0.00731352996746082</v>
      </c>
      <c r="J2765" s="17" t="n">
        <f aca="false">AVERAGE(C2566:C2765)</f>
        <v>34156.19155</v>
      </c>
      <c r="K2765" s="17" t="n">
        <f aca="false">MAX(K2764,C2765)</f>
        <v>67510.06</v>
      </c>
      <c r="L2765" s="25" t="n">
        <f aca="false">C2765/K2765-1</f>
        <v>-0.649780936352301</v>
      </c>
      <c r="M2765" s="25" t="n">
        <f aca="false">IF(COUNT(G2736:G2765)&lt;20,"",_xlfn.STDEV.S(G2736:G2765)*SQRT($R$3))</f>
        <v>0.63509133027217</v>
      </c>
      <c r="N2765" s="25" t="n">
        <f aca="false">IF(A2765-7&lt;$R$2,"",C2765/INDEX(Clean_Data!$C$2:$C$4314,MATCH(A2765-7,Clean_Data!$A$2:$A$4314,1))-1)</f>
        <v>0.0528197503420962</v>
      </c>
      <c r="O2765" s="25" t="n">
        <f aca="false">IF(A2765-30&lt;$R$2,"",C2765/INDEX(Clean_Data!$C$2:$C$4314,MATCH(A2765-30,Clean_Data!$A$2:$A$4314,1))-1)</f>
        <v>0.191844468932198</v>
      </c>
    </row>
    <row r="2766" customFormat="false" ht="15" hidden="false" customHeight="false" outlineLevel="0" collapsed="false">
      <c r="A2766" s="16" t="n">
        <v>44773</v>
      </c>
      <c r="B2766" s="23" t="n">
        <f aca="false">YEAR(A2766)</f>
        <v>2022</v>
      </c>
      <c r="C2766" s="17" t="n">
        <v>23296.14</v>
      </c>
      <c r="D2766" s="23" t="n">
        <f aca="false">A2766-A2765</f>
        <v>1</v>
      </c>
      <c r="E2766" s="24" t="n">
        <f aca="false">LN(C2766)</f>
        <v>10.0560429605937</v>
      </c>
      <c r="F2766" s="25" t="n">
        <f aca="false">LN(C2766/C2765)</f>
        <v>-0.0147925180453148</v>
      </c>
      <c r="G2766" s="25" t="n">
        <f aca="false">IF(AND(D2766=1,A2766&gt;=$R$2),F2766,"")</f>
        <v>-0.0147925180453148</v>
      </c>
      <c r="H2766" s="27" t="n">
        <f aca="false">IF(G2766="","",G2766^2)</f>
        <v>0.000218818590120963</v>
      </c>
      <c r="I2766" s="25" t="n">
        <f aca="false">IF(G2766="","",C2766/C2765-1)</f>
        <v>-0.0146836462407337</v>
      </c>
      <c r="J2766" s="17" t="n">
        <f aca="false">AVERAGE(C2567:C2766)</f>
        <v>34053.251</v>
      </c>
      <c r="K2766" s="17" t="n">
        <f aca="false">MAX(K2765,C2766)</f>
        <v>67510.06</v>
      </c>
      <c r="L2766" s="25" t="n">
        <f aca="false">C2766/K2766-1</f>
        <v>-0.654923429189664</v>
      </c>
      <c r="M2766" s="25" t="n">
        <f aca="false">IF(COUNT(G2737:G2766)&lt;20,"",_xlfn.STDEV.S(G2737:G2766)*SQRT($R$3))</f>
        <v>0.627153559715736</v>
      </c>
      <c r="N2766" s="25" t="n">
        <f aca="false">IF(A2766-7&lt;$R$2,"",C2766/INDEX(Clean_Data!$C$2:$C$4314,MATCH(A2766-7,Clean_Data!$A$2:$A$4314,1))-1)</f>
        <v>0.0311498694914527</v>
      </c>
      <c r="O2766" s="25" t="n">
        <f aca="false">IF(A2766-30&lt;$R$2,"",C2766/INDEX(Clean_Data!$C$2:$C$4314,MATCH(A2766-30,Clean_Data!$A$2:$A$4314,1))-1)</f>
        <v>0.208914235896691</v>
      </c>
    </row>
    <row r="2767" customFormat="false" ht="15" hidden="false" customHeight="false" outlineLevel="0" collapsed="false">
      <c r="A2767" s="16" t="n">
        <v>44774</v>
      </c>
      <c r="B2767" s="23" t="n">
        <f aca="false">YEAR(A2767)</f>
        <v>2022</v>
      </c>
      <c r="C2767" s="17" t="n">
        <v>23250.19</v>
      </c>
      <c r="D2767" s="23" t="n">
        <f aca="false">A2767-A2766</f>
        <v>1</v>
      </c>
      <c r="E2767" s="24" t="n">
        <f aca="false">LN(C2767)</f>
        <v>10.0540685830251</v>
      </c>
      <c r="F2767" s="25" t="n">
        <f aca="false">LN(C2767/C2766)</f>
        <v>-0.00197437756861737</v>
      </c>
      <c r="G2767" s="25" t="n">
        <f aca="false">IF(AND(D2767=1,A2767&gt;=$R$2),F2767,"")</f>
        <v>-0.00197437756861737</v>
      </c>
      <c r="H2767" s="27" t="n">
        <f aca="false">IF(G2767="","",G2767^2)</f>
        <v>3.89816678345945E-006</v>
      </c>
      <c r="I2767" s="25" t="n">
        <f aca="false">IF(G2767="","",C2767/C2766-1)</f>
        <v>-0.00197242976733492</v>
      </c>
      <c r="J2767" s="17" t="n">
        <f aca="false">AVERAGE(C2568:C2767)</f>
        <v>33956.41375</v>
      </c>
      <c r="K2767" s="17" t="n">
        <f aca="false">MAX(K2766,C2767)</f>
        <v>67510.06</v>
      </c>
      <c r="L2767" s="25" t="n">
        <f aca="false">C2767/K2767-1</f>
        <v>-0.655604068489941</v>
      </c>
      <c r="M2767" s="25" t="n">
        <f aca="false">IF(COUNT(G2738:G2767)&lt;20,"",_xlfn.STDEV.S(G2738:G2767)*SQRT($R$3))</f>
        <v>0.626951597707517</v>
      </c>
      <c r="N2767" s="25" t="n">
        <f aca="false">IF(A2767-7&lt;$R$2,"",C2767/INDEX(Clean_Data!$C$2:$C$4314,MATCH(A2767-7,Clean_Data!$A$2:$A$4314,1))-1)</f>
        <v>0.0942136104000741</v>
      </c>
      <c r="O2767" s="25" t="n">
        <f aca="false">IF(A2767-30&lt;$R$2,"",C2767/INDEX(Clean_Data!$C$2:$C$4314,MATCH(A2767-30,Clean_Data!$A$2:$A$4314,1))-1)</f>
        <v>0.210284260915373</v>
      </c>
    </row>
    <row r="2768" customFormat="false" ht="15" hidden="false" customHeight="false" outlineLevel="0" collapsed="false">
      <c r="A2768" s="16" t="n">
        <v>44775</v>
      </c>
      <c r="B2768" s="23" t="n">
        <f aca="false">YEAR(A2768)</f>
        <v>2022</v>
      </c>
      <c r="C2768" s="17" t="n">
        <v>23005.22</v>
      </c>
      <c r="D2768" s="23" t="n">
        <f aca="false">A2768-A2767</f>
        <v>1</v>
      </c>
      <c r="E2768" s="24" t="n">
        <f aca="false">LN(C2768)</f>
        <v>10.0434764256823</v>
      </c>
      <c r="F2768" s="25" t="n">
        <f aca="false">LN(C2768/C2767)</f>
        <v>-0.0105921573428314</v>
      </c>
      <c r="G2768" s="25" t="n">
        <f aca="false">IF(AND(D2768=1,A2768&gt;=$R$2),F2768,"")</f>
        <v>-0.0105921573428314</v>
      </c>
      <c r="H2768" s="27" t="n">
        <f aca="false">IF(G2768="","",G2768^2)</f>
        <v>0.000112193797175297</v>
      </c>
      <c r="I2768" s="25" t="n">
        <f aca="false">IF(G2768="","",C2768/C2767-1)</f>
        <v>-0.010536257983268</v>
      </c>
      <c r="J2768" s="17" t="n">
        <f aca="false">AVERAGE(C2569:C2768)</f>
        <v>33855.64645</v>
      </c>
      <c r="K2768" s="17" t="n">
        <f aca="false">MAX(K2767,C2768)</f>
        <v>67510.06</v>
      </c>
      <c r="L2768" s="25" t="n">
        <f aca="false">C2768/K2768-1</f>
        <v>-0.659232712872719</v>
      </c>
      <c r="M2768" s="25" t="n">
        <f aca="false">IF(COUNT(G2739:G2768)&lt;20,"",_xlfn.STDEV.S(G2739:G2768)*SQRT($R$3))</f>
        <v>0.629694325622946</v>
      </c>
      <c r="N2768" s="25" t="n">
        <f aca="false">IF(A2768-7&lt;$R$2,"",C2768/INDEX(Clean_Data!$C$2:$C$4314,MATCH(A2768-7,Clean_Data!$A$2:$A$4314,1))-1)</f>
        <v>0.0812095519638301</v>
      </c>
      <c r="O2768" s="25" t="n">
        <f aca="false">IF(A2768-30&lt;$R$2,"",C2768/INDEX(Clean_Data!$C$2:$C$4314,MATCH(A2768-30,Clean_Data!$A$2:$A$4314,1))-1)</f>
        <v>0.193026836494397</v>
      </c>
    </row>
    <row r="2769" customFormat="false" ht="15" hidden="false" customHeight="false" outlineLevel="0" collapsed="false">
      <c r="A2769" s="16" t="n">
        <v>44776</v>
      </c>
      <c r="B2769" s="23" t="n">
        <f aca="false">YEAR(A2769)</f>
        <v>2022</v>
      </c>
      <c r="C2769" s="17" t="n">
        <v>22820.48</v>
      </c>
      <c r="D2769" s="23" t="n">
        <f aca="false">A2769-A2768</f>
        <v>1</v>
      </c>
      <c r="E2769" s="24" t="n">
        <f aca="false">LN(C2769)</f>
        <v>10.0354136573754</v>
      </c>
      <c r="F2769" s="25" t="n">
        <f aca="false">LN(C2769/C2768)</f>
        <v>-0.00806276830689592</v>
      </c>
      <c r="G2769" s="25" t="n">
        <f aca="false">IF(AND(D2769=1,A2769&gt;=$R$2),F2769,"")</f>
        <v>-0.00806276830689592</v>
      </c>
      <c r="H2769" s="27" t="n">
        <f aca="false">IF(G2769="","",G2769^2)</f>
        <v>6.50082327706853E-005</v>
      </c>
      <c r="I2769" s="25" t="n">
        <f aca="false">IF(G2769="","",C2769/C2768-1)</f>
        <v>-0.00803035137242769</v>
      </c>
      <c r="J2769" s="17" t="n">
        <f aca="false">AVERAGE(C2570:C2769)</f>
        <v>33754.33715</v>
      </c>
      <c r="K2769" s="17" t="n">
        <f aca="false">MAX(K2768,C2769)</f>
        <v>67510.06</v>
      </c>
      <c r="L2769" s="25" t="n">
        <f aca="false">C2769/K2769-1</f>
        <v>-0.66196919392458</v>
      </c>
      <c r="M2769" s="25" t="n">
        <f aca="false">IF(COUNT(G2740:G2769)&lt;20,"",_xlfn.STDEV.S(G2740:G2769)*SQRT($R$3))</f>
        <v>0.613747254150942</v>
      </c>
      <c r="N2769" s="25" t="n">
        <f aca="false">IF(A2769-7&lt;$R$2,"",C2769/INDEX(Clean_Data!$C$2:$C$4314,MATCH(A2769-7,Clean_Data!$A$2:$A$4314,1))-1)</f>
        <v>-0.00723286555640346</v>
      </c>
      <c r="O2769" s="25" t="n">
        <f aca="false">IF(A2769-30&lt;$R$2,"",C2769/INDEX(Clean_Data!$C$2:$C$4314,MATCH(A2769-30,Clean_Data!$A$2:$A$4314,1))-1)</f>
        <v>0.129397418277542</v>
      </c>
    </row>
    <row r="2770" customFormat="false" ht="15" hidden="false" customHeight="false" outlineLevel="0" collapsed="false">
      <c r="A2770" s="16" t="n">
        <v>44777</v>
      </c>
      <c r="B2770" s="23" t="n">
        <f aca="false">YEAR(A2770)</f>
        <v>2022</v>
      </c>
      <c r="C2770" s="17" t="n">
        <v>22604.63</v>
      </c>
      <c r="D2770" s="23" t="n">
        <f aca="false">A2770-A2769</f>
        <v>1</v>
      </c>
      <c r="E2770" s="24" t="n">
        <f aca="false">LN(C2770)</f>
        <v>10.0259100315346</v>
      </c>
      <c r="F2770" s="25" t="n">
        <f aca="false">LN(C2770/C2769)</f>
        <v>-0.00950362584081095</v>
      </c>
      <c r="G2770" s="25" t="n">
        <f aca="false">IF(AND(D2770=1,A2770&gt;=$R$2),F2770,"")</f>
        <v>-0.00950362584081095</v>
      </c>
      <c r="H2770" s="27" t="n">
        <f aca="false">IF(G2770="","",G2770^2)</f>
        <v>9.03189041221297E-005</v>
      </c>
      <c r="I2770" s="25" t="n">
        <f aca="false">IF(G2770="","",C2770/C2769-1)</f>
        <v>-0.00945860910901075</v>
      </c>
      <c r="J2770" s="17" t="n">
        <f aca="false">AVERAGE(C2571:C2770)</f>
        <v>33651.67195</v>
      </c>
      <c r="K2770" s="17" t="n">
        <f aca="false">MAX(K2769,C2770)</f>
        <v>67510.06</v>
      </c>
      <c r="L2770" s="25" t="n">
        <f aca="false">C2770/K2770-1</f>
        <v>-0.665166495186051</v>
      </c>
      <c r="M2770" s="25" t="n">
        <f aca="false">IF(COUNT(G2741:G2770)&lt;20,"",_xlfn.STDEV.S(G2741:G2770)*SQRT($R$3))</f>
        <v>0.615267494123753</v>
      </c>
      <c r="N2770" s="25" t="n">
        <f aca="false">IF(A2770-7&lt;$R$2,"",C2770/INDEX(Clean_Data!$C$2:$C$4314,MATCH(A2770-7,Clean_Data!$A$2:$A$4314,1))-1)</f>
        <v>-0.0532338008395173</v>
      </c>
      <c r="O2770" s="25" t="n">
        <f aca="false">IF(A2770-30&lt;$R$2,"",C2770/INDEX(Clean_Data!$C$2:$C$4314,MATCH(A2770-30,Clean_Data!$A$2:$A$4314,1))-1)</f>
        <v>0.120644387266932</v>
      </c>
    </row>
    <row r="2771" customFormat="false" ht="15" hidden="false" customHeight="false" outlineLevel="0" collapsed="false">
      <c r="A2771" s="16" t="n">
        <v>44778</v>
      </c>
      <c r="B2771" s="23" t="n">
        <f aca="false">YEAR(A2771)</f>
        <v>2022</v>
      </c>
      <c r="C2771" s="17" t="n">
        <v>23285.14</v>
      </c>
      <c r="D2771" s="23" t="n">
        <f aca="false">A2771-A2770</f>
        <v>1</v>
      </c>
      <c r="E2771" s="24" t="n">
        <f aca="false">LN(C2771)</f>
        <v>10.0555706678528</v>
      </c>
      <c r="F2771" s="25" t="n">
        <f aca="false">LN(C2771/C2770)</f>
        <v>0.0296606363181888</v>
      </c>
      <c r="G2771" s="25" t="n">
        <f aca="false">IF(AND(D2771=1,A2771&gt;=$R$2),F2771,"")</f>
        <v>0.0296606363181888</v>
      </c>
      <c r="H2771" s="27" t="n">
        <f aca="false">IF(G2771="","",G2771^2)</f>
        <v>0.000879753346799859</v>
      </c>
      <c r="I2771" s="25" t="n">
        <f aca="false">IF(G2771="","",C2771/C2770-1)</f>
        <v>0.0301048944397673</v>
      </c>
      <c r="J2771" s="17" t="n">
        <f aca="false">AVERAGE(C2572:C2771)</f>
        <v>33556.6703</v>
      </c>
      <c r="K2771" s="17" t="n">
        <f aca="false">MAX(K2770,C2771)</f>
        <v>67510.06</v>
      </c>
      <c r="L2771" s="25" t="n">
        <f aca="false">C2771/K2771-1</f>
        <v>-0.65508636786873</v>
      </c>
      <c r="M2771" s="25" t="n">
        <f aca="false">IF(COUNT(G2742:G2771)&lt;20,"",_xlfn.STDEV.S(G2742:G2771)*SQRT($R$3))</f>
        <v>0.619708564205134</v>
      </c>
      <c r="N2771" s="25" t="n">
        <f aca="false">IF(A2771-7&lt;$R$2,"",C2771/INDEX(Clean_Data!$C$2:$C$4314,MATCH(A2771-7,Clean_Data!$A$2:$A$4314,1))-1)</f>
        <v>-0.0223516322032119</v>
      </c>
      <c r="O2771" s="25" t="n">
        <f aca="false">IF(A2771-30&lt;$R$2,"",C2771/INDEX(Clean_Data!$C$2:$C$4314,MATCH(A2771-30,Clean_Data!$A$2:$A$4314,1))-1)</f>
        <v>0.132722018991283</v>
      </c>
    </row>
    <row r="2772" customFormat="false" ht="15" hidden="false" customHeight="false" outlineLevel="0" collapsed="false">
      <c r="A2772" s="16" t="n">
        <v>44779</v>
      </c>
      <c r="B2772" s="23" t="n">
        <f aca="false">YEAR(A2772)</f>
        <v>2022</v>
      </c>
      <c r="C2772" s="17" t="n">
        <v>22960.16</v>
      </c>
      <c r="D2772" s="23" t="n">
        <f aca="false">A2772-A2771</f>
        <v>1</v>
      </c>
      <c r="E2772" s="24" t="n">
        <f aca="false">LN(C2772)</f>
        <v>10.0415158190503</v>
      </c>
      <c r="F2772" s="25" t="n">
        <f aca="false">LN(C2772/C2771)</f>
        <v>-0.0140548488024358</v>
      </c>
      <c r="G2772" s="25" t="n">
        <f aca="false">IF(AND(D2772=1,A2772&gt;=$R$2),F2772,"")</f>
        <v>-0.0140548488024358</v>
      </c>
      <c r="H2772" s="27" t="n">
        <f aca="false">IF(G2772="","",G2772^2)</f>
        <v>0.00019753877485933</v>
      </c>
      <c r="I2772" s="25" t="n">
        <f aca="false">IF(G2772="","",C2772/C2771-1)</f>
        <v>-0.0139565405232693</v>
      </c>
      <c r="J2772" s="17" t="n">
        <f aca="false">AVERAGE(C2573:C2772)</f>
        <v>33459.41305</v>
      </c>
      <c r="K2772" s="17" t="n">
        <f aca="false">MAX(K2771,C2772)</f>
        <v>67510.06</v>
      </c>
      <c r="L2772" s="25" t="n">
        <f aca="false">C2772/K2772-1</f>
        <v>-0.659900168952598</v>
      </c>
      <c r="M2772" s="25" t="n">
        <f aca="false">IF(COUNT(G2743:G2772)&lt;20,"",_xlfn.STDEV.S(G2743:G2772)*SQRT($R$3))</f>
        <v>0.597806902754198</v>
      </c>
      <c r="N2772" s="25" t="n">
        <f aca="false">IF(A2772-7&lt;$R$2,"",C2772/INDEX(Clean_Data!$C$2:$C$4314,MATCH(A2772-7,Clean_Data!$A$2:$A$4314,1))-1)</f>
        <v>-0.0288940084954265</v>
      </c>
      <c r="O2772" s="25" t="n">
        <f aca="false">IF(A2772-30&lt;$R$2,"",C2772/INDEX(Clean_Data!$C$2:$C$4314,MATCH(A2772-30,Clean_Data!$A$2:$A$4314,1))-1)</f>
        <v>0.0601536011495383</v>
      </c>
    </row>
    <row r="2773" customFormat="false" ht="15" hidden="false" customHeight="false" outlineLevel="0" collapsed="false">
      <c r="A2773" s="16" t="n">
        <v>44780</v>
      </c>
      <c r="B2773" s="23" t="n">
        <f aca="false">YEAR(A2773)</f>
        <v>2022</v>
      </c>
      <c r="C2773" s="17" t="n">
        <v>23187.41</v>
      </c>
      <c r="D2773" s="23" t="n">
        <f aca="false">A2773-A2772</f>
        <v>1</v>
      </c>
      <c r="E2773" s="24" t="n">
        <f aca="false">LN(C2773)</f>
        <v>10.0513647379406</v>
      </c>
      <c r="F2773" s="25" t="n">
        <f aca="false">LN(C2773/C2772)</f>
        <v>0.00984891889030426</v>
      </c>
      <c r="G2773" s="25" t="n">
        <f aca="false">IF(AND(D2773=1,A2773&gt;=$R$2),F2773,"")</f>
        <v>0.00984891889030426</v>
      </c>
      <c r="H2773" s="27" t="n">
        <f aca="false">IF(G2773="","",G2773^2)</f>
        <v>9.70012033077922E-005</v>
      </c>
      <c r="I2773" s="25" t="n">
        <f aca="false">IF(G2773="","",C2773/C2772-1)</f>
        <v>0.00989757911094702</v>
      </c>
      <c r="J2773" s="17" t="n">
        <f aca="false">AVERAGE(C2574:C2773)</f>
        <v>33366.73265</v>
      </c>
      <c r="K2773" s="17" t="n">
        <f aca="false">MAX(K2772,C2773)</f>
        <v>67510.06</v>
      </c>
      <c r="L2773" s="25" t="n">
        <f aca="false">C2773/K2773-1</f>
        <v>-0.656534003969186</v>
      </c>
      <c r="M2773" s="25" t="n">
        <f aca="false">IF(COUNT(G2744:G2773)&lt;20,"",_xlfn.STDEV.S(G2744:G2773)*SQRT($R$3))</f>
        <v>0.598093933067082</v>
      </c>
      <c r="N2773" s="25" t="n">
        <f aca="false">IF(A2773-7&lt;$R$2,"",C2773/INDEX(Clean_Data!$C$2:$C$4314,MATCH(A2773-7,Clean_Data!$A$2:$A$4314,1))-1)</f>
        <v>-0.00466729681397859</v>
      </c>
      <c r="O2773" s="25" t="n">
        <f aca="false">IF(A2773-30&lt;$R$2,"",C2773/INDEX(Clean_Data!$C$2:$C$4314,MATCH(A2773-30,Clean_Data!$A$2:$A$4314,1))-1)</f>
        <v>0.0743596444162735</v>
      </c>
    </row>
    <row r="2774" customFormat="false" ht="15" hidden="false" customHeight="false" outlineLevel="0" collapsed="false">
      <c r="A2774" s="16" t="n">
        <v>44781</v>
      </c>
      <c r="B2774" s="23" t="n">
        <f aca="false">YEAR(A2774)</f>
        <v>2022</v>
      </c>
      <c r="C2774" s="17" t="n">
        <v>23824.9</v>
      </c>
      <c r="D2774" s="23" t="n">
        <f aca="false">A2774-A2773</f>
        <v>1</v>
      </c>
      <c r="E2774" s="24" t="n">
        <f aca="false">LN(C2774)</f>
        <v>10.0784865312418</v>
      </c>
      <c r="F2774" s="25" t="n">
        <f aca="false">LN(C2774/C2773)</f>
        <v>0.02712179330118</v>
      </c>
      <c r="G2774" s="25" t="n">
        <f aca="false">IF(AND(D2774=1,A2774&gt;=$R$2),F2774,"")</f>
        <v>0.02712179330118</v>
      </c>
      <c r="H2774" s="27" t="n">
        <f aca="false">IF(G2774="","",G2774^2)</f>
        <v>0.000735591671871935</v>
      </c>
      <c r="I2774" s="25" t="n">
        <f aca="false">IF(G2774="","",C2774/C2773-1)</f>
        <v>0.0274929368998091</v>
      </c>
      <c r="J2774" s="17" t="n">
        <f aca="false">AVERAGE(C2575:C2774)</f>
        <v>33282.37605</v>
      </c>
      <c r="K2774" s="17" t="n">
        <f aca="false">MAX(K2773,C2774)</f>
        <v>67510.06</v>
      </c>
      <c r="L2774" s="25" t="n">
        <f aca="false">C2774/K2774-1</f>
        <v>-0.647091115013081</v>
      </c>
      <c r="M2774" s="25" t="n">
        <f aca="false">IF(COUNT(G2745:G2774)&lt;20,"",_xlfn.STDEV.S(G2745:G2774)*SQRT($R$3))</f>
        <v>0.60414914362362</v>
      </c>
      <c r="N2774" s="25" t="n">
        <f aca="false">IF(A2774-7&lt;$R$2,"",C2774/INDEX(Clean_Data!$C$2:$C$4314,MATCH(A2774-7,Clean_Data!$A$2:$A$4314,1))-1)</f>
        <v>0.0247185076767116</v>
      </c>
      <c r="O2774" s="25" t="n">
        <f aca="false">IF(A2774-30&lt;$R$2,"",C2774/INDEX(Clean_Data!$C$2:$C$4314,MATCH(A2774-30,Clean_Data!$A$2:$A$4314,1))-1)</f>
        <v>0.104366169958611</v>
      </c>
    </row>
    <row r="2775" customFormat="false" ht="15" hidden="false" customHeight="false" outlineLevel="0" collapsed="false">
      <c r="A2775" s="16" t="n">
        <v>44782</v>
      </c>
      <c r="B2775" s="23" t="n">
        <f aca="false">YEAR(A2775)</f>
        <v>2022</v>
      </c>
      <c r="C2775" s="17" t="n">
        <v>23138.91</v>
      </c>
      <c r="D2775" s="23" t="n">
        <f aca="false">A2775-A2774</f>
        <v>1</v>
      </c>
      <c r="E2775" s="24" t="n">
        <f aca="false">LN(C2775)</f>
        <v>10.0492708950574</v>
      </c>
      <c r="F2775" s="25" t="n">
        <f aca="false">LN(C2775/C2774)</f>
        <v>-0.0292156361844215</v>
      </c>
      <c r="G2775" s="25" t="n">
        <f aca="false">IF(AND(D2775=1,A2775&gt;=$R$2),F2775,"")</f>
        <v>-0.0292156361844215</v>
      </c>
      <c r="H2775" s="27" t="n">
        <f aca="false">IF(G2775="","",G2775^2)</f>
        <v>0.00085355339766048</v>
      </c>
      <c r="I2775" s="25" t="n">
        <f aca="false">IF(G2775="","",C2775/C2774-1)</f>
        <v>-0.0287929854899707</v>
      </c>
      <c r="J2775" s="17" t="n">
        <f aca="false">AVERAGE(C2576:C2775)</f>
        <v>33215.50415</v>
      </c>
      <c r="K2775" s="17" t="n">
        <f aca="false">MAX(K2774,C2775)</f>
        <v>67510.06</v>
      </c>
      <c r="L2775" s="25" t="n">
        <f aca="false">C2775/K2775-1</f>
        <v>-0.657252415417791</v>
      </c>
      <c r="M2775" s="25" t="n">
        <f aca="false">IF(COUNT(G2746:G2775)&lt;20,"",_xlfn.STDEV.S(G2746:G2775)*SQRT($R$3))</f>
        <v>0.598891359329937</v>
      </c>
      <c r="N2775" s="25" t="n">
        <f aca="false">IF(A2775-7&lt;$R$2,"",C2775/INDEX(Clean_Data!$C$2:$C$4314,MATCH(A2775-7,Clean_Data!$A$2:$A$4314,1))-1)</f>
        <v>0.00581128978553558</v>
      </c>
      <c r="O2775" s="25" t="n">
        <f aca="false">IF(A2775-30&lt;$R$2,"",C2775/INDEX(Clean_Data!$C$2:$C$4314,MATCH(A2775-30,Clean_Data!$A$2:$A$4314,1))-1)</f>
        <v>0.112076013062943</v>
      </c>
    </row>
    <row r="2776" customFormat="false" ht="15" hidden="false" customHeight="false" outlineLevel="0" collapsed="false">
      <c r="A2776" s="16" t="n">
        <v>44783</v>
      </c>
      <c r="B2776" s="23" t="n">
        <f aca="false">YEAR(A2776)</f>
        <v>2022</v>
      </c>
      <c r="C2776" s="17" t="n">
        <v>23982.75</v>
      </c>
      <c r="D2776" s="23" t="n">
        <f aca="false">A2776-A2775</f>
        <v>1</v>
      </c>
      <c r="E2776" s="24" t="n">
        <f aca="false">LN(C2776)</f>
        <v>10.0850901009055</v>
      </c>
      <c r="F2776" s="25" t="n">
        <f aca="false">LN(C2776/C2775)</f>
        <v>0.035819205848066</v>
      </c>
      <c r="G2776" s="25" t="n">
        <f aca="false">IF(AND(D2776=1,A2776&gt;=$R$2),F2776,"")</f>
        <v>0.035819205848066</v>
      </c>
      <c r="H2776" s="27" t="n">
        <f aca="false">IF(G2776="","",G2776^2)</f>
        <v>0.00128301550758612</v>
      </c>
      <c r="I2776" s="25" t="n">
        <f aca="false">IF(G2776="","",C2776/C2775-1)</f>
        <v>0.0364684421176278</v>
      </c>
      <c r="J2776" s="17" t="n">
        <f aca="false">AVERAGE(C2577:C2776)</f>
        <v>33159.8771</v>
      </c>
      <c r="K2776" s="17" t="n">
        <f aca="false">MAX(K2775,C2776)</f>
        <v>67510.06</v>
      </c>
      <c r="L2776" s="25" t="n">
        <f aca="false">C2776/K2776-1</f>
        <v>-0.644752944968498</v>
      </c>
      <c r="M2776" s="25" t="n">
        <f aca="false">IF(COUNT(G2747:G2776)&lt;20,"",_xlfn.STDEV.S(G2747:G2776)*SQRT($R$3))</f>
        <v>0.585352004901111</v>
      </c>
      <c r="N2776" s="25" t="n">
        <f aca="false">IF(A2776-7&lt;$R$2,"",C2776/INDEX(Clean_Data!$C$2:$C$4314,MATCH(A2776-7,Clean_Data!$A$2:$A$4314,1))-1)</f>
        <v>0.0509310058333567</v>
      </c>
      <c r="O2776" s="25" t="n">
        <f aca="false">IF(A2776-30&lt;$R$2,"",C2776/INDEX(Clean_Data!$C$2:$C$4314,MATCH(A2776-30,Clean_Data!$A$2:$A$4314,1))-1)</f>
        <v>0.202570236740776</v>
      </c>
    </row>
    <row r="2777" customFormat="false" ht="15" hidden="false" customHeight="false" outlineLevel="0" collapsed="false">
      <c r="A2777" s="16" t="n">
        <v>44784</v>
      </c>
      <c r="B2777" s="23" t="n">
        <f aca="false">YEAR(A2777)</f>
        <v>2022</v>
      </c>
      <c r="C2777" s="17" t="n">
        <v>23956.28</v>
      </c>
      <c r="D2777" s="23" t="n">
        <f aca="false">A2777-A2776</f>
        <v>1</v>
      </c>
      <c r="E2777" s="24" t="n">
        <f aca="false">LN(C2777)</f>
        <v>10.0839857814109</v>
      </c>
      <c r="F2777" s="25" t="n">
        <f aca="false">LN(C2777/C2776)</f>
        <v>-0.0011043194945773</v>
      </c>
      <c r="G2777" s="25" t="n">
        <f aca="false">IF(AND(D2777=1,A2777&gt;=$R$2),F2777,"")</f>
        <v>-0.0011043194945773</v>
      </c>
      <c r="H2777" s="27" t="n">
        <f aca="false">IF(G2777="","",G2777^2)</f>
        <v>1.21952154610346E-006</v>
      </c>
      <c r="I2777" s="25" t="n">
        <f aca="false">IF(G2777="","",C2777/C2776-1)</f>
        <v>-0.0011037099581992</v>
      </c>
      <c r="J2777" s="17" t="n">
        <f aca="false">AVERAGE(C2578:C2777)</f>
        <v>33098.4933</v>
      </c>
      <c r="K2777" s="17" t="n">
        <f aca="false">MAX(K2776,C2777)</f>
        <v>67510.06</v>
      </c>
      <c r="L2777" s="25" t="n">
        <f aca="false">C2777/K2777-1</f>
        <v>-0.645145034680757</v>
      </c>
      <c r="M2777" s="25" t="n">
        <f aca="false">IF(COUNT(G2748:G2777)&lt;20,"",_xlfn.STDEV.S(G2748:G2777)*SQRT($R$3))</f>
        <v>0.569172156768312</v>
      </c>
      <c r="N2777" s="25" t="n">
        <f aca="false">IF(A2777-7&lt;$R$2,"",C2777/INDEX(Clean_Data!$C$2:$C$4314,MATCH(A2777-7,Clean_Data!$A$2:$A$4314,1))-1)</f>
        <v>0.059795272030553</v>
      </c>
      <c r="O2777" s="25" t="n">
        <f aca="false">IF(A2777-30&lt;$R$2,"",C2777/INDEX(Clean_Data!$C$2:$C$4314,MATCH(A2777-30,Clean_Data!$A$2:$A$4314,1))-1)</f>
        <v>0.241083764922128</v>
      </c>
    </row>
    <row r="2778" customFormat="false" ht="15" hidden="false" customHeight="false" outlineLevel="0" collapsed="false">
      <c r="A2778" s="16" t="n">
        <v>44785</v>
      </c>
      <c r="B2778" s="23" t="n">
        <f aca="false">YEAR(A2778)</f>
        <v>2022</v>
      </c>
      <c r="C2778" s="17" t="n">
        <v>24398.29</v>
      </c>
      <c r="D2778" s="23" t="n">
        <f aca="false">A2778-A2777</f>
        <v>1</v>
      </c>
      <c r="E2778" s="24" t="n">
        <f aca="false">LN(C2778)</f>
        <v>10.1022683268582</v>
      </c>
      <c r="F2778" s="25" t="n">
        <f aca="false">LN(C2778/C2777)</f>
        <v>0.018282545447336</v>
      </c>
      <c r="G2778" s="25" t="n">
        <f aca="false">IF(AND(D2778=1,A2778&gt;=$R$2),F2778,"")</f>
        <v>0.018282545447336</v>
      </c>
      <c r="H2778" s="27" t="n">
        <f aca="false">IF(G2778="","",G2778^2)</f>
        <v>0.000334251468033908</v>
      </c>
      <c r="I2778" s="25" t="n">
        <f aca="false">IF(G2778="","",C2778/C2777-1)</f>
        <v>0.0184506943482043</v>
      </c>
      <c r="J2778" s="17" t="n">
        <f aca="false">AVERAGE(C2579:C2778)</f>
        <v>33037.2673</v>
      </c>
      <c r="K2778" s="17" t="n">
        <f aca="false">MAX(K2777,C2778)</f>
        <v>67510.06</v>
      </c>
      <c r="L2778" s="25" t="n">
        <f aca="false">C2778/K2778-1</f>
        <v>-0.638597714177709</v>
      </c>
      <c r="M2778" s="25" t="n">
        <f aca="false">IF(COUNT(G2749:G2778)&lt;20,"",_xlfn.STDEV.S(G2749:G2778)*SQRT($R$3))</f>
        <v>0.55359450170132</v>
      </c>
      <c r="N2778" s="25" t="n">
        <f aca="false">IF(A2778-7&lt;$R$2,"",C2778/INDEX(Clean_Data!$C$2:$C$4314,MATCH(A2778-7,Clean_Data!$A$2:$A$4314,1))-1)</f>
        <v>0.0478051667286519</v>
      </c>
      <c r="O2778" s="25" t="n">
        <f aca="false">IF(A2778-30&lt;$R$2,"",C2778/INDEX(Clean_Data!$C$2:$C$4314,MATCH(A2778-30,Clean_Data!$A$2:$A$4314,1))-1)</f>
        <v>0.207440432887836</v>
      </c>
    </row>
    <row r="2779" customFormat="false" ht="15" hidden="false" customHeight="false" outlineLevel="0" collapsed="false">
      <c r="A2779" s="16" t="n">
        <v>44786</v>
      </c>
      <c r="B2779" s="23" t="n">
        <f aca="false">YEAR(A2779)</f>
        <v>2022</v>
      </c>
      <c r="C2779" s="17" t="n">
        <v>24447.08</v>
      </c>
      <c r="D2779" s="23" t="n">
        <f aca="false">A2779-A2778</f>
        <v>1</v>
      </c>
      <c r="E2779" s="24" t="n">
        <f aca="false">LN(C2779)</f>
        <v>10.1042660603681</v>
      </c>
      <c r="F2779" s="25" t="n">
        <f aca="false">LN(C2779/C2778)</f>
        <v>0.00199773350991078</v>
      </c>
      <c r="G2779" s="25" t="n">
        <f aca="false">IF(AND(D2779=1,A2779&gt;=$R$2),F2779,"")</f>
        <v>0.00199773350991078</v>
      </c>
      <c r="H2779" s="27" t="n">
        <f aca="false">IF(G2779="","",G2779^2)</f>
        <v>3.99093917662045E-006</v>
      </c>
      <c r="I2779" s="25" t="n">
        <f aca="false">IF(G2779="","",C2779/C2778-1)</f>
        <v>0.0019997303089685</v>
      </c>
      <c r="J2779" s="17" t="n">
        <f aca="false">AVERAGE(C2580:C2779)</f>
        <v>32974.6195</v>
      </c>
      <c r="K2779" s="17" t="n">
        <f aca="false">MAX(K2778,C2779)</f>
        <v>67510.06</v>
      </c>
      <c r="L2779" s="25" t="n">
        <f aca="false">C2779/K2779-1</f>
        <v>-0.63787500707302</v>
      </c>
      <c r="M2779" s="25" t="n">
        <f aca="false">IF(COUNT(G2750:G2779)&lt;20,"",_xlfn.STDEV.S(G2750:G2779)*SQRT($R$3))</f>
        <v>0.552007482204733</v>
      </c>
      <c r="N2779" s="25" t="n">
        <f aca="false">IF(A2779-7&lt;$R$2,"",C2779/INDEX(Clean_Data!$C$2:$C$4314,MATCH(A2779-7,Clean_Data!$A$2:$A$4314,1))-1)</f>
        <v>0.0647608727465314</v>
      </c>
      <c r="O2779" s="25" t="n">
        <f aca="false">IF(A2779-30&lt;$R$2,"",C2779/INDEX(Clean_Data!$C$2:$C$4314,MATCH(A2779-30,Clean_Data!$A$2:$A$4314,1))-1)</f>
        <v>0.187703925672433</v>
      </c>
    </row>
    <row r="2780" customFormat="false" ht="15" hidden="false" customHeight="false" outlineLevel="0" collapsed="false">
      <c r="A2780" s="16" t="n">
        <v>44787</v>
      </c>
      <c r="B2780" s="23" t="n">
        <f aca="false">YEAR(A2780)</f>
        <v>2022</v>
      </c>
      <c r="C2780" s="17" t="n">
        <v>24301.71</v>
      </c>
      <c r="D2780" s="23" t="n">
        <f aca="false">A2780-A2779</f>
        <v>1</v>
      </c>
      <c r="E2780" s="24" t="n">
        <f aca="false">LN(C2780)</f>
        <v>10.0983019972231</v>
      </c>
      <c r="F2780" s="25" t="n">
        <f aca="false">LN(C2780/C2779)</f>
        <v>-0.00596406314500329</v>
      </c>
      <c r="G2780" s="25" t="n">
        <f aca="false">IF(AND(D2780=1,A2780&gt;=$R$2),F2780,"")</f>
        <v>-0.00596406314500329</v>
      </c>
      <c r="H2780" s="27" t="n">
        <f aca="false">IF(G2780="","",G2780^2)</f>
        <v>3.55700491975865E-005</v>
      </c>
      <c r="I2780" s="25" t="n">
        <f aca="false">IF(G2780="","",C2780/C2779-1)</f>
        <v>-0.00594631342475271</v>
      </c>
      <c r="J2780" s="17" t="n">
        <f aca="false">AVERAGE(C2581:C2780)</f>
        <v>32911.93355</v>
      </c>
      <c r="K2780" s="17" t="n">
        <f aca="false">MAX(K2779,C2780)</f>
        <v>67510.06</v>
      </c>
      <c r="L2780" s="25" t="n">
        <f aca="false">C2780/K2780-1</f>
        <v>-0.6400283157799</v>
      </c>
      <c r="M2780" s="25" t="n">
        <f aca="false">IF(COUNT(G2751:G2780)&lt;20,"",_xlfn.STDEV.S(G2751:G2780)*SQRT($R$3))</f>
        <v>0.552947198512996</v>
      </c>
      <c r="N2780" s="25" t="n">
        <f aca="false">IF(A2780-7&lt;$R$2,"",C2780/INDEX(Clean_Data!$C$2:$C$4314,MATCH(A2780-7,Clean_Data!$A$2:$A$4314,1))-1)</f>
        <v>0.0480562512156382</v>
      </c>
      <c r="O2780" s="25" t="n">
        <f aca="false">IF(A2780-30&lt;$R$2,"",C2780/INDEX(Clean_Data!$C$2:$C$4314,MATCH(A2780-30,Clean_Data!$A$2:$A$4314,1))-1)</f>
        <v>0.166199020173824</v>
      </c>
    </row>
    <row r="2781" customFormat="false" ht="15" hidden="false" customHeight="false" outlineLevel="0" collapsed="false">
      <c r="A2781" s="16" t="n">
        <v>44788</v>
      </c>
      <c r="B2781" s="23" t="n">
        <f aca="false">YEAR(A2781)</f>
        <v>2022</v>
      </c>
      <c r="C2781" s="17" t="n">
        <v>24092.27</v>
      </c>
      <c r="D2781" s="23" t="n">
        <f aca="false">A2781-A2780</f>
        <v>1</v>
      </c>
      <c r="E2781" s="24" t="n">
        <f aca="false">LN(C2781)</f>
        <v>10.0896463211405</v>
      </c>
      <c r="F2781" s="25" t="n">
        <f aca="false">LN(C2781/C2780)</f>
        <v>-0.00865567608263732</v>
      </c>
      <c r="G2781" s="25" t="n">
        <f aca="false">IF(AND(D2781=1,A2781&gt;=$R$2),F2781,"")</f>
        <v>-0.00865567608263732</v>
      </c>
      <c r="H2781" s="27" t="n">
        <f aca="false">IF(G2781="","",G2781^2)</f>
        <v>7.49207284475397E-005</v>
      </c>
      <c r="I2781" s="25" t="n">
        <f aca="false">IF(G2781="","",C2781/C2780-1)</f>
        <v>-0.00861832356653092</v>
      </c>
      <c r="J2781" s="17" t="n">
        <f aca="false">AVERAGE(C2582:C2781)</f>
        <v>32846.6965</v>
      </c>
      <c r="K2781" s="17" t="n">
        <f aca="false">MAX(K2780,C2781)</f>
        <v>67510.06</v>
      </c>
      <c r="L2781" s="25" t="n">
        <f aca="false">C2781/K2781-1</f>
        <v>-0.643130668229298</v>
      </c>
      <c r="M2781" s="25" t="n">
        <f aca="false">IF(COUNT(G2752:G2781)&lt;20,"",_xlfn.STDEV.S(G2752:G2781)*SQRT($R$3))</f>
        <v>0.553259175364211</v>
      </c>
      <c r="N2781" s="25" t="n">
        <f aca="false">IF(A2781-7&lt;$R$2,"",C2781/INDEX(Clean_Data!$C$2:$C$4314,MATCH(A2781-7,Clean_Data!$A$2:$A$4314,1))-1)</f>
        <v>0.0112222926434109</v>
      </c>
      <c r="O2781" s="25" t="n">
        <f aca="false">IF(A2781-30&lt;$R$2,"",C2781/INDEX(Clean_Data!$C$2:$C$4314,MATCH(A2781-30,Clean_Data!$A$2:$A$4314,1))-1)</f>
        <v>0.136680902540566</v>
      </c>
    </row>
    <row r="2782" customFormat="false" ht="15" hidden="false" customHeight="false" outlineLevel="0" collapsed="false">
      <c r="A2782" s="16" t="n">
        <v>44789</v>
      </c>
      <c r="B2782" s="23" t="n">
        <f aca="false">YEAR(A2782)</f>
        <v>2022</v>
      </c>
      <c r="C2782" s="17" t="n">
        <v>23861.8</v>
      </c>
      <c r="D2782" s="23" t="n">
        <f aca="false">A2782-A2781</f>
        <v>1</v>
      </c>
      <c r="E2782" s="24" t="n">
        <f aca="false">LN(C2782)</f>
        <v>10.0800341328735</v>
      </c>
      <c r="F2782" s="25" t="n">
        <f aca="false">LN(C2782/C2781)</f>
        <v>-0.0096121882669884</v>
      </c>
      <c r="G2782" s="25" t="n">
        <f aca="false">IF(AND(D2782=1,A2782&gt;=$R$2),F2782,"")</f>
        <v>-0.0096121882669884</v>
      </c>
      <c r="H2782" s="27" t="n">
        <f aca="false">IF(G2782="","",G2782^2)</f>
        <v>9.23941632800294E-005</v>
      </c>
      <c r="I2782" s="25" t="n">
        <f aca="false">IF(G2782="","",C2782/C2781-1)</f>
        <v>-0.00956613884868474</v>
      </c>
      <c r="J2782" s="17" t="n">
        <f aca="false">AVERAGE(C2583:C2782)</f>
        <v>32777.6165</v>
      </c>
      <c r="K2782" s="17" t="n">
        <f aca="false">MAX(K2781,C2782)</f>
        <v>67510.06</v>
      </c>
      <c r="L2782" s="25" t="n">
        <f aca="false">C2782/K2782-1</f>
        <v>-0.646544529807854</v>
      </c>
      <c r="M2782" s="25" t="n">
        <f aca="false">IF(COUNT(G2753:G2782)&lt;20,"",_xlfn.STDEV.S(G2753:G2782)*SQRT($R$3))</f>
        <v>0.548320141644547</v>
      </c>
      <c r="N2782" s="25" t="n">
        <f aca="false">IF(A2782-7&lt;$R$2,"",C2782/INDEX(Clean_Data!$C$2:$C$4314,MATCH(A2782-7,Clean_Data!$A$2:$A$4314,1))-1)</f>
        <v>0.0312413160343334</v>
      </c>
      <c r="O2782" s="25" t="n">
        <f aca="false">IF(A2782-30&lt;$R$2,"",C2782/INDEX(Clean_Data!$C$2:$C$4314,MATCH(A2782-30,Clean_Data!$A$2:$A$4314,1))-1)</f>
        <v>0.149294966024664</v>
      </c>
    </row>
    <row r="2783" customFormat="false" ht="15" hidden="false" customHeight="false" outlineLevel="0" collapsed="false">
      <c r="A2783" s="16" t="n">
        <v>44790</v>
      </c>
      <c r="B2783" s="23" t="n">
        <f aca="false">YEAR(A2783)</f>
        <v>2022</v>
      </c>
      <c r="C2783" s="17" t="n">
        <v>23357.89</v>
      </c>
      <c r="D2783" s="23" t="n">
        <f aca="false">A2783-A2782</f>
        <v>1</v>
      </c>
      <c r="E2783" s="24" t="n">
        <f aca="false">LN(C2783)</f>
        <v>10.0586901075201</v>
      </c>
      <c r="F2783" s="25" t="n">
        <f aca="false">LN(C2783/C2782)</f>
        <v>-0.021344025353388</v>
      </c>
      <c r="G2783" s="25" t="n">
        <f aca="false">IF(AND(D2783=1,A2783&gt;=$R$2),F2783,"")</f>
        <v>-0.021344025353388</v>
      </c>
      <c r="H2783" s="27" t="n">
        <f aca="false">IF(G2783="","",G2783^2)</f>
        <v>0.000455567418286071</v>
      </c>
      <c r="I2783" s="25" t="n">
        <f aca="false">IF(G2783="","",C2783/C2782-1)</f>
        <v>-0.0211178536405469</v>
      </c>
      <c r="J2783" s="17" t="n">
        <f aca="false">AVERAGE(C2584:C2783)</f>
        <v>32703.57285</v>
      </c>
      <c r="K2783" s="17" t="n">
        <f aca="false">MAX(K2782,C2783)</f>
        <v>67510.06</v>
      </c>
      <c r="L2783" s="25" t="n">
        <f aca="false">C2783/K2783-1</f>
        <v>-0.654008750695822</v>
      </c>
      <c r="M2783" s="25" t="n">
        <f aca="false">IF(COUNT(G2754:G2783)&lt;20,"",_xlfn.STDEV.S(G2754:G2783)*SQRT($R$3))</f>
        <v>0.49376604101703</v>
      </c>
      <c r="N2783" s="25" t="n">
        <f aca="false">IF(A2783-7&lt;$R$2,"",C2783/INDEX(Clean_Data!$C$2:$C$4314,MATCH(A2783-7,Clean_Data!$A$2:$A$4314,1))-1)</f>
        <v>-0.0260545600483681</v>
      </c>
      <c r="O2783" s="25" t="n">
        <f aca="false">IF(A2783-30&lt;$R$2,"",C2783/INDEX(Clean_Data!$C$2:$C$4314,MATCH(A2783-30,Clean_Data!$A$2:$A$4314,1))-1)</f>
        <v>0.0442197261804973</v>
      </c>
    </row>
    <row r="2784" customFormat="false" ht="15" hidden="false" customHeight="false" outlineLevel="0" collapsed="false">
      <c r="A2784" s="16" t="n">
        <v>44791</v>
      </c>
      <c r="B2784" s="23" t="n">
        <f aca="false">YEAR(A2784)</f>
        <v>2022</v>
      </c>
      <c r="C2784" s="17" t="n">
        <v>23175.9</v>
      </c>
      <c r="D2784" s="23" t="n">
        <f aca="false">A2784-A2783</f>
        <v>1</v>
      </c>
      <c r="E2784" s="24" t="n">
        <f aca="false">LN(C2784)</f>
        <v>10.0508682246315</v>
      </c>
      <c r="F2784" s="25" t="n">
        <f aca="false">LN(C2784/C2783)</f>
        <v>-0.00782188288866309</v>
      </c>
      <c r="G2784" s="25" t="n">
        <f aca="false">IF(AND(D2784=1,A2784&gt;=$R$2),F2784,"")</f>
        <v>-0.00782188288866309</v>
      </c>
      <c r="H2784" s="27" t="n">
        <f aca="false">IF(G2784="","",G2784^2)</f>
        <v>6.11818519239604E-005</v>
      </c>
      <c r="I2784" s="25" t="n">
        <f aca="false">IF(G2784="","",C2784/C2783-1)</f>
        <v>-0.0077913715665241</v>
      </c>
      <c r="J2784" s="17" t="n">
        <f aca="false">AVERAGE(C2585:C2784)</f>
        <v>32629.85935</v>
      </c>
      <c r="K2784" s="17" t="n">
        <f aca="false">MAX(K2783,C2784)</f>
        <v>67510.06</v>
      </c>
      <c r="L2784" s="25" t="n">
        <f aca="false">C2784/K2784-1</f>
        <v>-0.656704497077917</v>
      </c>
      <c r="M2784" s="25" t="n">
        <f aca="false">IF(COUNT(G2755:G2784)&lt;20,"",_xlfn.STDEV.S(G2755:G2784)*SQRT($R$3))</f>
        <v>0.468207183154368</v>
      </c>
      <c r="N2784" s="25" t="n">
        <f aca="false">IF(A2784-7&lt;$R$2,"",C2784/INDEX(Clean_Data!$C$2:$C$4314,MATCH(A2784-7,Clean_Data!$A$2:$A$4314,1))-1)</f>
        <v>-0.0325751744427765</v>
      </c>
      <c r="O2784" s="25" t="n">
        <f aca="false">IF(A2784-30&lt;$R$2,"",C2784/INDEX(Clean_Data!$C$2:$C$4314,MATCH(A2784-30,Clean_Data!$A$2:$A$4314,1))-1)</f>
        <v>-0.010038904921293</v>
      </c>
    </row>
    <row r="2785" customFormat="false" ht="15" hidden="false" customHeight="false" outlineLevel="0" collapsed="false">
      <c r="A2785" s="16" t="n">
        <v>44792</v>
      </c>
      <c r="B2785" s="23" t="n">
        <f aca="false">YEAR(A2785)</f>
        <v>2022</v>
      </c>
      <c r="C2785" s="17" t="n">
        <v>20850.04</v>
      </c>
      <c r="D2785" s="23" t="n">
        <f aca="false">A2785-A2784</f>
        <v>1</v>
      </c>
      <c r="E2785" s="24" t="n">
        <f aca="false">LN(C2785)</f>
        <v>9.94511114569034</v>
      </c>
      <c r="F2785" s="25" t="n">
        <f aca="false">LN(C2785/C2784)</f>
        <v>-0.10575707894112</v>
      </c>
      <c r="G2785" s="25" t="n">
        <f aca="false">IF(AND(D2785=1,A2785&gt;=$R$2),F2785,"")</f>
        <v>-0.10575707894112</v>
      </c>
      <c r="H2785" s="27" t="n">
        <f aca="false">IF(G2785="","",G2785^2)</f>
        <v>0.0111845597461583</v>
      </c>
      <c r="I2785" s="25" t="n">
        <f aca="false">IF(G2785="","",C2785/C2784-1)</f>
        <v>-0.100356836196221</v>
      </c>
      <c r="J2785" s="17" t="n">
        <f aca="false">AVERAGE(C2586:C2785)</f>
        <v>32541.95805</v>
      </c>
      <c r="K2785" s="17" t="n">
        <f aca="false">MAX(K2784,C2785)</f>
        <v>67510.06</v>
      </c>
      <c r="L2785" s="25" t="n">
        <f aca="false">C2785/K2785-1</f>
        <v>-0.691156547631568</v>
      </c>
      <c r="M2785" s="25" t="n">
        <f aca="false">IF(COUNT(G2756:G2785)&lt;20,"",_xlfn.STDEV.S(G2756:G2785)*SQRT($R$3))</f>
        <v>0.595318036830919</v>
      </c>
      <c r="N2785" s="25" t="n">
        <f aca="false">IF(A2785-7&lt;$R$2,"",C2785/INDEX(Clean_Data!$C$2:$C$4314,MATCH(A2785-7,Clean_Data!$A$2:$A$4314,1))-1)</f>
        <v>-0.145430274006908</v>
      </c>
      <c r="O2785" s="25" t="n">
        <f aca="false">IF(A2785-30&lt;$R$2,"",C2785/INDEX(Clean_Data!$C$2:$C$4314,MATCH(A2785-30,Clean_Data!$A$2:$A$4314,1))-1)</f>
        <v>-0.102726629946667</v>
      </c>
    </row>
    <row r="2786" customFormat="false" ht="15" hidden="false" customHeight="false" outlineLevel="0" collapsed="false">
      <c r="A2786" s="16" t="n">
        <v>44793</v>
      </c>
      <c r="B2786" s="23" t="n">
        <f aca="false">YEAR(A2786)</f>
        <v>2022</v>
      </c>
      <c r="C2786" s="17" t="n">
        <v>21151.45</v>
      </c>
      <c r="D2786" s="23" t="n">
        <f aca="false">A2786-A2785</f>
        <v>1</v>
      </c>
      <c r="E2786" s="24" t="n">
        <f aca="false">LN(C2786)</f>
        <v>9.95946374004406</v>
      </c>
      <c r="F2786" s="25" t="n">
        <f aca="false">LN(C2786/C2785)</f>
        <v>0.0143525943537238</v>
      </c>
      <c r="G2786" s="25" t="n">
        <f aca="false">IF(AND(D2786=1,A2786&gt;=$R$2),F2786,"")</f>
        <v>0.0143525943537238</v>
      </c>
      <c r="H2786" s="27" t="n">
        <f aca="false">IF(G2786="","",G2786^2)</f>
        <v>0.000205996964682546</v>
      </c>
      <c r="I2786" s="25" t="n">
        <f aca="false">IF(G2786="","",C2786/C2785-1)</f>
        <v>0.0144560873744126</v>
      </c>
      <c r="J2786" s="17" t="n">
        <f aca="false">AVERAGE(C2587:C2786)</f>
        <v>32453.98975</v>
      </c>
      <c r="K2786" s="17" t="n">
        <f aca="false">MAX(K2785,C2786)</f>
        <v>67510.06</v>
      </c>
      <c r="L2786" s="25" t="n">
        <f aca="false">C2786/K2786-1</f>
        <v>-0.686691879699114</v>
      </c>
      <c r="M2786" s="25" t="n">
        <f aca="false">IF(COUNT(G2757:G2786)&lt;20,"",_xlfn.STDEV.S(G2757:G2786)*SQRT($R$3))</f>
        <v>0.598597354331347</v>
      </c>
      <c r="N2786" s="25" t="n">
        <f aca="false">IF(A2786-7&lt;$R$2,"",C2786/INDEX(Clean_Data!$C$2:$C$4314,MATCH(A2786-7,Clean_Data!$A$2:$A$4314,1))-1)</f>
        <v>-0.134806692660228</v>
      </c>
      <c r="O2786" s="25" t="n">
        <f aca="false">IF(A2786-30&lt;$R$2,"",C2786/INDEX(Clean_Data!$C$2:$C$4314,MATCH(A2786-30,Clean_Data!$A$2:$A$4314,1))-1)</f>
        <v>-0.085971949256987</v>
      </c>
    </row>
    <row r="2787" customFormat="false" ht="15" hidden="false" customHeight="false" outlineLevel="0" collapsed="false">
      <c r="A2787" s="16" t="n">
        <v>44794</v>
      </c>
      <c r="B2787" s="23" t="n">
        <f aca="false">YEAR(A2787)</f>
        <v>2022</v>
      </c>
      <c r="C2787" s="17" t="n">
        <v>21513.86</v>
      </c>
      <c r="D2787" s="23" t="n">
        <f aca="false">A2787-A2786</f>
        <v>1</v>
      </c>
      <c r="E2787" s="24" t="n">
        <f aca="false">LN(C2787)</f>
        <v>9.97645265758024</v>
      </c>
      <c r="F2787" s="25" t="n">
        <f aca="false">LN(C2787/C2786)</f>
        <v>0.0169889175361822</v>
      </c>
      <c r="G2787" s="25" t="n">
        <f aca="false">IF(AND(D2787=1,A2787&gt;=$R$2),F2787,"")</f>
        <v>0.0169889175361822</v>
      </c>
      <c r="H2787" s="27" t="n">
        <f aca="false">IF(G2787="","",G2787^2)</f>
        <v>0.0002886233190512</v>
      </c>
      <c r="I2787" s="25" t="n">
        <f aca="false">IF(G2787="","",C2787/C2786-1)</f>
        <v>0.0171340499114718</v>
      </c>
      <c r="J2787" s="17" t="n">
        <f aca="false">AVERAGE(C2588:C2787)</f>
        <v>32377.02915</v>
      </c>
      <c r="K2787" s="17" t="n">
        <f aca="false">MAX(K2786,C2787)</f>
        <v>67510.06</v>
      </c>
      <c r="L2787" s="25" t="n">
        <f aca="false">C2787/K2787-1</f>
        <v>-0.68132364272821</v>
      </c>
      <c r="M2787" s="25" t="n">
        <f aca="false">IF(COUNT(G2758:G2787)&lt;20,"",_xlfn.STDEV.S(G2758:G2787)*SQRT($R$3))</f>
        <v>0.599664293586951</v>
      </c>
      <c r="N2787" s="25" t="n">
        <f aca="false">IF(A2787-7&lt;$R$2,"",C2787/INDEX(Clean_Data!$C$2:$C$4314,MATCH(A2787-7,Clean_Data!$A$2:$A$4314,1))-1)</f>
        <v>-0.114718264681786</v>
      </c>
      <c r="O2787" s="25" t="n">
        <f aca="false">IF(A2787-30&lt;$R$2,"",C2787/INDEX(Clean_Data!$C$2:$C$4314,MATCH(A2787-30,Clean_Data!$A$2:$A$4314,1))-1)</f>
        <v>-0.0525179079860919</v>
      </c>
    </row>
    <row r="2788" customFormat="false" ht="15" hidden="false" customHeight="false" outlineLevel="0" collapsed="false">
      <c r="A2788" s="16" t="n">
        <v>44795</v>
      </c>
      <c r="B2788" s="23" t="n">
        <f aca="false">YEAR(A2788)</f>
        <v>2022</v>
      </c>
      <c r="C2788" s="17" t="n">
        <v>21403.82</v>
      </c>
      <c r="D2788" s="23" t="n">
        <f aca="false">A2788-A2787</f>
        <v>1</v>
      </c>
      <c r="E2788" s="24" t="n">
        <f aca="false">LN(C2788)</f>
        <v>9.97132468975278</v>
      </c>
      <c r="F2788" s="25" t="n">
        <f aca="false">LN(C2788/C2787)</f>
        <v>-0.00512796782746458</v>
      </c>
      <c r="G2788" s="25" t="n">
        <f aca="false">IF(AND(D2788=1,A2788&gt;=$R$2),F2788,"")</f>
        <v>-0.00512796782746458</v>
      </c>
      <c r="H2788" s="27" t="n">
        <f aca="false">IF(G2788="","",G2788^2)</f>
        <v>2.62960540395119E-005</v>
      </c>
      <c r="I2788" s="25" t="n">
        <f aca="false">IF(G2788="","",C2788/C2787-1)</f>
        <v>-0.00511484224588243</v>
      </c>
      <c r="J2788" s="17" t="n">
        <f aca="false">AVERAGE(C2589:C2788)</f>
        <v>32297.8567</v>
      </c>
      <c r="K2788" s="17" t="n">
        <f aca="false">MAX(K2787,C2788)</f>
        <v>67510.06</v>
      </c>
      <c r="L2788" s="25" t="n">
        <f aca="false">C2788/K2788-1</f>
        <v>-0.682953622023147</v>
      </c>
      <c r="M2788" s="25" t="n">
        <f aca="false">IF(COUNT(G2759:G2788)&lt;20,"",_xlfn.STDEV.S(G2759:G2788)*SQRT($R$3))</f>
        <v>0.598872270635263</v>
      </c>
      <c r="N2788" s="25" t="n">
        <f aca="false">IF(A2788-7&lt;$R$2,"",C2788/INDEX(Clean_Data!$C$2:$C$4314,MATCH(A2788-7,Clean_Data!$A$2:$A$4314,1))-1)</f>
        <v>-0.111589733968613</v>
      </c>
      <c r="O2788" s="25" t="n">
        <f aca="false">IF(A2788-30&lt;$R$2,"",C2788/INDEX(Clean_Data!$C$2:$C$4314,MATCH(A2788-30,Clean_Data!$A$2:$A$4314,1))-1)</f>
        <v>-0.0469031439012911</v>
      </c>
    </row>
    <row r="2789" customFormat="false" ht="15" hidden="false" customHeight="false" outlineLevel="0" collapsed="false">
      <c r="A2789" s="16" t="n">
        <v>44796</v>
      </c>
      <c r="B2789" s="23" t="n">
        <f aca="false">YEAR(A2789)</f>
        <v>2022</v>
      </c>
      <c r="C2789" s="17" t="n">
        <v>21529.34</v>
      </c>
      <c r="D2789" s="23" t="n">
        <f aca="false">A2789-A2788</f>
        <v>1</v>
      </c>
      <c r="E2789" s="24" t="n">
        <f aca="false">LN(C2789)</f>
        <v>9.9771719349884</v>
      </c>
      <c r="F2789" s="25" t="n">
        <f aca="false">LN(C2789/C2788)</f>
        <v>0.00584724523562165</v>
      </c>
      <c r="G2789" s="25" t="n">
        <f aca="false">IF(AND(D2789=1,A2789&gt;=$R$2),F2789,"")</f>
        <v>0.00584724523562165</v>
      </c>
      <c r="H2789" s="27" t="n">
        <f aca="false">IF(G2789="","",G2789^2)</f>
        <v>3.41902768455E-005</v>
      </c>
      <c r="I2789" s="25" t="n">
        <f aca="false">IF(G2789="","",C2789/C2788-1)</f>
        <v>0.00586437374263094</v>
      </c>
      <c r="J2789" s="17" t="n">
        <f aca="false">AVERAGE(C2590:C2789)</f>
        <v>32197.77645</v>
      </c>
      <c r="K2789" s="17" t="n">
        <f aca="false">MAX(K2788,C2789)</f>
        <v>67510.06</v>
      </c>
      <c r="L2789" s="25" t="n">
        <f aca="false">C2789/K2789-1</f>
        <v>-0.681094343568944</v>
      </c>
      <c r="M2789" s="25" t="n">
        <f aca="false">IF(COUNT(G2760:G2789)&lt;20,"",_xlfn.STDEV.S(G2760:G2789)*SQRT($R$3))</f>
        <v>0.598847310115012</v>
      </c>
      <c r="N2789" s="25" t="n">
        <f aca="false">IF(A2789-7&lt;$R$2,"",C2789/INDEX(Clean_Data!$C$2:$C$4314,MATCH(A2789-7,Clean_Data!$A$2:$A$4314,1))-1)</f>
        <v>-0.0977487029478078</v>
      </c>
      <c r="O2789" s="25" t="n">
        <f aca="false">IF(A2789-30&lt;$R$2,"",C2789/INDEX(Clean_Data!$C$2:$C$4314,MATCH(A2789-30,Clean_Data!$A$2:$A$4314,1))-1)</f>
        <v>-0.0470534547252415</v>
      </c>
    </row>
    <row r="2790" customFormat="false" ht="15" hidden="false" customHeight="false" outlineLevel="0" collapsed="false">
      <c r="A2790" s="16" t="n">
        <v>44797</v>
      </c>
      <c r="B2790" s="23" t="n">
        <f aca="false">YEAR(A2790)</f>
        <v>2022</v>
      </c>
      <c r="C2790" s="17" t="n">
        <v>21358.67</v>
      </c>
      <c r="D2790" s="23" t="n">
        <f aca="false">A2790-A2789</f>
        <v>1</v>
      </c>
      <c r="E2790" s="24" t="n">
        <f aca="false">LN(C2790)</f>
        <v>9.96921302521793</v>
      </c>
      <c r="F2790" s="25" t="n">
        <f aca="false">LN(C2790/C2789)</f>
        <v>-0.00795890977047298</v>
      </c>
      <c r="G2790" s="25" t="n">
        <f aca="false">IF(AND(D2790=1,A2790&gt;=$R$2),F2790,"")</f>
        <v>-0.00795890977047298</v>
      </c>
      <c r="H2790" s="27" t="n">
        <f aca="false">IF(G2790="","",G2790^2)</f>
        <v>6.33442447345303E-005</v>
      </c>
      <c r="I2790" s="25" t="n">
        <f aca="false">IF(G2790="","",C2790/C2789-1)</f>
        <v>-0.00792732150637232</v>
      </c>
      <c r="J2790" s="17" t="n">
        <f aca="false">AVERAGE(C2591:C2790)</f>
        <v>32097.3323</v>
      </c>
      <c r="K2790" s="17" t="n">
        <f aca="false">MAX(K2789,C2790)</f>
        <v>67510.06</v>
      </c>
      <c r="L2790" s="25" t="n">
        <f aca="false">C2790/K2790-1</f>
        <v>-0.683622411237673</v>
      </c>
      <c r="M2790" s="25" t="n">
        <f aca="false">IF(COUNT(G2761:G2790)&lt;20,"",_xlfn.STDEV.S(G2761:G2790)*SQRT($R$3))</f>
        <v>0.559489404464624</v>
      </c>
      <c r="N2790" s="25" t="n">
        <f aca="false">IF(A2790-7&lt;$R$2,"",C2790/INDEX(Clean_Data!$C$2:$C$4314,MATCH(A2790-7,Clean_Data!$A$2:$A$4314,1))-1)</f>
        <v>-0.0855907789616272</v>
      </c>
      <c r="O2790" s="25" t="n">
        <f aca="false">IF(A2790-30&lt;$R$2,"",C2790/INDEX(Clean_Data!$C$2:$C$4314,MATCH(A2790-30,Clean_Data!$A$2:$A$4314,1))-1)</f>
        <v>0.00519382482653907</v>
      </c>
    </row>
    <row r="2791" customFormat="false" ht="15" hidden="false" customHeight="false" outlineLevel="0" collapsed="false">
      <c r="A2791" s="16" t="n">
        <v>44798</v>
      </c>
      <c r="B2791" s="23" t="n">
        <f aca="false">YEAR(A2791)</f>
        <v>2022</v>
      </c>
      <c r="C2791" s="17" t="n">
        <v>21518.35</v>
      </c>
      <c r="D2791" s="23" t="n">
        <f aca="false">A2791-A2790</f>
        <v>1</v>
      </c>
      <c r="E2791" s="24" t="n">
        <f aca="false">LN(C2791)</f>
        <v>9.97666133847375</v>
      </c>
      <c r="F2791" s="25" t="n">
        <f aca="false">LN(C2791/C2790)</f>
        <v>0.00744831325582755</v>
      </c>
      <c r="G2791" s="25" t="n">
        <f aca="false">IF(AND(D2791=1,A2791&gt;=$R$2),F2791,"")</f>
        <v>0.00744831325582755</v>
      </c>
      <c r="H2791" s="27" t="n">
        <f aca="false">IF(G2791="","",G2791^2)</f>
        <v>5.54773703569364E-005</v>
      </c>
      <c r="I2791" s="25" t="n">
        <f aca="false">IF(G2791="","",C2791/C2790-1)</f>
        <v>0.0074761209382419</v>
      </c>
      <c r="J2791" s="17" t="n">
        <f aca="false">AVERAGE(C2592:C2791)</f>
        <v>31992.441</v>
      </c>
      <c r="K2791" s="17" t="n">
        <f aca="false">MAX(K2790,C2791)</f>
        <v>67510.06</v>
      </c>
      <c r="L2791" s="25" t="n">
        <f aca="false">C2791/K2791-1</f>
        <v>-0.681257134121937</v>
      </c>
      <c r="M2791" s="25" t="n">
        <f aca="false">IF(COUNT(G2762:G2791)&lt;20,"",_xlfn.STDEV.S(G2762:G2791)*SQRT($R$3))</f>
        <v>0.560054696807436</v>
      </c>
      <c r="N2791" s="25" t="n">
        <f aca="false">IF(A2791-7&lt;$R$2,"",C2791/INDEX(Clean_Data!$C$2:$C$4314,MATCH(A2791-7,Clean_Data!$A$2:$A$4314,1))-1)</f>
        <v>-0.0715204156041406</v>
      </c>
      <c r="O2791" s="25" t="n">
        <f aca="false">IF(A2791-30&lt;$R$2,"",C2791/INDEX(Clean_Data!$C$2:$C$4314,MATCH(A2791-30,Clean_Data!$A$2:$A$4314,1))-1)</f>
        <v>0.0113289750109271</v>
      </c>
    </row>
    <row r="2792" customFormat="false" ht="15" hidden="false" customHeight="false" outlineLevel="0" collapsed="false">
      <c r="A2792" s="16" t="n">
        <v>44799</v>
      </c>
      <c r="B2792" s="23" t="n">
        <f aca="false">YEAR(A2792)</f>
        <v>2022</v>
      </c>
      <c r="C2792" s="17" t="n">
        <v>20230.18</v>
      </c>
      <c r="D2792" s="23" t="n">
        <f aca="false">A2792-A2791</f>
        <v>1</v>
      </c>
      <c r="E2792" s="24" t="n">
        <f aca="false">LN(C2792)</f>
        <v>9.91493082779893</v>
      </c>
      <c r="F2792" s="25" t="n">
        <f aca="false">LN(C2792/C2791)</f>
        <v>-0.0617305106748281</v>
      </c>
      <c r="G2792" s="25" t="n">
        <f aca="false">IF(AND(D2792=1,A2792&gt;=$R$2),F2792,"")</f>
        <v>-0.0617305106748281</v>
      </c>
      <c r="H2792" s="27" t="n">
        <f aca="false">IF(G2792="","",G2792^2)</f>
        <v>0.00381065594817507</v>
      </c>
      <c r="I2792" s="25" t="n">
        <f aca="false">IF(G2792="","",C2792/C2791-1)</f>
        <v>-0.0598637906716825</v>
      </c>
      <c r="J2792" s="17" t="n">
        <f aca="false">AVERAGE(C2593:C2792)</f>
        <v>31874.1021</v>
      </c>
      <c r="K2792" s="17" t="n">
        <f aca="false">MAX(K2791,C2792)</f>
        <v>67510.06</v>
      </c>
      <c r="L2792" s="25" t="n">
        <f aca="false">C2792/K2792-1</f>
        <v>-0.700338290322953</v>
      </c>
      <c r="M2792" s="25" t="n">
        <f aca="false">IF(COUNT(G2763:G2792)&lt;20,"",_xlfn.STDEV.S(G2763:G2792)*SQRT($R$3))</f>
        <v>0.528837538487062</v>
      </c>
      <c r="N2792" s="25" t="n">
        <f aca="false">IF(A2792-7&lt;$R$2,"",C2792/INDEX(Clean_Data!$C$2:$C$4314,MATCH(A2792-7,Clean_Data!$A$2:$A$4314,1))-1)</f>
        <v>-0.029729439367982</v>
      </c>
      <c r="O2792" s="25" t="n">
        <f aca="false">IF(A2792-30&lt;$R$2,"",C2792/INDEX(Clean_Data!$C$2:$C$4314,MATCH(A2792-30,Clean_Data!$A$2:$A$4314,1))-1)</f>
        <v>-0.11991957102225</v>
      </c>
    </row>
    <row r="2793" customFormat="false" ht="15" hidden="false" customHeight="false" outlineLevel="0" collapsed="false">
      <c r="A2793" s="16" t="n">
        <v>44800</v>
      </c>
      <c r="B2793" s="23" t="n">
        <f aca="false">YEAR(A2793)</f>
        <v>2022</v>
      </c>
      <c r="C2793" s="17" t="n">
        <v>20018.43</v>
      </c>
      <c r="D2793" s="23" t="n">
        <f aca="false">A2793-A2792</f>
        <v>1</v>
      </c>
      <c r="E2793" s="24" t="n">
        <f aca="false">LN(C2793)</f>
        <v>9.90440862821566</v>
      </c>
      <c r="F2793" s="25" t="n">
        <f aca="false">LN(C2793/C2792)</f>
        <v>-0.0105221995832675</v>
      </c>
      <c r="G2793" s="25" t="n">
        <f aca="false">IF(AND(D2793=1,A2793&gt;=$R$2),F2793,"")</f>
        <v>-0.0105221995832675</v>
      </c>
      <c r="H2793" s="27" t="n">
        <f aca="false">IF(G2793="","",G2793^2)</f>
        <v>0.000110716684070115</v>
      </c>
      <c r="I2793" s="25" t="n">
        <f aca="false">IF(G2793="","",C2793/C2792-1)</f>
        <v>-0.0104670348953889</v>
      </c>
      <c r="J2793" s="17" t="n">
        <f aca="false">AVERAGE(C2594:C2793)</f>
        <v>31753.4563</v>
      </c>
      <c r="K2793" s="17" t="n">
        <f aca="false">MAX(K2792,C2793)</f>
        <v>67510.06</v>
      </c>
      <c r="L2793" s="25" t="n">
        <f aca="false">C2793/K2793-1</f>
        <v>-0.703474859894955</v>
      </c>
      <c r="M2793" s="25" t="n">
        <f aca="false">IF(COUNT(G2764:G2793)&lt;20,"",_xlfn.STDEV.S(G2764:G2793)*SQRT($R$3))</f>
        <v>0.506720203448621</v>
      </c>
      <c r="N2793" s="25" t="n">
        <f aca="false">IF(A2793-7&lt;$R$2,"",C2793/INDEX(Clean_Data!$C$2:$C$4314,MATCH(A2793-7,Clean_Data!$A$2:$A$4314,1))-1)</f>
        <v>-0.0535670131362153</v>
      </c>
      <c r="O2793" s="25" t="n">
        <f aca="false">IF(A2793-30&lt;$R$2,"",C2793/INDEX(Clean_Data!$C$2:$C$4314,MATCH(A2793-30,Clean_Data!$A$2:$A$4314,1))-1)</f>
        <v>-0.161553501019031</v>
      </c>
    </row>
    <row r="2794" customFormat="false" ht="15" hidden="false" customHeight="false" outlineLevel="0" collapsed="false">
      <c r="A2794" s="16" t="n">
        <v>44801</v>
      </c>
      <c r="B2794" s="23" t="n">
        <f aca="false">YEAR(A2794)</f>
        <v>2022</v>
      </c>
      <c r="C2794" s="17" t="n">
        <v>19582.83</v>
      </c>
      <c r="D2794" s="23" t="n">
        <f aca="false">A2794-A2793</f>
        <v>1</v>
      </c>
      <c r="E2794" s="24" t="n">
        <f aca="false">LN(C2794)</f>
        <v>9.88240844088033</v>
      </c>
      <c r="F2794" s="25" t="n">
        <f aca="false">LN(C2794/C2793)</f>
        <v>-0.0220001873353264</v>
      </c>
      <c r="G2794" s="25" t="n">
        <f aca="false">IF(AND(D2794=1,A2794&gt;=$R$2),F2794,"")</f>
        <v>-0.0220001873353264</v>
      </c>
      <c r="H2794" s="27" t="n">
        <f aca="false">IF(G2794="","",G2794^2)</f>
        <v>0.000484008242789457</v>
      </c>
      <c r="I2794" s="25" t="n">
        <f aca="false">IF(G2794="","",C2794/C2793-1)</f>
        <v>-0.0217599482077265</v>
      </c>
      <c r="J2794" s="17" t="n">
        <f aca="false">AVERAGE(C2595:C2794)</f>
        <v>31629.35575</v>
      </c>
      <c r="K2794" s="17" t="n">
        <f aca="false">MAX(K2793,C2794)</f>
        <v>67510.06</v>
      </c>
      <c r="L2794" s="25" t="n">
        <f aca="false">C2794/K2794-1</f>
        <v>-0.70992723158593</v>
      </c>
      <c r="M2794" s="25" t="n">
        <f aca="false">IF(COUNT(G2765:G2794)&lt;20,"",_xlfn.STDEV.S(G2765:G2794)*SQRT($R$3))</f>
        <v>0.509636626313651</v>
      </c>
      <c r="N2794" s="25" t="n">
        <f aca="false">IF(A2794-7&lt;$R$2,"",C2794/INDEX(Clean_Data!$C$2:$C$4314,MATCH(A2794-7,Clean_Data!$A$2:$A$4314,1))-1)</f>
        <v>-0.0897574865691233</v>
      </c>
      <c r="O2794" s="25" t="n">
        <f aca="false">IF(A2794-30&lt;$R$2,"",C2794/INDEX(Clean_Data!$C$2:$C$4314,MATCH(A2794-30,Clean_Data!$A$2:$A$4314,1))-1)</f>
        <v>-0.177796578146321</v>
      </c>
    </row>
    <row r="2795" customFormat="false" ht="15" hidden="false" customHeight="false" outlineLevel="0" collapsed="false">
      <c r="A2795" s="16" t="n">
        <v>44802</v>
      </c>
      <c r="B2795" s="23" t="n">
        <f aca="false">YEAR(A2795)</f>
        <v>2022</v>
      </c>
      <c r="C2795" s="17" t="n">
        <v>20291.07</v>
      </c>
      <c r="D2795" s="23" t="n">
        <f aca="false">A2795-A2794</f>
        <v>1</v>
      </c>
      <c r="E2795" s="24" t="n">
        <f aca="false">LN(C2795)</f>
        <v>9.91793616676701</v>
      </c>
      <c r="F2795" s="25" t="n">
        <f aca="false">LN(C2795/C2794)</f>
        <v>0.0355277258866752</v>
      </c>
      <c r="G2795" s="25" t="n">
        <f aca="false">IF(AND(D2795=1,A2795&gt;=$R$2),F2795,"")</f>
        <v>0.0355277258866752</v>
      </c>
      <c r="H2795" s="27" t="n">
        <f aca="false">IF(G2795="","",G2795^2)</f>
        <v>0.00126221930667873</v>
      </c>
      <c r="I2795" s="25" t="n">
        <f aca="false">IF(G2795="","",C2795/C2794-1)</f>
        <v>0.0361663763613327</v>
      </c>
      <c r="J2795" s="17" t="n">
        <f aca="false">AVERAGE(C2596:C2795)</f>
        <v>31513.42465</v>
      </c>
      <c r="K2795" s="17" t="n">
        <f aca="false">MAX(K2794,C2795)</f>
        <v>67510.06</v>
      </c>
      <c r="L2795" s="25" t="n">
        <f aca="false">C2795/K2795-1</f>
        <v>-0.699436350671293</v>
      </c>
      <c r="M2795" s="25" t="n">
        <f aca="false">IF(COUNT(G2766:G2795)&lt;20,"",_xlfn.STDEV.S(G2766:G2795)*SQRT($R$3))</f>
        <v>0.530291069670544</v>
      </c>
      <c r="N2795" s="25" t="n">
        <f aca="false">IF(A2795-7&lt;$R$2,"",C2795/INDEX(Clean_Data!$C$2:$C$4314,MATCH(A2795-7,Clean_Data!$A$2:$A$4314,1))-1)</f>
        <v>-0.0519883833820318</v>
      </c>
      <c r="O2795" s="25" t="n">
        <f aca="false">IF(A2795-30&lt;$R$2,"",C2795/INDEX(Clean_Data!$C$2:$C$4314,MATCH(A2795-30,Clean_Data!$A$2:$A$4314,1))-1)</f>
        <v>-0.141783870363329</v>
      </c>
    </row>
    <row r="2796" customFormat="false" ht="15" hidden="false" customHeight="false" outlineLevel="0" collapsed="false">
      <c r="A2796" s="16" t="n">
        <v>44803</v>
      </c>
      <c r="B2796" s="23" t="n">
        <f aca="false">YEAR(A2796)</f>
        <v>2022</v>
      </c>
      <c r="C2796" s="17" t="n">
        <v>19835.7</v>
      </c>
      <c r="D2796" s="23" t="n">
        <f aca="false">A2796-A2795</f>
        <v>1</v>
      </c>
      <c r="E2796" s="24" t="n">
        <f aca="false">LN(C2796)</f>
        <v>9.89523862347772</v>
      </c>
      <c r="F2796" s="25" t="n">
        <f aca="false">LN(C2796/C2795)</f>
        <v>-0.0226975432892896</v>
      </c>
      <c r="G2796" s="25" t="n">
        <f aca="false">IF(AND(D2796=1,A2796&gt;=$R$2),F2796,"")</f>
        <v>-0.0226975432892896</v>
      </c>
      <c r="H2796" s="27" t="n">
        <f aca="false">IF(G2796="","",G2796^2)</f>
        <v>0.000515178471369175</v>
      </c>
      <c r="I2796" s="25" t="n">
        <f aca="false">IF(G2796="","",C2796/C2795-1)</f>
        <v>-0.022441891925857</v>
      </c>
      <c r="J2796" s="17" t="n">
        <f aca="false">AVERAGE(C2597:C2796)</f>
        <v>31400.64545</v>
      </c>
      <c r="K2796" s="17" t="n">
        <f aca="false">MAX(K2795,C2796)</f>
        <v>67510.06</v>
      </c>
      <c r="L2796" s="25" t="n">
        <f aca="false">C2796/K2796-1</f>
        <v>-0.706181567606369</v>
      </c>
      <c r="M2796" s="25" t="n">
        <f aca="false">IF(COUNT(G2767:G2796)&lt;20,"",_xlfn.STDEV.S(G2767:G2796)*SQRT($R$3))</f>
        <v>0.532821053165754</v>
      </c>
      <c r="N2796" s="25" t="n">
        <f aca="false">IF(A2796-7&lt;$R$2,"",C2796/INDEX(Clean_Data!$C$2:$C$4314,MATCH(A2796-7,Clean_Data!$A$2:$A$4314,1))-1)</f>
        <v>-0.0786666010198176</v>
      </c>
      <c r="O2796" s="25" t="n">
        <f aca="false">IF(A2796-30&lt;$R$2,"",C2796/INDEX(Clean_Data!$C$2:$C$4314,MATCH(A2796-30,Clean_Data!$A$2:$A$4314,1))-1)</f>
        <v>-0.148541346334629</v>
      </c>
    </row>
    <row r="2797" customFormat="false" ht="15" hidden="false" customHeight="false" outlineLevel="0" collapsed="false">
      <c r="A2797" s="16" t="n">
        <v>44804</v>
      </c>
      <c r="B2797" s="23" t="n">
        <f aca="false">YEAR(A2797)</f>
        <v>2022</v>
      </c>
      <c r="C2797" s="17" t="n">
        <v>20025.48</v>
      </c>
      <c r="D2797" s="23" t="n">
        <f aca="false">A2797-A2796</f>
        <v>1</v>
      </c>
      <c r="E2797" s="24" t="n">
        <f aca="false">LN(C2797)</f>
        <v>9.90476074168674</v>
      </c>
      <c r="F2797" s="25" t="n">
        <f aca="false">LN(C2797/C2796)</f>
        <v>0.00952211820901974</v>
      </c>
      <c r="G2797" s="25" t="n">
        <f aca="false">IF(AND(D2797=1,A2797&gt;=$R$2),F2797,"")</f>
        <v>0.00952211820901974</v>
      </c>
      <c r="H2797" s="27" t="n">
        <f aca="false">IF(G2797="","",G2797^2)</f>
        <v>9.06707351865453E-005</v>
      </c>
      <c r="I2797" s="25" t="n">
        <f aca="false">IF(G2797="","",C2797/C2796-1)</f>
        <v>0.00956759781605876</v>
      </c>
      <c r="J2797" s="17" t="n">
        <f aca="false">AVERAGE(C2598:C2797)</f>
        <v>31289.68545</v>
      </c>
      <c r="K2797" s="17" t="n">
        <f aca="false">MAX(K2796,C2797)</f>
        <v>67510.06</v>
      </c>
      <c r="L2797" s="25" t="n">
        <f aca="false">C2797/K2797-1</f>
        <v>-0.703370431014281</v>
      </c>
      <c r="M2797" s="25" t="n">
        <f aca="false">IF(COUNT(G2768:G2797)&lt;20,"",_xlfn.STDEV.S(G2768:G2797)*SQRT($R$3))</f>
        <v>0.53524401764864</v>
      </c>
      <c r="N2797" s="25" t="n">
        <f aca="false">IF(A2797-7&lt;$R$2,"",C2797/INDEX(Clean_Data!$C$2:$C$4314,MATCH(A2797-7,Clean_Data!$A$2:$A$4314,1))-1)</f>
        <v>-0.062419148757858</v>
      </c>
      <c r="O2797" s="25" t="n">
        <f aca="false">IF(A2797-30&lt;$R$2,"",C2797/INDEX(Clean_Data!$C$2:$C$4314,MATCH(A2797-30,Clean_Data!$A$2:$A$4314,1))-1)</f>
        <v>-0.138696070870819</v>
      </c>
    </row>
    <row r="2798" customFormat="false" ht="15" hidden="false" customHeight="false" outlineLevel="0" collapsed="false">
      <c r="A2798" s="16" t="n">
        <v>44805</v>
      </c>
      <c r="B2798" s="23" t="n">
        <f aca="false">YEAR(A2798)</f>
        <v>2022</v>
      </c>
      <c r="C2798" s="17" t="n">
        <v>20112.51</v>
      </c>
      <c r="D2798" s="23" t="n">
        <f aca="false">A2798-A2797</f>
        <v>1</v>
      </c>
      <c r="E2798" s="24" t="n">
        <f aca="false">LN(C2798)</f>
        <v>9.90909728850375</v>
      </c>
      <c r="F2798" s="25" t="n">
        <f aca="false">LN(C2798/C2797)</f>
        <v>0.00433654681701049</v>
      </c>
      <c r="G2798" s="25" t="n">
        <f aca="false">IF(AND(D2798=1,A2798&gt;=$R$2),F2798,"")</f>
        <v>0.00433654681701049</v>
      </c>
      <c r="H2798" s="27" t="n">
        <f aca="false">IF(G2798="","",G2798^2)</f>
        <v>1.88056382961238E-005</v>
      </c>
      <c r="I2798" s="25" t="n">
        <f aca="false">IF(G2798="","",C2798/C2797-1)</f>
        <v>0.00434596324282865</v>
      </c>
      <c r="J2798" s="17" t="n">
        <f aca="false">AVERAGE(C2599:C2798)</f>
        <v>31179.76135</v>
      </c>
      <c r="K2798" s="17" t="n">
        <f aca="false">MAX(K2797,C2798)</f>
        <v>67510.06</v>
      </c>
      <c r="L2798" s="25" t="n">
        <f aca="false">C2798/K2798-1</f>
        <v>-0.702081289810733</v>
      </c>
      <c r="M2798" s="25" t="n">
        <f aca="false">IF(COUNT(G2769:G2798)&lt;20,"",_xlfn.STDEV.S(G2769:G2798)*SQRT($R$3))</f>
        <v>0.535805507387341</v>
      </c>
      <c r="N2798" s="25" t="n">
        <f aca="false">IF(A2798-7&lt;$R$2,"",C2798/INDEX(Clean_Data!$C$2:$C$4314,MATCH(A2798-7,Clean_Data!$A$2:$A$4314,1))-1)</f>
        <v>-0.0653321467491699</v>
      </c>
      <c r="O2798" s="25" t="n">
        <f aca="false">IF(A2798-30&lt;$R$2,"",C2798/INDEX(Clean_Data!$C$2:$C$4314,MATCH(A2798-30,Clean_Data!$A$2:$A$4314,1))-1)</f>
        <v>-0.125741462155111</v>
      </c>
    </row>
    <row r="2799" customFormat="false" ht="15" hidden="false" customHeight="false" outlineLevel="0" collapsed="false">
      <c r="A2799" s="16" t="n">
        <v>44806</v>
      </c>
      <c r="B2799" s="23" t="n">
        <f aca="false">YEAR(A2799)</f>
        <v>2022</v>
      </c>
      <c r="C2799" s="17" t="n">
        <v>19946.87</v>
      </c>
      <c r="D2799" s="23" t="n">
        <f aca="false">A2799-A2798</f>
        <v>1</v>
      </c>
      <c r="E2799" s="24" t="n">
        <f aca="false">LN(C2799)</f>
        <v>9.90082751777856</v>
      </c>
      <c r="F2799" s="25" t="n">
        <f aca="false">LN(C2799/C2798)</f>
        <v>-0.00826977072518723</v>
      </c>
      <c r="G2799" s="25" t="n">
        <f aca="false">IF(AND(D2799=1,A2799&gt;=$R$2),F2799,"")</f>
        <v>-0.00826977072518723</v>
      </c>
      <c r="H2799" s="27" t="n">
        <f aca="false">IF(G2799="","",G2799^2)</f>
        <v>6.83891078471638E-005</v>
      </c>
      <c r="I2799" s="25" t="n">
        <f aca="false">IF(G2799="","",C2799/C2798-1)</f>
        <v>-0.00823567023708127</v>
      </c>
      <c r="J2799" s="17" t="n">
        <f aca="false">AVERAGE(C2600:C2799)</f>
        <v>31066.6329</v>
      </c>
      <c r="K2799" s="17" t="n">
        <f aca="false">MAX(K2798,C2799)</f>
        <v>67510.06</v>
      </c>
      <c r="L2799" s="25" t="n">
        <f aca="false">C2799/K2799-1</f>
        <v>-0.704534850065309</v>
      </c>
      <c r="M2799" s="25" t="n">
        <f aca="false">IF(COUNT(G2770:G2799)&lt;20,"",_xlfn.STDEV.S(G2770:G2799)*SQRT($R$3))</f>
        <v>0.53582341832346</v>
      </c>
      <c r="N2799" s="25" t="n">
        <f aca="false">IF(A2799-7&lt;$R$2,"",C2799/INDEX(Clean_Data!$C$2:$C$4314,MATCH(A2799-7,Clean_Data!$A$2:$A$4314,1))-1)</f>
        <v>-0.0140043242324093</v>
      </c>
      <c r="O2799" s="25" t="n">
        <f aca="false">IF(A2799-30&lt;$R$2,"",C2799/INDEX(Clean_Data!$C$2:$C$4314,MATCH(A2799-30,Clean_Data!$A$2:$A$4314,1))-1)</f>
        <v>-0.125922417056959</v>
      </c>
    </row>
    <row r="2800" customFormat="false" ht="15" hidden="false" customHeight="false" outlineLevel="0" collapsed="false">
      <c r="A2800" s="16" t="n">
        <v>44807</v>
      </c>
      <c r="B2800" s="23" t="n">
        <f aca="false">YEAR(A2800)</f>
        <v>2022</v>
      </c>
      <c r="C2800" s="17" t="n">
        <v>19840.11</v>
      </c>
      <c r="D2800" s="23" t="n">
        <f aca="false">A2800-A2799</f>
        <v>1</v>
      </c>
      <c r="E2800" s="24" t="n">
        <f aca="false">LN(C2800)</f>
        <v>9.89546092517833</v>
      </c>
      <c r="F2800" s="25" t="n">
        <f aca="false">LN(C2800/C2799)</f>
        <v>-0.0053665926002269</v>
      </c>
      <c r="G2800" s="25" t="n">
        <f aca="false">IF(AND(D2800=1,A2800&gt;=$R$2),F2800,"")</f>
        <v>-0.0053665926002269</v>
      </c>
      <c r="H2800" s="27" t="n">
        <f aca="false">IF(G2800="","",G2800^2)</f>
        <v>2.88003161368101E-005</v>
      </c>
      <c r="I2800" s="25" t="n">
        <f aca="false">IF(G2800="","",C2800/C2799-1)</f>
        <v>-0.00535221816756204</v>
      </c>
      <c r="J2800" s="17" t="n">
        <f aca="false">AVERAGE(C2601:C2800)</f>
        <v>30943.4848</v>
      </c>
      <c r="K2800" s="17" t="n">
        <f aca="false">MAX(K2799,C2800)</f>
        <v>67510.06</v>
      </c>
      <c r="L2800" s="25" t="n">
        <f aca="false">C2800/K2800-1</f>
        <v>-0.706116244008671</v>
      </c>
      <c r="M2800" s="25" t="n">
        <f aca="false">IF(COUNT(G2771:G2800)&lt;20,"",_xlfn.STDEV.S(G2771:G2800)*SQRT($R$3))</f>
        <v>0.535530072796595</v>
      </c>
      <c r="N2800" s="25" t="n">
        <f aca="false">IF(A2800-7&lt;$R$2,"",C2800/INDEX(Clean_Data!$C$2:$C$4314,MATCH(A2800-7,Clean_Data!$A$2:$A$4314,1))-1)</f>
        <v>-0.00890779147016019</v>
      </c>
      <c r="O2800" s="25" t="n">
        <f aca="false">IF(A2800-30&lt;$R$2,"",C2800/INDEX(Clean_Data!$C$2:$C$4314,MATCH(A2800-30,Clean_Data!$A$2:$A$4314,1))-1)</f>
        <v>-0.122298838777719</v>
      </c>
    </row>
    <row r="2801" customFormat="false" ht="15" hidden="false" customHeight="false" outlineLevel="0" collapsed="false">
      <c r="A2801" s="16" t="n">
        <v>44808</v>
      </c>
      <c r="B2801" s="23" t="n">
        <f aca="false">YEAR(A2801)</f>
        <v>2022</v>
      </c>
      <c r="C2801" s="17" t="n">
        <v>20006.54</v>
      </c>
      <c r="D2801" s="23" t="n">
        <f aca="false">A2801-A2800</f>
        <v>1</v>
      </c>
      <c r="E2801" s="24" t="n">
        <f aca="false">LN(C2801)</f>
        <v>9.90381449908328</v>
      </c>
      <c r="F2801" s="25" t="n">
        <f aca="false">LN(C2801/C2800)</f>
        <v>0.00835357390494782</v>
      </c>
      <c r="G2801" s="25" t="n">
        <f aca="false">IF(AND(D2801=1,A2801&gt;=$R$2),F2801,"")</f>
        <v>0.00835357390494782</v>
      </c>
      <c r="H2801" s="27" t="n">
        <f aca="false">IF(G2801="","",G2801^2)</f>
        <v>6.97821969854252E-005</v>
      </c>
      <c r="I2801" s="25" t="n">
        <f aca="false">IF(G2801="","",C2801/C2800-1)</f>
        <v>0.00838856236180141</v>
      </c>
      <c r="J2801" s="17" t="n">
        <f aca="false">AVERAGE(C2602:C2801)</f>
        <v>30824.0314</v>
      </c>
      <c r="K2801" s="17" t="n">
        <f aca="false">MAX(K2800,C2801)</f>
        <v>67510.06</v>
      </c>
      <c r="L2801" s="25" t="n">
        <f aca="false">C2801/K2801-1</f>
        <v>-0.703650981794417</v>
      </c>
      <c r="M2801" s="25" t="n">
        <f aca="false">IF(COUNT(G2772:G2801)&lt;20,"",_xlfn.STDEV.S(G2772:G2801)*SQRT($R$3))</f>
        <v>0.523522027719114</v>
      </c>
      <c r="N2801" s="25" t="n">
        <f aca="false">IF(A2801-7&lt;$R$2,"",C2801/INDEX(Clean_Data!$C$2:$C$4314,MATCH(A2801-7,Clean_Data!$A$2:$A$4314,1))-1)</f>
        <v>0.0216368114312384</v>
      </c>
      <c r="O2801" s="25" t="n">
        <f aca="false">IF(A2801-30&lt;$R$2,"",C2801/INDEX(Clean_Data!$C$2:$C$4314,MATCH(A2801-30,Clean_Data!$A$2:$A$4314,1))-1)</f>
        <v>-0.140802245552314</v>
      </c>
    </row>
    <row r="2802" customFormat="false" ht="15" hidden="false" customHeight="false" outlineLevel="0" collapsed="false">
      <c r="A2802" s="16" t="n">
        <v>44809</v>
      </c>
      <c r="B2802" s="23" t="n">
        <f aca="false">YEAR(A2802)</f>
        <v>2022</v>
      </c>
      <c r="C2802" s="17" t="n">
        <v>19807.74</v>
      </c>
      <c r="D2802" s="23" t="n">
        <f aca="false">A2802-A2801</f>
        <v>1</v>
      </c>
      <c r="E2802" s="24" t="n">
        <f aca="false">LN(C2802)</f>
        <v>9.89382804938848</v>
      </c>
      <c r="F2802" s="25" t="n">
        <f aca="false">LN(C2802/C2801)</f>
        <v>-0.00998644969479761</v>
      </c>
      <c r="G2802" s="25" t="n">
        <f aca="false">IF(AND(D2802=1,A2802&gt;=$R$2),F2802,"")</f>
        <v>-0.00998644969479761</v>
      </c>
      <c r="H2802" s="27" t="n">
        <f aca="false">IF(G2802="","",G2802^2)</f>
        <v>9.97291775067233E-005</v>
      </c>
      <c r="I2802" s="25" t="n">
        <f aca="false">IF(G2802="","",C2802/C2801-1)</f>
        <v>-0.00993675068252675</v>
      </c>
      <c r="J2802" s="17" t="n">
        <f aca="false">AVERAGE(C2603:C2802)</f>
        <v>30720.301</v>
      </c>
      <c r="K2802" s="17" t="n">
        <f aca="false">MAX(K2801,C2802)</f>
        <v>67510.06</v>
      </c>
      <c r="L2802" s="25" t="n">
        <f aca="false">C2802/K2802-1</f>
        <v>-0.706595728103338</v>
      </c>
      <c r="M2802" s="25" t="n">
        <f aca="false">IF(COUNT(G2773:G2802)&lt;20,"",_xlfn.STDEV.S(G2773:G2802)*SQRT($R$3))</f>
        <v>0.522833979088787</v>
      </c>
      <c r="N2802" s="25" t="n">
        <f aca="false">IF(A2802-7&lt;$R$2,"",C2802/INDEX(Clean_Data!$C$2:$C$4314,MATCH(A2802-7,Clean_Data!$A$2:$A$4314,1))-1)</f>
        <v>-0.0238198379878438</v>
      </c>
      <c r="O2802" s="25" t="n">
        <f aca="false">IF(A2802-30&lt;$R$2,"",C2802/INDEX(Clean_Data!$C$2:$C$4314,MATCH(A2802-30,Clean_Data!$A$2:$A$4314,1))-1)</f>
        <v>-0.137299565856684</v>
      </c>
    </row>
    <row r="2803" customFormat="false" ht="15" hidden="false" customHeight="false" outlineLevel="0" collapsed="false">
      <c r="A2803" s="16" t="n">
        <v>44810</v>
      </c>
      <c r="B2803" s="23" t="n">
        <f aca="false">YEAR(A2803)</f>
        <v>2022</v>
      </c>
      <c r="C2803" s="17" t="n">
        <v>18777</v>
      </c>
      <c r="D2803" s="23" t="n">
        <f aca="false">A2803-A2802</f>
        <v>1</v>
      </c>
      <c r="E2803" s="24" t="n">
        <f aca="false">LN(C2803)</f>
        <v>9.84038799559281</v>
      </c>
      <c r="F2803" s="25" t="n">
        <f aca="false">LN(C2803/C2802)</f>
        <v>-0.0534400537956717</v>
      </c>
      <c r="G2803" s="25" t="n">
        <f aca="false">IF(AND(D2803=1,A2803&gt;=$R$2),F2803,"")</f>
        <v>-0.0534400537956717</v>
      </c>
      <c r="H2803" s="27" t="n">
        <f aca="false">IF(G2803="","",G2803^2)</f>
        <v>0.00285583934968428</v>
      </c>
      <c r="I2803" s="25" t="n">
        <f aca="false">IF(G2803="","",C2803/C2802-1)</f>
        <v>-0.0520372339297669</v>
      </c>
      <c r="J2803" s="17" t="n">
        <f aca="false">AVERAGE(C2604:C2803)</f>
        <v>30614.22045</v>
      </c>
      <c r="K2803" s="17" t="n">
        <f aca="false">MAX(K2802,C2803)</f>
        <v>67510.06</v>
      </c>
      <c r="L2803" s="25" t="n">
        <f aca="false">C2803/K2803-1</f>
        <v>-0.721863674836017</v>
      </c>
      <c r="M2803" s="25" t="n">
        <f aca="false">IF(COUNT(G2774:G2803)&lt;20,"",_xlfn.STDEV.S(G2774:G2803)*SQRT($R$3))</f>
        <v>0.54640215993182</v>
      </c>
      <c r="N2803" s="25" t="n">
        <f aca="false">IF(A2803-7&lt;$R$2,"",C2803/INDEX(Clean_Data!$C$2:$C$4314,MATCH(A2803-7,Clean_Data!$A$2:$A$4314,1))-1)</f>
        <v>-0.053373462998533</v>
      </c>
      <c r="O2803" s="25" t="n">
        <f aca="false">IF(A2803-30&lt;$R$2,"",C2803/INDEX(Clean_Data!$C$2:$C$4314,MATCH(A2803-30,Clean_Data!$A$2:$A$4314,1))-1)</f>
        <v>-0.190207099456127</v>
      </c>
    </row>
    <row r="2804" customFormat="false" ht="15" hidden="false" customHeight="false" outlineLevel="0" collapsed="false">
      <c r="A2804" s="16" t="n">
        <v>44811</v>
      </c>
      <c r="B2804" s="23" t="n">
        <f aca="false">YEAR(A2804)</f>
        <v>2022</v>
      </c>
      <c r="C2804" s="17" t="n">
        <v>19286.23</v>
      </c>
      <c r="D2804" s="23" t="n">
        <f aca="false">A2804-A2803</f>
        <v>1</v>
      </c>
      <c r="E2804" s="24" t="n">
        <f aca="false">LN(C2804)</f>
        <v>9.86714664874847</v>
      </c>
      <c r="F2804" s="25" t="n">
        <f aca="false">LN(C2804/C2803)</f>
        <v>0.0267586531556554</v>
      </c>
      <c r="G2804" s="25" t="n">
        <f aca="false">IF(AND(D2804=1,A2804&gt;=$R$2),F2804,"")</f>
        <v>0.0267586531556554</v>
      </c>
      <c r="H2804" s="27" t="n">
        <f aca="false">IF(G2804="","",G2804^2)</f>
        <v>0.000716025518704668</v>
      </c>
      <c r="I2804" s="25" t="n">
        <f aca="false">IF(G2804="","",C2804/C2803-1)</f>
        <v>0.0271198807051178</v>
      </c>
      <c r="J2804" s="17" t="n">
        <f aca="false">AVERAGE(C2605:C2804)</f>
        <v>30510.2057</v>
      </c>
      <c r="K2804" s="17" t="n">
        <f aca="false">MAX(K2803,C2804)</f>
        <v>67510.06</v>
      </c>
      <c r="L2804" s="25" t="n">
        <f aca="false">C2804/K2804-1</f>
        <v>-0.71432065087781</v>
      </c>
      <c r="M2804" s="25" t="n">
        <f aca="false">IF(COUNT(G2775:G2804)&lt;20,"",_xlfn.STDEV.S(G2775:G2804)*SQRT($R$3))</f>
        <v>0.546117859061551</v>
      </c>
      <c r="N2804" s="25" t="n">
        <f aca="false">IF(A2804-7&lt;$R$2,"",C2804/INDEX(Clean_Data!$C$2:$C$4314,MATCH(A2804-7,Clean_Data!$A$2:$A$4314,1))-1)</f>
        <v>-0.0369154696916129</v>
      </c>
      <c r="O2804" s="25" t="n">
        <f aca="false">IF(A2804-30&lt;$R$2,"",C2804/INDEX(Clean_Data!$C$2:$C$4314,MATCH(A2804-30,Clean_Data!$A$2:$A$4314,1))-1)</f>
        <v>-0.190501114380333</v>
      </c>
    </row>
    <row r="2805" customFormat="false" ht="15" hidden="false" customHeight="false" outlineLevel="0" collapsed="false">
      <c r="A2805" s="16" t="n">
        <v>44812</v>
      </c>
      <c r="B2805" s="23" t="n">
        <f aca="false">YEAR(A2805)</f>
        <v>2022</v>
      </c>
      <c r="C2805" s="17" t="n">
        <v>19320.01</v>
      </c>
      <c r="D2805" s="23" t="n">
        <f aca="false">A2805-A2804</f>
        <v>1</v>
      </c>
      <c r="E2805" s="24" t="n">
        <f aca="false">LN(C2805)</f>
        <v>9.86889662536472</v>
      </c>
      <c r="F2805" s="25" t="n">
        <f aca="false">LN(C2805/C2804)</f>
        <v>0.00174997661625185</v>
      </c>
      <c r="G2805" s="25" t="n">
        <f aca="false">IF(AND(D2805=1,A2805&gt;=$R$2),F2805,"")</f>
        <v>0.00174997661625185</v>
      </c>
      <c r="H2805" s="27" t="n">
        <f aca="false">IF(G2805="","",G2805^2)</f>
        <v>3.06241815742828E-006</v>
      </c>
      <c r="I2805" s="25" t="n">
        <f aca="false">IF(G2805="","",C2805/C2804-1)</f>
        <v>0.00175150871891483</v>
      </c>
      <c r="J2805" s="17" t="n">
        <f aca="false">AVERAGE(C2606:C2805)</f>
        <v>30414.67375</v>
      </c>
      <c r="K2805" s="17" t="n">
        <f aca="false">MAX(K2804,C2805)</f>
        <v>67510.06</v>
      </c>
      <c r="L2805" s="25" t="n">
        <f aca="false">C2805/K2805-1</f>
        <v>-0.713820281007009</v>
      </c>
      <c r="M2805" s="25" t="n">
        <f aca="false">IF(COUNT(G2776:G2805)&lt;20,"",_xlfn.STDEV.S(G2776:G2805)*SQRT($R$3))</f>
        <v>0.540952072346942</v>
      </c>
      <c r="N2805" s="25" t="n">
        <f aca="false">IF(A2805-7&lt;$R$2,"",C2805/INDEX(Clean_Data!$C$2:$C$4314,MATCH(A2805-7,Clean_Data!$A$2:$A$4314,1))-1)</f>
        <v>-0.0394033365303486</v>
      </c>
      <c r="O2805" s="25" t="n">
        <f aca="false">IF(A2805-30&lt;$R$2,"",C2805/INDEX(Clean_Data!$C$2:$C$4314,MATCH(A2805-30,Clean_Data!$A$2:$A$4314,1))-1)</f>
        <v>-0.165042346419948</v>
      </c>
    </row>
    <row r="2806" customFormat="false" ht="15" hidden="false" customHeight="false" outlineLevel="0" collapsed="false">
      <c r="A2806" s="16" t="n">
        <v>44813</v>
      </c>
      <c r="B2806" s="23" t="n">
        <f aca="false">YEAR(A2806)</f>
        <v>2022</v>
      </c>
      <c r="C2806" s="17" t="n">
        <v>21355.55</v>
      </c>
      <c r="D2806" s="23" t="n">
        <f aca="false">A2806-A2805</f>
        <v>1</v>
      </c>
      <c r="E2806" s="24" t="n">
        <f aca="false">LN(C2806)</f>
        <v>9.9690669380364</v>
      </c>
      <c r="F2806" s="25" t="n">
        <f aca="false">LN(C2806/C2805)</f>
        <v>0.100170312671676</v>
      </c>
      <c r="G2806" s="25" t="n">
        <f aca="false">IF(AND(D2806=1,A2806&gt;=$R$2),F2806,"")</f>
        <v>0.100170312671676</v>
      </c>
      <c r="H2806" s="27" t="n">
        <f aca="false">IF(G2806="","",G2806^2)</f>
        <v>0.0100340915407413</v>
      </c>
      <c r="I2806" s="25" t="n">
        <f aca="false">IF(G2806="","",C2806/C2805-1)</f>
        <v>0.105359158716792</v>
      </c>
      <c r="J2806" s="17" t="n">
        <f aca="false">AVERAGE(C2607:C2806)</f>
        <v>30336.0745</v>
      </c>
      <c r="K2806" s="17" t="n">
        <f aca="false">MAX(K2805,C2806)</f>
        <v>67510.06</v>
      </c>
      <c r="L2806" s="25" t="n">
        <f aca="false">C2806/K2806-1</f>
        <v>-0.683668626572099</v>
      </c>
      <c r="M2806" s="25" t="n">
        <f aca="false">IF(COUNT(G2777:G2806)&lt;20,"",_xlfn.STDEV.S(G2777:G2806)*SQRT($R$3))</f>
        <v>0.640916609135317</v>
      </c>
      <c r="N2806" s="25" t="n">
        <f aca="false">IF(A2806-7&lt;$R$2,"",C2806/INDEX(Clean_Data!$C$2:$C$4314,MATCH(A2806-7,Clean_Data!$A$2:$A$4314,1))-1)</f>
        <v>0.0706216062971283</v>
      </c>
      <c r="O2806" s="25" t="n">
        <f aca="false">IF(A2806-30&lt;$R$2,"",C2806/INDEX(Clean_Data!$C$2:$C$4314,MATCH(A2806-30,Clean_Data!$A$2:$A$4314,1))-1)</f>
        <v>-0.109545402424659</v>
      </c>
    </row>
    <row r="2807" customFormat="false" ht="15" hidden="false" customHeight="false" outlineLevel="0" collapsed="false">
      <c r="A2807" s="16" t="n">
        <v>44814</v>
      </c>
      <c r="B2807" s="23" t="n">
        <f aca="false">YEAR(A2807)</f>
        <v>2022</v>
      </c>
      <c r="C2807" s="17" t="n">
        <v>21660.39</v>
      </c>
      <c r="D2807" s="23" t="n">
        <f aca="false">A2807-A2806</f>
        <v>1</v>
      </c>
      <c r="E2807" s="24" t="n">
        <f aca="false">LN(C2807)</f>
        <v>9.98324052593305</v>
      </c>
      <c r="F2807" s="25" t="n">
        <f aca="false">LN(C2807/C2806)</f>
        <v>0.0141735878966556</v>
      </c>
      <c r="G2807" s="25" t="n">
        <f aca="false">IF(AND(D2807=1,A2807&gt;=$R$2),F2807,"")</f>
        <v>0.0141735878966556</v>
      </c>
      <c r="H2807" s="27" t="n">
        <f aca="false">IF(G2807="","",G2807^2)</f>
        <v>0.000200890593864223</v>
      </c>
      <c r="I2807" s="25" t="n">
        <f aca="false">IF(G2807="","",C2807/C2806-1)</f>
        <v>0.014274509436657</v>
      </c>
      <c r="J2807" s="17" t="n">
        <f aca="false">AVERAGE(C2608:C2807)</f>
        <v>30253.06915</v>
      </c>
      <c r="K2807" s="17" t="n">
        <f aca="false">MAX(K2806,C2807)</f>
        <v>67510.06</v>
      </c>
      <c r="L2807" s="25" t="n">
        <f aca="false">C2807/K2807-1</f>
        <v>-0.679153151396992</v>
      </c>
      <c r="M2807" s="25" t="n">
        <f aca="false">IF(COUNT(G2778:G2807)&lt;20,"",_xlfn.STDEV.S(G2778:G2807)*SQRT($R$3))</f>
        <v>0.643953896739393</v>
      </c>
      <c r="N2807" s="25" t="n">
        <f aca="false">IF(A2807-7&lt;$R$2,"",C2807/INDEX(Clean_Data!$C$2:$C$4314,MATCH(A2807-7,Clean_Data!$A$2:$A$4314,1))-1)</f>
        <v>0.0917474751904097</v>
      </c>
      <c r="O2807" s="25" t="n">
        <f aca="false">IF(A2807-30&lt;$R$2,"",C2807/INDEX(Clean_Data!$C$2:$C$4314,MATCH(A2807-30,Clean_Data!$A$2:$A$4314,1))-1)</f>
        <v>-0.0958366657928527</v>
      </c>
    </row>
    <row r="2808" customFormat="false" ht="15" hidden="false" customHeight="false" outlineLevel="0" collapsed="false">
      <c r="A2808" s="16" t="n">
        <v>44815</v>
      </c>
      <c r="B2808" s="23" t="n">
        <f aca="false">YEAR(A2808)</f>
        <v>2022</v>
      </c>
      <c r="C2808" s="17" t="n">
        <v>21818.08</v>
      </c>
      <c r="D2808" s="23" t="n">
        <f aca="false">A2808-A2807</f>
        <v>1</v>
      </c>
      <c r="E2808" s="24" t="n">
        <f aca="false">LN(C2808)</f>
        <v>9.9904942628482</v>
      </c>
      <c r="F2808" s="25" t="n">
        <f aca="false">LN(C2808/C2807)</f>
        <v>0.00725373691515235</v>
      </c>
      <c r="G2808" s="25" t="n">
        <f aca="false">IF(AND(D2808=1,A2808&gt;=$R$2),F2808,"")</f>
        <v>0.00725373691515235</v>
      </c>
      <c r="H2808" s="27" t="n">
        <f aca="false">IF(G2808="","",G2808^2)</f>
        <v>5.26166992342439E-005</v>
      </c>
      <c r="I2808" s="25" t="n">
        <f aca="false">IF(G2808="","",C2808/C2807-1)</f>
        <v>0.00728010899157416</v>
      </c>
      <c r="J2808" s="17" t="n">
        <f aca="false">AVERAGE(C2609:C2808)</f>
        <v>30176.03455</v>
      </c>
      <c r="K2808" s="17" t="n">
        <f aca="false">MAX(K2807,C2808)</f>
        <v>67510.06</v>
      </c>
      <c r="L2808" s="25" t="n">
        <f aca="false">C2808/K2808-1</f>
        <v>-0.676817351369559</v>
      </c>
      <c r="M2808" s="25" t="n">
        <f aca="false">IF(COUNT(G2779:G2808)&lt;20,"",_xlfn.STDEV.S(G2779:G2808)*SQRT($R$3))</f>
        <v>0.640428430529453</v>
      </c>
      <c r="N2808" s="25" t="n">
        <f aca="false">IF(A2808-7&lt;$R$2,"",C2808/INDEX(Clean_Data!$C$2:$C$4314,MATCH(A2808-7,Clean_Data!$A$2:$A$4314,1))-1)</f>
        <v>0.090547391003142</v>
      </c>
      <c r="O2808" s="25" t="n">
        <f aca="false">IF(A2808-30&lt;$R$2,"",C2808/INDEX(Clean_Data!$C$2:$C$4314,MATCH(A2808-30,Clean_Data!$A$2:$A$4314,1))-1)</f>
        <v>-0.105753722904351</v>
      </c>
    </row>
    <row r="2809" customFormat="false" ht="15" hidden="false" customHeight="false" outlineLevel="0" collapsed="false">
      <c r="A2809" s="16" t="n">
        <v>44816</v>
      </c>
      <c r="B2809" s="23" t="n">
        <f aca="false">YEAR(A2809)</f>
        <v>2022</v>
      </c>
      <c r="C2809" s="17" t="n">
        <v>22412.6</v>
      </c>
      <c r="D2809" s="23" t="n">
        <f aca="false">A2809-A2808</f>
        <v>1</v>
      </c>
      <c r="E2809" s="24" t="n">
        <f aca="false">LN(C2809)</f>
        <v>10.0173785796993</v>
      </c>
      <c r="F2809" s="25" t="n">
        <f aca="false">LN(C2809/C2808)</f>
        <v>0.0268843168511051</v>
      </c>
      <c r="G2809" s="25" t="n">
        <f aca="false">IF(AND(D2809=1,A2809&gt;=$R$2),F2809,"")</f>
        <v>0.0268843168511051</v>
      </c>
      <c r="H2809" s="27" t="n">
        <f aca="false">IF(G2809="","",G2809^2)</f>
        <v>0.000722766492550613</v>
      </c>
      <c r="I2809" s="25" t="n">
        <f aca="false">IF(G2809="","",C2809/C2808-1)</f>
        <v>0.0272489604951489</v>
      </c>
      <c r="J2809" s="17" t="n">
        <f aca="false">AVERAGE(C2610:C2809)</f>
        <v>30096.2595</v>
      </c>
      <c r="K2809" s="17" t="n">
        <f aca="false">MAX(K2808,C2809)</f>
        <v>67510.06</v>
      </c>
      <c r="L2809" s="25" t="n">
        <f aca="false">C2809/K2809-1</f>
        <v>-0.66801096014431</v>
      </c>
      <c r="M2809" s="25" t="n">
        <f aca="false">IF(COUNT(G2780:G2809)&lt;20,"",_xlfn.STDEV.S(G2780:G2809)*SQRT($R$3))</f>
        <v>0.649052726924218</v>
      </c>
      <c r="N2809" s="25" t="n">
        <f aca="false">IF(A2809-7&lt;$R$2,"",C2809/INDEX(Clean_Data!$C$2:$C$4314,MATCH(A2809-7,Clean_Data!$A$2:$A$4314,1))-1)</f>
        <v>0.131507178506987</v>
      </c>
      <c r="O2809" s="25" t="n">
        <f aca="false">IF(A2809-30&lt;$R$2,"",C2809/INDEX(Clean_Data!$C$2:$C$4314,MATCH(A2809-30,Clean_Data!$A$2:$A$4314,1))-1)</f>
        <v>-0.0832197546700875</v>
      </c>
    </row>
    <row r="2810" customFormat="false" ht="15" hidden="false" customHeight="false" outlineLevel="0" collapsed="false">
      <c r="A2810" s="16" t="n">
        <v>44817</v>
      </c>
      <c r="B2810" s="23" t="n">
        <f aca="false">YEAR(A2810)</f>
        <v>2022</v>
      </c>
      <c r="C2810" s="17" t="n">
        <v>20164.09</v>
      </c>
      <c r="D2810" s="23" t="n">
        <f aca="false">A2810-A2809</f>
        <v>1</v>
      </c>
      <c r="E2810" s="24" t="n">
        <f aca="false">LN(C2810)</f>
        <v>9.91165857859268</v>
      </c>
      <c r="F2810" s="25" t="n">
        <f aca="false">LN(C2810/C2809)</f>
        <v>-0.105720001106628</v>
      </c>
      <c r="G2810" s="25" t="n">
        <f aca="false">IF(AND(D2810=1,A2810&gt;=$R$2),F2810,"")</f>
        <v>-0.105720001106628</v>
      </c>
      <c r="H2810" s="27" t="n">
        <f aca="false">IF(G2810="","",G2810^2)</f>
        <v>0.0111767186339854</v>
      </c>
      <c r="I2810" s="25" t="n">
        <f aca="false">IF(G2810="","",C2810/C2809-1)</f>
        <v>-0.100323478757485</v>
      </c>
      <c r="J2810" s="17" t="n">
        <f aca="false">AVERAGE(C2611:C2810)</f>
        <v>30001.01595</v>
      </c>
      <c r="K2810" s="17" t="n">
        <f aca="false">MAX(K2809,C2810)</f>
        <v>67510.06</v>
      </c>
      <c r="L2810" s="25" t="n">
        <f aca="false">C2810/K2810-1</f>
        <v>-0.70131725553199</v>
      </c>
      <c r="M2810" s="25" t="n">
        <f aca="false">IF(COUNT(G2781:G2810)&lt;20,"",_xlfn.STDEV.S(G2781:G2810)*SQRT($R$3))</f>
        <v>0.74165121837964</v>
      </c>
      <c r="N2810" s="25" t="n">
        <f aca="false">IF(A2810-7&lt;$R$2,"",C2810/INDEX(Clean_Data!$C$2:$C$4314,MATCH(A2810-7,Clean_Data!$A$2:$A$4314,1))-1)</f>
        <v>0.0738717580018107</v>
      </c>
      <c r="O2810" s="25" t="n">
        <f aca="false">IF(A2810-30&lt;$R$2,"",C2810/INDEX(Clean_Data!$C$2:$C$4314,MATCH(A2810-30,Clean_Data!$A$2:$A$4314,1))-1)</f>
        <v>-0.170260446692846</v>
      </c>
    </row>
    <row r="2811" customFormat="false" ht="15" hidden="false" customHeight="false" outlineLevel="0" collapsed="false">
      <c r="A2811" s="16" t="n">
        <v>44818</v>
      </c>
      <c r="B2811" s="23" t="n">
        <f aca="false">YEAR(A2811)</f>
        <v>2022</v>
      </c>
      <c r="C2811" s="17" t="n">
        <v>20216.63</v>
      </c>
      <c r="D2811" s="23" t="n">
        <f aca="false">A2811-A2810</f>
        <v>1</v>
      </c>
      <c r="E2811" s="24" t="n">
        <f aca="false">LN(C2811)</f>
        <v>9.91426081201736</v>
      </c>
      <c r="F2811" s="25" t="n">
        <f aca="false">LN(C2811/C2810)</f>
        <v>0.00260223342468406</v>
      </c>
      <c r="G2811" s="25" t="n">
        <f aca="false">IF(AND(D2811=1,A2811&gt;=$R$2),F2811,"")</f>
        <v>0.00260223342468406</v>
      </c>
      <c r="H2811" s="27" t="n">
        <f aca="false">IF(G2811="","",G2811^2)</f>
        <v>6.77161879654292E-006</v>
      </c>
      <c r="I2811" s="25" t="n">
        <f aca="false">IF(G2811="","",C2811/C2810-1)</f>
        <v>0.00260562217288274</v>
      </c>
      <c r="J2811" s="17" t="n">
        <f aca="false">AVERAGE(C2612:C2811)</f>
        <v>29906.40805</v>
      </c>
      <c r="K2811" s="17" t="n">
        <f aca="false">MAX(K2810,C2811)</f>
        <v>67510.06</v>
      </c>
      <c r="L2811" s="25" t="n">
        <f aca="false">C2811/K2811-1</f>
        <v>-0.700539001150347</v>
      </c>
      <c r="M2811" s="25" t="n">
        <f aca="false">IF(COUNT(G2782:G2811)&lt;20,"",_xlfn.STDEV.S(G2782:G2811)*SQRT($R$3))</f>
        <v>0.742225509121985</v>
      </c>
      <c r="N2811" s="25" t="n">
        <f aca="false">IF(A2811-7&lt;$R$2,"",C2811/INDEX(Clean_Data!$C$2:$C$4314,MATCH(A2811-7,Clean_Data!$A$2:$A$4314,1))-1)</f>
        <v>0.048241672944894</v>
      </c>
      <c r="O2811" s="25" t="n">
        <f aca="false">IF(A2811-30&lt;$R$2,"",C2811/INDEX(Clean_Data!$C$2:$C$4314,MATCH(A2811-30,Clean_Data!$A$2:$A$4314,1))-1)</f>
        <v>-0.160866535199879</v>
      </c>
    </row>
    <row r="2812" customFormat="false" ht="15" hidden="false" customHeight="false" outlineLevel="0" collapsed="false">
      <c r="A2812" s="16" t="n">
        <v>44819</v>
      </c>
      <c r="B2812" s="23" t="n">
        <f aca="false">YEAR(A2812)</f>
        <v>2022</v>
      </c>
      <c r="C2812" s="17" t="n">
        <v>19690.75</v>
      </c>
      <c r="D2812" s="23" t="n">
        <f aca="false">A2812-A2811</f>
        <v>1</v>
      </c>
      <c r="E2812" s="24" t="n">
        <f aca="false">LN(C2812)</f>
        <v>9.88790426130897</v>
      </c>
      <c r="F2812" s="25" t="n">
        <f aca="false">LN(C2812/C2811)</f>
        <v>-0.0263565507083943</v>
      </c>
      <c r="G2812" s="25" t="n">
        <f aca="false">IF(AND(D2812=1,A2812&gt;=$R$2),F2812,"")</f>
        <v>-0.0263565507083943</v>
      </c>
      <c r="H2812" s="27" t="n">
        <f aca="false">IF(G2812="","",G2812^2)</f>
        <v>0.000694667765244161</v>
      </c>
      <c r="I2812" s="25" t="n">
        <f aca="false">IF(G2812="","",C2812/C2811-1)</f>
        <v>-0.02601224833219</v>
      </c>
      <c r="J2812" s="17" t="n">
        <f aca="false">AVERAGE(C2613:C2812)</f>
        <v>29816.3618</v>
      </c>
      <c r="K2812" s="17" t="n">
        <f aca="false">MAX(K2811,C2812)</f>
        <v>67510.06</v>
      </c>
      <c r="L2812" s="25" t="n">
        <f aca="false">C2812/K2812-1</f>
        <v>-0.70832865501823</v>
      </c>
      <c r="M2812" s="25" t="n">
        <f aca="false">IF(COUNT(G2783:G2812)&lt;20,"",_xlfn.STDEV.S(G2783:G2812)*SQRT($R$3))</f>
        <v>0.745585189889634</v>
      </c>
      <c r="N2812" s="25" t="n">
        <f aca="false">IF(A2812-7&lt;$R$2,"",C2812/INDEX(Clean_Data!$C$2:$C$4314,MATCH(A2812-7,Clean_Data!$A$2:$A$4314,1))-1)</f>
        <v>0.0191894310613712</v>
      </c>
      <c r="O2812" s="25" t="n">
        <f aca="false">IF(A2812-30&lt;$R$2,"",C2812/INDEX(Clean_Data!$C$2:$C$4314,MATCH(A2812-30,Clean_Data!$A$2:$A$4314,1))-1)</f>
        <v>-0.174800308442783</v>
      </c>
    </row>
    <row r="2813" customFormat="false" ht="15" hidden="false" customHeight="false" outlineLevel="0" collapsed="false">
      <c r="A2813" s="16" t="n">
        <v>44820</v>
      </c>
      <c r="B2813" s="23" t="n">
        <f aca="false">YEAR(A2813)</f>
        <v>2022</v>
      </c>
      <c r="C2813" s="17" t="n">
        <v>19784.17</v>
      </c>
      <c r="D2813" s="23" t="n">
        <f aca="false">A2813-A2812</f>
        <v>1</v>
      </c>
      <c r="E2813" s="24" t="n">
        <f aca="false">LN(C2813)</f>
        <v>9.8926374019666</v>
      </c>
      <c r="F2813" s="25" t="n">
        <f aca="false">LN(C2813/C2812)</f>
        <v>0.00473314065762939</v>
      </c>
      <c r="G2813" s="25" t="n">
        <f aca="false">IF(AND(D2813=1,A2813&gt;=$R$2),F2813,"")</f>
        <v>0.00473314065762939</v>
      </c>
      <c r="H2813" s="27" t="n">
        <f aca="false">IF(G2813="","",G2813^2)</f>
        <v>2.24026204849044E-005</v>
      </c>
      <c r="I2813" s="25" t="n">
        <f aca="false">IF(G2813="","",C2813/C2812-1)</f>
        <v>0.00474435966126219</v>
      </c>
      <c r="J2813" s="17" t="n">
        <f aca="false">AVERAGE(C2614:C2813)</f>
        <v>29699.25255</v>
      </c>
      <c r="K2813" s="17" t="n">
        <f aca="false">MAX(K2812,C2813)</f>
        <v>67510.06</v>
      </c>
      <c r="L2813" s="25" t="n">
        <f aca="false">C2813/K2813-1</f>
        <v>-0.706944861254752</v>
      </c>
      <c r="M2813" s="25" t="n">
        <f aca="false">IF(COUNT(G2784:G2813)&lt;20,"",_xlfn.STDEV.S(G2784:G2813)*SQRT($R$3))</f>
        <v>0.744556271565532</v>
      </c>
      <c r="N2813" s="25" t="n">
        <f aca="false">IF(A2813-7&lt;$R$2,"",C2813/INDEX(Clean_Data!$C$2:$C$4314,MATCH(A2813-7,Clean_Data!$A$2:$A$4314,1))-1)</f>
        <v>-0.0735818089442791</v>
      </c>
      <c r="O2813" s="25" t="n">
        <f aca="false">IF(A2813-30&lt;$R$2,"",C2813/INDEX(Clean_Data!$C$2:$C$4314,MATCH(A2813-30,Clean_Data!$A$2:$A$4314,1))-1)</f>
        <v>-0.152998408674756</v>
      </c>
    </row>
    <row r="2814" customFormat="false" ht="15" hidden="false" customHeight="false" outlineLevel="0" collapsed="false">
      <c r="A2814" s="16" t="n">
        <v>44821</v>
      </c>
      <c r="B2814" s="23" t="n">
        <f aca="false">YEAR(A2814)</f>
        <v>2022</v>
      </c>
      <c r="C2814" s="17" t="n">
        <v>20117.18</v>
      </c>
      <c r="D2814" s="23" t="n">
        <f aca="false">A2814-A2813</f>
        <v>1</v>
      </c>
      <c r="E2814" s="24" t="n">
        <f aca="false">LN(C2814)</f>
        <v>9.90932945534475</v>
      </c>
      <c r="F2814" s="25" t="n">
        <f aca="false">LN(C2814/C2813)</f>
        <v>0.0166920533781544</v>
      </c>
      <c r="G2814" s="25" t="n">
        <f aca="false">IF(AND(D2814=1,A2814&gt;=$R$2),F2814,"")</f>
        <v>0.0166920533781544</v>
      </c>
      <c r="H2814" s="27" t="n">
        <f aca="false">IF(G2814="","",G2814^2)</f>
        <v>0.000278624645979157</v>
      </c>
      <c r="I2814" s="25" t="n">
        <f aca="false">IF(G2814="","",C2814/C2813-1)</f>
        <v>0.0168321440828705</v>
      </c>
      <c r="J2814" s="17" t="n">
        <f aca="false">AVERAGE(C2615:C2814)</f>
        <v>29577.77745</v>
      </c>
      <c r="K2814" s="17" t="n">
        <f aca="false">MAX(K2813,C2814)</f>
        <v>67510.06</v>
      </c>
      <c r="L2814" s="25" t="n">
        <f aca="false">C2814/K2814-1</f>
        <v>-0.702012114935167</v>
      </c>
      <c r="M2814" s="25" t="n">
        <f aca="false">IF(COUNT(G2785:G2814)&lt;20,"",_xlfn.STDEV.S(G2785:G2814)*SQRT($R$3))</f>
        <v>0.74850803028939</v>
      </c>
      <c r="N2814" s="25" t="n">
        <f aca="false">IF(A2814-7&lt;$R$2,"",C2814/INDEX(Clean_Data!$C$2:$C$4314,MATCH(A2814-7,Clean_Data!$A$2:$A$4314,1))-1)</f>
        <v>-0.0712457162590332</v>
      </c>
      <c r="O2814" s="25" t="n">
        <f aca="false">IF(A2814-30&lt;$R$2,"",C2814/INDEX(Clean_Data!$C$2:$C$4314,MATCH(A2814-30,Clean_Data!$A$2:$A$4314,1))-1)</f>
        <v>-0.131978477642724</v>
      </c>
    </row>
    <row r="2815" customFormat="false" ht="15" hidden="false" customHeight="false" outlineLevel="0" collapsed="false">
      <c r="A2815" s="16" t="n">
        <v>44822</v>
      </c>
      <c r="B2815" s="23" t="n">
        <f aca="false">YEAR(A2815)</f>
        <v>2022</v>
      </c>
      <c r="C2815" s="17" t="n">
        <v>19425.05</v>
      </c>
      <c r="D2815" s="23" t="n">
        <f aca="false">A2815-A2814</f>
        <v>1</v>
      </c>
      <c r="E2815" s="24" t="n">
        <f aca="false">LN(C2815)</f>
        <v>9.87431874923511</v>
      </c>
      <c r="F2815" s="25" t="n">
        <f aca="false">LN(C2815/C2814)</f>
        <v>-0.0350107061096435</v>
      </c>
      <c r="G2815" s="25" t="n">
        <f aca="false">IF(AND(D2815=1,A2815&gt;=$R$2),F2815,"")</f>
        <v>-0.0350107061096435</v>
      </c>
      <c r="H2815" s="27" t="n">
        <f aca="false">IF(G2815="","",G2815^2)</f>
        <v>0.00122574954229583</v>
      </c>
      <c r="I2815" s="25" t="n">
        <f aca="false">IF(G2815="","",C2815/C2814-1)</f>
        <v>-0.0344049215645533</v>
      </c>
      <c r="J2815" s="17" t="n">
        <f aca="false">AVERAGE(C2616:C2815)</f>
        <v>29455.58895</v>
      </c>
      <c r="K2815" s="17" t="n">
        <f aca="false">MAX(K2814,C2815)</f>
        <v>67510.06</v>
      </c>
      <c r="L2815" s="25" t="n">
        <f aca="false">C2815/K2815-1</f>
        <v>-0.712264364748009</v>
      </c>
      <c r="M2815" s="25" t="n">
        <f aca="false">IF(COUNT(G2786:G2815)&lt;20,"",_xlfn.STDEV.S(G2786:G2815)*SQRT($R$3))</f>
        <v>0.664246051061332</v>
      </c>
      <c r="N2815" s="25" t="n">
        <f aca="false">IF(A2815-7&lt;$R$2,"",C2815/INDEX(Clean_Data!$C$2:$C$4314,MATCH(A2815-7,Clean_Data!$A$2:$A$4314,1))-1)</f>
        <v>-0.109681053511583</v>
      </c>
      <c r="O2815" s="25" t="n">
        <f aca="false">IF(A2815-30&lt;$R$2,"",C2815/INDEX(Clean_Data!$C$2:$C$4314,MATCH(A2815-30,Clean_Data!$A$2:$A$4314,1))-1)</f>
        <v>-0.0683447130077449</v>
      </c>
    </row>
    <row r="2816" customFormat="false" ht="15" hidden="false" customHeight="false" outlineLevel="0" collapsed="false">
      <c r="A2816" s="16" t="n">
        <v>44823</v>
      </c>
      <c r="B2816" s="23" t="n">
        <f aca="false">YEAR(A2816)</f>
        <v>2022</v>
      </c>
      <c r="C2816" s="17" t="n">
        <v>19553.1</v>
      </c>
      <c r="D2816" s="23" t="n">
        <f aca="false">A2816-A2815</f>
        <v>1</v>
      </c>
      <c r="E2816" s="24" t="n">
        <f aca="false">LN(C2816)</f>
        <v>9.88088912061791</v>
      </c>
      <c r="F2816" s="25" t="n">
        <f aca="false">LN(C2816/C2815)</f>
        <v>0.00657037138279757</v>
      </c>
      <c r="G2816" s="25" t="n">
        <f aca="false">IF(AND(D2816=1,A2816&gt;=$R$2),F2816,"")</f>
        <v>0.00657037138279757</v>
      </c>
      <c r="H2816" s="27" t="n">
        <f aca="false">IF(G2816="","",G2816^2)</f>
        <v>4.31697801078853E-005</v>
      </c>
      <c r="I2816" s="25" t="n">
        <f aca="false">IF(G2816="","",C2816/C2815-1)</f>
        <v>0.00659200362418622</v>
      </c>
      <c r="J2816" s="17" t="n">
        <f aca="false">AVERAGE(C2617:C2816)</f>
        <v>29341.19445</v>
      </c>
      <c r="K2816" s="17" t="n">
        <f aca="false">MAX(K2815,C2816)</f>
        <v>67510.06</v>
      </c>
      <c r="L2816" s="25" t="n">
        <f aca="false">C2816/K2816-1</f>
        <v>-0.710367610397621</v>
      </c>
      <c r="M2816" s="25" t="n">
        <f aca="false">IF(COUNT(G2787:G2816)&lt;20,"",_xlfn.STDEV.S(G2787:G2816)*SQRT($R$3))</f>
        <v>0.662333573843309</v>
      </c>
      <c r="N2816" s="25" t="n">
        <f aca="false">IF(A2816-7&lt;$R$2,"",C2816/INDEX(Clean_Data!$C$2:$C$4314,MATCH(A2816-7,Clean_Data!$A$2:$A$4314,1))-1)</f>
        <v>-0.127584483727903</v>
      </c>
      <c r="O2816" s="25" t="n">
        <f aca="false">IF(A2816-30&lt;$R$2,"",C2816/INDEX(Clean_Data!$C$2:$C$4314,MATCH(A2816-30,Clean_Data!$A$2:$A$4314,1))-1)</f>
        <v>-0.0755669233078584</v>
      </c>
    </row>
    <row r="2817" customFormat="false" ht="15" hidden="false" customHeight="false" outlineLevel="0" collapsed="false">
      <c r="A2817" s="16" t="n">
        <v>44824</v>
      </c>
      <c r="B2817" s="23" t="n">
        <f aca="false">YEAR(A2817)</f>
        <v>2022</v>
      </c>
      <c r="C2817" s="17" t="n">
        <v>18869.22</v>
      </c>
      <c r="D2817" s="23" t="n">
        <f aca="false">A2817-A2816</f>
        <v>1</v>
      </c>
      <c r="E2817" s="24" t="n">
        <f aca="false">LN(C2817)</f>
        <v>9.84528730205516</v>
      </c>
      <c r="F2817" s="25" t="n">
        <f aca="false">LN(C2817/C2816)</f>
        <v>-0.0356018185627446</v>
      </c>
      <c r="G2817" s="25" t="n">
        <f aca="false">IF(AND(D2817=1,A2817&gt;=$R$2),F2817,"")</f>
        <v>-0.0356018185627446</v>
      </c>
      <c r="H2817" s="27" t="n">
        <f aca="false">IF(G2817="","",G2817^2)</f>
        <v>0.00126748948497459</v>
      </c>
      <c r="I2817" s="25" t="n">
        <f aca="false">IF(G2817="","",C2817/C2816-1)</f>
        <v>-0.0349755281771176</v>
      </c>
      <c r="J2817" s="17" t="n">
        <f aca="false">AVERAGE(C2618:C2817)</f>
        <v>29239.5117</v>
      </c>
      <c r="K2817" s="17" t="n">
        <f aca="false">MAX(K2816,C2817)</f>
        <v>67510.06</v>
      </c>
      <c r="L2817" s="25" t="n">
        <f aca="false">C2817/K2817-1</f>
        <v>-0.720497656201165</v>
      </c>
      <c r="M2817" s="25" t="n">
        <f aca="false">IF(COUNT(G2788:G2817)&lt;20,"",_xlfn.STDEV.S(G2788:G2817)*SQRT($R$3))</f>
        <v>0.668115474379289</v>
      </c>
      <c r="N2817" s="25" t="n">
        <f aca="false">IF(A2817-7&lt;$R$2,"",C2817/INDEX(Clean_Data!$C$2:$C$4314,MATCH(A2817-7,Clean_Data!$A$2:$A$4314,1))-1)</f>
        <v>-0.0642166346212499</v>
      </c>
      <c r="O2817" s="25" t="n">
        <f aca="false">IF(A2817-30&lt;$R$2,"",C2817/INDEX(Clean_Data!$C$2:$C$4314,MATCH(A2817-30,Clean_Data!$A$2:$A$4314,1))-1)</f>
        <v>-0.122927266422669</v>
      </c>
    </row>
    <row r="2818" customFormat="false" ht="15" hidden="false" customHeight="false" outlineLevel="0" collapsed="false">
      <c r="A2818" s="16" t="n">
        <v>44825</v>
      </c>
      <c r="B2818" s="23" t="n">
        <f aca="false">YEAR(A2818)</f>
        <v>2022</v>
      </c>
      <c r="C2818" s="17" t="n">
        <v>18488.54</v>
      </c>
      <c r="D2818" s="23" t="n">
        <f aca="false">A2818-A2817</f>
        <v>1</v>
      </c>
      <c r="E2818" s="24" t="n">
        <f aca="false">LN(C2818)</f>
        <v>9.82490635966267</v>
      </c>
      <c r="F2818" s="25" t="n">
        <f aca="false">LN(C2818/C2817)</f>
        <v>-0.0203809423924885</v>
      </c>
      <c r="G2818" s="25" t="n">
        <f aca="false">IF(AND(D2818=1,A2818&gt;=$R$2),F2818,"")</f>
        <v>-0.0203809423924885</v>
      </c>
      <c r="H2818" s="27" t="n">
        <f aca="false">IF(G2818="","",G2818^2)</f>
        <v>0.000415382812805936</v>
      </c>
      <c r="I2818" s="25" t="n">
        <f aca="false">IF(G2818="","",C2818/C2817-1)</f>
        <v>-0.0201746548082009</v>
      </c>
      <c r="J2818" s="17" t="n">
        <f aca="false">AVERAGE(C2619:C2818)</f>
        <v>29134.99995</v>
      </c>
      <c r="K2818" s="17" t="n">
        <f aca="false">MAX(K2817,C2818)</f>
        <v>67510.06</v>
      </c>
      <c r="L2818" s="25" t="n">
        <f aca="false">C2818/K2818-1</f>
        <v>-0.726136519505389</v>
      </c>
      <c r="M2818" s="25" t="n">
        <f aca="false">IF(COUNT(G2789:G2818)&lt;20,"",_xlfn.STDEV.S(G2789:G2818)*SQRT($R$3))</f>
        <v>0.670446932956801</v>
      </c>
      <c r="N2818" s="25" t="n">
        <f aca="false">IF(A2818-7&lt;$R$2,"",C2818/INDEX(Clean_Data!$C$2:$C$4314,MATCH(A2818-7,Clean_Data!$A$2:$A$4314,1))-1)</f>
        <v>-0.0854786381310831</v>
      </c>
      <c r="O2818" s="25" t="n">
        <f aca="false">IF(A2818-30&lt;$R$2,"",C2818/INDEX(Clean_Data!$C$2:$C$4314,MATCH(A2818-30,Clean_Data!$A$2:$A$4314,1))-1)</f>
        <v>-0.136203724381909</v>
      </c>
    </row>
    <row r="2819" customFormat="false" ht="15" hidden="false" customHeight="false" outlineLevel="0" collapsed="false">
      <c r="A2819" s="16" t="n">
        <v>44826</v>
      </c>
      <c r="B2819" s="23" t="n">
        <f aca="false">YEAR(A2819)</f>
        <v>2022</v>
      </c>
      <c r="C2819" s="17" t="n">
        <v>19402.35</v>
      </c>
      <c r="D2819" s="23" t="n">
        <f aca="false">A2819-A2818</f>
        <v>1</v>
      </c>
      <c r="E2819" s="24" t="n">
        <f aca="false">LN(C2819)</f>
        <v>9.87314947173591</v>
      </c>
      <c r="F2819" s="25" t="n">
        <f aca="false">LN(C2819/C2818)</f>
        <v>0.048243112073231</v>
      </c>
      <c r="G2819" s="25" t="n">
        <f aca="false">IF(AND(D2819=1,A2819&gt;=$R$2),F2819,"")</f>
        <v>0.048243112073231</v>
      </c>
      <c r="H2819" s="27" t="n">
        <f aca="false">IF(G2819="","",G2819^2)</f>
        <v>0.00232739786251033</v>
      </c>
      <c r="I2819" s="25" t="n">
        <f aca="false">IF(G2819="","",C2819/C2818-1)</f>
        <v>0.0494257523849908</v>
      </c>
      <c r="J2819" s="17" t="n">
        <f aca="false">AVERAGE(C2620:C2819)</f>
        <v>29039.85115</v>
      </c>
      <c r="K2819" s="17" t="n">
        <f aca="false">MAX(K2818,C2819)</f>
        <v>67510.06</v>
      </c>
      <c r="L2819" s="25" t="n">
        <f aca="false">C2819/K2819-1</f>
        <v>-0.712600610931171</v>
      </c>
      <c r="M2819" s="25" t="n">
        <f aca="false">IF(COUNT(G2790:G2819)&lt;20,"",_xlfn.STDEV.S(G2790:G2819)*SQRT($R$3))</f>
        <v>0.694849917796259</v>
      </c>
      <c r="N2819" s="25" t="n">
        <f aca="false">IF(A2819-7&lt;$R$2,"",C2819/INDEX(Clean_Data!$C$2:$C$4314,MATCH(A2819-7,Clean_Data!$A$2:$A$4314,1))-1)</f>
        <v>-0.0146464710587459</v>
      </c>
      <c r="O2819" s="25" t="n">
        <f aca="false">IF(A2819-30&lt;$R$2,"",C2819/INDEX(Clean_Data!$C$2:$C$4314,MATCH(A2819-30,Clean_Data!$A$2:$A$4314,1))-1)</f>
        <v>-0.0987949468028282</v>
      </c>
    </row>
    <row r="2820" customFormat="false" ht="15" hidden="false" customHeight="false" outlineLevel="0" collapsed="false">
      <c r="A2820" s="16" t="n">
        <v>44827</v>
      </c>
      <c r="B2820" s="23" t="n">
        <f aca="false">YEAR(A2820)</f>
        <v>2022</v>
      </c>
      <c r="C2820" s="17" t="n">
        <v>19304.43</v>
      </c>
      <c r="D2820" s="23" t="n">
        <f aca="false">A2820-A2819</f>
        <v>1</v>
      </c>
      <c r="E2820" s="24" t="n">
        <f aca="false">LN(C2820)</f>
        <v>9.86808988223291</v>
      </c>
      <c r="F2820" s="25" t="n">
        <f aca="false">LN(C2820/C2819)</f>
        <v>-0.00505958950299603</v>
      </c>
      <c r="G2820" s="25" t="n">
        <f aca="false">IF(AND(D2820=1,A2820&gt;=$R$2),F2820,"")</f>
        <v>-0.00505958950299603</v>
      </c>
      <c r="H2820" s="27" t="n">
        <f aca="false">IF(G2820="","",G2820^2)</f>
        <v>2.55994459388276E-005</v>
      </c>
      <c r="I2820" s="25" t="n">
        <f aca="false">IF(G2820="","",C2820/C2819-1)</f>
        <v>-0.0050468113398634</v>
      </c>
      <c r="J2820" s="17" t="n">
        <f aca="false">AVERAGE(C2621:C2820)</f>
        <v>28946.34985</v>
      </c>
      <c r="K2820" s="17" t="n">
        <f aca="false">MAX(K2819,C2820)</f>
        <v>67510.06</v>
      </c>
      <c r="L2820" s="25" t="n">
        <f aca="false">C2820/K2820-1</f>
        <v>-0.714051061426993</v>
      </c>
      <c r="M2820" s="25" t="n">
        <f aca="false">IF(COUNT(G2791:G2820)&lt;20,"",_xlfn.STDEV.S(G2791:G2820)*SQRT($R$3))</f>
        <v>0.694687613055718</v>
      </c>
      <c r="N2820" s="25" t="n">
        <f aca="false">IF(A2820-7&lt;$R$2,"",C2820/INDEX(Clean_Data!$C$2:$C$4314,MATCH(A2820-7,Clean_Data!$A$2:$A$4314,1))-1)</f>
        <v>-0.0242486796261859</v>
      </c>
      <c r="O2820" s="25" t="n">
        <f aca="false">IF(A2820-30&lt;$R$2,"",C2820/INDEX(Clean_Data!$C$2:$C$4314,MATCH(A2820-30,Clean_Data!$A$2:$A$4314,1))-1)</f>
        <v>-0.0961782732726335</v>
      </c>
    </row>
    <row r="2821" customFormat="false" ht="15" hidden="false" customHeight="false" outlineLevel="0" collapsed="false">
      <c r="A2821" s="16" t="n">
        <v>44828</v>
      </c>
      <c r="B2821" s="23" t="n">
        <f aca="false">YEAR(A2821)</f>
        <v>2022</v>
      </c>
      <c r="C2821" s="17" t="n">
        <v>18944.06</v>
      </c>
      <c r="D2821" s="23" t="n">
        <f aca="false">A2821-A2820</f>
        <v>1</v>
      </c>
      <c r="E2821" s="24" t="n">
        <f aca="false">LN(C2821)</f>
        <v>9.84924570490845</v>
      </c>
      <c r="F2821" s="25" t="n">
        <f aca="false">LN(C2821/C2820)</f>
        <v>-0.0188441773244626</v>
      </c>
      <c r="G2821" s="25" t="n">
        <f aca="false">IF(AND(D2821=1,A2821&gt;=$R$2),F2821,"")</f>
        <v>-0.0188441773244626</v>
      </c>
      <c r="H2821" s="27" t="n">
        <f aca="false">IF(G2821="","",G2821^2)</f>
        <v>0.000355103019035789</v>
      </c>
      <c r="I2821" s="25" t="n">
        <f aca="false">IF(G2821="","",C2821/C2820-1)</f>
        <v>-0.0186677358513045</v>
      </c>
      <c r="J2821" s="17" t="n">
        <f aca="false">AVERAGE(C2622:C2821)</f>
        <v>28847.4491</v>
      </c>
      <c r="K2821" s="17" t="n">
        <f aca="false">MAX(K2820,C2821)</f>
        <v>67510.06</v>
      </c>
      <c r="L2821" s="25" t="n">
        <f aca="false">C2821/K2821-1</f>
        <v>-0.719389080679235</v>
      </c>
      <c r="M2821" s="25" t="n">
        <f aca="false">IF(COUNT(G2792:G2821)&lt;20,"",_xlfn.STDEV.S(G2792:G2821)*SQRT($R$3))</f>
        <v>0.695586856047248</v>
      </c>
      <c r="N2821" s="25" t="n">
        <f aca="false">IF(A2821-7&lt;$R$2,"",C2821/INDEX(Clean_Data!$C$2:$C$4314,MATCH(A2821-7,Clean_Data!$A$2:$A$4314,1))-1)</f>
        <v>-0.0583143363035972</v>
      </c>
      <c r="O2821" s="25" t="n">
        <f aca="false">IF(A2821-30&lt;$R$2,"",C2821/INDEX(Clean_Data!$C$2:$C$4314,MATCH(A2821-30,Clean_Data!$A$2:$A$4314,1))-1)</f>
        <v>-0.119632313815883</v>
      </c>
    </row>
    <row r="2822" customFormat="false" ht="15" hidden="false" customHeight="false" outlineLevel="0" collapsed="false">
      <c r="A2822" s="16" t="n">
        <v>44829</v>
      </c>
      <c r="B2822" s="23" t="n">
        <f aca="false">YEAR(A2822)</f>
        <v>2022</v>
      </c>
      <c r="C2822" s="17" t="n">
        <v>18788.61</v>
      </c>
      <c r="D2822" s="23" t="n">
        <f aca="false">A2822-A2821</f>
        <v>1</v>
      </c>
      <c r="E2822" s="24" t="n">
        <f aca="false">LN(C2822)</f>
        <v>9.8410061141523</v>
      </c>
      <c r="F2822" s="25" t="n">
        <f aca="false">LN(C2822/C2821)</f>
        <v>-0.00823959075615206</v>
      </c>
      <c r="G2822" s="25" t="n">
        <f aca="false">IF(AND(D2822=1,A2822&gt;=$R$2),F2822,"")</f>
        <v>-0.00823959075615206</v>
      </c>
      <c r="H2822" s="27" t="n">
        <f aca="false">IF(G2822="","",G2822^2)</f>
        <v>6.78908558288665E-005</v>
      </c>
      <c r="I2822" s="25" t="n">
        <f aca="false">IF(G2822="","",C2822/C2821-1)</f>
        <v>-0.00820573836864968</v>
      </c>
      <c r="J2822" s="17" t="n">
        <f aca="false">AVERAGE(C2623:C2822)</f>
        <v>28731.46285</v>
      </c>
      <c r="K2822" s="17" t="n">
        <f aca="false">MAX(K2821,C2822)</f>
        <v>67510.06</v>
      </c>
      <c r="L2822" s="25" t="n">
        <f aca="false">C2822/K2822-1</f>
        <v>-0.721691700466568</v>
      </c>
      <c r="M2822" s="25" t="n">
        <f aca="false">IF(COUNT(G2793:G2822)&lt;20,"",_xlfn.STDEV.S(G2793:G2822)*SQRT($R$3))</f>
        <v>0.664268211329217</v>
      </c>
      <c r="N2822" s="25" t="n">
        <f aca="false">IF(A2822-7&lt;$R$2,"",C2822/INDEX(Clean_Data!$C$2:$C$4314,MATCH(A2822-7,Clean_Data!$A$2:$A$4314,1))-1)</f>
        <v>-0.0327638796296534</v>
      </c>
      <c r="O2822" s="25" t="n">
        <f aca="false">IF(A2822-30&lt;$R$2,"",C2822/INDEX(Clean_Data!$C$2:$C$4314,MATCH(A2822-30,Clean_Data!$A$2:$A$4314,1))-1)</f>
        <v>-0.0712583872214682</v>
      </c>
    </row>
    <row r="2823" customFormat="false" ht="15" hidden="false" customHeight="false" outlineLevel="0" collapsed="false">
      <c r="A2823" s="16" t="n">
        <v>44830</v>
      </c>
      <c r="B2823" s="23" t="n">
        <f aca="false">YEAR(A2823)</f>
        <v>2022</v>
      </c>
      <c r="C2823" s="17" t="n">
        <v>19224.81</v>
      </c>
      <c r="D2823" s="23" t="n">
        <f aca="false">A2823-A2822</f>
        <v>1</v>
      </c>
      <c r="E2823" s="24" t="n">
        <f aca="false">LN(C2823)</f>
        <v>9.86395691136012</v>
      </c>
      <c r="F2823" s="25" t="n">
        <f aca="false">LN(C2823/C2822)</f>
        <v>0.0229507972078243</v>
      </c>
      <c r="G2823" s="25" t="n">
        <f aca="false">IF(AND(D2823=1,A2823&gt;=$R$2),F2823,"")</f>
        <v>0.0229507972078243</v>
      </c>
      <c r="H2823" s="27" t="n">
        <f aca="false">IF(G2823="","",G2823^2)</f>
        <v>0.000526739092474674</v>
      </c>
      <c r="I2823" s="25" t="n">
        <f aca="false">IF(G2823="","",C2823/C2822-1)</f>
        <v>0.023216193214932</v>
      </c>
      <c r="J2823" s="17" t="n">
        <f aca="false">AVERAGE(C2624:C2823)</f>
        <v>28630.31255</v>
      </c>
      <c r="K2823" s="17" t="n">
        <f aca="false">MAX(K2822,C2823)</f>
        <v>67510.06</v>
      </c>
      <c r="L2823" s="25" t="n">
        <f aca="false">C2823/K2823-1</f>
        <v>-0.71523044121128</v>
      </c>
      <c r="M2823" s="25" t="n">
        <f aca="false">IF(COUNT(G2794:G2823)&lt;20,"",_xlfn.STDEV.S(G2794:G2823)*SQRT($R$3))</f>
        <v>0.669398700060467</v>
      </c>
      <c r="N2823" s="25" t="n">
        <f aca="false">IF(A2823-7&lt;$R$2,"",C2823/INDEX(Clean_Data!$C$2:$C$4314,MATCH(A2823-7,Clean_Data!$A$2:$A$4314,1))-1)</f>
        <v>-0.0167896650658973</v>
      </c>
      <c r="O2823" s="25" t="n">
        <f aca="false">IF(A2823-30&lt;$R$2,"",C2823/INDEX(Clean_Data!$C$2:$C$4314,MATCH(A2823-30,Clean_Data!$A$2:$A$4314,1))-1)</f>
        <v>-0.0396444676230853</v>
      </c>
    </row>
    <row r="2824" customFormat="false" ht="15" hidden="false" customHeight="false" outlineLevel="0" collapsed="false">
      <c r="A2824" s="16" t="n">
        <v>44831</v>
      </c>
      <c r="B2824" s="23" t="n">
        <f aca="false">YEAR(A2824)</f>
        <v>2022</v>
      </c>
      <c r="C2824" s="17" t="n">
        <v>19072.97</v>
      </c>
      <c r="D2824" s="23" t="n">
        <f aca="false">A2824-A2823</f>
        <v>1</v>
      </c>
      <c r="E2824" s="24" t="n">
        <f aca="false">LN(C2824)</f>
        <v>9.85602742847108</v>
      </c>
      <c r="F2824" s="25" t="n">
        <f aca="false">LN(C2824/C2823)</f>
        <v>-0.00792948288903406</v>
      </c>
      <c r="G2824" s="25" t="n">
        <f aca="false">IF(AND(D2824=1,A2824&gt;=$R$2),F2824,"")</f>
        <v>-0.00792948288903406</v>
      </c>
      <c r="H2824" s="27" t="n">
        <f aca="false">IF(G2824="","",G2824^2)</f>
        <v>6.28766988874839E-005</v>
      </c>
      <c r="I2824" s="25" t="n">
        <f aca="false">IF(G2824="","",C2824/C2823-1)</f>
        <v>-0.0078981274717409</v>
      </c>
      <c r="J2824" s="17" t="n">
        <f aca="false">AVERAGE(C2625:C2824)</f>
        <v>28532.3236</v>
      </c>
      <c r="K2824" s="17" t="n">
        <f aca="false">MAX(K2823,C2824)</f>
        <v>67510.06</v>
      </c>
      <c r="L2824" s="25" t="n">
        <f aca="false">C2824/K2824-1</f>
        <v>-0.717479587486665</v>
      </c>
      <c r="M2824" s="25" t="n">
        <f aca="false">IF(COUNT(G2795:G2824)&lt;20,"",_xlfn.STDEV.S(G2795:G2824)*SQRT($R$3))</f>
        <v>0.66572419187236</v>
      </c>
      <c r="N2824" s="25" t="n">
        <f aca="false">IF(A2824-7&lt;$R$2,"",C2824/INDEX(Clean_Data!$C$2:$C$4314,MATCH(A2824-7,Clean_Data!$A$2:$A$4314,1))-1)</f>
        <v>0.0107980086087289</v>
      </c>
      <c r="O2824" s="25" t="n">
        <f aca="false">IF(A2824-30&lt;$R$2,"",C2824/INDEX(Clean_Data!$C$2:$C$4314,MATCH(A2824-30,Clean_Data!$A$2:$A$4314,1))-1)</f>
        <v>-0.0260360734378025</v>
      </c>
    </row>
    <row r="2825" customFormat="false" ht="15" hidden="false" customHeight="false" outlineLevel="0" collapsed="false">
      <c r="A2825" s="16" t="n">
        <v>44832</v>
      </c>
      <c r="B2825" s="23" t="n">
        <f aca="false">YEAR(A2825)</f>
        <v>2022</v>
      </c>
      <c r="C2825" s="17" t="n">
        <v>19407.62</v>
      </c>
      <c r="D2825" s="23" t="n">
        <f aca="false">A2825-A2824</f>
        <v>1</v>
      </c>
      <c r="E2825" s="24" t="n">
        <f aca="false">LN(C2825)</f>
        <v>9.87342105143733</v>
      </c>
      <c r="F2825" s="25" t="n">
        <f aca="false">LN(C2825/C2824)</f>
        <v>0.0173936229662421</v>
      </c>
      <c r="G2825" s="25" t="n">
        <f aca="false">IF(AND(D2825=1,A2825&gt;=$R$2),F2825,"")</f>
        <v>0.0173936229662421</v>
      </c>
      <c r="H2825" s="27" t="n">
        <f aca="false">IF(G2825="","",G2825^2)</f>
        <v>0.000302538119891786</v>
      </c>
      <c r="I2825" s="25" t="n">
        <f aca="false">IF(G2825="","",C2825/C2824-1)</f>
        <v>0.0175457728922133</v>
      </c>
      <c r="J2825" s="17" t="n">
        <f aca="false">AVERAGE(C2626:C2825)</f>
        <v>28435.5218</v>
      </c>
      <c r="K2825" s="17" t="n">
        <f aca="false">MAX(K2824,C2825)</f>
        <v>67510.06</v>
      </c>
      <c r="L2825" s="25" t="n">
        <f aca="false">C2825/K2825-1</f>
        <v>-0.712522548491292</v>
      </c>
      <c r="M2825" s="25" t="n">
        <f aca="false">IF(COUNT(G2796:G2825)&lt;20,"",_xlfn.STDEV.S(G2796:G2825)*SQRT($R$3))</f>
        <v>0.656178769045363</v>
      </c>
      <c r="N2825" s="25" t="n">
        <f aca="false">IF(A2825-7&lt;$R$2,"",C2825/INDEX(Clean_Data!$C$2:$C$4314,MATCH(A2825-7,Clean_Data!$A$2:$A$4314,1))-1)</f>
        <v>0.0497107938214698</v>
      </c>
      <c r="O2825" s="25" t="n">
        <f aca="false">IF(A2825-30&lt;$R$2,"",C2825/INDEX(Clean_Data!$C$2:$C$4314,MATCH(A2825-30,Clean_Data!$A$2:$A$4314,1))-1)</f>
        <v>-0.043538857241141</v>
      </c>
    </row>
    <row r="2826" customFormat="false" ht="15" hidden="false" customHeight="false" outlineLevel="0" collapsed="false">
      <c r="A2826" s="16" t="n">
        <v>44833</v>
      </c>
      <c r="B2826" s="23" t="n">
        <f aca="false">YEAR(A2826)</f>
        <v>2022</v>
      </c>
      <c r="C2826" s="17" t="n">
        <v>19610.61</v>
      </c>
      <c r="D2826" s="23" t="n">
        <f aca="false">A2826-A2825</f>
        <v>1</v>
      </c>
      <c r="E2826" s="24" t="n">
        <f aca="false">LN(C2826)</f>
        <v>9.88382602528487</v>
      </c>
      <c r="F2826" s="25" t="n">
        <f aca="false">LN(C2826/C2825)</f>
        <v>0.0104049738475422</v>
      </c>
      <c r="G2826" s="25" t="n">
        <f aca="false">IF(AND(D2826=1,A2826&gt;=$R$2),F2826,"")</f>
        <v>0.0104049738475422</v>
      </c>
      <c r="H2826" s="27" t="n">
        <f aca="false">IF(G2826="","",G2826^2)</f>
        <v>0.000108263480768038</v>
      </c>
      <c r="I2826" s="25" t="n">
        <f aca="false">IF(G2826="","",C2826/C2825-1)</f>
        <v>0.0104592938237662</v>
      </c>
      <c r="J2826" s="17" t="n">
        <f aca="false">AVERAGE(C2627:C2826)</f>
        <v>28344.67415</v>
      </c>
      <c r="K2826" s="17" t="n">
        <f aca="false">MAX(K2825,C2826)</f>
        <v>67510.06</v>
      </c>
      <c r="L2826" s="25" t="n">
        <f aca="false">C2826/K2826-1</f>
        <v>-0.709515737358255</v>
      </c>
      <c r="M2826" s="25" t="n">
        <f aca="false">IF(COUNT(G2797:G2826)&lt;20,"",_xlfn.STDEV.S(G2797:G2826)*SQRT($R$3))</f>
        <v>0.652859690661305</v>
      </c>
      <c r="N2826" s="25" t="n">
        <f aca="false">IF(A2826-7&lt;$R$2,"",C2826/INDEX(Clean_Data!$C$2:$C$4314,MATCH(A2826-7,Clean_Data!$A$2:$A$4314,1))-1)</f>
        <v>0.0107337513239376</v>
      </c>
      <c r="O2826" s="25" t="n">
        <f aca="false">IF(A2826-30&lt;$R$2,"",C2826/INDEX(Clean_Data!$C$2:$C$4314,MATCH(A2826-30,Clean_Data!$A$2:$A$4314,1))-1)</f>
        <v>-0.0113477215323886</v>
      </c>
    </row>
    <row r="2827" customFormat="false" ht="15" hidden="false" customHeight="false" outlineLevel="0" collapsed="false">
      <c r="A2827" s="16" t="n">
        <v>44834</v>
      </c>
      <c r="B2827" s="23" t="n">
        <f aca="false">YEAR(A2827)</f>
        <v>2022</v>
      </c>
      <c r="C2827" s="17" t="n">
        <v>19415.8</v>
      </c>
      <c r="D2827" s="23" t="n">
        <f aca="false">A2827-A2826</f>
        <v>1</v>
      </c>
      <c r="E2827" s="24" t="n">
        <f aca="false">LN(C2827)</f>
        <v>9.87384244657052</v>
      </c>
      <c r="F2827" s="25" t="n">
        <f aca="false">LN(C2827/C2826)</f>
        <v>-0.00998357871434452</v>
      </c>
      <c r="G2827" s="25" t="n">
        <f aca="false">IF(AND(D2827=1,A2827&gt;=$R$2),F2827,"")</f>
        <v>-0.00998357871434452</v>
      </c>
      <c r="H2827" s="27" t="n">
        <f aca="false">IF(G2827="","",G2827^2)</f>
        <v>9.96718439455129E-005</v>
      </c>
      <c r="I2827" s="25" t="n">
        <f aca="false">IF(G2827="","",C2827/C2826-1)</f>
        <v>-0.00993390822621032</v>
      </c>
      <c r="J2827" s="17" t="n">
        <f aca="false">AVERAGE(C2628:C2827)</f>
        <v>28243.52875</v>
      </c>
      <c r="K2827" s="17" t="n">
        <f aca="false">MAX(K2826,C2827)</f>
        <v>67510.06</v>
      </c>
      <c r="L2827" s="25" t="n">
        <f aca="false">C2827/K2827-1</f>
        <v>-0.712401381364496</v>
      </c>
      <c r="M2827" s="25" t="n">
        <f aca="false">IF(COUNT(G2798:G2827)&lt;20,"",_xlfn.STDEV.S(G2798:G2827)*SQRT($R$3))</f>
        <v>0.65268112722453</v>
      </c>
      <c r="N2827" s="25" t="n">
        <f aca="false">IF(A2827-7&lt;$R$2,"",C2827/INDEX(Clean_Data!$C$2:$C$4314,MATCH(A2827-7,Clean_Data!$A$2:$A$4314,1))-1)</f>
        <v>0.00576914210883195</v>
      </c>
      <c r="O2827" s="25" t="n">
        <f aca="false">IF(A2827-30&lt;$R$2,"",C2827/INDEX(Clean_Data!$C$2:$C$4314,MATCH(A2827-30,Clean_Data!$A$2:$A$4314,1))-1)</f>
        <v>-0.0304452127988942</v>
      </c>
    </row>
    <row r="2828" customFormat="false" ht="15" hidden="false" customHeight="false" outlineLevel="0" collapsed="false">
      <c r="A2828" s="16" t="n">
        <v>44835</v>
      </c>
      <c r="B2828" s="23" t="n">
        <f aca="false">YEAR(A2828)</f>
        <v>2022</v>
      </c>
      <c r="C2828" s="17" t="n">
        <v>19308.76</v>
      </c>
      <c r="D2828" s="23" t="n">
        <f aca="false">A2828-A2827</f>
        <v>1</v>
      </c>
      <c r="E2828" s="24" t="n">
        <f aca="false">LN(C2828)</f>
        <v>9.86831415792824</v>
      </c>
      <c r="F2828" s="25" t="n">
        <f aca="false">LN(C2828/C2827)</f>
        <v>-0.00552828864228187</v>
      </c>
      <c r="G2828" s="25" t="n">
        <f aca="false">IF(AND(D2828=1,A2828&gt;=$R$2),F2828,"")</f>
        <v>-0.00552828864228187</v>
      </c>
      <c r="H2828" s="27" t="n">
        <f aca="false">IF(G2828="","",G2828^2)</f>
        <v>3.05619753123827E-005</v>
      </c>
      <c r="I2828" s="25" t="n">
        <f aca="false">IF(G2828="","",C2828/C2827-1)</f>
        <v>-0.00551303577498741</v>
      </c>
      <c r="J2828" s="17" t="n">
        <f aca="false">AVERAGE(C2629:C2828)</f>
        <v>28143.26575</v>
      </c>
      <c r="K2828" s="17" t="n">
        <f aca="false">MAX(K2827,C2828)</f>
        <v>67510.06</v>
      </c>
      <c r="L2828" s="25" t="n">
        <f aca="false">C2828/K2828-1</f>
        <v>-0.71398692283787</v>
      </c>
      <c r="M2828" s="25" t="n">
        <f aca="false">IF(COUNT(G2799:G2828)&lt;20,"",_xlfn.STDEV.S(G2799:G2828)*SQRT($R$3))</f>
        <v>0.652567139204078</v>
      </c>
      <c r="N2828" s="25" t="n">
        <f aca="false">IF(A2828-7&lt;$R$2,"",C2828/INDEX(Clean_Data!$C$2:$C$4314,MATCH(A2828-7,Clean_Data!$A$2:$A$4314,1))-1)</f>
        <v>0.0192514170668798</v>
      </c>
      <c r="O2828" s="25" t="n">
        <f aca="false">IF(A2828-30&lt;$R$2,"",C2828/INDEX(Clean_Data!$C$2:$C$4314,MATCH(A2828-30,Clean_Data!$A$2:$A$4314,1))-1)</f>
        <v>-0.0399626898880349</v>
      </c>
    </row>
    <row r="2829" customFormat="false" ht="15" hidden="false" customHeight="false" outlineLevel="0" collapsed="false">
      <c r="A2829" s="16" t="n">
        <v>44836</v>
      </c>
      <c r="B2829" s="23" t="n">
        <f aca="false">YEAR(A2829)</f>
        <v>2022</v>
      </c>
      <c r="C2829" s="17" t="n">
        <v>19072.29</v>
      </c>
      <c r="D2829" s="23" t="n">
        <f aca="false">A2829-A2828</f>
        <v>1</v>
      </c>
      <c r="E2829" s="24" t="n">
        <f aca="false">LN(C2829)</f>
        <v>9.85599177528639</v>
      </c>
      <c r="F2829" s="25" t="n">
        <f aca="false">LN(C2829/C2828)</f>
        <v>-0.0123223826418564</v>
      </c>
      <c r="G2829" s="25" t="n">
        <f aca="false">IF(AND(D2829=1,A2829&gt;=$R$2),F2829,"")</f>
        <v>-0.0123223826418564</v>
      </c>
      <c r="H2829" s="27" t="n">
        <f aca="false">IF(G2829="","",G2829^2)</f>
        <v>0.000151841113972324</v>
      </c>
      <c r="I2829" s="25" t="n">
        <f aca="false">IF(G2829="","",C2829/C2828-1)</f>
        <v>-0.0122467729672956</v>
      </c>
      <c r="J2829" s="17" t="n">
        <f aca="false">AVERAGE(C2630:C2829)</f>
        <v>28033.07795</v>
      </c>
      <c r="K2829" s="17" t="n">
        <f aca="false">MAX(K2828,C2829)</f>
        <v>67510.06</v>
      </c>
      <c r="L2829" s="25" t="n">
        <f aca="false">C2829/K2829-1</f>
        <v>-0.717489660059553</v>
      </c>
      <c r="M2829" s="25" t="n">
        <f aca="false">IF(COUNT(G2800:G2829)&lt;20,"",_xlfn.STDEV.S(G2800:G2829)*SQRT($R$3))</f>
        <v>0.653260012007211</v>
      </c>
      <c r="N2829" s="25" t="n">
        <f aca="false">IF(A2829-7&lt;$R$2,"",C2829/INDEX(Clean_Data!$C$2:$C$4314,MATCH(A2829-7,Clean_Data!$A$2:$A$4314,1))-1)</f>
        <v>0.0150985091499585</v>
      </c>
      <c r="O2829" s="25" t="n">
        <f aca="false">IF(A2829-30&lt;$R$2,"",C2829/INDEX(Clean_Data!$C$2:$C$4314,MATCH(A2829-30,Clean_Data!$A$2:$A$4314,1))-1)</f>
        <v>-0.0438454755056807</v>
      </c>
    </row>
    <row r="2830" customFormat="false" ht="15" hidden="false" customHeight="false" outlineLevel="0" collapsed="false">
      <c r="A2830" s="16" t="n">
        <v>44837</v>
      </c>
      <c r="B2830" s="23" t="n">
        <f aca="false">YEAR(A2830)</f>
        <v>2022</v>
      </c>
      <c r="C2830" s="17" t="n">
        <v>19640.84</v>
      </c>
      <c r="D2830" s="23" t="n">
        <f aca="false">A2830-A2829</f>
        <v>1</v>
      </c>
      <c r="E2830" s="24" t="n">
        <f aca="false">LN(C2830)</f>
        <v>9.88536635085129</v>
      </c>
      <c r="F2830" s="25" t="n">
        <f aca="false">LN(C2830/C2829)</f>
        <v>0.0293745755649004</v>
      </c>
      <c r="G2830" s="25" t="n">
        <f aca="false">IF(AND(D2830=1,A2830&gt;=$R$2),F2830,"")</f>
        <v>0.0293745755649004</v>
      </c>
      <c r="H2830" s="27" t="n">
        <f aca="false">IF(G2830="","",G2830^2)</f>
        <v>0.000862865689618041</v>
      </c>
      <c r="I2830" s="25" t="n">
        <f aca="false">IF(G2830="","",C2830/C2829-1)</f>
        <v>0.0298102640008096</v>
      </c>
      <c r="J2830" s="17" t="n">
        <f aca="false">AVERAGE(C2631:C2830)</f>
        <v>27926.4618</v>
      </c>
      <c r="K2830" s="17" t="n">
        <f aca="false">MAX(K2829,C2830)</f>
        <v>67510.06</v>
      </c>
      <c r="L2830" s="25" t="n">
        <f aca="false">C2830/K2830-1</f>
        <v>-0.70906795224297</v>
      </c>
      <c r="M2830" s="25" t="n">
        <f aca="false">IF(COUNT(G2801:G2830)&lt;20,"",_xlfn.STDEV.S(G2801:G2830)*SQRT($R$3))</f>
        <v>0.661851183772731</v>
      </c>
      <c r="N2830" s="25" t="n">
        <f aca="false">IF(A2830-7&lt;$R$2,"",C2830/INDEX(Clean_Data!$C$2:$C$4314,MATCH(A2830-7,Clean_Data!$A$2:$A$4314,1))-1)</f>
        <v>0.0216402658855925</v>
      </c>
      <c r="O2830" s="25" t="n">
        <f aca="false">IF(A2830-30&lt;$R$2,"",C2830/INDEX(Clean_Data!$C$2:$C$4314,MATCH(A2830-30,Clean_Data!$A$2:$A$4314,1))-1)</f>
        <v>-0.0100437951200876</v>
      </c>
    </row>
    <row r="2831" customFormat="false" ht="15" hidden="false" customHeight="false" outlineLevel="0" collapsed="false">
      <c r="A2831" s="16" t="n">
        <v>44838</v>
      </c>
      <c r="B2831" s="23" t="n">
        <f aca="false">YEAR(A2831)</f>
        <v>2022</v>
      </c>
      <c r="C2831" s="17" t="n">
        <v>20344.37</v>
      </c>
      <c r="D2831" s="23" t="n">
        <f aca="false">A2831-A2830</f>
        <v>1</v>
      </c>
      <c r="E2831" s="24" t="n">
        <f aca="false">LN(C2831)</f>
        <v>9.92055949411707</v>
      </c>
      <c r="F2831" s="25" t="n">
        <f aca="false">LN(C2831/C2830)</f>
        <v>0.0351931432657798</v>
      </c>
      <c r="G2831" s="25" t="n">
        <f aca="false">IF(AND(D2831=1,A2831&gt;=$R$2),F2831,"")</f>
        <v>0.0351931432657798</v>
      </c>
      <c r="H2831" s="27" t="n">
        <f aca="false">IF(G2831="","",G2831^2)</f>
        <v>0.0012385573329257</v>
      </c>
      <c r="I2831" s="25" t="n">
        <f aca="false">IF(G2831="","",C2831/C2830-1)</f>
        <v>0.0358197510900755</v>
      </c>
      <c r="J2831" s="17" t="n">
        <f aca="false">AVERAGE(C2632:C2831)</f>
        <v>27819.1535</v>
      </c>
      <c r="K2831" s="17" t="n">
        <f aca="false">MAX(K2830,C2831)</f>
        <v>67510.06</v>
      </c>
      <c r="L2831" s="25" t="n">
        <f aca="false">C2831/K2831-1</f>
        <v>-0.698646838708187</v>
      </c>
      <c r="M2831" s="25" t="n">
        <f aca="false">IF(COUNT(G2802:G2831)&lt;20,"",_xlfn.STDEV.S(G2802:G2831)*SQRT($R$3))</f>
        <v>0.672816876679359</v>
      </c>
      <c r="N2831" s="25" t="n">
        <f aca="false">IF(A2831-7&lt;$R$2,"",C2831/INDEX(Clean_Data!$C$2:$C$4314,MATCH(A2831-7,Clean_Data!$A$2:$A$4314,1))-1)</f>
        <v>0.0666597808311971</v>
      </c>
      <c r="O2831" s="25" t="n">
        <f aca="false">IF(A2831-30&lt;$R$2,"",C2831/INDEX(Clean_Data!$C$2:$C$4314,MATCH(A2831-30,Clean_Data!$A$2:$A$4314,1))-1)</f>
        <v>0.0168859782851007</v>
      </c>
    </row>
    <row r="2832" customFormat="false" ht="15" hidden="false" customHeight="false" outlineLevel="0" collapsed="false">
      <c r="A2832" s="16" t="n">
        <v>44839</v>
      </c>
      <c r="B2832" s="23" t="n">
        <f aca="false">YEAR(A2832)</f>
        <v>2022</v>
      </c>
      <c r="C2832" s="17" t="n">
        <v>20152.33</v>
      </c>
      <c r="D2832" s="23" t="n">
        <f aca="false">A2832-A2831</f>
        <v>1</v>
      </c>
      <c r="E2832" s="24" t="n">
        <f aca="false">LN(C2832)</f>
        <v>9.91107519344422</v>
      </c>
      <c r="F2832" s="25" t="n">
        <f aca="false">LN(C2832/C2831)</f>
        <v>-0.00948430067284631</v>
      </c>
      <c r="G2832" s="25" t="n">
        <f aca="false">IF(AND(D2832=1,A2832&gt;=$R$2),F2832,"")</f>
        <v>-0.00948430067284631</v>
      </c>
      <c r="H2832" s="27" t="n">
        <f aca="false">IF(G2832="","",G2832^2)</f>
        <v>8.9951959252953E-005</v>
      </c>
      <c r="I2832" s="25" t="n">
        <f aca="false">IF(G2832="","",C2832/C2831-1)</f>
        <v>-0.00943946654528982</v>
      </c>
      <c r="J2832" s="17" t="n">
        <f aca="false">AVERAGE(C2633:C2832)</f>
        <v>27708.8174</v>
      </c>
      <c r="K2832" s="17" t="n">
        <f aca="false">MAX(K2831,C2832)</f>
        <v>67510.06</v>
      </c>
      <c r="L2832" s="25" t="n">
        <f aca="false">C2832/K2832-1</f>
        <v>-0.701491451792518</v>
      </c>
      <c r="M2832" s="25" t="n">
        <f aca="false">IF(COUNT(G2803:G2832)&lt;20,"",_xlfn.STDEV.S(G2803:G2832)*SQRT($R$3))</f>
        <v>0.672720098012893</v>
      </c>
      <c r="N2832" s="25" t="n">
        <f aca="false">IF(A2832-7&lt;$R$2,"",C2832/INDEX(Clean_Data!$C$2:$C$4314,MATCH(A2832-7,Clean_Data!$A$2:$A$4314,1))-1)</f>
        <v>0.0383720414971029</v>
      </c>
      <c r="O2832" s="25" t="n">
        <f aca="false">IF(A2832-30&lt;$R$2,"",C2832/INDEX(Clean_Data!$C$2:$C$4314,MATCH(A2832-30,Clean_Data!$A$2:$A$4314,1))-1)</f>
        <v>0.0173967348117454</v>
      </c>
    </row>
    <row r="2833" customFormat="false" ht="15" hidden="false" customHeight="false" outlineLevel="0" collapsed="false">
      <c r="A2833" s="16" t="n">
        <v>44840</v>
      </c>
      <c r="B2833" s="23" t="n">
        <f aca="false">YEAR(A2833)</f>
        <v>2022</v>
      </c>
      <c r="C2833" s="17" t="n">
        <v>19962.19</v>
      </c>
      <c r="D2833" s="23" t="n">
        <f aca="false">A2833-A2832</f>
        <v>1</v>
      </c>
      <c r="E2833" s="24" t="n">
        <f aca="false">LN(C2833)</f>
        <v>9.9015952632856</v>
      </c>
      <c r="F2833" s="25" t="n">
        <f aca="false">LN(C2833/C2832)</f>
        <v>-0.00947993015862473</v>
      </c>
      <c r="G2833" s="25" t="n">
        <f aca="false">IF(AND(D2833=1,A2833&gt;=$R$2),F2833,"")</f>
        <v>-0.00947993015862473</v>
      </c>
      <c r="H2833" s="27" t="n">
        <f aca="false">IF(G2833="","",G2833^2)</f>
        <v>8.98690758124027E-005</v>
      </c>
      <c r="I2833" s="25" t="n">
        <f aca="false">IF(G2833="","",C2833/C2832-1)</f>
        <v>-0.00943513727693046</v>
      </c>
      <c r="J2833" s="17" t="n">
        <f aca="false">AVERAGE(C2634:C2833)</f>
        <v>27602.2727</v>
      </c>
      <c r="K2833" s="17" t="n">
        <f aca="false">MAX(K2832,C2833)</f>
        <v>67510.06</v>
      </c>
      <c r="L2833" s="25" t="n">
        <f aca="false">C2833/K2833-1</f>
        <v>-0.704307920923193</v>
      </c>
      <c r="M2833" s="25" t="n">
        <f aca="false">IF(COUNT(G2804:G2833)&lt;20,"",_xlfn.STDEV.S(G2804:G2833)*SQRT($R$3))</f>
        <v>0.645207190172447</v>
      </c>
      <c r="N2833" s="25" t="n">
        <f aca="false">IF(A2833-7&lt;$R$2,"",C2833/INDEX(Clean_Data!$C$2:$C$4314,MATCH(A2833-7,Clean_Data!$A$2:$A$4314,1))-1)</f>
        <v>0.0179280501728401</v>
      </c>
      <c r="O2833" s="25" t="n">
        <f aca="false">IF(A2833-30&lt;$R$2,"",C2833/INDEX(Clean_Data!$C$2:$C$4314,MATCH(A2833-30,Clean_Data!$A$2:$A$4314,1))-1)</f>
        <v>0.0631192416253927</v>
      </c>
    </row>
    <row r="2834" customFormat="false" ht="15" hidden="false" customHeight="false" outlineLevel="0" collapsed="false">
      <c r="A2834" s="16" t="n">
        <v>44841</v>
      </c>
      <c r="B2834" s="23" t="n">
        <f aca="false">YEAR(A2834)</f>
        <v>2022</v>
      </c>
      <c r="C2834" s="17" t="n">
        <v>19524.22</v>
      </c>
      <c r="D2834" s="23" t="n">
        <f aca="false">A2834-A2833</f>
        <v>1</v>
      </c>
      <c r="E2834" s="24" t="n">
        <f aca="false">LN(C2834)</f>
        <v>9.8794110251263</v>
      </c>
      <c r="F2834" s="25" t="n">
        <f aca="false">LN(C2834/C2833)</f>
        <v>-0.0221842381592932</v>
      </c>
      <c r="G2834" s="25" t="n">
        <f aca="false">IF(AND(D2834=1,A2834&gt;=$R$2),F2834,"")</f>
        <v>-0.0221842381592932</v>
      </c>
      <c r="H2834" s="27" t="n">
        <f aca="false">IF(G2834="","",G2834^2)</f>
        <v>0.000492140422708239</v>
      </c>
      <c r="I2834" s="25" t="n">
        <f aca="false">IF(G2834="","",C2834/C2833-1)</f>
        <v>-0.0219399775275156</v>
      </c>
      <c r="J2834" s="17" t="n">
        <f aca="false">AVERAGE(C2635:C2834)</f>
        <v>27494.8439</v>
      </c>
      <c r="K2834" s="17" t="n">
        <f aca="false">MAX(K2833,C2834)</f>
        <v>67510.06</v>
      </c>
      <c r="L2834" s="25" t="n">
        <f aca="false">C2834/K2834-1</f>
        <v>-0.710795398493202</v>
      </c>
      <c r="M2834" s="25" t="n">
        <f aca="false">IF(COUNT(G2805:G2834)&lt;20,"",_xlfn.STDEV.S(G2805:G2834)*SQRT($R$3))</f>
        <v>0.644191807606127</v>
      </c>
      <c r="N2834" s="25" t="n">
        <f aca="false">IF(A2834-7&lt;$R$2,"",C2834/INDEX(Clean_Data!$C$2:$C$4314,MATCH(A2834-7,Clean_Data!$A$2:$A$4314,1))-1)</f>
        <v>0.00558411190885777</v>
      </c>
      <c r="O2834" s="25" t="n">
        <f aca="false">IF(A2834-30&lt;$R$2,"",C2834/INDEX(Clean_Data!$C$2:$C$4314,MATCH(A2834-30,Clean_Data!$A$2:$A$4314,1))-1)</f>
        <v>0.0123398922443629</v>
      </c>
    </row>
    <row r="2835" customFormat="false" ht="15" hidden="false" customHeight="false" outlineLevel="0" collapsed="false">
      <c r="A2835" s="16" t="n">
        <v>44842</v>
      </c>
      <c r="B2835" s="23" t="n">
        <f aca="false">YEAR(A2835)</f>
        <v>2022</v>
      </c>
      <c r="C2835" s="17" t="n">
        <v>19409.72</v>
      </c>
      <c r="D2835" s="23" t="n">
        <f aca="false">A2835-A2834</f>
        <v>1</v>
      </c>
      <c r="E2835" s="24" t="n">
        <f aca="false">LN(C2835)</f>
        <v>9.87352925050517</v>
      </c>
      <c r="F2835" s="25" t="n">
        <f aca="false">LN(C2835/C2834)</f>
        <v>-0.0058817746211336</v>
      </c>
      <c r="G2835" s="25" t="n">
        <f aca="false">IF(AND(D2835=1,A2835&gt;=$R$2),F2835,"")</f>
        <v>-0.0058817746211336</v>
      </c>
      <c r="H2835" s="27" t="n">
        <f aca="false">IF(G2835="","",G2835^2)</f>
        <v>3.45952726938113E-005</v>
      </c>
      <c r="I2835" s="25" t="n">
        <f aca="false">IF(G2835="","",C2835/C2834-1)</f>
        <v>-0.00586451084857675</v>
      </c>
      <c r="J2835" s="17" t="n">
        <f aca="false">AVERAGE(C2636:C2835)</f>
        <v>27380.0931</v>
      </c>
      <c r="K2835" s="17" t="n">
        <f aca="false">MAX(K2834,C2835)</f>
        <v>67510.06</v>
      </c>
      <c r="L2835" s="25" t="n">
        <f aca="false">C2835/K2835-1</f>
        <v>-0.712491442016197</v>
      </c>
      <c r="M2835" s="25" t="n">
        <f aca="false">IF(COUNT(G2806:G2835)&lt;20,"",_xlfn.STDEV.S(G2806:G2835)*SQRT($R$3))</f>
        <v>0.64454174828956</v>
      </c>
      <c r="N2835" s="25" t="n">
        <f aca="false">IF(A2835-7&lt;$R$2,"",C2835/INDEX(Clean_Data!$C$2:$C$4314,MATCH(A2835-7,Clean_Data!$A$2:$A$4314,1))-1)</f>
        <v>0.00522871484238263</v>
      </c>
      <c r="O2835" s="25" t="n">
        <f aca="false">IF(A2835-30&lt;$R$2,"",C2835/INDEX(Clean_Data!$C$2:$C$4314,MATCH(A2835-30,Clean_Data!$A$2:$A$4314,1))-1)</f>
        <v>0.00464337233779921</v>
      </c>
    </row>
    <row r="2836" customFormat="false" ht="15" hidden="false" customHeight="false" outlineLevel="0" collapsed="false">
      <c r="A2836" s="16" t="n">
        <v>44843</v>
      </c>
      <c r="B2836" s="23" t="n">
        <f aca="false">YEAR(A2836)</f>
        <v>2022</v>
      </c>
      <c r="C2836" s="17" t="n">
        <v>19437.02</v>
      </c>
      <c r="D2836" s="23" t="n">
        <f aca="false">A2836-A2835</f>
        <v>1</v>
      </c>
      <c r="E2836" s="24" t="n">
        <f aca="false">LN(C2836)</f>
        <v>9.87493477408291</v>
      </c>
      <c r="F2836" s="25" t="n">
        <f aca="false">LN(C2836/C2835)</f>
        <v>0.00140552357774453</v>
      </c>
      <c r="G2836" s="25" t="n">
        <f aca="false">IF(AND(D2836=1,A2836&gt;=$R$2),F2836,"")</f>
        <v>0.00140552357774453</v>
      </c>
      <c r="H2836" s="27" t="n">
        <f aca="false">IF(G2836="","",G2836^2)</f>
        <v>1.97549652759577E-006</v>
      </c>
      <c r="I2836" s="25" t="n">
        <f aca="false">IF(G2836="","",C2836/C2835-1)</f>
        <v>0.0014065117889388</v>
      </c>
      <c r="J2836" s="17" t="n">
        <f aca="false">AVERAGE(C2637:C2836)</f>
        <v>27262.5768</v>
      </c>
      <c r="K2836" s="17" t="n">
        <f aca="false">MAX(K2835,C2836)</f>
        <v>67510.06</v>
      </c>
      <c r="L2836" s="25" t="n">
        <f aca="false">C2836/K2836-1</f>
        <v>-0.712087057839972</v>
      </c>
      <c r="M2836" s="25" t="n">
        <f aca="false">IF(COUNT(G2807:G2836)&lt;20,"",_xlfn.STDEV.S(G2807:G2836)*SQRT($R$3))</f>
        <v>0.534283905753668</v>
      </c>
      <c r="N2836" s="25" t="n">
        <f aca="false">IF(A2836-7&lt;$R$2,"",C2836/INDEX(Clean_Data!$C$2:$C$4314,MATCH(A2836-7,Clean_Data!$A$2:$A$4314,1))-1)</f>
        <v>0.019123555692578</v>
      </c>
      <c r="O2836" s="25" t="n">
        <f aca="false">IF(A2836-30&lt;$R$2,"",C2836/INDEX(Clean_Data!$C$2:$C$4314,MATCH(A2836-30,Clean_Data!$A$2:$A$4314,1))-1)</f>
        <v>-0.0898375363781312</v>
      </c>
    </row>
    <row r="2837" customFormat="false" ht="15" hidden="false" customHeight="false" outlineLevel="0" collapsed="false">
      <c r="A2837" s="16" t="n">
        <v>44844</v>
      </c>
      <c r="B2837" s="23" t="n">
        <f aca="false">YEAR(A2837)</f>
        <v>2022</v>
      </c>
      <c r="C2837" s="17" t="n">
        <v>19104.67</v>
      </c>
      <c r="D2837" s="23" t="n">
        <f aca="false">A2837-A2836</f>
        <v>1</v>
      </c>
      <c r="E2837" s="24" t="n">
        <f aca="false">LN(C2837)</f>
        <v>9.85768808676663</v>
      </c>
      <c r="F2837" s="25" t="n">
        <f aca="false">LN(C2837/C2836)</f>
        <v>-0.0172466873162844</v>
      </c>
      <c r="G2837" s="25" t="n">
        <f aca="false">IF(AND(D2837=1,A2837&gt;=$R$2),F2837,"")</f>
        <v>-0.0172466873162844</v>
      </c>
      <c r="H2837" s="27" t="n">
        <f aca="false">IF(G2837="","",G2837^2)</f>
        <v>0.000297448223385685</v>
      </c>
      <c r="I2837" s="25" t="n">
        <f aca="false">IF(G2837="","",C2837/C2836-1)</f>
        <v>-0.017098814530211</v>
      </c>
      <c r="J2837" s="17" t="n">
        <f aca="false">AVERAGE(C2638:C2837)</f>
        <v>27138.20275</v>
      </c>
      <c r="K2837" s="17" t="n">
        <f aca="false">MAX(K2836,C2837)</f>
        <v>67510.06</v>
      </c>
      <c r="L2837" s="25" t="n">
        <f aca="false">C2837/K2837-1</f>
        <v>-0.717010027838814</v>
      </c>
      <c r="M2837" s="25" t="n">
        <f aca="false">IF(COUNT(G2808:G2837)&lt;20,"",_xlfn.STDEV.S(G2808:G2837)*SQRT($R$3))</f>
        <v>0.53270882154014</v>
      </c>
      <c r="N2837" s="25" t="n">
        <f aca="false">IF(A2837-7&lt;$R$2,"",C2837/INDEX(Clean_Data!$C$2:$C$4314,MATCH(A2837-7,Clean_Data!$A$2:$A$4314,1))-1)</f>
        <v>-0.0272987306041902</v>
      </c>
      <c r="O2837" s="25" t="n">
        <f aca="false">IF(A2837-30&lt;$R$2,"",C2837/INDEX(Clean_Data!$C$2:$C$4314,MATCH(A2837-30,Clean_Data!$A$2:$A$4314,1))-1)</f>
        <v>-0.117990488629245</v>
      </c>
    </row>
    <row r="2838" customFormat="false" ht="15" hidden="false" customHeight="false" outlineLevel="0" collapsed="false">
      <c r="A2838" s="16" t="n">
        <v>44845</v>
      </c>
      <c r="B2838" s="23" t="n">
        <f aca="false">YEAR(A2838)</f>
        <v>2022</v>
      </c>
      <c r="C2838" s="17" t="n">
        <v>19069.69</v>
      </c>
      <c r="D2838" s="23" t="n">
        <f aca="false">A2838-A2837</f>
        <v>1</v>
      </c>
      <c r="E2838" s="24" t="n">
        <f aca="false">LN(C2838)</f>
        <v>9.85585544256302</v>
      </c>
      <c r="F2838" s="25" t="n">
        <f aca="false">LN(C2838/C2837)</f>
        <v>-0.00183264420361067</v>
      </c>
      <c r="G2838" s="25" t="n">
        <f aca="false">IF(AND(D2838=1,A2838&gt;=$R$2),F2838,"")</f>
        <v>-0.00183264420361067</v>
      </c>
      <c r="H2838" s="27" t="n">
        <f aca="false">IF(G2838="","",G2838^2)</f>
        <v>3.3585847770278E-006</v>
      </c>
      <c r="I2838" s="25" t="n">
        <f aca="false">IF(G2838="","",C2838/C2837-1)</f>
        <v>-0.00183096593660081</v>
      </c>
      <c r="J2838" s="17" t="n">
        <f aca="false">AVERAGE(C2639:C2838)</f>
        <v>27011.77565</v>
      </c>
      <c r="K2838" s="17" t="n">
        <f aca="false">MAX(K2837,C2838)</f>
        <v>67510.06</v>
      </c>
      <c r="L2838" s="25" t="n">
        <f aca="false">C2838/K2838-1</f>
        <v>-0.717528172838241</v>
      </c>
      <c r="M2838" s="25" t="n">
        <f aca="false">IF(COUNT(G2809:G2838)&lt;20,"",_xlfn.STDEV.S(G2809:G2838)*SQRT($R$3))</f>
        <v>0.531193787610598</v>
      </c>
      <c r="N2838" s="25" t="n">
        <f aca="false">IF(A2838-7&lt;$R$2,"",C2838/INDEX(Clean_Data!$C$2:$C$4314,MATCH(A2838-7,Clean_Data!$A$2:$A$4314,1))-1)</f>
        <v>-0.0626551719222567</v>
      </c>
      <c r="O2838" s="25" t="n">
        <f aca="false">IF(A2838-30&lt;$R$2,"",C2838/INDEX(Clean_Data!$C$2:$C$4314,MATCH(A2838-30,Clean_Data!$A$2:$A$4314,1))-1)</f>
        <v>-0.125968462852827</v>
      </c>
    </row>
    <row r="2839" customFormat="false" ht="15" hidden="false" customHeight="false" outlineLevel="0" collapsed="false">
      <c r="A2839" s="16" t="n">
        <v>44846</v>
      </c>
      <c r="B2839" s="23" t="n">
        <f aca="false">YEAR(A2839)</f>
        <v>2022</v>
      </c>
      <c r="C2839" s="17" t="n">
        <v>19157.32</v>
      </c>
      <c r="D2839" s="23" t="n">
        <f aca="false">A2839-A2838</f>
        <v>1</v>
      </c>
      <c r="E2839" s="24" t="n">
        <f aca="false">LN(C2839)</f>
        <v>9.86044016700243</v>
      </c>
      <c r="F2839" s="25" t="n">
        <f aca="false">LN(C2839/C2838)</f>
        <v>0.00458472443941034</v>
      </c>
      <c r="G2839" s="25" t="n">
        <f aca="false">IF(AND(D2839=1,A2839&gt;=$R$2),F2839,"")</f>
        <v>0.00458472443941034</v>
      </c>
      <c r="H2839" s="27" t="n">
        <f aca="false">IF(G2839="","",G2839^2)</f>
        <v>2.10196981853264E-005</v>
      </c>
      <c r="I2839" s="25" t="n">
        <f aca="false">IF(G2839="","",C2839/C2838-1)</f>
        <v>0.00459525036851671</v>
      </c>
      <c r="J2839" s="17" t="n">
        <f aca="false">AVERAGE(C2640:C2839)</f>
        <v>26884.82015</v>
      </c>
      <c r="K2839" s="17" t="n">
        <f aca="false">MAX(K2838,C2839)</f>
        <v>67510.06</v>
      </c>
      <c r="L2839" s="25" t="n">
        <f aca="false">C2839/K2839-1</f>
        <v>-0.71623014407038</v>
      </c>
      <c r="M2839" s="25" t="n">
        <f aca="false">IF(COUNT(G2810:G2839)&lt;20,"",_xlfn.STDEV.S(G2810:G2839)*SQRT($R$3))</f>
        <v>0.520198651145146</v>
      </c>
      <c r="N2839" s="25" t="n">
        <f aca="false">IF(A2839-7&lt;$R$2,"",C2839/INDEX(Clean_Data!$C$2:$C$4314,MATCH(A2839-7,Clean_Data!$A$2:$A$4314,1))-1)</f>
        <v>-0.0493744395809319</v>
      </c>
      <c r="O2839" s="25" t="n">
        <f aca="false">IF(A2839-30&lt;$R$2,"",C2839/INDEX(Clean_Data!$C$2:$C$4314,MATCH(A2839-30,Clean_Data!$A$2:$A$4314,1))-1)</f>
        <v>-0.145243300643388</v>
      </c>
    </row>
    <row r="2840" customFormat="false" ht="15" hidden="false" customHeight="false" outlineLevel="0" collapsed="false">
      <c r="A2840" s="16" t="n">
        <v>44847</v>
      </c>
      <c r="B2840" s="23" t="n">
        <f aca="false">YEAR(A2840)</f>
        <v>2022</v>
      </c>
      <c r="C2840" s="17" t="n">
        <v>19382.53</v>
      </c>
      <c r="D2840" s="23" t="n">
        <f aca="false">A2840-A2839</f>
        <v>1</v>
      </c>
      <c r="E2840" s="24" t="n">
        <f aca="false">LN(C2840)</f>
        <v>9.87212742387987</v>
      </c>
      <c r="F2840" s="25" t="n">
        <f aca="false">LN(C2840/C2839)</f>
        <v>0.011687256877441</v>
      </c>
      <c r="G2840" s="25" t="n">
        <f aca="false">IF(AND(D2840=1,A2840&gt;=$R$2),F2840,"")</f>
        <v>0.011687256877441</v>
      </c>
      <c r="H2840" s="27" t="n">
        <f aca="false">IF(G2840="","",G2840^2)</f>
        <v>0.000136591973319293</v>
      </c>
      <c r="I2840" s="25" t="n">
        <f aca="false">IF(G2840="","",C2840/C2839-1)</f>
        <v>0.0117558197075582</v>
      </c>
      <c r="J2840" s="17" t="n">
        <f aca="false">AVERAGE(C2641:C2840)</f>
        <v>26747.6339</v>
      </c>
      <c r="K2840" s="17" t="n">
        <f aca="false">MAX(K2839,C2840)</f>
        <v>67510.06</v>
      </c>
      <c r="L2840" s="25" t="n">
        <f aca="false">C2840/K2840-1</f>
        <v>-0.712894196805632</v>
      </c>
      <c r="M2840" s="25" t="n">
        <f aca="false">IF(COUNT(G2811:G2840)&lt;20,"",_xlfn.STDEV.S(G2811:G2840)*SQRT($R$3))</f>
        <v>0.375939932942384</v>
      </c>
      <c r="N2840" s="25" t="n">
        <f aca="false">IF(A2840-7&lt;$R$2,"",C2840/INDEX(Clean_Data!$C$2:$C$4314,MATCH(A2840-7,Clean_Data!$A$2:$A$4314,1))-1)</f>
        <v>-0.0290378961426577</v>
      </c>
      <c r="O2840" s="25" t="n">
        <f aca="false">IF(A2840-30&lt;$R$2,"",C2840/INDEX(Clean_Data!$C$2:$C$4314,MATCH(A2840-30,Clean_Data!$A$2:$A$4314,1))-1)</f>
        <v>-0.0387599936322444</v>
      </c>
    </row>
    <row r="2841" customFormat="false" ht="15" hidden="false" customHeight="false" outlineLevel="0" collapsed="false">
      <c r="A2841" s="16" t="n">
        <v>44848</v>
      </c>
      <c r="B2841" s="23" t="n">
        <f aca="false">YEAR(A2841)</f>
        <v>2022</v>
      </c>
      <c r="C2841" s="17" t="n">
        <v>19187.64</v>
      </c>
      <c r="D2841" s="23" t="n">
        <f aca="false">A2841-A2840</f>
        <v>1</v>
      </c>
      <c r="E2841" s="24" t="n">
        <f aca="false">LN(C2841)</f>
        <v>9.86202160071987</v>
      </c>
      <c r="F2841" s="25" t="n">
        <f aca="false">LN(C2841/C2840)</f>
        <v>-0.0101058231599969</v>
      </c>
      <c r="G2841" s="25" t="n">
        <f aca="false">IF(AND(D2841=1,A2841&gt;=$R$2),F2841,"")</f>
        <v>-0.0101058231599969</v>
      </c>
      <c r="H2841" s="27" t="n">
        <f aca="false">IF(G2841="","",G2841^2)</f>
        <v>0.00010212766174113</v>
      </c>
      <c r="I2841" s="25" t="n">
        <f aca="false">IF(G2841="","",C2841/C2840-1)</f>
        <v>-0.0100549309094323</v>
      </c>
      <c r="J2841" s="17" t="n">
        <f aca="false">AVERAGE(C2642:C2841)</f>
        <v>26607.61555</v>
      </c>
      <c r="K2841" s="17" t="n">
        <f aca="false">MAX(K2840,C2841)</f>
        <v>67510.06</v>
      </c>
      <c r="L2841" s="25" t="n">
        <f aca="false">C2841/K2841-1</f>
        <v>-0.715781025820448</v>
      </c>
      <c r="M2841" s="25" t="n">
        <f aca="false">IF(COUNT(G2812:G2841)&lt;20,"",_xlfn.STDEV.S(G2812:G2841)*SQRT($R$3))</f>
        <v>0.376884235009694</v>
      </c>
      <c r="N2841" s="25" t="n">
        <f aca="false">IF(A2841-7&lt;$R$2,"",C2841/INDEX(Clean_Data!$C$2:$C$4314,MATCH(A2841-7,Clean_Data!$A$2:$A$4314,1))-1)</f>
        <v>-0.0172391009730479</v>
      </c>
      <c r="O2841" s="25" t="n">
        <f aca="false">IF(A2841-30&lt;$R$2,"",C2841/INDEX(Clean_Data!$C$2:$C$4314,MATCH(A2841-30,Clean_Data!$A$2:$A$4314,1))-1)</f>
        <v>-0.0508981961879899</v>
      </c>
    </row>
    <row r="2842" customFormat="false" ht="15" hidden="false" customHeight="false" outlineLevel="0" collapsed="false">
      <c r="A2842" s="16" t="n">
        <v>44849</v>
      </c>
      <c r="B2842" s="23" t="n">
        <f aca="false">YEAR(A2842)</f>
        <v>2022</v>
      </c>
      <c r="C2842" s="17" t="n">
        <v>19074.41</v>
      </c>
      <c r="D2842" s="23" t="n">
        <f aca="false">A2842-A2841</f>
        <v>1</v>
      </c>
      <c r="E2842" s="24" t="n">
        <f aca="false">LN(C2842)</f>
        <v>9.85610292513695</v>
      </c>
      <c r="F2842" s="25" t="n">
        <f aca="false">LN(C2842/C2841)</f>
        <v>-0.00591867558292608</v>
      </c>
      <c r="G2842" s="25" t="n">
        <f aca="false">IF(AND(D2842=1,A2842&gt;=$R$2),F2842,"")</f>
        <v>-0.00591867558292608</v>
      </c>
      <c r="H2842" s="27" t="n">
        <f aca="false">IF(G2842="","",G2842^2)</f>
        <v>3.50307206559254E-005</v>
      </c>
      <c r="I2842" s="25" t="n">
        <f aca="false">IF(G2842="","",C2842/C2841-1)</f>
        <v>-0.00590119472743911</v>
      </c>
      <c r="J2842" s="17" t="n">
        <f aca="false">AVERAGE(C2643:C2842)</f>
        <v>26465.8339</v>
      </c>
      <c r="K2842" s="17" t="n">
        <f aca="false">MAX(K2841,C2842)</f>
        <v>67510.06</v>
      </c>
      <c r="L2842" s="25" t="n">
        <f aca="false">C2842/K2842-1</f>
        <v>-0.717458257332315</v>
      </c>
      <c r="M2842" s="25" t="n">
        <f aca="false">IF(COUNT(G2813:G2842)&lt;20,"",_xlfn.STDEV.S(G2813:G2842)*SQRT($R$3))</f>
        <v>0.366687884805778</v>
      </c>
      <c r="N2842" s="25" t="n">
        <f aca="false">IF(A2842-7&lt;$R$2,"",C2842/INDEX(Clean_Data!$C$2:$C$4314,MATCH(A2842-7,Clean_Data!$A$2:$A$4314,1))-1)</f>
        <v>-0.0172753651263389</v>
      </c>
      <c r="O2842" s="25" t="n">
        <f aca="false">IF(A2842-30&lt;$R$2,"",C2842/INDEX(Clean_Data!$C$2:$C$4314,MATCH(A2842-30,Clean_Data!$A$2:$A$4314,1))-1)</f>
        <v>-0.031300991582342</v>
      </c>
    </row>
    <row r="2843" customFormat="false" ht="15" hidden="false" customHeight="false" outlineLevel="0" collapsed="false">
      <c r="A2843" s="16" t="n">
        <v>44850</v>
      </c>
      <c r="B2843" s="23" t="n">
        <f aca="false">YEAR(A2843)</f>
        <v>2022</v>
      </c>
      <c r="C2843" s="17" t="n">
        <v>19270.79</v>
      </c>
      <c r="D2843" s="23" t="n">
        <f aca="false">A2843-A2842</f>
        <v>1</v>
      </c>
      <c r="E2843" s="24" t="n">
        <f aca="false">LN(C2843)</f>
        <v>9.8663457569355</v>
      </c>
      <c r="F2843" s="25" t="n">
        <f aca="false">LN(C2843/C2842)</f>
        <v>0.0102428317985482</v>
      </c>
      <c r="G2843" s="25" t="n">
        <f aca="false">IF(AND(D2843=1,A2843&gt;=$R$2),F2843,"")</f>
        <v>0.0102428317985482</v>
      </c>
      <c r="H2843" s="27" t="n">
        <f aca="false">IF(G2843="","",G2843^2)</f>
        <v>0.00010491560325335</v>
      </c>
      <c r="I2843" s="25" t="n">
        <f aca="false">IF(G2843="","",C2843/C2842-1)</f>
        <v>0.0102954691652324</v>
      </c>
      <c r="J2843" s="17" t="n">
        <f aca="false">AVERAGE(C2644:C2843)</f>
        <v>26327.07375</v>
      </c>
      <c r="K2843" s="17" t="n">
        <f aca="false">MAX(K2842,C2843)</f>
        <v>67510.06</v>
      </c>
      <c r="L2843" s="25" t="n">
        <f aca="false">C2843/K2843-1</f>
        <v>-0.714549357532788</v>
      </c>
      <c r="M2843" s="25" t="n">
        <f aca="false">IF(COUNT(G2814:G2843)&lt;20,"",_xlfn.STDEV.S(G2814:G2843)*SQRT($R$3))</f>
        <v>0.368283605957021</v>
      </c>
      <c r="N2843" s="25" t="n">
        <f aca="false">IF(A2843-7&lt;$R$2,"",C2843/INDEX(Clean_Data!$C$2:$C$4314,MATCH(A2843-7,Clean_Data!$A$2:$A$4314,1))-1)</f>
        <v>-0.00855223691697593</v>
      </c>
      <c r="O2843" s="25" t="n">
        <f aca="false">IF(A2843-30&lt;$R$2,"",C2843/INDEX(Clean_Data!$C$2:$C$4314,MATCH(A2843-30,Clean_Data!$A$2:$A$4314,1))-1)</f>
        <v>-0.0259490289458693</v>
      </c>
    </row>
    <row r="2844" customFormat="false" ht="15" hidden="false" customHeight="false" outlineLevel="0" collapsed="false">
      <c r="A2844" s="16" t="n">
        <v>44851</v>
      </c>
      <c r="B2844" s="23" t="n">
        <f aca="false">YEAR(A2844)</f>
        <v>2022</v>
      </c>
      <c r="C2844" s="17" t="n">
        <v>19565.96</v>
      </c>
      <c r="D2844" s="23" t="n">
        <f aca="false">A2844-A2843</f>
        <v>1</v>
      </c>
      <c r="E2844" s="24" t="n">
        <f aca="false">LN(C2844)</f>
        <v>9.88154660065261</v>
      </c>
      <c r="F2844" s="25" t="n">
        <f aca="false">LN(C2844/C2843)</f>
        <v>0.0152008437171199</v>
      </c>
      <c r="G2844" s="25" t="n">
        <f aca="false">IF(AND(D2844=1,A2844&gt;=$R$2),F2844,"")</f>
        <v>0.0152008437171199</v>
      </c>
      <c r="H2844" s="27" t="n">
        <f aca="false">IF(G2844="","",G2844^2)</f>
        <v>0.000231065649712304</v>
      </c>
      <c r="I2844" s="25" t="n">
        <f aca="false">IF(G2844="","",C2844/C2843-1)</f>
        <v>0.0153169641722004</v>
      </c>
      <c r="J2844" s="17" t="n">
        <f aca="false">AVERAGE(C2645:C2844)</f>
        <v>26197.5244</v>
      </c>
      <c r="K2844" s="17" t="n">
        <f aca="false">MAX(K2843,C2844)</f>
        <v>67510.06</v>
      </c>
      <c r="L2844" s="25" t="n">
        <f aca="false">C2844/K2844-1</f>
        <v>-0.710177120269187</v>
      </c>
      <c r="M2844" s="25" t="n">
        <f aca="false">IF(COUNT(G2815:G2844)&lt;20,"",_xlfn.STDEV.S(G2815:G2844)*SQRT($R$3))</f>
        <v>0.367424001433255</v>
      </c>
      <c r="N2844" s="25" t="n">
        <f aca="false">IF(A2844-7&lt;$R$2,"",C2844/INDEX(Clean_Data!$C$2:$C$4314,MATCH(A2844-7,Clean_Data!$A$2:$A$4314,1))-1)</f>
        <v>0.0241454052857233</v>
      </c>
      <c r="O2844" s="25" t="n">
        <f aca="false">IF(A2844-30&lt;$R$2,"",C2844/INDEX(Clean_Data!$C$2:$C$4314,MATCH(A2844-30,Clean_Data!$A$2:$A$4314,1))-1)</f>
        <v>-0.0274004607007543</v>
      </c>
    </row>
    <row r="2845" customFormat="false" ht="15" hidden="false" customHeight="false" outlineLevel="0" collapsed="false">
      <c r="A2845" s="16" t="n">
        <v>44852</v>
      </c>
      <c r="B2845" s="23" t="n">
        <f aca="false">YEAR(A2845)</f>
        <v>2022</v>
      </c>
      <c r="C2845" s="17" t="n">
        <v>19334.77</v>
      </c>
      <c r="D2845" s="23" t="n">
        <f aca="false">A2845-A2844</f>
        <v>1</v>
      </c>
      <c r="E2845" s="24" t="n">
        <f aca="false">LN(C2845)</f>
        <v>9.8696603084444</v>
      </c>
      <c r="F2845" s="25" t="n">
        <f aca="false">LN(C2845/C2844)</f>
        <v>-0.011886292208217</v>
      </c>
      <c r="G2845" s="25" t="n">
        <f aca="false">IF(AND(D2845=1,A2845&gt;=$R$2),F2845,"")</f>
        <v>-0.011886292208217</v>
      </c>
      <c r="H2845" s="27" t="n">
        <f aca="false">IF(G2845="","",G2845^2)</f>
        <v>0.00014128394245912</v>
      </c>
      <c r="I2845" s="25" t="n">
        <f aca="false">IF(G2845="","",C2845/C2844-1)</f>
        <v>-0.0118159292976168</v>
      </c>
      <c r="J2845" s="17" t="n">
        <f aca="false">AVERAGE(C2646:C2845)</f>
        <v>26063.0861</v>
      </c>
      <c r="K2845" s="17" t="n">
        <f aca="false">MAX(K2844,C2845)</f>
        <v>67510.06</v>
      </c>
      <c r="L2845" s="25" t="n">
        <f aca="false">C2845/K2845-1</f>
        <v>-0.713601646924918</v>
      </c>
      <c r="M2845" s="25" t="n">
        <f aca="false">IF(COUNT(G2816:G2845)&lt;20,"",_xlfn.STDEV.S(G2816:G2845)*SQRT($R$3))</f>
        <v>0.348806280908173</v>
      </c>
      <c r="N2845" s="25" t="n">
        <f aca="false">IF(A2845-7&lt;$R$2,"",C2845/INDEX(Clean_Data!$C$2:$C$4314,MATCH(A2845-7,Clean_Data!$A$2:$A$4314,1))-1)</f>
        <v>0.0139005930353353</v>
      </c>
      <c r="O2845" s="25" t="n">
        <f aca="false">IF(A2845-30&lt;$R$2,"",C2845/INDEX(Clean_Data!$C$2:$C$4314,MATCH(A2845-30,Clean_Data!$A$2:$A$4314,1))-1)</f>
        <v>-0.00464760708466638</v>
      </c>
    </row>
    <row r="2846" customFormat="false" ht="15" hidden="false" customHeight="false" outlineLevel="0" collapsed="false">
      <c r="A2846" s="16" t="n">
        <v>44853</v>
      </c>
      <c r="B2846" s="23" t="n">
        <f aca="false">YEAR(A2846)</f>
        <v>2022</v>
      </c>
      <c r="C2846" s="17" t="n">
        <v>19122.17</v>
      </c>
      <c r="D2846" s="23" t="n">
        <f aca="false">A2846-A2845</f>
        <v>1</v>
      </c>
      <c r="E2846" s="24" t="n">
        <f aca="false">LN(C2846)</f>
        <v>9.85860367388932</v>
      </c>
      <c r="F2846" s="25" t="n">
        <f aca="false">LN(C2846/C2845)</f>
        <v>-0.0110566345550813</v>
      </c>
      <c r="G2846" s="25" t="n">
        <f aca="false">IF(AND(D2846=1,A2846&gt;=$R$2),F2846,"")</f>
        <v>-0.0110566345550813</v>
      </c>
      <c r="H2846" s="27" t="n">
        <f aca="false">IF(G2846="","",G2846^2)</f>
        <v>0.000122249167684618</v>
      </c>
      <c r="I2846" s="25" t="n">
        <f aca="false">IF(G2846="","",C2846/C2845-1)</f>
        <v>-0.0109957346273063</v>
      </c>
      <c r="J2846" s="17" t="n">
        <f aca="false">AVERAGE(C2647:C2846)</f>
        <v>25929.33965</v>
      </c>
      <c r="K2846" s="17" t="n">
        <f aca="false">MAX(K2845,C2846)</f>
        <v>67510.06</v>
      </c>
      <c r="L2846" s="25" t="n">
        <f aca="false">C2846/K2846-1</f>
        <v>-0.716750807213029</v>
      </c>
      <c r="M2846" s="25" t="n">
        <f aca="false">IF(COUNT(G2817:G2846)&lt;20,"",_xlfn.STDEV.S(G2817:G2846)*SQRT($R$3))</f>
        <v>0.349945531004627</v>
      </c>
      <c r="N2846" s="25" t="n">
        <f aca="false">IF(A2846-7&lt;$R$2,"",C2846/INDEX(Clean_Data!$C$2:$C$4314,MATCH(A2846-7,Clean_Data!$A$2:$A$4314,1))-1)</f>
        <v>-0.00183480779148659</v>
      </c>
      <c r="O2846" s="25" t="n">
        <f aca="false">IF(A2846-30&lt;$R$2,"",C2846/INDEX(Clean_Data!$C$2:$C$4314,MATCH(A2846-30,Clean_Data!$A$2:$A$4314,1))-1)</f>
        <v>-0.0220389605740267</v>
      </c>
    </row>
    <row r="2847" customFormat="false" ht="15" hidden="false" customHeight="false" outlineLevel="0" collapsed="false">
      <c r="A2847" s="16" t="n">
        <v>44854</v>
      </c>
      <c r="B2847" s="23" t="n">
        <f aca="false">YEAR(A2847)</f>
        <v>2022</v>
      </c>
      <c r="C2847" s="17" t="n">
        <v>19046.77</v>
      </c>
      <c r="D2847" s="23" t="n">
        <f aca="false">A2847-A2846</f>
        <v>1</v>
      </c>
      <c r="E2847" s="24" t="n">
        <f aca="false">LN(C2847)</f>
        <v>9.8546528123732</v>
      </c>
      <c r="F2847" s="25" t="n">
        <f aca="false">LN(C2847/C2846)</f>
        <v>-0.00395086151611489</v>
      </c>
      <c r="G2847" s="25" t="n">
        <f aca="false">IF(AND(D2847=1,A2847&gt;=$R$2),F2847,"")</f>
        <v>-0.00395086151611489</v>
      </c>
      <c r="H2847" s="27" t="n">
        <f aca="false">IF(G2847="","",G2847^2)</f>
        <v>1.56093067195177E-005</v>
      </c>
      <c r="I2847" s="25" t="n">
        <f aca="false">IF(G2847="","",C2847/C2846-1)</f>
        <v>-0.00394306713097925</v>
      </c>
      <c r="J2847" s="17" t="n">
        <f aca="false">AVERAGE(C2648:C2847)</f>
        <v>25792.78325</v>
      </c>
      <c r="K2847" s="17" t="n">
        <f aca="false">MAX(K2846,C2847)</f>
        <v>67510.06</v>
      </c>
      <c r="L2847" s="25" t="n">
        <f aca="false">C2847/K2847-1</f>
        <v>-0.717867677794984</v>
      </c>
      <c r="M2847" s="25" t="n">
        <f aca="false">IF(COUNT(G2818:G2847)&lt;20,"",_xlfn.STDEV.S(G2818:G2847)*SQRT($R$3))</f>
        <v>0.326920500476587</v>
      </c>
      <c r="N2847" s="25" t="n">
        <f aca="false">IF(A2847-7&lt;$R$2,"",C2847/INDEX(Clean_Data!$C$2:$C$4314,MATCH(A2847-7,Clean_Data!$A$2:$A$4314,1))-1)</f>
        <v>-0.0173228159584945</v>
      </c>
      <c r="O2847" s="25" t="n">
        <f aca="false">IF(A2847-30&lt;$R$2,"",C2847/INDEX(Clean_Data!$C$2:$C$4314,MATCH(A2847-30,Clean_Data!$A$2:$A$4314,1))-1)</f>
        <v>0.00940950394345919</v>
      </c>
    </row>
    <row r="2848" customFormat="false" ht="15" hidden="false" customHeight="false" outlineLevel="0" collapsed="false">
      <c r="A2848" s="16" t="n">
        <v>44855</v>
      </c>
      <c r="B2848" s="23" t="n">
        <f aca="false">YEAR(A2848)</f>
        <v>2022</v>
      </c>
      <c r="C2848" s="17" t="n">
        <v>19172.57</v>
      </c>
      <c r="D2848" s="23" t="n">
        <f aca="false">A2848-A2847</f>
        <v>1</v>
      </c>
      <c r="E2848" s="24" t="n">
        <f aca="false">LN(C2848)</f>
        <v>9.86123589069507</v>
      </c>
      <c r="F2848" s="25" t="n">
        <f aca="false">LN(C2848/C2847)</f>
        <v>0.00658307832186791</v>
      </c>
      <c r="G2848" s="25" t="n">
        <f aca="false">IF(AND(D2848=1,A2848&gt;=$R$2),F2848,"")</f>
        <v>0.00658307832186791</v>
      </c>
      <c r="H2848" s="27" t="n">
        <f aca="false">IF(G2848="","",G2848^2)</f>
        <v>4.33369201918472E-005</v>
      </c>
      <c r="I2848" s="25" t="n">
        <f aca="false">IF(G2848="","",C2848/C2847-1)</f>
        <v>0.00660479440871065</v>
      </c>
      <c r="J2848" s="17" t="n">
        <f aca="false">AVERAGE(C2649:C2848)</f>
        <v>25655.80165</v>
      </c>
      <c r="K2848" s="17" t="n">
        <f aca="false">MAX(K2847,C2848)</f>
        <v>67510.06</v>
      </c>
      <c r="L2848" s="25" t="n">
        <f aca="false">C2848/K2848-1</f>
        <v>-0.716004251810767</v>
      </c>
      <c r="M2848" s="25" t="n">
        <f aca="false">IF(COUNT(G2819:G2848)&lt;20,"",_xlfn.STDEV.S(G2819:G2848)*SQRT($R$3))</f>
        <v>0.318869004903055</v>
      </c>
      <c r="N2848" s="25" t="n">
        <f aca="false">IF(A2848-7&lt;$R$2,"",C2848/INDEX(Clean_Data!$C$2:$C$4314,MATCH(A2848-7,Clean_Data!$A$2:$A$4314,1))-1)</f>
        <v>-0.000785401435507427</v>
      </c>
      <c r="O2848" s="25" t="n">
        <f aca="false">IF(A2848-30&lt;$R$2,"",C2848/INDEX(Clean_Data!$C$2:$C$4314,MATCH(A2848-30,Clean_Data!$A$2:$A$4314,1))-1)</f>
        <v>0.0369975130540323</v>
      </c>
    </row>
    <row r="2849" customFormat="false" ht="15" hidden="false" customHeight="false" outlineLevel="0" collapsed="false">
      <c r="A2849" s="16" t="n">
        <v>44856</v>
      </c>
      <c r="B2849" s="23" t="n">
        <f aca="false">YEAR(A2849)</f>
        <v>2022</v>
      </c>
      <c r="C2849" s="17" t="n">
        <v>19210.62</v>
      </c>
      <c r="D2849" s="23" t="n">
        <f aca="false">A2849-A2848</f>
        <v>1</v>
      </c>
      <c r="E2849" s="24" t="n">
        <f aca="false">LN(C2849)</f>
        <v>9.86321853009863</v>
      </c>
      <c r="F2849" s="25" t="n">
        <f aca="false">LN(C2849/C2848)</f>
        <v>0.00198263940355642</v>
      </c>
      <c r="G2849" s="25" t="n">
        <f aca="false">IF(AND(D2849=1,A2849&gt;=$R$2),F2849,"")</f>
        <v>0.00198263940355642</v>
      </c>
      <c r="H2849" s="27" t="n">
        <f aca="false">IF(G2849="","",G2849^2)</f>
        <v>3.93085900453455E-006</v>
      </c>
      <c r="I2849" s="25" t="n">
        <f aca="false">IF(G2849="","",C2849/C2848-1)</f>
        <v>0.00198460613261542</v>
      </c>
      <c r="J2849" s="17" t="n">
        <f aca="false">AVERAGE(C2650:C2849)</f>
        <v>25524.6085</v>
      </c>
      <c r="K2849" s="17" t="n">
        <f aca="false">MAX(K2848,C2849)</f>
        <v>67510.06</v>
      </c>
      <c r="L2849" s="25" t="n">
        <f aca="false">C2849/K2849-1</f>
        <v>-0.715440632107274</v>
      </c>
      <c r="M2849" s="25" t="n">
        <f aca="false">IF(COUNT(G2820:G2849)&lt;20,"",_xlfn.STDEV.S(G2820:G2849)*SQRT($R$3))</f>
        <v>0.270085455183655</v>
      </c>
      <c r="N2849" s="25" t="n">
        <f aca="false">IF(A2849-7&lt;$R$2,"",C2849/INDEX(Clean_Data!$C$2:$C$4314,MATCH(A2849-7,Clean_Data!$A$2:$A$4314,1))-1)</f>
        <v>0.0071409810316545</v>
      </c>
      <c r="O2849" s="25" t="n">
        <f aca="false">IF(A2849-30&lt;$R$2,"",C2849/INDEX(Clean_Data!$C$2:$C$4314,MATCH(A2849-30,Clean_Data!$A$2:$A$4314,1))-1)</f>
        <v>-0.00988179266944467</v>
      </c>
    </row>
    <row r="2850" customFormat="false" ht="15" hidden="false" customHeight="false" outlineLevel="0" collapsed="false">
      <c r="A2850" s="16" t="n">
        <v>44857</v>
      </c>
      <c r="B2850" s="23" t="n">
        <f aca="false">YEAR(A2850)</f>
        <v>2022</v>
      </c>
      <c r="C2850" s="17" t="n">
        <v>19563.5</v>
      </c>
      <c r="D2850" s="23" t="n">
        <f aca="false">A2850-A2849</f>
        <v>1</v>
      </c>
      <c r="E2850" s="24" t="n">
        <f aca="false">LN(C2850)</f>
        <v>9.88142086418688</v>
      </c>
      <c r="F2850" s="25" t="n">
        <f aca="false">LN(C2850/C2849)</f>
        <v>0.0182023340882547</v>
      </c>
      <c r="G2850" s="25" t="n">
        <f aca="false">IF(AND(D2850=1,A2850&gt;=$R$2),F2850,"")</f>
        <v>0.0182023340882547</v>
      </c>
      <c r="H2850" s="27" t="n">
        <f aca="false">IF(G2850="","",G2850^2)</f>
        <v>0.00033132496626044</v>
      </c>
      <c r="I2850" s="25" t="n">
        <f aca="false">IF(G2850="","",C2850/C2849-1)</f>
        <v>0.0183690063100515</v>
      </c>
      <c r="J2850" s="17" t="n">
        <f aca="false">AVERAGE(C2651:C2850)</f>
        <v>25406.3958</v>
      </c>
      <c r="K2850" s="17" t="n">
        <f aca="false">MAX(K2849,C2850)</f>
        <v>67510.06</v>
      </c>
      <c r="L2850" s="25" t="n">
        <f aca="false">C2850/K2850-1</f>
        <v>-0.710213559282868</v>
      </c>
      <c r="M2850" s="25" t="n">
        <f aca="false">IF(COUNT(G2821:G2850)&lt;20,"",_xlfn.STDEV.S(G2821:G2850)*SQRT($R$3))</f>
        <v>0.277057567478676</v>
      </c>
      <c r="N2850" s="25" t="n">
        <f aca="false">IF(A2850-7&lt;$R$2,"",C2850/INDEX(Clean_Data!$C$2:$C$4314,MATCH(A2850-7,Clean_Data!$A$2:$A$4314,1))-1)</f>
        <v>0.0151893098310967</v>
      </c>
      <c r="O2850" s="25" t="n">
        <f aca="false">IF(A2850-30&lt;$R$2,"",C2850/INDEX(Clean_Data!$C$2:$C$4314,MATCH(A2850-30,Clean_Data!$A$2:$A$4314,1))-1)</f>
        <v>0.0134202356661139</v>
      </c>
    </row>
    <row r="2851" customFormat="false" ht="15" hidden="false" customHeight="false" outlineLevel="0" collapsed="false">
      <c r="A2851" s="16" t="n">
        <v>44858</v>
      </c>
      <c r="B2851" s="23" t="n">
        <f aca="false">YEAR(A2851)</f>
        <v>2022</v>
      </c>
      <c r="C2851" s="17" t="n">
        <v>19332.45</v>
      </c>
      <c r="D2851" s="23" t="n">
        <f aca="false">A2851-A2850</f>
        <v>1</v>
      </c>
      <c r="E2851" s="24" t="n">
        <f aca="false">LN(C2851)</f>
        <v>9.86954031016147</v>
      </c>
      <c r="F2851" s="25" t="n">
        <f aca="false">LN(C2851/C2850)</f>
        <v>-0.0118805540254102</v>
      </c>
      <c r="G2851" s="25" t="n">
        <f aca="false">IF(AND(D2851=1,A2851&gt;=$R$2),F2851,"")</f>
        <v>-0.0118805540254102</v>
      </c>
      <c r="H2851" s="27" t="n">
        <f aca="false">IF(G2851="","",G2851^2)</f>
        <v>0.000141147563950691</v>
      </c>
      <c r="I2851" s="25" t="n">
        <f aca="false">IF(G2851="","",C2851/C2850-1)</f>
        <v>-0.0118102589005035</v>
      </c>
      <c r="J2851" s="17" t="n">
        <f aca="false">AVERAGE(C2652:C2851)</f>
        <v>25285.89765</v>
      </c>
      <c r="K2851" s="17" t="n">
        <f aca="false">MAX(K2850,C2851)</f>
        <v>67510.06</v>
      </c>
      <c r="L2851" s="25" t="n">
        <f aca="false">C2851/K2851-1</f>
        <v>-0.713636012173593</v>
      </c>
      <c r="M2851" s="25" t="n">
        <f aca="false">IF(COUNT(G2822:G2851)&lt;20,"",_xlfn.STDEV.S(G2822:G2851)*SQRT($R$3))</f>
        <v>0.271973841101109</v>
      </c>
      <c r="N2851" s="25" t="n">
        <f aca="false">IF(A2851-7&lt;$R$2,"",C2851/INDEX(Clean_Data!$C$2:$C$4314,MATCH(A2851-7,Clean_Data!$A$2:$A$4314,1))-1)</f>
        <v>-0.0119345025748799</v>
      </c>
      <c r="O2851" s="25" t="n">
        <f aca="false">IF(A2851-30&lt;$R$2,"",C2851/INDEX(Clean_Data!$C$2:$C$4314,MATCH(A2851-30,Clean_Data!$A$2:$A$4314,1))-1)</f>
        <v>0.0205019409778051</v>
      </c>
    </row>
    <row r="2852" customFormat="false" ht="15" hidden="false" customHeight="false" outlineLevel="0" collapsed="false">
      <c r="A2852" s="16" t="n">
        <v>44859</v>
      </c>
      <c r="B2852" s="23" t="n">
        <f aca="false">YEAR(A2852)</f>
        <v>2022</v>
      </c>
      <c r="C2852" s="17" t="n">
        <v>20113.74</v>
      </c>
      <c r="D2852" s="23" t="n">
        <f aca="false">A2852-A2851</f>
        <v>1</v>
      </c>
      <c r="E2852" s="24" t="n">
        <f aca="false">LN(C2852)</f>
        <v>9.90915844260091</v>
      </c>
      <c r="F2852" s="25" t="n">
        <f aca="false">LN(C2852/C2851)</f>
        <v>0.0396181324394339</v>
      </c>
      <c r="G2852" s="25" t="n">
        <f aca="false">IF(AND(D2852=1,A2852&gt;=$R$2),F2852,"")</f>
        <v>0.0396181324394339</v>
      </c>
      <c r="H2852" s="27" t="n">
        <f aca="false">IF(G2852="","",G2852^2)</f>
        <v>0.00156959641798853</v>
      </c>
      <c r="I2852" s="25" t="n">
        <f aca="false">IF(G2852="","",C2852/C2851-1)</f>
        <v>0.0404133981983661</v>
      </c>
      <c r="J2852" s="17" t="n">
        <f aca="false">AVERAGE(C2653:C2852)</f>
        <v>25175.05885</v>
      </c>
      <c r="K2852" s="17" t="n">
        <f aca="false">MAX(K2851,C2852)</f>
        <v>67510.06</v>
      </c>
      <c r="L2852" s="25" t="n">
        <f aca="false">C2852/K2852-1</f>
        <v>-0.702063070303893</v>
      </c>
      <c r="M2852" s="25" t="n">
        <f aca="false">IF(COUNT(G2823:G2852)&lt;20,"",_xlfn.STDEV.S(G2823:G2852)*SQRT($R$3))</f>
        <v>0.301818966215336</v>
      </c>
      <c r="N2852" s="25" t="n">
        <f aca="false">IF(A2852-7&lt;$R$2,"",C2852/INDEX(Clean_Data!$C$2:$C$4314,MATCH(A2852-7,Clean_Data!$A$2:$A$4314,1))-1)</f>
        <v>0.0402885578675103</v>
      </c>
      <c r="O2852" s="25" t="n">
        <f aca="false">IF(A2852-30&lt;$R$2,"",C2852/INDEX(Clean_Data!$C$2:$C$4314,MATCH(A2852-30,Clean_Data!$A$2:$A$4314,1))-1)</f>
        <v>0.070528367984646</v>
      </c>
    </row>
    <row r="2853" customFormat="false" ht="15" hidden="false" customHeight="false" outlineLevel="0" collapsed="false">
      <c r="A2853" s="16" t="n">
        <v>44860</v>
      </c>
      <c r="B2853" s="23" t="n">
        <f aca="false">YEAR(A2853)</f>
        <v>2022</v>
      </c>
      <c r="C2853" s="17" t="n">
        <v>20760.56</v>
      </c>
      <c r="D2853" s="23" t="n">
        <f aca="false">A2853-A2852</f>
        <v>1</v>
      </c>
      <c r="E2853" s="24" t="n">
        <f aca="false">LN(C2853)</f>
        <v>9.94081031186784</v>
      </c>
      <c r="F2853" s="25" t="n">
        <f aca="false">LN(C2853/C2852)</f>
        <v>0.031651869266934</v>
      </c>
      <c r="G2853" s="25" t="n">
        <f aca="false">IF(AND(D2853=1,A2853&gt;=$R$2),F2853,"")</f>
        <v>0.031651869266934</v>
      </c>
      <c r="H2853" s="27" t="n">
        <f aca="false">IF(G2853="","",G2853^2)</f>
        <v>0.00100184082809108</v>
      </c>
      <c r="I2853" s="25" t="n">
        <f aca="false">IF(G2853="","",C2853/C2852-1)</f>
        <v>0.0321581167898164</v>
      </c>
      <c r="J2853" s="17" t="n">
        <f aca="false">AVERAGE(C2654:C2853)</f>
        <v>25064.9948</v>
      </c>
      <c r="K2853" s="17" t="n">
        <f aca="false">MAX(K2852,C2853)</f>
        <v>67510.06</v>
      </c>
      <c r="L2853" s="25" t="n">
        <f aca="false">C2853/K2853-1</f>
        <v>-0.692481979722726</v>
      </c>
      <c r="M2853" s="25" t="n">
        <f aca="false">IF(COUNT(G2824:G2853)&lt;20,"",_xlfn.STDEV.S(G2824:G2853)*SQRT($R$3))</f>
        <v>0.310717043270041</v>
      </c>
      <c r="N2853" s="25" t="n">
        <f aca="false">IF(A2853-7&lt;$R$2,"",C2853/INDEX(Clean_Data!$C$2:$C$4314,MATCH(A2853-7,Clean_Data!$A$2:$A$4314,1))-1)</f>
        <v>0.0856801293995402</v>
      </c>
      <c r="O2853" s="25" t="n">
        <f aca="false">IF(A2853-30&lt;$R$2,"",C2853/INDEX(Clean_Data!$C$2:$C$4314,MATCH(A2853-30,Clean_Data!$A$2:$A$4314,1))-1)</f>
        <v>0.0798837543778066</v>
      </c>
    </row>
    <row r="2854" customFormat="false" ht="15" hidden="false" customHeight="false" outlineLevel="0" collapsed="false">
      <c r="A2854" s="16" t="n">
        <v>44861</v>
      </c>
      <c r="B2854" s="23" t="n">
        <f aca="false">YEAR(A2854)</f>
        <v>2022</v>
      </c>
      <c r="C2854" s="17" t="n">
        <v>20287.17</v>
      </c>
      <c r="D2854" s="23" t="n">
        <f aca="false">A2854-A2853</f>
        <v>1</v>
      </c>
      <c r="E2854" s="24" t="n">
        <f aca="false">LN(C2854)</f>
        <v>9.9177439455168</v>
      </c>
      <c r="F2854" s="25" t="n">
        <f aca="false">LN(C2854/C2853)</f>
        <v>-0.0230663663510394</v>
      </c>
      <c r="G2854" s="25" t="n">
        <f aca="false">IF(AND(D2854=1,A2854&gt;=$R$2),F2854,"")</f>
        <v>-0.0230663663510394</v>
      </c>
      <c r="H2854" s="27" t="n">
        <f aca="false">IF(G2854="","",G2854^2)</f>
        <v>0.000532057256640361</v>
      </c>
      <c r="I2854" s="25" t="n">
        <f aca="false">IF(G2854="","",C2854/C2853-1)</f>
        <v>-0.0228023714196536</v>
      </c>
      <c r="J2854" s="17" t="n">
        <f aca="false">AVERAGE(C2655:C2854)</f>
        <v>24955.54465</v>
      </c>
      <c r="K2854" s="17" t="n">
        <f aca="false">MAX(K2853,C2854)</f>
        <v>67510.06</v>
      </c>
      <c r="L2854" s="25" t="n">
        <f aca="false">C2854/K2854-1</f>
        <v>-0.699494119839325</v>
      </c>
      <c r="M2854" s="25" t="n">
        <f aca="false">IF(COUNT(G2825:G2854)&lt;20,"",_xlfn.STDEV.S(G2825:G2854)*SQRT($R$3))</f>
        <v>0.321450271715406</v>
      </c>
      <c r="N2854" s="25" t="n">
        <f aca="false">IF(A2854-7&lt;$R$2,"",C2854/INDEX(Clean_Data!$C$2:$C$4314,MATCH(A2854-7,Clean_Data!$A$2:$A$4314,1))-1)</f>
        <v>0.0651239028979715</v>
      </c>
      <c r="O2854" s="25" t="n">
        <f aca="false">IF(A2854-30&lt;$R$2,"",C2854/INDEX(Clean_Data!$C$2:$C$4314,MATCH(A2854-30,Clean_Data!$A$2:$A$4314,1))-1)</f>
        <v>0.0636607722866442</v>
      </c>
    </row>
    <row r="2855" customFormat="false" ht="15" hidden="false" customHeight="false" outlineLevel="0" collapsed="false">
      <c r="A2855" s="16" t="n">
        <v>44862</v>
      </c>
      <c r="B2855" s="23" t="n">
        <f aca="false">YEAR(A2855)</f>
        <v>2022</v>
      </c>
      <c r="C2855" s="17" t="n">
        <v>20594.01</v>
      </c>
      <c r="D2855" s="23" t="n">
        <f aca="false">A2855-A2854</f>
        <v>1</v>
      </c>
      <c r="E2855" s="24" t="n">
        <f aca="false">LN(C2855)</f>
        <v>9.9327555357949</v>
      </c>
      <c r="F2855" s="25" t="n">
        <f aca="false">LN(C2855/C2854)</f>
        <v>0.0150115902781034</v>
      </c>
      <c r="G2855" s="25" t="n">
        <f aca="false">IF(AND(D2855=1,A2855&gt;=$R$2),F2855,"")</f>
        <v>0.0150115902781034</v>
      </c>
      <c r="H2855" s="27" t="n">
        <f aca="false">IF(G2855="","",G2855^2)</f>
        <v>0.000225347842677649</v>
      </c>
      <c r="I2855" s="25" t="n">
        <f aca="false">IF(G2855="","",C2855/C2854-1)</f>
        <v>0.0151248301266269</v>
      </c>
      <c r="J2855" s="17" t="n">
        <f aca="false">AVERAGE(C2656:C2855)</f>
        <v>24860.4387</v>
      </c>
      <c r="K2855" s="17" t="n">
        <f aca="false">MAX(K2854,C2855)</f>
        <v>67510.06</v>
      </c>
      <c r="L2855" s="25" t="n">
        <f aca="false">C2855/K2855-1</f>
        <v>-0.694949019449842</v>
      </c>
      <c r="M2855" s="25" t="n">
        <f aca="false">IF(COUNT(G2826:G2855)&lt;20,"",_xlfn.STDEV.S(G2826:G2855)*SQRT($R$3))</f>
        <v>0.320124534734074</v>
      </c>
      <c r="N2855" s="25" t="n">
        <f aca="false">IF(A2855-7&lt;$R$2,"",C2855/INDEX(Clean_Data!$C$2:$C$4314,MATCH(A2855-7,Clean_Data!$A$2:$A$4314,1))-1)</f>
        <v>0.0741392520668851</v>
      </c>
      <c r="O2855" s="25" t="n">
        <f aca="false">IF(A2855-30&lt;$R$2,"",C2855/INDEX(Clean_Data!$C$2:$C$4314,MATCH(A2855-30,Clean_Data!$A$2:$A$4314,1))-1)</f>
        <v>0.0611301128113597</v>
      </c>
    </row>
    <row r="2856" customFormat="false" ht="15" hidden="false" customHeight="false" outlineLevel="0" collapsed="false">
      <c r="A2856" s="16" t="n">
        <v>44863</v>
      </c>
      <c r="B2856" s="23" t="n">
        <f aca="false">YEAR(A2856)</f>
        <v>2022</v>
      </c>
      <c r="C2856" s="17" t="n">
        <v>20831.19</v>
      </c>
      <c r="D2856" s="23" t="n">
        <f aca="false">A2856-A2855</f>
        <v>1</v>
      </c>
      <c r="E2856" s="24" t="n">
        <f aca="false">LN(C2856)</f>
        <v>9.94420666176387</v>
      </c>
      <c r="F2856" s="25" t="n">
        <f aca="false">LN(C2856/C2855)</f>
        <v>0.011451125968971</v>
      </c>
      <c r="G2856" s="25" t="n">
        <f aca="false">IF(AND(D2856=1,A2856&gt;=$R$2),F2856,"")</f>
        <v>0.011451125968971</v>
      </c>
      <c r="H2856" s="27" t="n">
        <f aca="false">IF(G2856="","",G2856^2)</f>
        <v>0.000131128285957241</v>
      </c>
      <c r="I2856" s="25" t="n">
        <f aca="false">IF(G2856="","",C2856/C2855-1)</f>
        <v>0.0115169410911231</v>
      </c>
      <c r="J2856" s="17" t="n">
        <f aca="false">AVERAGE(C2657:C2856)</f>
        <v>24764.06865</v>
      </c>
      <c r="K2856" s="17" t="n">
        <f aca="false">MAX(K2855,C2856)</f>
        <v>67510.06</v>
      </c>
      <c r="L2856" s="25" t="n">
        <f aca="false">C2856/K2856-1</f>
        <v>-0.691435765277056</v>
      </c>
      <c r="M2856" s="25" t="n">
        <f aca="false">IF(COUNT(G2827:G2856)&lt;20,"",_xlfn.STDEV.S(G2827:G2856)*SQRT($R$3))</f>
        <v>0.320491740289165</v>
      </c>
      <c r="N2856" s="25" t="n">
        <f aca="false">IF(A2856-7&lt;$R$2,"",C2856/INDEX(Clean_Data!$C$2:$C$4314,MATCH(A2856-7,Clean_Data!$A$2:$A$4314,1))-1)</f>
        <v>0.0843580269663342</v>
      </c>
      <c r="O2856" s="25" t="n">
        <f aca="false">IF(A2856-30&lt;$R$2,"",C2856/INDEX(Clean_Data!$C$2:$C$4314,MATCH(A2856-30,Clean_Data!$A$2:$A$4314,1))-1)</f>
        <v>0.0622407972011068</v>
      </c>
    </row>
    <row r="2857" customFormat="false" ht="15" hidden="false" customHeight="false" outlineLevel="0" collapsed="false">
      <c r="A2857" s="16" t="n">
        <v>44864</v>
      </c>
      <c r="B2857" s="23" t="n">
        <f aca="false">YEAR(A2857)</f>
        <v>2022</v>
      </c>
      <c r="C2857" s="17" t="n">
        <v>20634.95</v>
      </c>
      <c r="D2857" s="23" t="n">
        <f aca="false">A2857-A2856</f>
        <v>1</v>
      </c>
      <c r="E2857" s="24" t="n">
        <f aca="false">LN(C2857)</f>
        <v>9.93474151911614</v>
      </c>
      <c r="F2857" s="25" t="n">
        <f aca="false">LN(C2857/C2856)</f>
        <v>-0.00946514264772995</v>
      </c>
      <c r="G2857" s="25" t="n">
        <f aca="false">IF(AND(D2857=1,A2857&gt;=$R$2),F2857,"")</f>
        <v>-0.00946514264772995</v>
      </c>
      <c r="H2857" s="27" t="n">
        <f aca="false">IF(G2857="","",G2857^2)</f>
        <v>8.95889253418762E-005</v>
      </c>
      <c r="I2857" s="25" t="n">
        <f aca="false">IF(G2857="","",C2857/C2856-1)</f>
        <v>-0.00942048917992677</v>
      </c>
      <c r="J2857" s="17" t="n">
        <f aca="false">AVERAGE(C2658:C2857)</f>
        <v>24661.7382</v>
      </c>
      <c r="K2857" s="17" t="n">
        <f aca="false">MAX(K2856,C2857)</f>
        <v>67510.06</v>
      </c>
      <c r="L2857" s="25" t="n">
        <f aca="false">C2857/K2857-1</f>
        <v>-0.694342591311576</v>
      </c>
      <c r="M2857" s="25" t="n">
        <f aca="false">IF(COUNT(G2828:G2857)&lt;20,"",_xlfn.STDEV.S(G2828:G2857)*SQRT($R$3))</f>
        <v>0.320252511273033</v>
      </c>
      <c r="N2857" s="25" t="n">
        <f aca="false">IF(A2857-7&lt;$R$2,"",C2857/INDEX(Clean_Data!$C$2:$C$4314,MATCH(A2857-7,Clean_Data!$A$2:$A$4314,1))-1)</f>
        <v>0.0547678073964271</v>
      </c>
      <c r="O2857" s="25" t="n">
        <f aca="false">IF(A2857-30&lt;$R$2,"",C2857/INDEX(Clean_Data!$C$2:$C$4314,MATCH(A2857-30,Clean_Data!$A$2:$A$4314,1))-1)</f>
        <v>0.0627916439188703</v>
      </c>
    </row>
    <row r="2858" customFormat="false" ht="15" hidden="false" customHeight="false" outlineLevel="0" collapsed="false">
      <c r="A2858" s="16" t="n">
        <v>44865</v>
      </c>
      <c r="B2858" s="23" t="n">
        <f aca="false">YEAR(A2858)</f>
        <v>2022</v>
      </c>
      <c r="C2858" s="17" t="n">
        <v>20472.79</v>
      </c>
      <c r="D2858" s="23" t="n">
        <f aca="false">A2858-A2857</f>
        <v>1</v>
      </c>
      <c r="E2858" s="24" t="n">
        <f aca="false">LN(C2858)</f>
        <v>9.92685196638777</v>
      </c>
      <c r="F2858" s="25" t="n">
        <f aca="false">LN(C2858/C2857)</f>
        <v>-0.00788955272837339</v>
      </c>
      <c r="G2858" s="25" t="n">
        <f aca="false">IF(AND(D2858=1,A2858&gt;=$R$2),F2858,"")</f>
        <v>-0.00788955272837339</v>
      </c>
      <c r="H2858" s="27" t="n">
        <f aca="false">IF(G2858="","",G2858^2)</f>
        <v>6.2245042253784E-005</v>
      </c>
      <c r="I2858" s="25" t="n">
        <f aca="false">IF(G2858="","",C2858/C2857-1)</f>
        <v>-0.00785851189365616</v>
      </c>
      <c r="J2858" s="17" t="n">
        <f aca="false">AVERAGE(C2659:C2858)</f>
        <v>24564.5519</v>
      </c>
      <c r="K2858" s="17" t="n">
        <f aca="false">MAX(K2857,C2858)</f>
        <v>67510.06</v>
      </c>
      <c r="L2858" s="25" t="n">
        <f aca="false">C2858/K2858-1</f>
        <v>-0.696744603693138</v>
      </c>
      <c r="M2858" s="25" t="n">
        <f aca="false">IF(COUNT(G2829:G2858)&lt;20,"",_xlfn.STDEV.S(G2829:G2858)*SQRT($R$3))</f>
        <v>0.321058811114806</v>
      </c>
      <c r="N2858" s="25" t="n">
        <f aca="false">IF(A2858-7&lt;$R$2,"",C2858/INDEX(Clean_Data!$C$2:$C$4314,MATCH(A2858-7,Clean_Data!$A$2:$A$4314,1))-1)</f>
        <v>0.0589857984890689</v>
      </c>
      <c r="O2858" s="25" t="n">
        <f aca="false">IF(A2858-30&lt;$R$2,"",C2858/INDEX(Clean_Data!$C$2:$C$4314,MATCH(A2858-30,Clean_Data!$A$2:$A$4314,1))-1)</f>
        <v>0.0602850726820368</v>
      </c>
    </row>
    <row r="2859" customFormat="false" ht="15" hidden="false" customHeight="false" outlineLevel="0" collapsed="false">
      <c r="A2859" s="16" t="n">
        <v>44866</v>
      </c>
      <c r="B2859" s="23" t="n">
        <f aca="false">YEAR(A2859)</f>
        <v>2022</v>
      </c>
      <c r="C2859" s="17" t="n">
        <v>20479.49</v>
      </c>
      <c r="D2859" s="23" t="n">
        <f aca="false">A2859-A2858</f>
        <v>1</v>
      </c>
      <c r="E2859" s="24" t="n">
        <f aca="false">LN(C2859)</f>
        <v>9.92717917649963</v>
      </c>
      <c r="F2859" s="25" t="n">
        <f aca="false">LN(C2859/C2858)</f>
        <v>0.000327210111855949</v>
      </c>
      <c r="G2859" s="25" t="n">
        <f aca="false">IF(AND(D2859=1,A2859&gt;=$R$2),F2859,"")</f>
        <v>0.000327210111855949</v>
      </c>
      <c r="H2859" s="27" t="n">
        <f aca="false">IF(G2859="","",G2859^2)</f>
        <v>1.07066457300782E-007</v>
      </c>
      <c r="I2859" s="25" t="n">
        <f aca="false">IF(G2859="","",C2859/C2858-1)</f>
        <v>0.000327263650923948</v>
      </c>
      <c r="J2859" s="17" t="n">
        <f aca="false">AVERAGE(C2660:C2859)</f>
        <v>24464.11635</v>
      </c>
      <c r="K2859" s="17" t="n">
        <f aca="false">MAX(K2858,C2859)</f>
        <v>67510.06</v>
      </c>
      <c r="L2859" s="25" t="n">
        <f aca="false">C2859/K2859-1</f>
        <v>-0.696645359224981</v>
      </c>
      <c r="M2859" s="25" t="n">
        <f aca="false">IF(COUNT(G2830:G2859)&lt;20,"",_xlfn.STDEV.S(G2830:G2859)*SQRT($R$3))</f>
        <v>0.316986672745545</v>
      </c>
      <c r="N2859" s="25" t="n">
        <f aca="false">IF(A2859-7&lt;$R$2,"",C2859/INDEX(Clean_Data!$C$2:$C$4314,MATCH(A2859-7,Clean_Data!$A$2:$A$4314,1))-1)</f>
        <v>0.0181840870966812</v>
      </c>
      <c r="O2859" s="25" t="n">
        <f aca="false">IF(A2859-30&lt;$R$2,"",C2859/INDEX(Clean_Data!$C$2:$C$4314,MATCH(A2859-30,Clean_Data!$A$2:$A$4314,1))-1)</f>
        <v>0.0737824351454388</v>
      </c>
    </row>
    <row r="2860" customFormat="false" ht="15" hidden="false" customHeight="false" outlineLevel="0" collapsed="false">
      <c r="A2860" s="16" t="n">
        <v>44867</v>
      </c>
      <c r="B2860" s="23" t="n">
        <f aca="false">YEAR(A2860)</f>
        <v>2022</v>
      </c>
      <c r="C2860" s="17" t="n">
        <v>20148.56</v>
      </c>
      <c r="D2860" s="23" t="n">
        <f aca="false">A2860-A2859</f>
        <v>1</v>
      </c>
      <c r="E2860" s="24" t="n">
        <f aca="false">LN(C2860)</f>
        <v>9.9108881008013</v>
      </c>
      <c r="F2860" s="25" t="n">
        <f aca="false">LN(C2860/C2859)</f>
        <v>-0.0162910756983224</v>
      </c>
      <c r="G2860" s="25" t="n">
        <f aca="false">IF(AND(D2860=1,A2860&gt;=$R$2),F2860,"")</f>
        <v>-0.0162910756983224</v>
      </c>
      <c r="H2860" s="27" t="n">
        <f aca="false">IF(G2860="","",G2860^2)</f>
        <v>0.000265399147408472</v>
      </c>
      <c r="I2860" s="25" t="n">
        <f aca="false">IF(G2860="","",C2860/C2859-1)</f>
        <v>-0.0161590938055587</v>
      </c>
      <c r="J2860" s="17" t="n">
        <f aca="false">AVERAGE(C2661:C2860)</f>
        <v>24362.9679</v>
      </c>
      <c r="K2860" s="17" t="n">
        <f aca="false">MAX(K2859,C2860)</f>
        <v>67510.06</v>
      </c>
      <c r="L2860" s="25" t="n">
        <f aca="false">C2860/K2860-1</f>
        <v>-0.701547295321616</v>
      </c>
      <c r="M2860" s="25" t="n">
        <f aca="false">IF(COUNT(G2831:G2860)&lt;20,"",_xlfn.STDEV.S(G2831:G2860)*SQRT($R$3))</f>
        <v>0.307918045888179</v>
      </c>
      <c r="N2860" s="25" t="n">
        <f aca="false">IF(A2860-7&lt;$R$2,"",C2860/INDEX(Clean_Data!$C$2:$C$4314,MATCH(A2860-7,Clean_Data!$A$2:$A$4314,1))-1)</f>
        <v>-0.0294789735922345</v>
      </c>
      <c r="O2860" s="25" t="n">
        <f aca="false">IF(A2860-30&lt;$R$2,"",C2860/INDEX(Clean_Data!$C$2:$C$4314,MATCH(A2860-30,Clean_Data!$A$2:$A$4314,1))-1)</f>
        <v>0.0258502182187728</v>
      </c>
    </row>
    <row r="2861" customFormat="false" ht="15" hidden="false" customHeight="false" outlineLevel="0" collapsed="false">
      <c r="A2861" s="16" t="n">
        <v>44868</v>
      </c>
      <c r="B2861" s="23" t="n">
        <f aca="false">YEAR(A2861)</f>
        <v>2022</v>
      </c>
      <c r="C2861" s="17" t="n">
        <v>20205.32</v>
      </c>
      <c r="D2861" s="23" t="n">
        <f aca="false">A2861-A2860</f>
        <v>1</v>
      </c>
      <c r="E2861" s="24" t="n">
        <f aca="false">LN(C2861)</f>
        <v>9.9137012150511</v>
      </c>
      <c r="F2861" s="25" t="n">
        <f aca="false">LN(C2861/C2860)</f>
        <v>0.00281311424980095</v>
      </c>
      <c r="G2861" s="25" t="n">
        <f aca="false">IF(AND(D2861=1,A2861&gt;=$R$2),F2861,"")</f>
        <v>0.00281311424980095</v>
      </c>
      <c r="H2861" s="27" t="n">
        <f aca="false">IF(G2861="","",G2861^2)</f>
        <v>7.91361178243316E-006</v>
      </c>
      <c r="I2861" s="25" t="n">
        <f aca="false">IF(G2861="","",C2861/C2860-1)</f>
        <v>0.0028170747686187</v>
      </c>
      <c r="J2861" s="17" t="n">
        <f aca="false">AVERAGE(C2662:C2861)</f>
        <v>24265.64085</v>
      </c>
      <c r="K2861" s="17" t="n">
        <f aca="false">MAX(K2860,C2861)</f>
        <v>67510.06</v>
      </c>
      <c r="L2861" s="25" t="n">
        <f aca="false">C2861/K2861-1</f>
        <v>-0.70070653173764</v>
      </c>
      <c r="M2861" s="25" t="n">
        <f aca="false">IF(COUNT(G2832:G2861)&lt;20,"",_xlfn.STDEV.S(G2832:G2861)*SQRT($R$3))</f>
        <v>0.282095594806856</v>
      </c>
      <c r="N2861" s="25" t="n">
        <f aca="false">IF(A2861-7&lt;$R$2,"",C2861/INDEX(Clean_Data!$C$2:$C$4314,MATCH(A2861-7,Clean_Data!$A$2:$A$4314,1))-1)</f>
        <v>-0.00403456963193971</v>
      </c>
      <c r="O2861" s="25" t="n">
        <f aca="false">IF(A2861-30&lt;$R$2,"",C2861/INDEX(Clean_Data!$C$2:$C$4314,MATCH(A2861-30,Clean_Data!$A$2:$A$4314,1))-1)</f>
        <v>-0.0068348147423587</v>
      </c>
    </row>
    <row r="2862" customFormat="false" ht="15" hidden="false" customHeight="false" outlineLevel="0" collapsed="false">
      <c r="A2862" s="16" t="n">
        <v>44869</v>
      </c>
      <c r="B2862" s="23" t="n">
        <f aca="false">YEAR(A2862)</f>
        <v>2022</v>
      </c>
      <c r="C2862" s="17" t="n">
        <v>21157.96</v>
      </c>
      <c r="D2862" s="23" t="n">
        <f aca="false">A2862-A2861</f>
        <v>1</v>
      </c>
      <c r="E2862" s="24" t="n">
        <f aca="false">LN(C2862)</f>
        <v>9.95977147300708</v>
      </c>
      <c r="F2862" s="25" t="n">
        <f aca="false">LN(C2862/C2861)</f>
        <v>0.0460702579559706</v>
      </c>
      <c r="G2862" s="25" t="n">
        <f aca="false">IF(AND(D2862=1,A2862&gt;=$R$2),F2862,"")</f>
        <v>0.0460702579559706</v>
      </c>
      <c r="H2862" s="27" t="n">
        <f aca="false">IF(G2862="","",G2862^2)</f>
        <v>0.00212246866812967</v>
      </c>
      <c r="I2862" s="25" t="n">
        <f aca="false">IF(G2862="","",C2862/C2861-1)</f>
        <v>0.0471479788491347</v>
      </c>
      <c r="J2862" s="17" t="n">
        <f aca="false">AVERAGE(C2663:C2862)</f>
        <v>24167.34325</v>
      </c>
      <c r="K2862" s="17" t="n">
        <f aca="false">MAX(K2861,C2862)</f>
        <v>67510.06</v>
      </c>
      <c r="L2862" s="25" t="n">
        <f aca="false">C2862/K2862-1</f>
        <v>-0.686595449626322</v>
      </c>
      <c r="M2862" s="25" t="n">
        <f aca="false">IF(COUNT(G2833:G2862)&lt;20,"",_xlfn.STDEV.S(G2833:G2862)*SQRT($R$3))</f>
        <v>0.322776186504298</v>
      </c>
      <c r="N2862" s="25" t="n">
        <f aca="false">IF(A2862-7&lt;$R$2,"",C2862/INDEX(Clean_Data!$C$2:$C$4314,MATCH(A2862-7,Clean_Data!$A$2:$A$4314,1))-1)</f>
        <v>0.0273841762726152</v>
      </c>
      <c r="O2862" s="25" t="n">
        <f aca="false">IF(A2862-30&lt;$R$2,"",C2862/INDEX(Clean_Data!$C$2:$C$4314,MATCH(A2862-30,Clean_Data!$A$2:$A$4314,1))-1)</f>
        <v>0.0499014257904669</v>
      </c>
    </row>
    <row r="2863" customFormat="false" ht="15" hidden="false" customHeight="false" outlineLevel="0" collapsed="false">
      <c r="A2863" s="16" t="n">
        <v>44870</v>
      </c>
      <c r="B2863" s="23" t="n">
        <f aca="false">YEAR(A2863)</f>
        <v>2022</v>
      </c>
      <c r="C2863" s="17" t="n">
        <v>21304.72</v>
      </c>
      <c r="D2863" s="23" t="n">
        <f aca="false">A2863-A2862</f>
        <v>1</v>
      </c>
      <c r="E2863" s="24" t="n">
        <f aca="false">LN(C2863)</f>
        <v>9.96668392339283</v>
      </c>
      <c r="F2863" s="25" t="n">
        <f aca="false">LN(C2863/C2862)</f>
        <v>0.00691245038575206</v>
      </c>
      <c r="G2863" s="25" t="n">
        <f aca="false">IF(AND(D2863=1,A2863&gt;=$R$2),F2863,"")</f>
        <v>0.00691245038575206</v>
      </c>
      <c r="H2863" s="27" t="n">
        <f aca="false">IF(G2863="","",G2863^2)</f>
        <v>4.77819703354838E-005</v>
      </c>
      <c r="I2863" s="25" t="n">
        <f aca="false">IF(G2863="","",C2863/C2862-1)</f>
        <v>0.00693639651459788</v>
      </c>
      <c r="J2863" s="17" t="n">
        <f aca="false">AVERAGE(C2664:C2863)</f>
        <v>24066.4656</v>
      </c>
      <c r="K2863" s="17" t="n">
        <f aca="false">MAX(K2862,C2863)</f>
        <v>67510.06</v>
      </c>
      <c r="L2863" s="25" t="n">
        <f aca="false">C2863/K2863-1</f>
        <v>-0.684421551395451</v>
      </c>
      <c r="M2863" s="25" t="n">
        <f aca="false">IF(COUNT(G2834:G2863)&lt;20,"",_xlfn.STDEV.S(G2834:G2863)*SQRT($R$3))</f>
        <v>0.320736995979412</v>
      </c>
      <c r="N2863" s="25" t="n">
        <f aca="false">IF(A2863-7&lt;$R$2,"",C2863/INDEX(Clean_Data!$C$2:$C$4314,MATCH(A2863-7,Clean_Data!$A$2:$A$4314,1))-1)</f>
        <v>0.0227317786453871</v>
      </c>
      <c r="O2863" s="25" t="n">
        <f aca="false">IF(A2863-30&lt;$R$2,"",C2863/INDEX(Clean_Data!$C$2:$C$4314,MATCH(A2863-30,Clean_Data!$A$2:$A$4314,1))-1)</f>
        <v>0.0672536430121145</v>
      </c>
    </row>
    <row r="2864" customFormat="false" ht="15" hidden="false" customHeight="false" outlineLevel="0" collapsed="false">
      <c r="A2864" s="16" t="n">
        <v>44871</v>
      </c>
      <c r="B2864" s="23" t="n">
        <f aca="false">YEAR(A2864)</f>
        <v>2022</v>
      </c>
      <c r="C2864" s="17" t="n">
        <v>20912.34</v>
      </c>
      <c r="D2864" s="23" t="n">
        <f aca="false">A2864-A2863</f>
        <v>1</v>
      </c>
      <c r="E2864" s="24" t="n">
        <f aca="false">LN(C2864)</f>
        <v>9.94809469433933</v>
      </c>
      <c r="F2864" s="25" t="n">
        <f aca="false">LN(C2864/C2863)</f>
        <v>-0.0185892290534953</v>
      </c>
      <c r="G2864" s="25" t="n">
        <f aca="false">IF(AND(D2864=1,A2864&gt;=$R$2),F2864,"")</f>
        <v>-0.0185892290534953</v>
      </c>
      <c r="H2864" s="27" t="n">
        <f aca="false">IF(G2864="","",G2864^2)</f>
        <v>0.000345559436803314</v>
      </c>
      <c r="I2864" s="25" t="n">
        <f aca="false">IF(G2864="","",C2864/C2863-1)</f>
        <v>-0.0184175149919831</v>
      </c>
      <c r="J2864" s="17" t="n">
        <f aca="false">AVERAGE(C2665:C2864)</f>
        <v>23964.27605</v>
      </c>
      <c r="K2864" s="17" t="n">
        <f aca="false">MAX(K2863,C2864)</f>
        <v>67510.06</v>
      </c>
      <c r="L2864" s="25" t="n">
        <f aca="false">C2864/K2864-1</f>
        <v>-0.690233722203772</v>
      </c>
      <c r="M2864" s="25" t="n">
        <f aca="false">IF(COUNT(G2835:G2864)&lt;20,"",_xlfn.STDEV.S(G2835:G2864)*SQRT($R$3))</f>
        <v>0.317530407570456</v>
      </c>
      <c r="N2864" s="25" t="n">
        <f aca="false">IF(A2864-7&lt;$R$2,"",C2864/INDEX(Clean_Data!$C$2:$C$4314,MATCH(A2864-7,Clean_Data!$A$2:$A$4314,1))-1)</f>
        <v>0.0134427270238116</v>
      </c>
      <c r="O2864" s="25" t="n">
        <f aca="false">IF(A2864-30&lt;$R$2,"",C2864/INDEX(Clean_Data!$C$2:$C$4314,MATCH(A2864-30,Clean_Data!$A$2:$A$4314,1))-1)</f>
        <v>0.0710973344901871</v>
      </c>
    </row>
    <row r="2865" customFormat="false" ht="15" hidden="false" customHeight="false" outlineLevel="0" collapsed="false">
      <c r="A2865" s="16" t="n">
        <v>44872</v>
      </c>
      <c r="B2865" s="23" t="n">
        <f aca="false">YEAR(A2865)</f>
        <v>2022</v>
      </c>
      <c r="C2865" s="17" t="n">
        <v>20578.77</v>
      </c>
      <c r="D2865" s="23" t="n">
        <f aca="false">A2865-A2864</f>
        <v>1</v>
      </c>
      <c r="E2865" s="24" t="n">
        <f aca="false">LN(C2865)</f>
        <v>9.93201524083809</v>
      </c>
      <c r="F2865" s="25" t="n">
        <f aca="false">LN(C2865/C2864)</f>
        <v>-0.0160794535012436</v>
      </c>
      <c r="G2865" s="25" t="n">
        <f aca="false">IF(AND(D2865=1,A2865&gt;=$R$2),F2865,"")</f>
        <v>-0.0160794535012436</v>
      </c>
      <c r="H2865" s="27" t="n">
        <f aca="false">IF(G2865="","",G2865^2)</f>
        <v>0.000258548824898654</v>
      </c>
      <c r="I2865" s="25" t="n">
        <f aca="false">IF(G2865="","",C2865/C2864-1)</f>
        <v>-0.0159508691997166</v>
      </c>
      <c r="J2865" s="17" t="n">
        <f aca="false">AVERAGE(C2666:C2865)</f>
        <v>23864.8473</v>
      </c>
      <c r="K2865" s="17" t="n">
        <f aca="false">MAX(K2864,C2865)</f>
        <v>67510.06</v>
      </c>
      <c r="L2865" s="25" t="n">
        <f aca="false">C2865/K2865-1</f>
        <v>-0.695174763583383</v>
      </c>
      <c r="M2865" s="25" t="n">
        <f aca="false">IF(COUNT(G2836:G2865)&lt;20,"",_xlfn.STDEV.S(G2836:G2865)*SQRT($R$3))</f>
        <v>0.322782217720482</v>
      </c>
      <c r="N2865" s="25" t="n">
        <f aca="false">IF(A2865-7&lt;$R$2,"",C2865/INDEX(Clean_Data!$C$2:$C$4314,MATCH(A2865-7,Clean_Data!$A$2:$A$4314,1))-1)</f>
        <v>0.00517662712312283</v>
      </c>
      <c r="O2865" s="25" t="n">
        <f aca="false">IF(A2865-30&lt;$R$2,"",C2865/INDEX(Clean_Data!$C$2:$C$4314,MATCH(A2865-30,Clean_Data!$A$2:$A$4314,1))-1)</f>
        <v>0.060230132119371</v>
      </c>
    </row>
    <row r="2866" customFormat="false" ht="15" hidden="false" customHeight="false" outlineLevel="0" collapsed="false">
      <c r="A2866" s="16" t="n">
        <v>44873</v>
      </c>
      <c r="B2866" s="23" t="n">
        <f aca="false">YEAR(A2866)</f>
        <v>2022</v>
      </c>
      <c r="C2866" s="17" t="n">
        <v>18561.6</v>
      </c>
      <c r="D2866" s="23" t="n">
        <f aca="false">A2866-A2865</f>
        <v>1</v>
      </c>
      <c r="E2866" s="24" t="n">
        <f aca="false">LN(C2866)</f>
        <v>9.82885020952114</v>
      </c>
      <c r="F2866" s="25" t="n">
        <f aca="false">LN(C2866/C2865)</f>
        <v>-0.103165031316946</v>
      </c>
      <c r="G2866" s="25" t="n">
        <f aca="false">IF(AND(D2866=1,A2866&gt;=$R$2),F2866,"")</f>
        <v>-0.103165031316946</v>
      </c>
      <c r="H2866" s="27" t="n">
        <f aca="false">IF(G2866="","",G2866^2)</f>
        <v>0.0106430236866264</v>
      </c>
      <c r="I2866" s="25" t="n">
        <f aca="false">IF(G2866="","",C2866/C2865-1)</f>
        <v>-0.0980218934367798</v>
      </c>
      <c r="J2866" s="17" t="n">
        <f aca="false">AVERAGE(C2667:C2866)</f>
        <v>23759.1143</v>
      </c>
      <c r="K2866" s="17" t="n">
        <f aca="false">MAX(K2865,C2866)</f>
        <v>67510.06</v>
      </c>
      <c r="L2866" s="25" t="n">
        <f aca="false">C2866/K2866-1</f>
        <v>-0.725054310424254</v>
      </c>
      <c r="M2866" s="25" t="n">
        <f aca="false">IF(COUNT(G2837:G2866)&lt;20,"",_xlfn.STDEV.S(G2837:G2866)*SQRT($R$3))</f>
        <v>0.488531333715293</v>
      </c>
      <c r="N2866" s="25" t="n">
        <f aca="false">IF(A2866-7&lt;$R$2,"",C2866/INDEX(Clean_Data!$C$2:$C$4314,MATCH(A2866-7,Clean_Data!$A$2:$A$4314,1))-1)</f>
        <v>-0.0936493047434288</v>
      </c>
      <c r="O2866" s="25" t="n">
        <f aca="false">IF(A2866-30&lt;$R$2,"",C2866/INDEX(Clean_Data!$C$2:$C$4314,MATCH(A2866-30,Clean_Data!$A$2:$A$4314,1))-1)</f>
        <v>-0.0450387970995555</v>
      </c>
    </row>
    <row r="2867" customFormat="false" ht="15" hidden="false" customHeight="false" outlineLevel="0" collapsed="false">
      <c r="A2867" s="16" t="n">
        <v>44874</v>
      </c>
      <c r="B2867" s="23" t="n">
        <f aca="false">YEAR(A2867)</f>
        <v>2022</v>
      </c>
      <c r="C2867" s="17" t="n">
        <v>15850.62</v>
      </c>
      <c r="D2867" s="23" t="n">
        <f aca="false">A2867-A2866</f>
        <v>1</v>
      </c>
      <c r="E2867" s="24" t="n">
        <f aca="false">LN(C2867)</f>
        <v>9.67096389525963</v>
      </c>
      <c r="F2867" s="25" t="n">
        <f aca="false">LN(C2867/C2866)</f>
        <v>-0.157886314261512</v>
      </c>
      <c r="G2867" s="25" t="n">
        <f aca="false">IF(AND(D2867=1,A2867&gt;=$R$2),F2867,"")</f>
        <v>-0.157886314261512</v>
      </c>
      <c r="H2867" s="27" t="n">
        <f aca="false">IF(G2867="","",G2867^2)</f>
        <v>0.0249280882310848</v>
      </c>
      <c r="I2867" s="25" t="n">
        <f aca="false">IF(G2867="","",C2867/C2866-1)</f>
        <v>-0.14605314197052</v>
      </c>
      <c r="J2867" s="17" t="n">
        <f aca="false">AVERAGE(C2668:C2867)</f>
        <v>23641.0269</v>
      </c>
      <c r="K2867" s="17" t="n">
        <f aca="false">MAX(K2866,C2867)</f>
        <v>67510.06</v>
      </c>
      <c r="L2867" s="25" t="n">
        <f aca="false">C2867/K2867-1</f>
        <v>-0.765210992258043</v>
      </c>
      <c r="M2867" s="25" t="n">
        <f aca="false">IF(COUNT(G2838:G2867)&lt;20,"",_xlfn.STDEV.S(G2838:G2867)*SQRT($R$3))</f>
        <v>0.73139083371043</v>
      </c>
      <c r="N2867" s="25" t="n">
        <f aca="false">IF(A2867-7&lt;$R$2,"",C2867/INDEX(Clean_Data!$C$2:$C$4314,MATCH(A2867-7,Clean_Data!$A$2:$A$4314,1))-1)</f>
        <v>-0.213312514641245</v>
      </c>
      <c r="O2867" s="25" t="n">
        <f aca="false">IF(A2867-30&lt;$R$2,"",C2867/INDEX(Clean_Data!$C$2:$C$4314,MATCH(A2867-30,Clean_Data!$A$2:$A$4314,1))-1)</f>
        <v>-0.170327464436706</v>
      </c>
    </row>
    <row r="2868" customFormat="false" ht="15" hidden="false" customHeight="false" outlineLevel="0" collapsed="false">
      <c r="A2868" s="16" t="n">
        <v>44875</v>
      </c>
      <c r="B2868" s="23" t="n">
        <f aca="false">YEAR(A2868)</f>
        <v>2022</v>
      </c>
      <c r="C2868" s="17" t="n">
        <v>17573.15</v>
      </c>
      <c r="D2868" s="23" t="n">
        <f aca="false">A2868-A2867</f>
        <v>1</v>
      </c>
      <c r="E2868" s="24" t="n">
        <f aca="false">LN(C2868)</f>
        <v>9.77412744798042</v>
      </c>
      <c r="F2868" s="25" t="n">
        <f aca="false">LN(C2868/C2867)</f>
        <v>0.103163552720785</v>
      </c>
      <c r="G2868" s="25" t="n">
        <f aca="false">IF(AND(D2868=1,A2868&gt;=$R$2),F2868,"")</f>
        <v>0.103163552720785</v>
      </c>
      <c r="H2868" s="27" t="n">
        <f aca="false">IF(G2868="","",G2868^2)</f>
        <v>0.0106427186099742</v>
      </c>
      <c r="I2868" s="25" t="n">
        <f aca="false">IF(G2868="","",C2868/C2867-1)</f>
        <v>0.108672720688528</v>
      </c>
      <c r="J2868" s="17" t="n">
        <f aca="false">AVERAGE(C2669:C2868)</f>
        <v>23531.4441</v>
      </c>
      <c r="K2868" s="17" t="n">
        <f aca="false">MAX(K2867,C2868)</f>
        <v>67510.06</v>
      </c>
      <c r="L2868" s="25" t="n">
        <f aca="false">C2868/K2868-1</f>
        <v>-0.739695831998964</v>
      </c>
      <c r="M2868" s="25" t="n">
        <f aca="false">IF(COUNT(G2839:G2868)&lt;20,"",_xlfn.STDEV.S(G2839:G2868)*SQRT($R$3))</f>
        <v>0.825025509592553</v>
      </c>
      <c r="N2868" s="25" t="n">
        <f aca="false">IF(A2868-7&lt;$R$2,"",C2868/INDEX(Clean_Data!$C$2:$C$4314,MATCH(A2868-7,Clean_Data!$A$2:$A$4314,1))-1)</f>
        <v>-0.130271136512562</v>
      </c>
      <c r="O2868" s="25" t="n">
        <f aca="false">IF(A2868-30&lt;$R$2,"",C2868/INDEX(Clean_Data!$C$2:$C$4314,MATCH(A2868-30,Clean_Data!$A$2:$A$4314,1))-1)</f>
        <v>-0.0784774162558488</v>
      </c>
    </row>
    <row r="2869" customFormat="false" ht="15" hidden="false" customHeight="false" outlineLevel="0" collapsed="false">
      <c r="A2869" s="16" t="n">
        <v>44876</v>
      </c>
      <c r="B2869" s="23" t="n">
        <f aca="false">YEAR(A2869)</f>
        <v>2022</v>
      </c>
      <c r="C2869" s="17" t="n">
        <v>16997.14</v>
      </c>
      <c r="D2869" s="23" t="n">
        <f aca="false">A2869-A2868</f>
        <v>1</v>
      </c>
      <c r="E2869" s="24" t="n">
        <f aca="false">LN(C2869)</f>
        <v>9.74080037359109</v>
      </c>
      <c r="F2869" s="25" t="n">
        <f aca="false">LN(C2869/C2868)</f>
        <v>-0.0333270743893251</v>
      </c>
      <c r="G2869" s="25" t="n">
        <f aca="false">IF(AND(D2869=1,A2869&gt;=$R$2),F2869,"")</f>
        <v>-0.0333270743893251</v>
      </c>
      <c r="H2869" s="27" t="n">
        <f aca="false">IF(G2869="","",G2869^2)</f>
        <v>0.00111069388735161</v>
      </c>
      <c r="I2869" s="25" t="n">
        <f aca="false">IF(G2869="","",C2869/C2868-1)</f>
        <v>-0.0327778457476322</v>
      </c>
      <c r="J2869" s="17" t="n">
        <f aca="false">AVERAGE(C2670:C2869)</f>
        <v>23413.97775</v>
      </c>
      <c r="K2869" s="17" t="n">
        <f aca="false">MAX(K2868,C2869)</f>
        <v>67510.06</v>
      </c>
      <c r="L2869" s="25" t="n">
        <f aca="false">C2869/K2869-1</f>
        <v>-0.748228041865168</v>
      </c>
      <c r="M2869" s="25" t="n">
        <f aca="false">IF(COUNT(G2840:G2869)&lt;20,"",_xlfn.STDEV.S(G2840:G2869)*SQRT($R$3))</f>
        <v>0.831371815692645</v>
      </c>
      <c r="N2869" s="25" t="n">
        <f aca="false">IF(A2869-7&lt;$R$2,"",C2869/INDEX(Clean_Data!$C$2:$C$4314,MATCH(A2869-7,Clean_Data!$A$2:$A$4314,1))-1)</f>
        <v>-0.196655065044078</v>
      </c>
      <c r="O2869" s="25" t="n">
        <f aca="false">IF(A2869-30&lt;$R$2,"",C2869/INDEX(Clean_Data!$C$2:$C$4314,MATCH(A2869-30,Clean_Data!$A$2:$A$4314,1))-1)</f>
        <v>-0.112760031152583</v>
      </c>
    </row>
    <row r="2870" customFormat="false" ht="15" hidden="false" customHeight="false" outlineLevel="0" collapsed="false">
      <c r="A2870" s="16" t="n">
        <v>44877</v>
      </c>
      <c r="B2870" s="23" t="n">
        <f aca="false">YEAR(A2870)</f>
        <v>2022</v>
      </c>
      <c r="C2870" s="17" t="n">
        <v>16777.73</v>
      </c>
      <c r="D2870" s="23" t="n">
        <f aca="false">A2870-A2869</f>
        <v>1</v>
      </c>
      <c r="E2870" s="24" t="n">
        <f aca="false">LN(C2870)</f>
        <v>9.72780769077467</v>
      </c>
      <c r="F2870" s="25" t="n">
        <f aca="false">LN(C2870/C2869)</f>
        <v>-0.0129926828164228</v>
      </c>
      <c r="G2870" s="25" t="n">
        <f aca="false">IF(AND(D2870=1,A2870&gt;=$R$2),F2870,"")</f>
        <v>-0.0129926828164228</v>
      </c>
      <c r="H2870" s="27" t="n">
        <f aca="false">IF(G2870="","",G2870^2)</f>
        <v>0.000168809806768169</v>
      </c>
      <c r="I2870" s="25" t="n">
        <f aca="false">IF(G2870="","",C2870/C2869-1)</f>
        <v>-0.0129086422774655</v>
      </c>
      <c r="J2870" s="17" t="n">
        <f aca="false">AVERAGE(C2671:C2870)</f>
        <v>23307.3525</v>
      </c>
      <c r="K2870" s="17" t="n">
        <f aca="false">MAX(K2869,C2870)</f>
        <v>67510.06</v>
      </c>
      <c r="L2870" s="25" t="n">
        <f aca="false">C2870/K2870-1</f>
        <v>-0.751478076008228</v>
      </c>
      <c r="M2870" s="25" t="n">
        <f aca="false">IF(COUNT(G2841:G2870)&lt;20,"",_xlfn.STDEV.S(G2841:G2870)*SQRT($R$3))</f>
        <v>0.829970782159284</v>
      </c>
      <c r="N2870" s="25" t="n">
        <f aca="false">IF(A2870-7&lt;$R$2,"",C2870/INDEX(Clean_Data!$C$2:$C$4314,MATCH(A2870-7,Clean_Data!$A$2:$A$4314,1))-1)</f>
        <v>-0.212487655317695</v>
      </c>
      <c r="O2870" s="25" t="n">
        <f aca="false">IF(A2870-30&lt;$R$2,"",C2870/INDEX(Clean_Data!$C$2:$C$4314,MATCH(A2870-30,Clean_Data!$A$2:$A$4314,1))-1)</f>
        <v>-0.134389060664423</v>
      </c>
    </row>
    <row r="2871" customFormat="false" ht="15" hidden="false" customHeight="false" outlineLevel="0" collapsed="false">
      <c r="A2871" s="16" t="n">
        <v>44878</v>
      </c>
      <c r="B2871" s="23" t="n">
        <f aca="false">YEAR(A2871)</f>
        <v>2022</v>
      </c>
      <c r="C2871" s="17" t="n">
        <v>16290.62</v>
      </c>
      <c r="D2871" s="23" t="n">
        <f aca="false">A2871-A2870</f>
        <v>1</v>
      </c>
      <c r="E2871" s="24" t="n">
        <f aca="false">LN(C2871)</f>
        <v>9.69834476103143</v>
      </c>
      <c r="F2871" s="25" t="n">
        <f aca="false">LN(C2871/C2870)</f>
        <v>-0.0294629297432396</v>
      </c>
      <c r="G2871" s="25" t="n">
        <f aca="false">IF(AND(D2871=1,A2871&gt;=$R$2),F2871,"")</f>
        <v>-0.0294629297432396</v>
      </c>
      <c r="H2871" s="27" t="n">
        <f aca="false">IF(G2871="","",G2871^2)</f>
        <v>0.000868064229055072</v>
      </c>
      <c r="I2871" s="25" t="n">
        <f aca="false">IF(G2871="","",C2871/C2870-1)</f>
        <v>-0.0290331290347382</v>
      </c>
      <c r="J2871" s="17" t="n">
        <f aca="false">AVERAGE(C2672:C2871)</f>
        <v>23192.8635</v>
      </c>
      <c r="K2871" s="17" t="n">
        <f aca="false">MAX(K2870,C2871)</f>
        <v>67510.06</v>
      </c>
      <c r="L2871" s="25" t="n">
        <f aca="false">C2871/K2871-1</f>
        <v>-0.758693445095442</v>
      </c>
      <c r="M2871" s="25" t="n">
        <f aca="false">IF(COUNT(G2842:G2871)&lt;20,"",_xlfn.STDEV.S(G2842:G2871)*SQRT($R$3))</f>
        <v>0.834260432367049</v>
      </c>
      <c r="N2871" s="25" t="n">
        <f aca="false">IF(A2871-7&lt;$R$2,"",C2871/INDEX(Clean_Data!$C$2:$C$4314,MATCH(A2871-7,Clean_Data!$A$2:$A$4314,1))-1)</f>
        <v>-0.221004440440429</v>
      </c>
      <c r="O2871" s="25" t="n">
        <f aca="false">IF(A2871-30&lt;$R$2,"",C2871/INDEX(Clean_Data!$C$2:$C$4314,MATCH(A2871-30,Clean_Data!$A$2:$A$4314,1))-1)</f>
        <v>-0.150983654060635</v>
      </c>
    </row>
    <row r="2872" customFormat="false" ht="15" hidden="false" customHeight="false" outlineLevel="0" collapsed="false">
      <c r="A2872" s="16" t="n">
        <v>44879</v>
      </c>
      <c r="B2872" s="23" t="n">
        <f aca="false">YEAR(A2872)</f>
        <v>2022</v>
      </c>
      <c r="C2872" s="17" t="n">
        <v>16576.49</v>
      </c>
      <c r="D2872" s="23" t="n">
        <f aca="false">A2872-A2871</f>
        <v>1</v>
      </c>
      <c r="E2872" s="24" t="n">
        <f aca="false">LN(C2872)</f>
        <v>9.71574070543311</v>
      </c>
      <c r="F2872" s="25" t="n">
        <f aca="false">LN(C2872/C2871)</f>
        <v>0.01739594440168</v>
      </c>
      <c r="G2872" s="25" t="n">
        <f aca="false">IF(AND(D2872=1,A2872&gt;=$R$2),F2872,"")</f>
        <v>0.01739594440168</v>
      </c>
      <c r="H2872" s="27" t="n">
        <f aca="false">IF(G2872="","",G2872^2)</f>
        <v>0.00030261888162634</v>
      </c>
      <c r="I2872" s="25" t="n">
        <f aca="false">IF(G2872="","",C2872/C2871-1)</f>
        <v>0.0175481350617719</v>
      </c>
      <c r="J2872" s="17" t="n">
        <f aca="false">AVERAGE(C2673:C2872)</f>
        <v>23077.0574</v>
      </c>
      <c r="K2872" s="17" t="n">
        <f aca="false">MAX(K2871,C2872)</f>
        <v>67510.06</v>
      </c>
      <c r="L2872" s="25" t="n">
        <f aca="false">C2872/K2872-1</f>
        <v>-0.754458965078686</v>
      </c>
      <c r="M2872" s="25" t="n">
        <f aca="false">IF(COUNT(G2843:G2872)&lt;20,"",_xlfn.STDEV.S(G2843:G2872)*SQRT($R$3))</f>
        <v>0.838052697041885</v>
      </c>
      <c r="N2872" s="25" t="n">
        <f aca="false">IF(A2872-7&lt;$R$2,"",C2872/INDEX(Clean_Data!$C$2:$C$4314,MATCH(A2872-7,Clean_Data!$A$2:$A$4314,1))-1)</f>
        <v>-0.194485870632696</v>
      </c>
      <c r="O2872" s="25" t="n">
        <f aca="false">IF(A2872-30&lt;$R$2,"",C2872/INDEX(Clean_Data!$C$2:$C$4314,MATCH(A2872-30,Clean_Data!$A$2:$A$4314,1))-1)</f>
        <v>-0.130956606259381</v>
      </c>
    </row>
    <row r="2873" customFormat="false" ht="15" hidden="false" customHeight="false" outlineLevel="0" collapsed="false">
      <c r="A2873" s="16" t="n">
        <v>44880</v>
      </c>
      <c r="B2873" s="23" t="n">
        <f aca="false">YEAR(A2873)</f>
        <v>2022</v>
      </c>
      <c r="C2873" s="17" t="n">
        <v>16869.14</v>
      </c>
      <c r="D2873" s="23" t="n">
        <f aca="false">A2873-A2872</f>
        <v>1</v>
      </c>
      <c r="E2873" s="24" t="n">
        <f aca="false">LN(C2873)</f>
        <v>9.73324119617301</v>
      </c>
      <c r="F2873" s="25" t="n">
        <f aca="false">LN(C2873/C2872)</f>
        <v>0.0175004907399043</v>
      </c>
      <c r="G2873" s="25" t="n">
        <f aca="false">IF(AND(D2873=1,A2873&gt;=$R$2),F2873,"")</f>
        <v>0.0175004907399043</v>
      </c>
      <c r="H2873" s="27" t="n">
        <f aca="false">IF(G2873="","",G2873^2)</f>
        <v>0.000306267176137475</v>
      </c>
      <c r="I2873" s="25" t="n">
        <f aca="false">IF(G2873="","",C2873/C2872-1)</f>
        <v>0.0176545215543218</v>
      </c>
      <c r="J2873" s="17" t="n">
        <f aca="false">AVERAGE(C2674:C2873)</f>
        <v>22968.41725</v>
      </c>
      <c r="K2873" s="17" t="n">
        <f aca="false">MAX(K2872,C2873)</f>
        <v>67510.06</v>
      </c>
      <c r="L2873" s="25" t="n">
        <f aca="false">C2873/K2873-1</f>
        <v>-0.750124055585197</v>
      </c>
      <c r="M2873" s="25" t="n">
        <f aca="false">IF(COUNT(G2844:G2873)&lt;20,"",_xlfn.STDEV.S(G2844:G2873)*SQRT($R$3))</f>
        <v>0.84005907475474</v>
      </c>
      <c r="N2873" s="25" t="n">
        <f aca="false">IF(A2873-7&lt;$R$2,"",C2873/INDEX(Clean_Data!$C$2:$C$4314,MATCH(A2873-7,Clean_Data!$A$2:$A$4314,1))-1)</f>
        <v>-0.0911807171795535</v>
      </c>
      <c r="O2873" s="25" t="n">
        <f aca="false">IF(A2873-30&lt;$R$2,"",C2873/INDEX(Clean_Data!$C$2:$C$4314,MATCH(A2873-30,Clean_Data!$A$2:$A$4314,1))-1)</f>
        <v>-0.124626442403244</v>
      </c>
    </row>
    <row r="2874" customFormat="false" ht="15" hidden="false" customHeight="false" outlineLevel="0" collapsed="false">
      <c r="A2874" s="16" t="n">
        <v>44881</v>
      </c>
      <c r="B2874" s="23" t="n">
        <f aca="false">YEAR(A2874)</f>
        <v>2022</v>
      </c>
      <c r="C2874" s="17" t="n">
        <v>16660.48</v>
      </c>
      <c r="D2874" s="23" t="n">
        <f aca="false">A2874-A2873</f>
        <v>1</v>
      </c>
      <c r="E2874" s="24" t="n">
        <f aca="false">LN(C2874)</f>
        <v>9.7207947268304</v>
      </c>
      <c r="F2874" s="25" t="n">
        <f aca="false">LN(C2874/C2873)</f>
        <v>-0.012446469342613</v>
      </c>
      <c r="G2874" s="25" t="n">
        <f aca="false">IF(AND(D2874=1,A2874&gt;=$R$2),F2874,"")</f>
        <v>-0.012446469342613</v>
      </c>
      <c r="H2874" s="27" t="n">
        <f aca="false">IF(G2874="","",G2874^2)</f>
        <v>0.000154914599096606</v>
      </c>
      <c r="I2874" s="25" t="n">
        <f aca="false">IF(G2874="","",C2874/C2873-1)</f>
        <v>-0.0123693324022446</v>
      </c>
      <c r="J2874" s="17" t="n">
        <f aca="false">AVERAGE(C2675:C2874)</f>
        <v>22863.427</v>
      </c>
      <c r="K2874" s="17" t="n">
        <f aca="false">MAX(K2873,C2874)</f>
        <v>67510.06</v>
      </c>
      <c r="L2874" s="25" t="n">
        <f aca="false">C2874/K2874-1</f>
        <v>-0.753214854200989</v>
      </c>
      <c r="M2874" s="25" t="n">
        <f aca="false">IF(COUNT(G2845:G2874)&lt;20,"",_xlfn.STDEV.S(G2845:G2874)*SQRT($R$3))</f>
        <v>0.837455854582801</v>
      </c>
      <c r="N2874" s="25" t="n">
        <f aca="false">IF(A2874-7&lt;$R$2,"",C2874/INDEX(Clean_Data!$C$2:$C$4314,MATCH(A2874-7,Clean_Data!$A$2:$A$4314,1))-1)</f>
        <v>0.0510932695377215</v>
      </c>
      <c r="O2874" s="25" t="n">
        <f aca="false">IF(A2874-30&lt;$R$2,"",C2874/INDEX(Clean_Data!$C$2:$C$4314,MATCH(A2874-30,Clean_Data!$A$2:$A$4314,1))-1)</f>
        <v>-0.14849667483732</v>
      </c>
    </row>
    <row r="2875" customFormat="false" ht="15" hidden="false" customHeight="false" outlineLevel="0" collapsed="false">
      <c r="A2875" s="16" t="n">
        <v>44882</v>
      </c>
      <c r="B2875" s="23" t="n">
        <f aca="false">YEAR(A2875)</f>
        <v>2022</v>
      </c>
      <c r="C2875" s="17" t="n">
        <v>16677.36</v>
      </c>
      <c r="D2875" s="23" t="n">
        <f aca="false">A2875-A2874</f>
        <v>1</v>
      </c>
      <c r="E2875" s="24" t="n">
        <f aca="false">LN(C2875)</f>
        <v>9.72180739000489</v>
      </c>
      <c r="F2875" s="25" t="n">
        <f aca="false">LN(C2875/C2874)</f>
        <v>0.00101266317448999</v>
      </c>
      <c r="G2875" s="25" t="n">
        <f aca="false">IF(AND(D2875=1,A2875&gt;=$R$2),F2875,"")</f>
        <v>0.00101266317448999</v>
      </c>
      <c r="H2875" s="27" t="n">
        <f aca="false">IF(G2875="","",G2875^2)</f>
        <v>1.02548670496815E-006</v>
      </c>
      <c r="I2875" s="25" t="n">
        <f aca="false">IF(G2875="","",C2875/C2874-1)</f>
        <v>0.00101317609096507</v>
      </c>
      <c r="J2875" s="17" t="n">
        <f aca="false">AVERAGE(C2676:C2875)</f>
        <v>22754.3317</v>
      </c>
      <c r="K2875" s="17" t="n">
        <f aca="false">MAX(K2874,C2875)</f>
        <v>67510.06</v>
      </c>
      <c r="L2875" s="25" t="n">
        <f aca="false">C2875/K2875-1</f>
        <v>-0.75296481739166</v>
      </c>
      <c r="M2875" s="25" t="n">
        <f aca="false">IF(COUNT(G2846:G2875)&lt;20,"",_xlfn.STDEV.S(G2846:G2875)*SQRT($R$3))</f>
        <v>0.837398973967538</v>
      </c>
      <c r="N2875" s="25" t="n">
        <f aca="false">IF(A2875-7&lt;$R$2,"",C2875/INDEX(Clean_Data!$C$2:$C$4314,MATCH(A2875-7,Clean_Data!$A$2:$A$4314,1))-1)</f>
        <v>-0.0509749248142763</v>
      </c>
      <c r="O2875" s="25" t="n">
        <f aca="false">IF(A2875-30&lt;$R$2,"",C2875/INDEX(Clean_Data!$C$2:$C$4314,MATCH(A2875-30,Clean_Data!$A$2:$A$4314,1))-1)</f>
        <v>-0.137442028014815</v>
      </c>
    </row>
    <row r="2876" customFormat="false" ht="15" hidden="false" customHeight="false" outlineLevel="0" collapsed="false">
      <c r="A2876" s="16" t="n">
        <v>44883</v>
      </c>
      <c r="B2876" s="23" t="n">
        <f aca="false">YEAR(A2876)</f>
        <v>2022</v>
      </c>
      <c r="C2876" s="17" t="n">
        <v>16673.07</v>
      </c>
      <c r="D2876" s="23" t="n">
        <f aca="false">A2876-A2875</f>
        <v>1</v>
      </c>
      <c r="E2876" s="24" t="n">
        <f aca="false">LN(C2876)</f>
        <v>9.72155012195625</v>
      </c>
      <c r="F2876" s="25" t="n">
        <f aca="false">LN(C2876/C2875)</f>
        <v>-0.000257268048637614</v>
      </c>
      <c r="G2876" s="25" t="n">
        <f aca="false">IF(AND(D2876=1,A2876&gt;=$R$2),F2876,"")</f>
        <v>-0.000257268048637614</v>
      </c>
      <c r="H2876" s="27" t="n">
        <f aca="false">IF(G2876="","",G2876^2)</f>
        <v>6.61868488498058E-008</v>
      </c>
      <c r="I2876" s="25" t="n">
        <f aca="false">IF(G2876="","",C2876/C2875-1)</f>
        <v>-0.000257234958050967</v>
      </c>
      <c r="J2876" s="17" t="n">
        <f aca="false">AVERAGE(C2677:C2876)</f>
        <v>22645.25525</v>
      </c>
      <c r="K2876" s="17" t="n">
        <f aca="false">MAX(K2875,C2876)</f>
        <v>67510.06</v>
      </c>
      <c r="L2876" s="25" t="n">
        <f aca="false">C2876/K2876-1</f>
        <v>-0.753028363476495</v>
      </c>
      <c r="M2876" s="25" t="n">
        <f aca="false">IF(COUNT(G2847:G2876)&lt;20,"",_xlfn.STDEV.S(G2847:G2876)*SQRT($R$3))</f>
        <v>0.837251495457701</v>
      </c>
      <c r="N2876" s="25" t="n">
        <f aca="false">IF(A2876-7&lt;$R$2,"",C2876/INDEX(Clean_Data!$C$2:$C$4314,MATCH(A2876-7,Clean_Data!$A$2:$A$4314,1))-1)</f>
        <v>-0.0190661487756175</v>
      </c>
      <c r="O2876" s="25" t="n">
        <f aca="false">IF(A2876-30&lt;$R$2,"",C2876/INDEX(Clean_Data!$C$2:$C$4314,MATCH(A2876-30,Clean_Data!$A$2:$A$4314,1))-1)</f>
        <v>-0.128076468308775</v>
      </c>
    </row>
    <row r="2877" customFormat="false" ht="15" hidden="false" customHeight="false" outlineLevel="0" collapsed="false">
      <c r="A2877" s="16" t="n">
        <v>44884</v>
      </c>
      <c r="B2877" s="23" t="n">
        <f aca="false">YEAR(A2877)</f>
        <v>2022</v>
      </c>
      <c r="C2877" s="17" t="n">
        <v>16667.74</v>
      </c>
      <c r="D2877" s="23" t="n">
        <f aca="false">A2877-A2876</f>
        <v>1</v>
      </c>
      <c r="E2877" s="24" t="n">
        <f aca="false">LN(C2877)</f>
        <v>9.72123039366858</v>
      </c>
      <c r="F2877" s="25" t="n">
        <f aca="false">LN(C2877/C2876)</f>
        <v>-0.000319728287669315</v>
      </c>
      <c r="G2877" s="25" t="n">
        <f aca="false">IF(AND(D2877=1,A2877&gt;=$R$2),F2877,"")</f>
        <v>-0.000319728287669315</v>
      </c>
      <c r="H2877" s="27" t="n">
        <f aca="false">IF(G2877="","",G2877^2)</f>
        <v>1.02226177935952E-007</v>
      </c>
      <c r="I2877" s="25" t="n">
        <f aca="false">IF(G2877="","",C2877/C2876-1)</f>
        <v>-0.000319677180027345</v>
      </c>
      <c r="J2877" s="17" t="n">
        <f aca="false">AVERAGE(C2678:C2877)</f>
        <v>22540.0519</v>
      </c>
      <c r="K2877" s="17" t="n">
        <f aca="false">MAX(K2876,C2877)</f>
        <v>67510.06</v>
      </c>
      <c r="L2877" s="25" t="n">
        <f aca="false">C2877/K2877-1</f>
        <v>-0.753107314672806</v>
      </c>
      <c r="M2877" s="25" t="n">
        <f aca="false">IF(COUNT(G2848:G2877)&lt;20,"",_xlfn.STDEV.S(G2848:G2877)*SQRT($R$3))</f>
        <v>0.83738099821144</v>
      </c>
      <c r="N2877" s="25" t="n">
        <f aca="false">IF(A2877-7&lt;$R$2,"",C2877/INDEX(Clean_Data!$C$2:$C$4314,MATCH(A2877-7,Clean_Data!$A$2:$A$4314,1))-1)</f>
        <v>-0.00655571403282795</v>
      </c>
      <c r="O2877" s="25" t="n">
        <f aca="false">IF(A2877-30&lt;$R$2,"",C2877/INDEX(Clean_Data!$C$2:$C$4314,MATCH(A2877-30,Clean_Data!$A$2:$A$4314,1))-1)</f>
        <v>-0.124904642624445</v>
      </c>
    </row>
    <row r="2878" customFormat="false" ht="15" hidden="false" customHeight="false" outlineLevel="0" collapsed="false">
      <c r="A2878" s="16" t="n">
        <v>44885</v>
      </c>
      <c r="B2878" s="23" t="n">
        <f aca="false">YEAR(A2878)</f>
        <v>2022</v>
      </c>
      <c r="C2878" s="17" t="n">
        <v>16261.22</v>
      </c>
      <c r="D2878" s="23" t="n">
        <f aca="false">A2878-A2877</f>
        <v>1</v>
      </c>
      <c r="E2878" s="24" t="n">
        <f aca="false">LN(C2878)</f>
        <v>9.69653841103744</v>
      </c>
      <c r="F2878" s="25" t="n">
        <f aca="false">LN(C2878/C2877)</f>
        <v>-0.0246919826311394</v>
      </c>
      <c r="G2878" s="25" t="n">
        <f aca="false">IF(AND(D2878=1,A2878&gt;=$R$2),F2878,"")</f>
        <v>-0.0246919826311394</v>
      </c>
      <c r="H2878" s="27" t="n">
        <f aca="false">IF(G2878="","",G2878^2)</f>
        <v>0.000609694006256492</v>
      </c>
      <c r="I2878" s="25" t="n">
        <f aca="false">IF(G2878="","",C2878/C2877-1)</f>
        <v>-0.0243896293078727</v>
      </c>
      <c r="J2878" s="17" t="n">
        <f aca="false">AVERAGE(C2679:C2878)</f>
        <v>22422.99885</v>
      </c>
      <c r="K2878" s="17" t="n">
        <f aca="false">MAX(K2877,C2878)</f>
        <v>67510.06</v>
      </c>
      <c r="L2878" s="25" t="n">
        <f aca="false">C2878/K2878-1</f>
        <v>-0.759128935746761</v>
      </c>
      <c r="M2878" s="25" t="n">
        <f aca="false">IF(COUNT(G2849:G2878)&lt;20,"",_xlfn.STDEV.S(G2849:G2878)*SQRT($R$3))</f>
        <v>0.83929943931718</v>
      </c>
      <c r="N2878" s="25" t="n">
        <f aca="false">IF(A2878-7&lt;$R$2,"",C2878/INDEX(Clean_Data!$C$2:$C$4314,MATCH(A2878-7,Clean_Data!$A$2:$A$4314,1))-1)</f>
        <v>-0.00180471952571493</v>
      </c>
      <c r="O2878" s="25" t="n">
        <f aca="false">IF(A2878-30&lt;$R$2,"",C2878/INDEX(Clean_Data!$C$2:$C$4314,MATCH(A2878-30,Clean_Data!$A$2:$A$4314,1))-1)</f>
        <v>-0.15184975201551</v>
      </c>
    </row>
    <row r="2879" customFormat="false" ht="15" hidden="false" customHeight="false" outlineLevel="0" collapsed="false">
      <c r="A2879" s="16" t="n">
        <v>44886</v>
      </c>
      <c r="B2879" s="23" t="n">
        <f aca="false">YEAR(A2879)</f>
        <v>2022</v>
      </c>
      <c r="C2879" s="17" t="n">
        <v>15755.75</v>
      </c>
      <c r="D2879" s="23" t="n">
        <f aca="false">A2879-A2878</f>
        <v>1</v>
      </c>
      <c r="E2879" s="24" t="n">
        <f aca="false">LN(C2879)</f>
        <v>9.6649606569936</v>
      </c>
      <c r="F2879" s="25" t="n">
        <f aca="false">LN(C2879/C2878)</f>
        <v>-0.0315777540438409</v>
      </c>
      <c r="G2879" s="25" t="n">
        <f aca="false">IF(AND(D2879=1,A2879&gt;=$R$2),F2879,"")</f>
        <v>-0.0315777540438409</v>
      </c>
      <c r="H2879" s="27" t="n">
        <f aca="false">IF(G2879="","",G2879^2)</f>
        <v>0.000997154550453308</v>
      </c>
      <c r="I2879" s="25" t="n">
        <f aca="false">IF(G2879="","",C2879/C2878-1)</f>
        <v>-0.0310843835825356</v>
      </c>
      <c r="J2879" s="17" t="n">
        <f aca="false">AVERAGE(C2680:C2879)</f>
        <v>22319.19365</v>
      </c>
      <c r="K2879" s="17" t="n">
        <f aca="false">MAX(K2878,C2879)</f>
        <v>67510.06</v>
      </c>
      <c r="L2879" s="25" t="n">
        <f aca="false">C2879/K2879-1</f>
        <v>-0.766616264301943</v>
      </c>
      <c r="M2879" s="25" t="n">
        <f aca="false">IF(COUNT(G2850:G2879)&lt;20,"",_xlfn.STDEV.S(G2850:G2879)*SQRT($R$3))</f>
        <v>0.843690748955103</v>
      </c>
      <c r="N2879" s="25" t="n">
        <f aca="false">IF(A2879-7&lt;$R$2,"",C2879/INDEX(Clean_Data!$C$2:$C$4314,MATCH(A2879-7,Clean_Data!$A$2:$A$4314,1))-1)</f>
        <v>-0.0495122912027819</v>
      </c>
      <c r="O2879" s="25" t="n">
        <f aca="false">IF(A2879-30&lt;$R$2,"",C2879/INDEX(Clean_Data!$C$2:$C$4314,MATCH(A2879-30,Clean_Data!$A$2:$A$4314,1))-1)</f>
        <v>-0.179841670909112</v>
      </c>
    </row>
    <row r="2880" customFormat="false" ht="15" hidden="false" customHeight="false" outlineLevel="0" collapsed="false">
      <c r="A2880" s="16" t="n">
        <v>44887</v>
      </c>
      <c r="B2880" s="23" t="n">
        <f aca="false">YEAR(A2880)</f>
        <v>2022</v>
      </c>
      <c r="C2880" s="17" t="n">
        <v>16206.32</v>
      </c>
      <c r="D2880" s="23" t="n">
        <f aca="false">A2880-A2879</f>
        <v>1</v>
      </c>
      <c r="E2880" s="24" t="n">
        <f aca="false">LN(C2880)</f>
        <v>9.6931565685989</v>
      </c>
      <c r="F2880" s="25" t="n">
        <f aca="false">LN(C2880/C2879)</f>
        <v>0.0281959116052935</v>
      </c>
      <c r="G2880" s="25" t="n">
        <f aca="false">IF(AND(D2880=1,A2880&gt;=$R$2),F2880,"")</f>
        <v>0.0281959116052935</v>
      </c>
      <c r="H2880" s="27" t="n">
        <f aca="false">IF(G2880="","",G2880^2)</f>
        <v>0.000795009431253525</v>
      </c>
      <c r="I2880" s="25" t="n">
        <f aca="false">IF(G2880="","",C2880/C2879-1)</f>
        <v>0.0285971788077368</v>
      </c>
      <c r="J2880" s="17" t="n">
        <f aca="false">AVERAGE(C2681:C2880)</f>
        <v>22220.15915</v>
      </c>
      <c r="K2880" s="17" t="n">
        <f aca="false">MAX(K2879,C2880)</f>
        <v>67510.06</v>
      </c>
      <c r="L2880" s="25" t="n">
        <f aca="false">C2880/K2880-1</f>
        <v>-0.759942147881368</v>
      </c>
      <c r="M2880" s="25" t="n">
        <f aca="false">IF(COUNT(G2851:G2880)&lt;20,"",_xlfn.STDEV.S(G2851:G2880)*SQRT($R$3))</f>
        <v>0.848098274375396</v>
      </c>
      <c r="N2880" s="25" t="n">
        <f aca="false">IF(A2880-7&lt;$R$2,"",C2880/INDEX(Clean_Data!$C$2:$C$4314,MATCH(A2880-7,Clean_Data!$A$2:$A$4314,1))-1)</f>
        <v>-0.0392918666867428</v>
      </c>
      <c r="O2880" s="25" t="n">
        <f aca="false">IF(A2880-30&lt;$R$2,"",C2880/INDEX(Clean_Data!$C$2:$C$4314,MATCH(A2880-30,Clean_Data!$A$2:$A$4314,1))-1)</f>
        <v>-0.171604263040867</v>
      </c>
    </row>
    <row r="2881" customFormat="false" ht="15" hidden="false" customHeight="false" outlineLevel="0" collapsed="false">
      <c r="A2881" s="16" t="n">
        <v>44888</v>
      </c>
      <c r="B2881" s="23" t="n">
        <f aca="false">YEAR(A2881)</f>
        <v>2022</v>
      </c>
      <c r="C2881" s="17" t="n">
        <v>16597.46</v>
      </c>
      <c r="D2881" s="23" t="n">
        <f aca="false">A2881-A2880</f>
        <v>1</v>
      </c>
      <c r="E2881" s="24" t="n">
        <f aca="false">LN(C2881)</f>
        <v>9.71700495058891</v>
      </c>
      <c r="F2881" s="25" t="n">
        <f aca="false">LN(C2881/C2880)</f>
        <v>0.0238483819900082</v>
      </c>
      <c r="G2881" s="25" t="n">
        <f aca="false">IF(AND(D2881=1,A2881&gt;=$R$2),F2881,"")</f>
        <v>0.0238483819900082</v>
      </c>
      <c r="H2881" s="27" t="n">
        <f aca="false">IF(G2881="","",G2881^2)</f>
        <v>0.000568745323541348</v>
      </c>
      <c r="I2881" s="25" t="n">
        <f aca="false">IF(G2881="","",C2881/C2880-1)</f>
        <v>0.0241350288035778</v>
      </c>
      <c r="J2881" s="17" t="n">
        <f aca="false">AVERAGE(C2682:C2881)</f>
        <v>22125.91875</v>
      </c>
      <c r="K2881" s="17" t="n">
        <f aca="false">MAX(K2880,C2881)</f>
        <v>67510.06</v>
      </c>
      <c r="L2881" s="25" t="n">
        <f aca="false">C2881/K2881-1</f>
        <v>-0.754148344705959</v>
      </c>
      <c r="M2881" s="25" t="n">
        <f aca="false">IF(COUNT(G2852:G2881)&lt;20,"",_xlfn.STDEV.S(G2852:G2881)*SQRT($R$3))</f>
        <v>0.854260504957957</v>
      </c>
      <c r="N2881" s="25" t="n">
        <f aca="false">IF(A2881-7&lt;$R$2,"",C2881/INDEX(Clean_Data!$C$2:$C$4314,MATCH(A2881-7,Clean_Data!$A$2:$A$4314,1))-1)</f>
        <v>-0.00378260410264297</v>
      </c>
      <c r="O2881" s="25" t="n">
        <f aca="false">IF(A2881-30&lt;$R$2,"",C2881/INDEX(Clean_Data!$C$2:$C$4314,MATCH(A2881-30,Clean_Data!$A$2:$A$4314,1))-1)</f>
        <v>-0.141471463782397</v>
      </c>
    </row>
    <row r="2882" customFormat="false" ht="15" hidden="false" customHeight="false" outlineLevel="0" collapsed="false">
      <c r="A2882" s="16" t="n">
        <v>44889</v>
      </c>
      <c r="B2882" s="23" t="n">
        <f aca="false">YEAR(A2882)</f>
        <v>2022</v>
      </c>
      <c r="C2882" s="17" t="n">
        <v>16579.3</v>
      </c>
      <c r="D2882" s="23" t="n">
        <f aca="false">A2882-A2881</f>
        <v>1</v>
      </c>
      <c r="E2882" s="24" t="n">
        <f aca="false">LN(C2882)</f>
        <v>9.7159102082564</v>
      </c>
      <c r="F2882" s="25" t="n">
        <f aca="false">LN(C2882/C2881)</f>
        <v>-0.00109474233250449</v>
      </c>
      <c r="G2882" s="25" t="n">
        <f aca="false">IF(AND(D2882=1,A2882&gt;=$R$2),F2882,"")</f>
        <v>-0.00109474233250449</v>
      </c>
      <c r="H2882" s="27" t="n">
        <f aca="false">IF(G2882="","",G2882^2)</f>
        <v>1.19846077457738E-006</v>
      </c>
      <c r="I2882" s="25" t="n">
        <f aca="false">IF(G2882="","",C2882/C2881-1)</f>
        <v>-0.00109414332072499</v>
      </c>
      <c r="J2882" s="17" t="n">
        <f aca="false">AVERAGE(C2683:C2882)</f>
        <v>22038.36645</v>
      </c>
      <c r="K2882" s="17" t="n">
        <f aca="false">MAX(K2881,C2882)</f>
        <v>67510.06</v>
      </c>
      <c r="L2882" s="25" t="n">
        <f aca="false">C2882/K2882-1</f>
        <v>-0.754417341652489</v>
      </c>
      <c r="M2882" s="25" t="n">
        <f aca="false">IF(COUNT(G2853:G2882)&lt;20,"",_xlfn.STDEV.S(G2853:G2882)*SQRT($R$3))</f>
        <v>0.839115371788257</v>
      </c>
      <c r="N2882" s="25" t="n">
        <f aca="false">IF(A2882-7&lt;$R$2,"",C2882/INDEX(Clean_Data!$C$2:$C$4314,MATCH(A2882-7,Clean_Data!$A$2:$A$4314,1))-1)</f>
        <v>-0.00587982750267435</v>
      </c>
      <c r="O2882" s="25" t="n">
        <f aca="false">IF(A2882-30&lt;$R$2,"",C2882/INDEX(Clean_Data!$C$2:$C$4314,MATCH(A2882-30,Clean_Data!$A$2:$A$4314,1))-1)</f>
        <v>-0.175722665202991</v>
      </c>
    </row>
    <row r="2883" customFormat="false" ht="15" hidden="false" customHeight="false" outlineLevel="0" collapsed="false">
      <c r="A2883" s="16" t="n">
        <v>44890</v>
      </c>
      <c r="B2883" s="23" t="n">
        <f aca="false">YEAR(A2883)</f>
        <v>2022</v>
      </c>
      <c r="C2883" s="17" t="n">
        <v>16508.49</v>
      </c>
      <c r="D2883" s="23" t="n">
        <f aca="false">A2883-A2882</f>
        <v>1</v>
      </c>
      <c r="E2883" s="24" t="n">
        <f aca="false">LN(C2883)</f>
        <v>9.7116300730101</v>
      </c>
      <c r="F2883" s="25" t="n">
        <f aca="false">LN(C2883/C2882)</f>
        <v>-0.0042801352463021</v>
      </c>
      <c r="G2883" s="25" t="n">
        <f aca="false">IF(AND(D2883=1,A2883&gt;=$R$2),F2883,"")</f>
        <v>-0.0042801352463021</v>
      </c>
      <c r="H2883" s="27" t="n">
        <f aca="false">IF(G2883="","",G2883^2)</f>
        <v>1.83195577266376E-005</v>
      </c>
      <c r="I2883" s="25" t="n">
        <f aca="false">IF(G2883="","",C2883/C2882-1)</f>
        <v>-0.00427098852183128</v>
      </c>
      <c r="J2883" s="17" t="n">
        <f aca="false">AVERAGE(C2684:C2883)</f>
        <v>21970.02525</v>
      </c>
      <c r="K2883" s="17" t="n">
        <f aca="false">MAX(K2882,C2883)</f>
        <v>67510.06</v>
      </c>
      <c r="L2883" s="25" t="n">
        <f aca="false">C2883/K2883-1</f>
        <v>-0.755466222367452</v>
      </c>
      <c r="M2883" s="25" t="n">
        <f aca="false">IF(COUNT(G2854:G2883)&lt;20,"",_xlfn.STDEV.S(G2854:G2883)*SQRT($R$3))</f>
        <v>0.827869391226957</v>
      </c>
      <c r="N2883" s="25" t="n">
        <f aca="false">IF(A2883-7&lt;$R$2,"",C2883/INDEX(Clean_Data!$C$2:$C$4314,MATCH(A2883-7,Clean_Data!$A$2:$A$4314,1))-1)</f>
        <v>-0.00987100755889581</v>
      </c>
      <c r="O2883" s="25" t="n">
        <f aca="false">IF(A2883-30&lt;$R$2,"",C2883/INDEX(Clean_Data!$C$2:$C$4314,MATCH(A2883-30,Clean_Data!$A$2:$A$4314,1))-1)</f>
        <v>-0.20481480268355</v>
      </c>
    </row>
    <row r="2884" customFormat="false" ht="15" hidden="false" customHeight="false" outlineLevel="0" collapsed="false">
      <c r="A2884" s="16" t="n">
        <v>44891</v>
      </c>
      <c r="B2884" s="23" t="n">
        <f aca="false">YEAR(A2884)</f>
        <v>2022</v>
      </c>
      <c r="C2884" s="17" t="n">
        <v>16452.39</v>
      </c>
      <c r="D2884" s="23" t="n">
        <f aca="false">A2884-A2883</f>
        <v>1</v>
      </c>
      <c r="E2884" s="24" t="n">
        <f aca="false">LN(C2884)</f>
        <v>9.70822603439393</v>
      </c>
      <c r="F2884" s="25" t="n">
        <f aca="false">LN(C2884/C2883)</f>
        <v>-0.00340403861616893</v>
      </c>
      <c r="G2884" s="25" t="n">
        <f aca="false">IF(AND(D2884=1,A2884&gt;=$R$2),F2884,"")</f>
        <v>-0.00340403861616893</v>
      </c>
      <c r="H2884" s="27" t="n">
        <f aca="false">IF(G2884="","",G2884^2)</f>
        <v>1.15874789003693E-005</v>
      </c>
      <c r="I2884" s="25" t="n">
        <f aca="false">IF(G2884="","",C2884/C2883-1)</f>
        <v>-0.00339825144516559</v>
      </c>
      <c r="J2884" s="17" t="n">
        <f aca="false">AVERAGE(C2685:C2884)</f>
        <v>21897.47805</v>
      </c>
      <c r="K2884" s="17" t="n">
        <f aca="false">MAX(K2883,C2884)</f>
        <v>67510.06</v>
      </c>
      <c r="L2884" s="25" t="n">
        <f aca="false">C2884/K2884-1</f>
        <v>-0.756297209630683</v>
      </c>
      <c r="M2884" s="25" t="n">
        <f aca="false">IF(COUNT(G2855:G2884)&lt;20,"",_xlfn.STDEV.S(G2855:G2884)*SQRT($R$3))</f>
        <v>0.826096767929609</v>
      </c>
      <c r="N2884" s="25" t="n">
        <f aca="false">IF(A2884-7&lt;$R$2,"",C2884/INDEX(Clean_Data!$C$2:$C$4314,MATCH(A2884-7,Clean_Data!$A$2:$A$4314,1))-1)</f>
        <v>-0.0129201679411847</v>
      </c>
      <c r="O2884" s="25" t="n">
        <f aca="false">IF(A2884-30&lt;$R$2,"",C2884/INDEX(Clean_Data!$C$2:$C$4314,MATCH(A2884-30,Clean_Data!$A$2:$A$4314,1))-1)</f>
        <v>-0.189024886171901</v>
      </c>
    </row>
    <row r="2885" customFormat="false" ht="15" hidden="false" customHeight="false" outlineLevel="0" collapsed="false">
      <c r="A2885" s="16" t="n">
        <v>44892</v>
      </c>
      <c r="B2885" s="23" t="n">
        <f aca="false">YEAR(A2885)</f>
        <v>2022</v>
      </c>
      <c r="C2885" s="17" t="n">
        <v>16428.77</v>
      </c>
      <c r="D2885" s="23" t="n">
        <f aca="false">A2885-A2884</f>
        <v>1</v>
      </c>
      <c r="E2885" s="24" t="n">
        <f aca="false">LN(C2885)</f>
        <v>9.70678934517355</v>
      </c>
      <c r="F2885" s="25" t="n">
        <f aca="false">LN(C2885/C2884)</f>
        <v>-0.00143668922037963</v>
      </c>
      <c r="G2885" s="25" t="n">
        <f aca="false">IF(AND(D2885=1,A2885&gt;=$R$2),F2885,"")</f>
        <v>-0.00143668922037963</v>
      </c>
      <c r="H2885" s="27" t="n">
        <f aca="false">IF(G2885="","",G2885^2)</f>
        <v>2.06407591595504E-006</v>
      </c>
      <c r="I2885" s="25" t="n">
        <f aca="false">IF(G2885="","",C2885/C2884-1)</f>
        <v>-0.00143565767648346</v>
      </c>
      <c r="J2885" s="17" t="n">
        <f aca="false">AVERAGE(C2686:C2885)</f>
        <v>21834.4828</v>
      </c>
      <c r="K2885" s="17" t="n">
        <f aca="false">MAX(K2884,C2885)</f>
        <v>67510.06</v>
      </c>
      <c r="L2885" s="25" t="n">
        <f aca="false">C2885/K2885-1</f>
        <v>-0.756647083412457</v>
      </c>
      <c r="M2885" s="25" t="n">
        <f aca="false">IF(COUNT(G2856:G2885)&lt;20,"",_xlfn.STDEV.S(G2856:G2885)*SQRT($R$3))</f>
        <v>0.822569402933284</v>
      </c>
      <c r="N2885" s="25" t="n">
        <f aca="false">IF(A2885-7&lt;$R$2,"",C2885/INDEX(Clean_Data!$C$2:$C$4314,MATCH(A2885-7,Clean_Data!$A$2:$A$4314,1))-1)</f>
        <v>0.0103036549533184</v>
      </c>
      <c r="O2885" s="25" t="n">
        <f aca="false">IF(A2885-30&lt;$R$2,"",C2885/INDEX(Clean_Data!$C$2:$C$4314,MATCH(A2885-30,Clean_Data!$A$2:$A$4314,1))-1)</f>
        <v>-0.202254927525042</v>
      </c>
    </row>
    <row r="2886" customFormat="false" ht="15" hidden="false" customHeight="false" outlineLevel="0" collapsed="false">
      <c r="A2886" s="16" t="n">
        <v>44893</v>
      </c>
      <c r="B2886" s="23" t="n">
        <f aca="false">YEAR(A2886)</f>
        <v>2022</v>
      </c>
      <c r="C2886" s="17" t="n">
        <v>16193.89</v>
      </c>
      <c r="D2886" s="23" t="n">
        <f aca="false">A2886-A2885</f>
        <v>1</v>
      </c>
      <c r="E2886" s="24" t="n">
        <f aca="false">LN(C2886)</f>
        <v>9.69238928958374</v>
      </c>
      <c r="F2886" s="25" t="n">
        <f aca="false">LN(C2886/C2885)</f>
        <v>-0.0144000555898085</v>
      </c>
      <c r="G2886" s="25" t="n">
        <f aca="false">IF(AND(D2886=1,A2886&gt;=$R$2),F2886,"")</f>
        <v>-0.0144000555898085</v>
      </c>
      <c r="H2886" s="27" t="n">
        <f aca="false">IF(G2886="","",G2886^2)</f>
        <v>0.000207361600989576</v>
      </c>
      <c r="I2886" s="25" t="n">
        <f aca="false">IF(G2886="","",C2886/C2885-1)</f>
        <v>-0.0142968706726068</v>
      </c>
      <c r="J2886" s="17" t="n">
        <f aca="false">AVERAGE(C2687:C2886)</f>
        <v>21770.6526</v>
      </c>
      <c r="K2886" s="17" t="n">
        <f aca="false">MAX(K2885,C2886)</f>
        <v>67510.06</v>
      </c>
      <c r="L2886" s="25" t="n">
        <f aca="false">C2886/K2886-1</f>
        <v>-0.760126268588711</v>
      </c>
      <c r="M2886" s="25" t="n">
        <f aca="false">IF(COUNT(G2857:G2886)&lt;20,"",_xlfn.STDEV.S(G2857:G2886)*SQRT($R$3))</f>
        <v>0.81999881488842</v>
      </c>
      <c r="N2886" s="25" t="n">
        <f aca="false">IF(A2886-7&lt;$R$2,"",C2886/INDEX(Clean_Data!$C$2:$C$4314,MATCH(A2886-7,Clean_Data!$A$2:$A$4314,1))-1)</f>
        <v>0.0278082604763339</v>
      </c>
      <c r="O2886" s="25" t="n">
        <f aca="false">IF(A2886-30&lt;$R$2,"",C2886/INDEX(Clean_Data!$C$2:$C$4314,MATCH(A2886-30,Clean_Data!$A$2:$A$4314,1))-1)</f>
        <v>-0.222613302456557</v>
      </c>
    </row>
    <row r="2887" customFormat="false" ht="15" hidden="false" customHeight="false" outlineLevel="0" collapsed="false">
      <c r="A2887" s="16" t="n">
        <v>44894</v>
      </c>
      <c r="B2887" s="23" t="n">
        <f aca="false">YEAR(A2887)</f>
        <v>2022</v>
      </c>
      <c r="C2887" s="17" t="n">
        <v>16441.63</v>
      </c>
      <c r="D2887" s="23" t="n">
        <f aca="false">A2887-A2886</f>
        <v>1</v>
      </c>
      <c r="E2887" s="24" t="n">
        <f aca="false">LN(C2887)</f>
        <v>9.70757181211378</v>
      </c>
      <c r="F2887" s="25" t="n">
        <f aca="false">LN(C2887/C2886)</f>
        <v>0.0151825225300424</v>
      </c>
      <c r="G2887" s="25" t="n">
        <f aca="false">IF(AND(D2887=1,A2887&gt;=$R$2),F2887,"")</f>
        <v>0.0151825225300424</v>
      </c>
      <c r="H2887" s="27" t="n">
        <f aca="false">IF(G2887="","",G2887^2)</f>
        <v>0.000230508990375244</v>
      </c>
      <c r="I2887" s="25" t="n">
        <f aca="false">IF(G2887="","",C2887/C2886-1)</f>
        <v>0.0152983625305594</v>
      </c>
      <c r="J2887" s="17" t="n">
        <f aca="false">AVERAGE(C2688:C2887)</f>
        <v>21706.39875</v>
      </c>
      <c r="K2887" s="17" t="n">
        <f aca="false">MAX(K2886,C2887)</f>
        <v>67510.06</v>
      </c>
      <c r="L2887" s="25" t="n">
        <f aca="false">C2887/K2887-1</f>
        <v>-0.756456593284023</v>
      </c>
      <c r="M2887" s="25" t="n">
        <f aca="false">IF(COUNT(G2858:G2887)&lt;20,"",_xlfn.STDEV.S(G2858:G2887)*SQRT($R$3))</f>
        <v>0.824090262671914</v>
      </c>
      <c r="N2887" s="25" t="n">
        <f aca="false">IF(A2887-7&lt;$R$2,"",C2887/INDEX(Clean_Data!$C$2:$C$4314,MATCH(A2887-7,Clean_Data!$A$2:$A$4314,1))-1)</f>
        <v>0.0145196441881934</v>
      </c>
      <c r="O2887" s="25" t="n">
        <f aca="false">IF(A2887-30&lt;$R$2,"",C2887/INDEX(Clean_Data!$C$2:$C$4314,MATCH(A2887-30,Clean_Data!$A$2:$A$4314,1))-1)</f>
        <v>-0.203214449271745</v>
      </c>
    </row>
    <row r="2888" customFormat="false" ht="15" hidden="false" customHeight="false" outlineLevel="0" collapsed="false">
      <c r="A2888" s="16" t="n">
        <v>44895</v>
      </c>
      <c r="B2888" s="23" t="n">
        <f aca="false">YEAR(A2888)</f>
        <v>2022</v>
      </c>
      <c r="C2888" s="17" t="n">
        <v>17179.78</v>
      </c>
      <c r="D2888" s="23" t="n">
        <f aca="false">A2888-A2887</f>
        <v>1</v>
      </c>
      <c r="E2888" s="24" t="n">
        <f aca="false">LN(C2888)</f>
        <v>9.75148838986836</v>
      </c>
      <c r="F2888" s="25" t="n">
        <f aca="false">LN(C2888/C2887)</f>
        <v>0.0439165777545783</v>
      </c>
      <c r="G2888" s="25" t="n">
        <f aca="false">IF(AND(D2888=1,A2888&gt;=$R$2),F2888,"")</f>
        <v>0.0439165777545783</v>
      </c>
      <c r="H2888" s="27" t="n">
        <f aca="false">IF(G2888="","",G2888^2)</f>
        <v>0.00192866580167392</v>
      </c>
      <c r="I2888" s="25" t="n">
        <f aca="false">IF(G2888="","",C2888/C2887-1)</f>
        <v>0.0448951837500295</v>
      </c>
      <c r="J2888" s="17" t="n">
        <f aca="false">AVERAGE(C2689:C2888)</f>
        <v>21642.23455</v>
      </c>
      <c r="K2888" s="17" t="n">
        <f aca="false">MAX(K2887,C2888)</f>
        <v>67510.06</v>
      </c>
      <c r="L2888" s="25" t="n">
        <f aca="false">C2888/K2888-1</f>
        <v>-0.745522667288401</v>
      </c>
      <c r="M2888" s="25" t="n">
        <f aca="false">IF(COUNT(G2859:G2888)&lt;20,"",_xlfn.STDEV.S(G2859:G2888)*SQRT($R$3))</f>
        <v>0.843424496632986</v>
      </c>
      <c r="N2888" s="25" t="n">
        <f aca="false">IF(A2888-7&lt;$R$2,"",C2888/INDEX(Clean_Data!$C$2:$C$4314,MATCH(A2888-7,Clean_Data!$A$2:$A$4314,1))-1)</f>
        <v>0.0350848864826305</v>
      </c>
      <c r="O2888" s="25" t="n">
        <f aca="false">IF(A2888-30&lt;$R$2,"",C2888/INDEX(Clean_Data!$C$2:$C$4314,MATCH(A2888-30,Clean_Data!$A$2:$A$4314,1))-1)</f>
        <v>-0.160848130616296</v>
      </c>
    </row>
    <row r="2889" customFormat="false" ht="15" hidden="false" customHeight="false" outlineLevel="0" collapsed="false">
      <c r="A2889" s="16" t="n">
        <v>44896</v>
      </c>
      <c r="B2889" s="23" t="n">
        <f aca="false">YEAR(A2889)</f>
        <v>2022</v>
      </c>
      <c r="C2889" s="17" t="n">
        <v>16980.55</v>
      </c>
      <c r="D2889" s="23" t="n">
        <f aca="false">A2889-A2888</f>
        <v>1</v>
      </c>
      <c r="E2889" s="24" t="n">
        <f aca="false">LN(C2889)</f>
        <v>9.73982385038905</v>
      </c>
      <c r="F2889" s="25" t="n">
        <f aca="false">LN(C2889/C2888)</f>
        <v>-0.0116645394793095</v>
      </c>
      <c r="G2889" s="25" t="n">
        <f aca="false">IF(AND(D2889=1,A2889&gt;=$R$2),F2889,"")</f>
        <v>-0.0116645394793095</v>
      </c>
      <c r="H2889" s="27" t="n">
        <f aca="false">IF(G2889="","",G2889^2)</f>
        <v>0.000136061481264369</v>
      </c>
      <c r="I2889" s="25" t="n">
        <f aca="false">IF(G2889="","",C2889/C2888-1)</f>
        <v>-0.011596772484863</v>
      </c>
      <c r="J2889" s="17" t="n">
        <f aca="false">AVERAGE(C2690:C2889)</f>
        <v>21570.84355</v>
      </c>
      <c r="K2889" s="17" t="n">
        <f aca="false">MAX(K2888,C2889)</f>
        <v>67510.06</v>
      </c>
      <c r="L2889" s="25" t="n">
        <f aca="false">C2889/K2889-1</f>
        <v>-0.748473783018412</v>
      </c>
      <c r="M2889" s="25" t="n">
        <f aca="false">IF(COUNT(G2860:G2889)&lt;20,"",_xlfn.STDEV.S(G2860:G2889)*SQRT($R$3))</f>
        <v>0.843357092434594</v>
      </c>
      <c r="N2889" s="25" t="n">
        <f aca="false">IF(A2889-7&lt;$R$2,"",C2889/INDEX(Clean_Data!$C$2:$C$4314,MATCH(A2889-7,Clean_Data!$A$2:$A$4314,1))-1)</f>
        <v>0.0242018661825287</v>
      </c>
      <c r="O2889" s="25" t="n">
        <f aca="false">IF(A2889-30&lt;$R$2,"",C2889/INDEX(Clean_Data!$C$2:$C$4314,MATCH(A2889-30,Clean_Data!$A$2:$A$4314,1))-1)</f>
        <v>-0.170850934276195</v>
      </c>
    </row>
    <row r="2890" customFormat="false" ht="15" hidden="false" customHeight="false" outlineLevel="0" collapsed="false">
      <c r="A2890" s="16" t="n">
        <v>44897</v>
      </c>
      <c r="B2890" s="23" t="n">
        <f aca="false">YEAR(A2890)</f>
        <v>2022</v>
      </c>
      <c r="C2890" s="17" t="n">
        <v>17099.27</v>
      </c>
      <c r="D2890" s="23" t="n">
        <f aca="false">A2890-A2889</f>
        <v>1</v>
      </c>
      <c r="E2890" s="24" t="n">
        <f aca="false">LN(C2890)</f>
        <v>9.74679105152103</v>
      </c>
      <c r="F2890" s="25" t="n">
        <f aca="false">LN(C2890/C2889)</f>
        <v>0.00696720113197356</v>
      </c>
      <c r="G2890" s="25" t="n">
        <f aca="false">IF(AND(D2890=1,A2890&gt;=$R$2),F2890,"")</f>
        <v>0.00696720113197356</v>
      </c>
      <c r="H2890" s="27" t="n">
        <f aca="false">IF(G2890="","",G2890^2)</f>
        <v>4.85418916133736E-005</v>
      </c>
      <c r="I2890" s="25" t="n">
        <f aca="false">IF(G2890="","",C2890/C2889-1)</f>
        <v>0.00699152854295071</v>
      </c>
      <c r="J2890" s="17" t="n">
        <f aca="false">AVERAGE(C2691:C2890)</f>
        <v>21507.06655</v>
      </c>
      <c r="K2890" s="17" t="n">
        <f aca="false">MAX(K2889,C2890)</f>
        <v>67510.06</v>
      </c>
      <c r="L2890" s="25" t="n">
        <f aca="false">C2890/K2890-1</f>
        <v>-0.746715230293085</v>
      </c>
      <c r="M2890" s="25" t="n">
        <f aca="false">IF(COUNT(G2861:G2890)&lt;20,"",_xlfn.STDEV.S(G2861:G2890)*SQRT($R$3))</f>
        <v>0.843771989946179</v>
      </c>
      <c r="N2890" s="25" t="n">
        <f aca="false">IF(A2890-7&lt;$R$2,"",C2890/INDEX(Clean_Data!$C$2:$C$4314,MATCH(A2890-7,Clean_Data!$A$2:$A$4314,1))-1)</f>
        <v>0.0357864347375199</v>
      </c>
      <c r="O2890" s="25" t="n">
        <f aca="false">IF(A2890-30&lt;$R$2,"",C2890/INDEX(Clean_Data!$C$2:$C$4314,MATCH(A2890-30,Clean_Data!$A$2:$A$4314,1))-1)</f>
        <v>-0.151340343925323</v>
      </c>
    </row>
    <row r="2891" customFormat="false" ht="15" hidden="false" customHeight="false" outlineLevel="0" collapsed="false">
      <c r="A2891" s="16" t="n">
        <v>44898</v>
      </c>
      <c r="B2891" s="23" t="n">
        <f aca="false">YEAR(A2891)</f>
        <v>2022</v>
      </c>
      <c r="C2891" s="17" t="n">
        <v>16883.68</v>
      </c>
      <c r="D2891" s="23" t="n">
        <f aca="false">A2891-A2890</f>
        <v>1</v>
      </c>
      <c r="E2891" s="24" t="n">
        <f aca="false">LN(C2891)</f>
        <v>9.73410275386801</v>
      </c>
      <c r="F2891" s="25" t="n">
        <f aca="false">LN(C2891/C2890)</f>
        <v>-0.0126882976530172</v>
      </c>
      <c r="G2891" s="25" t="n">
        <f aca="false">IF(AND(D2891=1,A2891&gt;=$R$2),F2891,"")</f>
        <v>-0.0126882976530172</v>
      </c>
      <c r="H2891" s="27" t="n">
        <f aca="false">IF(G2891="","",G2891^2)</f>
        <v>0.000160992897331561</v>
      </c>
      <c r="I2891" s="25" t="n">
        <f aca="false">IF(G2891="","",C2891/C2890-1)</f>
        <v>-0.01260814058144</v>
      </c>
      <c r="J2891" s="17" t="n">
        <f aca="false">AVERAGE(C2692:C2891)</f>
        <v>21439.52975</v>
      </c>
      <c r="K2891" s="17" t="n">
        <f aca="false">MAX(K2890,C2891)</f>
        <v>67510.06</v>
      </c>
      <c r="L2891" s="25" t="n">
        <f aca="false">C2891/K2891-1</f>
        <v>-0.749908680276688</v>
      </c>
      <c r="M2891" s="25" t="n">
        <f aca="false">IF(COUNT(G2862:G2891)&lt;20,"",_xlfn.STDEV.S(G2862:G2891)*SQRT($R$3))</f>
        <v>0.843589145580002</v>
      </c>
      <c r="N2891" s="25" t="n">
        <f aca="false">IF(A2891-7&lt;$R$2,"",C2891/INDEX(Clean_Data!$C$2:$C$4314,MATCH(A2891-7,Clean_Data!$A$2:$A$4314,1))-1)</f>
        <v>0.0262144284204302</v>
      </c>
      <c r="O2891" s="25" t="n">
        <f aca="false">IF(A2891-30&lt;$R$2,"",C2891/INDEX(Clean_Data!$C$2:$C$4314,MATCH(A2891-30,Clean_Data!$A$2:$A$4314,1))-1)</f>
        <v>-0.164394327830492</v>
      </c>
    </row>
    <row r="2892" customFormat="false" ht="15" hidden="false" customHeight="false" outlineLevel="0" collapsed="false">
      <c r="A2892" s="16" t="n">
        <v>44899</v>
      </c>
      <c r="B2892" s="23" t="n">
        <f aca="false">YEAR(A2892)</f>
        <v>2022</v>
      </c>
      <c r="C2892" s="17" t="n">
        <v>17102.35</v>
      </c>
      <c r="D2892" s="23" t="n">
        <f aca="false">A2892-A2891</f>
        <v>1</v>
      </c>
      <c r="E2892" s="24" t="n">
        <f aca="false">LN(C2892)</f>
        <v>9.74697115994912</v>
      </c>
      <c r="F2892" s="25" t="n">
        <f aca="false">LN(C2892/C2891)</f>
        <v>0.0128684060811164</v>
      </c>
      <c r="G2892" s="25" t="n">
        <f aca="false">IF(AND(D2892=1,A2892&gt;=$R$2),F2892,"")</f>
        <v>0.0128684060811164</v>
      </c>
      <c r="H2892" s="27" t="n">
        <f aca="false">IF(G2892="","",G2892^2)</f>
        <v>0.000165595875068514</v>
      </c>
      <c r="I2892" s="25" t="n">
        <f aca="false">IF(G2892="","",C2892/C2891-1)</f>
        <v>0.0129515603233417</v>
      </c>
      <c r="J2892" s="17" t="n">
        <f aca="false">AVERAGE(C2693:C2892)</f>
        <v>21381.22685</v>
      </c>
      <c r="K2892" s="17" t="n">
        <f aca="false">MAX(K2891,C2892)</f>
        <v>67510.06</v>
      </c>
      <c r="L2892" s="25" t="n">
        <f aca="false">C2892/K2892-1</f>
        <v>-0.746669607462947</v>
      </c>
      <c r="M2892" s="25" t="n">
        <f aca="false">IF(COUNT(G2863:G2892)&lt;20,"",_xlfn.STDEV.S(G2863:G2892)*SQRT($R$3))</f>
        <v>0.82555866965296</v>
      </c>
      <c r="N2892" s="25" t="n">
        <f aca="false">IF(A2892-7&lt;$R$2,"",C2892/INDEX(Clean_Data!$C$2:$C$4314,MATCH(A2892-7,Clean_Data!$A$2:$A$4314,1))-1)</f>
        <v>0.0410000261735966</v>
      </c>
      <c r="O2892" s="25" t="n">
        <f aca="false">IF(A2892-30&lt;$R$2,"",C2892/INDEX(Clean_Data!$C$2:$C$4314,MATCH(A2892-30,Clean_Data!$A$2:$A$4314,1))-1)</f>
        <v>-0.191682468442137</v>
      </c>
    </row>
    <row r="2893" customFormat="false" ht="15" hidden="false" customHeight="false" outlineLevel="0" collapsed="false">
      <c r="A2893" s="16" t="n">
        <v>44900</v>
      </c>
      <c r="B2893" s="23" t="n">
        <f aca="false">YEAR(A2893)</f>
        <v>2022</v>
      </c>
      <c r="C2893" s="17" t="n">
        <v>16970.79</v>
      </c>
      <c r="D2893" s="23" t="n">
        <f aca="false">A2893-A2892</f>
        <v>1</v>
      </c>
      <c r="E2893" s="24" t="n">
        <f aca="false">LN(C2893)</f>
        <v>9.73924890988486</v>
      </c>
      <c r="F2893" s="25" t="n">
        <f aca="false">LN(C2893/C2892)</f>
        <v>-0.00772225006426792</v>
      </c>
      <c r="G2893" s="25" t="n">
        <f aca="false">IF(AND(D2893=1,A2893&gt;=$R$2),F2893,"")</f>
        <v>-0.00772225006426792</v>
      </c>
      <c r="H2893" s="27" t="n">
        <f aca="false">IF(G2893="","",G2893^2)</f>
        <v>5.96331460550859E-005</v>
      </c>
      <c r="I2893" s="25" t="n">
        <f aca="false">IF(G2893="","",C2893/C2892-1)</f>
        <v>-0.00769251009364191</v>
      </c>
      <c r="J2893" s="17" t="n">
        <f aca="false">AVERAGE(C2694:C2893)</f>
        <v>21314.7866</v>
      </c>
      <c r="K2893" s="17" t="n">
        <f aca="false">MAX(K2892,C2893)</f>
        <v>67510.06</v>
      </c>
      <c r="L2893" s="25" t="n">
        <f aca="false">C2893/K2893-1</f>
        <v>-0.748618354064565</v>
      </c>
      <c r="M2893" s="25" t="n">
        <f aca="false">IF(COUNT(G2864:G2893)&lt;20,"",_xlfn.STDEV.S(G2864:G2893)*SQRT($R$3))</f>
        <v>0.824010498391784</v>
      </c>
      <c r="N2893" s="25" t="n">
        <f aca="false">IF(A2893-7&lt;$R$2,"",C2893/INDEX(Clean_Data!$C$2:$C$4314,MATCH(A2893-7,Clean_Data!$A$2:$A$4314,1))-1)</f>
        <v>0.0479748843545313</v>
      </c>
      <c r="O2893" s="25" t="n">
        <f aca="false">IF(A2893-30&lt;$R$2,"",C2893/INDEX(Clean_Data!$C$2:$C$4314,MATCH(A2893-30,Clean_Data!$A$2:$A$4314,1))-1)</f>
        <v>-0.203425813622521</v>
      </c>
    </row>
    <row r="2894" customFormat="false" ht="15" hidden="false" customHeight="false" outlineLevel="0" collapsed="false">
      <c r="A2894" s="16" t="n">
        <v>44901</v>
      </c>
      <c r="B2894" s="23" t="n">
        <f aca="false">YEAR(A2894)</f>
        <v>2022</v>
      </c>
      <c r="C2894" s="17" t="n">
        <v>17089.95</v>
      </c>
      <c r="D2894" s="23" t="n">
        <f aca="false">A2894-A2893</f>
        <v>1</v>
      </c>
      <c r="E2894" s="24" t="n">
        <f aca="false">LN(C2894)</f>
        <v>9.74624585041782</v>
      </c>
      <c r="F2894" s="25" t="n">
        <f aca="false">LN(C2894/C2893)</f>
        <v>0.0069969405329638</v>
      </c>
      <c r="G2894" s="25" t="n">
        <f aca="false">IF(AND(D2894=1,A2894&gt;=$R$2),F2894,"")</f>
        <v>0.0069969405329638</v>
      </c>
      <c r="H2894" s="27" t="n">
        <f aca="false">IF(G2894="","",G2894^2)</f>
        <v>4.89571768218318E-005</v>
      </c>
      <c r="I2894" s="25" t="n">
        <f aca="false">IF(G2894="","",C2894/C2893-1)</f>
        <v>0.007021476313124</v>
      </c>
      <c r="J2894" s="17" t="n">
        <f aca="false">AVERAGE(C2695:C2894)</f>
        <v>21254.5456</v>
      </c>
      <c r="K2894" s="17" t="n">
        <f aca="false">MAX(K2893,C2894)</f>
        <v>67510.06</v>
      </c>
      <c r="L2894" s="25" t="n">
        <f aca="false">C2894/K2894-1</f>
        <v>-0.746853283792075</v>
      </c>
      <c r="M2894" s="25" t="n">
        <f aca="false">IF(COUNT(G2865:G2894)&lt;20,"",_xlfn.STDEV.S(G2865:G2894)*SQRT($R$3))</f>
        <v>0.824541278822026</v>
      </c>
      <c r="N2894" s="25" t="n">
        <f aca="false">IF(A2894-7&lt;$R$2,"",C2894/INDEX(Clean_Data!$C$2:$C$4314,MATCH(A2894-7,Clean_Data!$A$2:$A$4314,1))-1)</f>
        <v>0.039431613532235</v>
      </c>
      <c r="O2894" s="25" t="n">
        <f aca="false">IF(A2894-30&lt;$R$2,"",C2894/INDEX(Clean_Data!$C$2:$C$4314,MATCH(A2894-30,Clean_Data!$A$2:$A$4314,1))-1)</f>
        <v>-0.182781553857674</v>
      </c>
    </row>
    <row r="2895" customFormat="false" ht="15" hidden="false" customHeight="false" outlineLevel="0" collapsed="false">
      <c r="A2895" s="16" t="n">
        <v>44902</v>
      </c>
      <c r="B2895" s="23" t="n">
        <f aca="false">YEAR(A2895)</f>
        <v>2022</v>
      </c>
      <c r="C2895" s="17" t="n">
        <v>16844.05</v>
      </c>
      <c r="D2895" s="23" t="n">
        <f aca="false">A2895-A2894</f>
        <v>1</v>
      </c>
      <c r="E2895" s="24" t="n">
        <f aca="false">LN(C2895)</f>
        <v>9.73175275769347</v>
      </c>
      <c r="F2895" s="25" t="n">
        <f aca="false">LN(C2895/C2894)</f>
        <v>-0.0144930927243544</v>
      </c>
      <c r="G2895" s="25" t="n">
        <f aca="false">IF(AND(D2895=1,A2895&gt;=$R$2),F2895,"")</f>
        <v>-0.0144930927243544</v>
      </c>
      <c r="H2895" s="27" t="n">
        <f aca="false">IF(G2895="","",G2895^2)</f>
        <v>0.000210049736716735</v>
      </c>
      <c r="I2895" s="25" t="n">
        <f aca="false">IF(G2895="","",C2895/C2894-1)</f>
        <v>-0.0143885734013266</v>
      </c>
      <c r="J2895" s="17" t="n">
        <f aca="false">AVERAGE(C2696:C2895)</f>
        <v>21191.63285</v>
      </c>
      <c r="K2895" s="17" t="n">
        <f aca="false">MAX(K2894,C2895)</f>
        <v>67510.06</v>
      </c>
      <c r="L2895" s="25" t="n">
        <f aca="false">C2895/K2895-1</f>
        <v>-0.750495703899537</v>
      </c>
      <c r="M2895" s="25" t="n">
        <f aca="false">IF(COUNT(G2866:G2895)&lt;20,"",_xlfn.STDEV.S(G2866:G2895)*SQRT($R$3))</f>
        <v>0.824333380960946</v>
      </c>
      <c r="N2895" s="25" t="n">
        <f aca="false">IF(A2895-7&lt;$R$2,"",C2895/INDEX(Clean_Data!$C$2:$C$4314,MATCH(A2895-7,Clean_Data!$A$2:$A$4314,1))-1)</f>
        <v>-0.0195421594455808</v>
      </c>
      <c r="O2895" s="25" t="n">
        <f aca="false">IF(A2895-30&lt;$R$2,"",C2895/INDEX(Clean_Data!$C$2:$C$4314,MATCH(A2895-30,Clean_Data!$A$2:$A$4314,1))-1)</f>
        <v>-0.181484121742942</v>
      </c>
    </row>
    <row r="2896" customFormat="false" ht="15" hidden="false" customHeight="false" outlineLevel="0" collapsed="false">
      <c r="A2896" s="16" t="n">
        <v>44903</v>
      </c>
      <c r="B2896" s="23" t="n">
        <f aca="false">YEAR(A2896)</f>
        <v>2022</v>
      </c>
      <c r="C2896" s="17" t="n">
        <v>17228.23</v>
      </c>
      <c r="D2896" s="23" t="n">
        <f aca="false">A2896-A2895</f>
        <v>1</v>
      </c>
      <c r="E2896" s="24" t="n">
        <f aca="false">LN(C2896)</f>
        <v>9.75430459644477</v>
      </c>
      <c r="F2896" s="25" t="n">
        <f aca="false">LN(C2896/C2895)</f>
        <v>0.0225518387512995</v>
      </c>
      <c r="G2896" s="25" t="n">
        <f aca="false">IF(AND(D2896=1,A2896&gt;=$R$2),F2896,"")</f>
        <v>0.0225518387512995</v>
      </c>
      <c r="H2896" s="27" t="n">
        <f aca="false">IF(G2896="","",G2896^2)</f>
        <v>0.000508585431064613</v>
      </c>
      <c r="I2896" s="25" t="n">
        <f aca="false">IF(G2896="","",C2896/C2895-1)</f>
        <v>0.0228080538825284</v>
      </c>
      <c r="J2896" s="17" t="n">
        <f aca="false">AVERAGE(C2697:C2896)</f>
        <v>21126.6684</v>
      </c>
      <c r="K2896" s="17" t="n">
        <f aca="false">MAX(K2895,C2896)</f>
        <v>67510.06</v>
      </c>
      <c r="L2896" s="25" t="n">
        <f aca="false">C2896/K2896-1</f>
        <v>-0.744804996470156</v>
      </c>
      <c r="M2896" s="25" t="n">
        <f aca="false">IF(COUNT(G2867:G2896)&lt;20,"",_xlfn.STDEV.S(G2867:G2896)*SQRT($R$3))</f>
        <v>0.752639135258382</v>
      </c>
      <c r="N2896" s="25" t="n">
        <f aca="false">IF(A2896-7&lt;$R$2,"",C2896/INDEX(Clean_Data!$C$2:$C$4314,MATCH(A2896-7,Clean_Data!$A$2:$A$4314,1))-1)</f>
        <v>0.0145860999790937</v>
      </c>
      <c r="O2896" s="25" t="n">
        <f aca="false">IF(A2896-30&lt;$R$2,"",C2896/INDEX(Clean_Data!$C$2:$C$4314,MATCH(A2896-30,Clean_Data!$A$2:$A$4314,1))-1)</f>
        <v>-0.071834863373847</v>
      </c>
    </row>
    <row r="2897" customFormat="false" ht="15" hidden="false" customHeight="false" outlineLevel="0" collapsed="false">
      <c r="A2897" s="16" t="n">
        <v>44904</v>
      </c>
      <c r="B2897" s="23" t="n">
        <f aca="false">YEAR(A2897)</f>
        <v>2022</v>
      </c>
      <c r="C2897" s="17" t="n">
        <v>17129.01</v>
      </c>
      <c r="D2897" s="23" t="n">
        <f aca="false">A2897-A2896</f>
        <v>1</v>
      </c>
      <c r="E2897" s="24" t="n">
        <f aca="false">LN(C2897)</f>
        <v>9.74852879630306</v>
      </c>
      <c r="F2897" s="25" t="n">
        <f aca="false">LN(C2897/C2896)</f>
        <v>-0.00577580014170815</v>
      </c>
      <c r="G2897" s="25" t="n">
        <f aca="false">IF(AND(D2897=1,A2897&gt;=$R$2),F2897,"")</f>
        <v>-0.00577580014170815</v>
      </c>
      <c r="H2897" s="27" t="n">
        <f aca="false">IF(G2897="","",G2897^2)</f>
        <v>3.33598672769558E-005</v>
      </c>
      <c r="I2897" s="25" t="n">
        <f aca="false">IF(G2897="","",C2897/C2896-1)</f>
        <v>-0.00575915227507418</v>
      </c>
      <c r="J2897" s="17" t="n">
        <f aca="false">AVERAGE(C2698:C2897)</f>
        <v>21066.83505</v>
      </c>
      <c r="K2897" s="17" t="n">
        <f aca="false">MAX(K2896,C2897)</f>
        <v>67510.06</v>
      </c>
      <c r="L2897" s="25" t="n">
        <f aca="false">C2897/K2897-1</f>
        <v>-0.746274703355322</v>
      </c>
      <c r="M2897" s="25" t="n">
        <f aca="false">IF(COUNT(G2868:G2897)&lt;20,"",_xlfn.STDEV.S(G2868:G2897)*SQRT($R$3))</f>
        <v>0.502934176380762</v>
      </c>
      <c r="N2897" s="25" t="n">
        <f aca="false">IF(A2897-7&lt;$R$2,"",C2897/INDEX(Clean_Data!$C$2:$C$4314,MATCH(A2897-7,Clean_Data!$A$2:$A$4314,1))-1)</f>
        <v>0.00173925553547005</v>
      </c>
      <c r="O2897" s="25" t="n">
        <f aca="false">IF(A2897-30&lt;$R$2,"",C2897/INDEX(Clean_Data!$C$2:$C$4314,MATCH(A2897-30,Clean_Data!$A$2:$A$4314,1))-1)</f>
        <v>0.0806523656487883</v>
      </c>
    </row>
    <row r="2898" customFormat="false" ht="15" hidden="false" customHeight="false" outlineLevel="0" collapsed="false">
      <c r="A2898" s="16" t="n">
        <v>44905</v>
      </c>
      <c r="B2898" s="23" t="n">
        <f aca="false">YEAR(A2898)</f>
        <v>2022</v>
      </c>
      <c r="C2898" s="17" t="n">
        <v>17131.03</v>
      </c>
      <c r="D2898" s="23" t="n">
        <f aca="false">A2898-A2897</f>
        <v>1</v>
      </c>
      <c r="E2898" s="24" t="n">
        <f aca="false">LN(C2898)</f>
        <v>9.74864671794018</v>
      </c>
      <c r="F2898" s="25" t="n">
        <f aca="false">LN(C2898/C2897)</f>
        <v>0.000117921637122475</v>
      </c>
      <c r="G2898" s="25" t="n">
        <f aca="false">IF(AND(D2898=1,A2898&gt;=$R$2),F2898,"")</f>
        <v>0.000117921637122475</v>
      </c>
      <c r="H2898" s="27" t="n">
        <f aca="false">IF(G2898="","",G2898^2)</f>
        <v>1.39055125016448E-008</v>
      </c>
      <c r="I2898" s="25" t="n">
        <f aca="false">IF(G2898="","",C2898/C2897-1)</f>
        <v>0.000117928590152028</v>
      </c>
      <c r="J2898" s="17" t="n">
        <f aca="false">AVERAGE(C2699:C2898)</f>
        <v>21004.4619</v>
      </c>
      <c r="K2898" s="17" t="n">
        <f aca="false">MAX(K2897,C2898)</f>
        <v>67510.06</v>
      </c>
      <c r="L2898" s="25" t="n">
        <f aca="false">C2898/K2898-1</f>
        <v>-0.746244781888803</v>
      </c>
      <c r="M2898" s="25" t="n">
        <f aca="false">IF(COUNT(G2869:G2898)&lt;20,"",_xlfn.STDEV.S(G2869:G2898)*SQRT($R$3))</f>
        <v>0.34819993430307</v>
      </c>
      <c r="N2898" s="25" t="n">
        <f aca="false">IF(A2898-7&lt;$R$2,"",C2898/INDEX(Clean_Data!$C$2:$C$4314,MATCH(A2898-7,Clean_Data!$A$2:$A$4314,1))-1)</f>
        <v>0.0146502421273087</v>
      </c>
      <c r="O2898" s="25" t="n">
        <f aca="false">IF(A2898-30&lt;$R$2,"",C2898/INDEX(Clean_Data!$C$2:$C$4314,MATCH(A2898-30,Clean_Data!$A$2:$A$4314,1))-1)</f>
        <v>-0.0251588360652474</v>
      </c>
    </row>
    <row r="2899" customFormat="false" ht="15" hidden="false" customHeight="false" outlineLevel="0" collapsed="false">
      <c r="A2899" s="16" t="n">
        <v>44906</v>
      </c>
      <c r="B2899" s="23" t="n">
        <f aca="false">YEAR(A2899)</f>
        <v>2022</v>
      </c>
      <c r="C2899" s="17" t="n">
        <v>17087.42</v>
      </c>
      <c r="D2899" s="23" t="n">
        <f aca="false">A2899-A2898</f>
        <v>1</v>
      </c>
      <c r="E2899" s="24" t="n">
        <f aca="false">LN(C2899)</f>
        <v>9.74609779923632</v>
      </c>
      <c r="F2899" s="25" t="n">
        <f aca="false">LN(C2899/C2898)</f>
        <v>-0.00254891870386467</v>
      </c>
      <c r="G2899" s="25" t="n">
        <f aca="false">IF(AND(D2899=1,A2899&gt;=$R$2),F2899,"")</f>
        <v>-0.00254891870386467</v>
      </c>
      <c r="H2899" s="27" t="n">
        <f aca="false">IF(G2899="","",G2899^2)</f>
        <v>6.49698655891117E-006</v>
      </c>
      <c r="I2899" s="25" t="n">
        <f aca="false">IF(G2899="","",C2899/C2898-1)</f>
        <v>-0.00254567296887576</v>
      </c>
      <c r="J2899" s="17" t="n">
        <f aca="false">AVERAGE(C2700:C2899)</f>
        <v>20942.45985</v>
      </c>
      <c r="K2899" s="17" t="n">
        <f aca="false">MAX(K2898,C2899)</f>
        <v>67510.06</v>
      </c>
      <c r="L2899" s="25" t="n">
        <f aca="false">C2899/K2899-1</f>
        <v>-0.74689075968826</v>
      </c>
      <c r="M2899" s="25" t="n">
        <f aca="false">IF(COUNT(G2870:G2899)&lt;20,"",_xlfn.STDEV.S(G2870:G2899)*SQRT($R$3))</f>
        <v>0.328033784907862</v>
      </c>
      <c r="N2899" s="25" t="n">
        <f aca="false">IF(A2899-7&lt;$R$2,"",C2899/INDEX(Clean_Data!$C$2:$C$4314,MATCH(A2899-7,Clean_Data!$A$2:$A$4314,1))-1)</f>
        <v>-0.00087297944434539</v>
      </c>
      <c r="O2899" s="25" t="n">
        <f aca="false">IF(A2899-30&lt;$R$2,"",C2899/INDEX(Clean_Data!$C$2:$C$4314,MATCH(A2899-30,Clean_Data!$A$2:$A$4314,1))-1)</f>
        <v>0.00531148181399921</v>
      </c>
    </row>
    <row r="2900" customFormat="false" ht="15" hidden="false" customHeight="false" outlineLevel="0" collapsed="false">
      <c r="A2900" s="16" t="n">
        <v>44907</v>
      </c>
      <c r="B2900" s="23" t="n">
        <f aca="false">YEAR(A2900)</f>
        <v>2022</v>
      </c>
      <c r="C2900" s="17" t="n">
        <v>17209.62</v>
      </c>
      <c r="D2900" s="23" t="n">
        <f aca="false">A2900-A2899</f>
        <v>1</v>
      </c>
      <c r="E2900" s="24" t="n">
        <f aca="false">LN(C2900)</f>
        <v>9.75322380877588</v>
      </c>
      <c r="F2900" s="25" t="n">
        <f aca="false">LN(C2900/C2899)</f>
        <v>0.00712600953956104</v>
      </c>
      <c r="G2900" s="25" t="n">
        <f aca="false">IF(AND(D2900=1,A2900&gt;=$R$2),F2900,"")</f>
        <v>0.00712600953956104</v>
      </c>
      <c r="H2900" s="27" t="n">
        <f aca="false">IF(G2900="","",G2900^2)</f>
        <v>5.07800119579149E-005</v>
      </c>
      <c r="I2900" s="25" t="n">
        <f aca="false">IF(G2900="","",C2900/C2899-1)</f>
        <v>0.00715145996294364</v>
      </c>
      <c r="J2900" s="17" t="n">
        <f aca="false">AVERAGE(C2701:C2900)</f>
        <v>20882.70315</v>
      </c>
      <c r="K2900" s="17" t="n">
        <f aca="false">MAX(K2899,C2900)</f>
        <v>67510.06</v>
      </c>
      <c r="L2900" s="25" t="n">
        <f aca="false">C2900/K2900-1</f>
        <v>-0.745080659089919</v>
      </c>
      <c r="M2900" s="25" t="n">
        <f aca="false">IF(COUNT(G2871:G2900)&lt;20,"",_xlfn.STDEV.S(G2871:G2900)*SQRT($R$3))</f>
        <v>0.325363451945626</v>
      </c>
      <c r="N2900" s="25" t="n">
        <f aca="false">IF(A2900-7&lt;$R$2,"",C2900/INDEX(Clean_Data!$C$2:$C$4314,MATCH(A2900-7,Clean_Data!$A$2:$A$4314,1))-1)</f>
        <v>0.014073004262029</v>
      </c>
      <c r="O2900" s="25" t="n">
        <f aca="false">IF(A2900-30&lt;$R$2,"",C2900/INDEX(Clean_Data!$C$2:$C$4314,MATCH(A2900-30,Clean_Data!$A$2:$A$4314,1))-1)</f>
        <v>0.0257418613841085</v>
      </c>
    </row>
    <row r="2901" customFormat="false" ht="15" hidden="false" customHeight="false" outlineLevel="0" collapsed="false">
      <c r="A2901" s="16" t="n">
        <v>44908</v>
      </c>
      <c r="B2901" s="23" t="n">
        <f aca="false">YEAR(A2901)</f>
        <v>2022</v>
      </c>
      <c r="C2901" s="17" t="n">
        <v>17763.65</v>
      </c>
      <c r="D2901" s="23" t="n">
        <f aca="false">A2901-A2900</f>
        <v>1</v>
      </c>
      <c r="E2901" s="24" t="n">
        <f aca="false">LN(C2901)</f>
        <v>9.78490951344825</v>
      </c>
      <c r="F2901" s="25" t="n">
        <f aca="false">LN(C2901/C2900)</f>
        <v>0.0316857046723687</v>
      </c>
      <c r="G2901" s="25" t="n">
        <f aca="false">IF(AND(D2901=1,A2901&gt;=$R$2),F2901,"")</f>
        <v>0.0316857046723687</v>
      </c>
      <c r="H2901" s="27" t="n">
        <f aca="false">IF(G2901="","",G2901^2)</f>
        <v>0.00100398388058457</v>
      </c>
      <c r="I2901" s="25" t="n">
        <f aca="false">IF(G2901="","",C2901/C2900-1)</f>
        <v>0.0321930408690025</v>
      </c>
      <c r="J2901" s="17" t="n">
        <f aca="false">AVERAGE(C2702:C2901)</f>
        <v>20828.47865</v>
      </c>
      <c r="K2901" s="17" t="n">
        <f aca="false">MAX(K2900,C2901)</f>
        <v>67510.06</v>
      </c>
      <c r="L2901" s="25" t="n">
        <f aca="false">C2901/K2901-1</f>
        <v>-0.736874030329702</v>
      </c>
      <c r="M2901" s="25" t="n">
        <f aca="false">IF(COUNT(G2872:G2901)&lt;20,"",_xlfn.STDEV.S(G2872:G2901)*SQRT($R$3))</f>
        <v>0.323572706688978</v>
      </c>
      <c r="N2901" s="25" t="n">
        <f aca="false">IF(A2901-7&lt;$R$2,"",C2901/INDEX(Clean_Data!$C$2:$C$4314,MATCH(A2901-7,Clean_Data!$A$2:$A$4314,1))-1)</f>
        <v>0.0394208292007876</v>
      </c>
      <c r="O2901" s="25" t="n">
        <f aca="false">IF(A2901-30&lt;$R$2,"",C2901/INDEX(Clean_Data!$C$2:$C$4314,MATCH(A2901-30,Clean_Data!$A$2:$A$4314,1))-1)</f>
        <v>0.0904219728899207</v>
      </c>
    </row>
    <row r="2902" customFormat="false" ht="15" hidden="false" customHeight="false" outlineLevel="0" collapsed="false">
      <c r="A2902" s="16" t="n">
        <v>44909</v>
      </c>
      <c r="B2902" s="23" t="n">
        <f aca="false">YEAR(A2902)</f>
        <v>2022</v>
      </c>
      <c r="C2902" s="17" t="n">
        <v>17815.79</v>
      </c>
      <c r="D2902" s="23" t="n">
        <f aca="false">A2902-A2901</f>
        <v>1</v>
      </c>
      <c r="E2902" s="24" t="n">
        <f aca="false">LN(C2902)</f>
        <v>9.78784042171012</v>
      </c>
      <c r="F2902" s="25" t="n">
        <f aca="false">LN(C2902/C2901)</f>
        <v>0.00293090826187904</v>
      </c>
      <c r="G2902" s="25" t="n">
        <f aca="false">IF(AND(D2902=1,A2902&gt;=$R$2),F2902,"")</f>
        <v>0.00293090826187904</v>
      </c>
      <c r="H2902" s="27" t="n">
        <f aca="false">IF(G2902="","",G2902^2)</f>
        <v>8.59022323955083E-006</v>
      </c>
      <c r="I2902" s="25" t="n">
        <f aca="false">IF(G2902="","",C2902/C2901-1)</f>
        <v>0.002935207572768</v>
      </c>
      <c r="J2902" s="17" t="n">
        <f aca="false">AVERAGE(C2703:C2902)</f>
        <v>20772.6861</v>
      </c>
      <c r="K2902" s="17" t="n">
        <f aca="false">MAX(K2901,C2902)</f>
        <v>67510.06</v>
      </c>
      <c r="L2902" s="25" t="n">
        <f aca="false">C2902/K2902-1</f>
        <v>-0.736101700990934</v>
      </c>
      <c r="M2902" s="25" t="n">
        <f aca="false">IF(COUNT(G2873:G2902)&lt;20,"",_xlfn.STDEV.S(G2873:G2902)*SQRT($R$3))</f>
        <v>0.319314065503696</v>
      </c>
      <c r="N2902" s="25" t="n">
        <f aca="false">IF(A2902-7&lt;$R$2,"",C2902/INDEX(Clean_Data!$C$2:$C$4314,MATCH(A2902-7,Clean_Data!$A$2:$A$4314,1))-1)</f>
        <v>0.0576904010615025</v>
      </c>
      <c r="O2902" s="25" t="n">
        <f aca="false">IF(A2902-30&lt;$R$2,"",C2902/INDEX(Clean_Data!$C$2:$C$4314,MATCH(A2902-30,Clean_Data!$A$2:$A$4314,1))-1)</f>
        <v>0.074762510036805</v>
      </c>
    </row>
    <row r="2903" customFormat="false" ht="15" hidden="false" customHeight="false" outlineLevel="0" collapsed="false">
      <c r="A2903" s="16" t="n">
        <v>44910</v>
      </c>
      <c r="B2903" s="23" t="n">
        <f aca="false">YEAR(A2903)</f>
        <v>2022</v>
      </c>
      <c r="C2903" s="17" t="n">
        <v>17358</v>
      </c>
      <c r="D2903" s="23" t="n">
        <f aca="false">A2903-A2902</f>
        <v>1</v>
      </c>
      <c r="E2903" s="24" t="n">
        <f aca="false">LN(C2903)</f>
        <v>9.76180877420419</v>
      </c>
      <c r="F2903" s="25" t="n">
        <f aca="false">LN(C2903/C2902)</f>
        <v>-0.0260316475059333</v>
      </c>
      <c r="G2903" s="25" t="n">
        <f aca="false">IF(AND(D2903=1,A2903&gt;=$R$2),F2903,"")</f>
        <v>-0.0260316475059333</v>
      </c>
      <c r="H2903" s="27" t="n">
        <f aca="false">IF(G2903="","",G2903^2)</f>
        <v>0.000677646671873162</v>
      </c>
      <c r="I2903" s="25" t="n">
        <f aca="false">IF(G2903="","",C2903/C2902-1)</f>
        <v>-0.0256957451788554</v>
      </c>
      <c r="J2903" s="17" t="n">
        <f aca="false">AVERAGE(C2704:C2903)</f>
        <v>20712.27025</v>
      </c>
      <c r="K2903" s="17" t="n">
        <f aca="false">MAX(K2902,C2903)</f>
        <v>67510.06</v>
      </c>
      <c r="L2903" s="25" t="n">
        <f aca="false">C2903/K2903-1</f>
        <v>-0.742882764435404</v>
      </c>
      <c r="M2903" s="25" t="n">
        <f aca="false">IF(COUNT(G2874:G2903)&lt;20,"",_xlfn.STDEV.S(G2874:G2903)*SQRT($R$3))</f>
        <v>0.329354318396032</v>
      </c>
      <c r="N2903" s="25" t="n">
        <f aca="false">IF(A2903-7&lt;$R$2,"",C2903/INDEX(Clean_Data!$C$2:$C$4314,MATCH(A2903-7,Clean_Data!$A$2:$A$4314,1))-1)</f>
        <v>0.00753240466374083</v>
      </c>
      <c r="O2903" s="25" t="n">
        <f aca="false">IF(A2903-30&lt;$R$2,"",C2903/INDEX(Clean_Data!$C$2:$C$4314,MATCH(A2903-30,Clean_Data!$A$2:$A$4314,1))-1)</f>
        <v>0.028979544896776</v>
      </c>
    </row>
    <row r="2904" customFormat="false" ht="15" hidden="false" customHeight="false" outlineLevel="0" collapsed="false">
      <c r="A2904" s="16" t="n">
        <v>44911</v>
      </c>
      <c r="B2904" s="23" t="n">
        <f aca="false">YEAR(A2904)</f>
        <v>2022</v>
      </c>
      <c r="C2904" s="17" t="n">
        <v>16627.33</v>
      </c>
      <c r="D2904" s="23" t="n">
        <f aca="false">A2904-A2903</f>
        <v>1</v>
      </c>
      <c r="E2904" s="24" t="n">
        <f aca="false">LN(C2904)</f>
        <v>9.71880300607985</v>
      </c>
      <c r="F2904" s="25" t="n">
        <f aca="false">LN(C2904/C2903)</f>
        <v>-0.0430057681243417</v>
      </c>
      <c r="G2904" s="25" t="n">
        <f aca="false">IF(AND(D2904=1,A2904&gt;=$R$2),F2904,"")</f>
        <v>-0.0430057681243417</v>
      </c>
      <c r="H2904" s="27" t="n">
        <f aca="false">IF(G2904="","",G2904^2)</f>
        <v>0.00184949609196465</v>
      </c>
      <c r="I2904" s="25" t="n">
        <f aca="false">IF(G2904="","",C2904/C2903-1)</f>
        <v>-0.0420941352690402</v>
      </c>
      <c r="J2904" s="17" t="n">
        <f aca="false">AVERAGE(C2705:C2904)</f>
        <v>20636.9492</v>
      </c>
      <c r="K2904" s="17" t="n">
        <f aca="false">MAX(K2903,C2904)</f>
        <v>67510.06</v>
      </c>
      <c r="L2904" s="25" t="n">
        <f aca="false">C2904/K2904-1</f>
        <v>-0.753705892129262</v>
      </c>
      <c r="M2904" s="25" t="n">
        <f aca="false">IF(COUNT(G2875:G2904)&lt;20,"",_xlfn.STDEV.S(G2875:G2904)*SQRT($R$3))</f>
        <v>0.360753857273055</v>
      </c>
      <c r="N2904" s="25" t="n">
        <f aca="false">IF(A2904-7&lt;$R$2,"",C2904/INDEX(Clean_Data!$C$2:$C$4314,MATCH(A2904-7,Clean_Data!$A$2:$A$4314,1))-1)</f>
        <v>-0.0292883243106283</v>
      </c>
      <c r="O2904" s="25" t="n">
        <f aca="false">IF(A2904-30&lt;$R$2,"",C2904/INDEX(Clean_Data!$C$2:$C$4314,MATCH(A2904-30,Clean_Data!$A$2:$A$4314,1))-1)</f>
        <v>-0.00198973859096485</v>
      </c>
    </row>
    <row r="2905" customFormat="false" ht="15" hidden="false" customHeight="false" outlineLevel="0" collapsed="false">
      <c r="A2905" s="16" t="n">
        <v>44912</v>
      </c>
      <c r="B2905" s="23" t="n">
        <f aca="false">YEAR(A2905)</f>
        <v>2022</v>
      </c>
      <c r="C2905" s="17" t="n">
        <v>16785.87</v>
      </c>
      <c r="D2905" s="23" t="n">
        <f aca="false">A2905-A2904</f>
        <v>1</v>
      </c>
      <c r="E2905" s="24" t="n">
        <f aca="false">LN(C2905)</f>
        <v>9.72829274006375</v>
      </c>
      <c r="F2905" s="25" t="n">
        <f aca="false">LN(C2905/C2904)</f>
        <v>0.00948973398390614</v>
      </c>
      <c r="G2905" s="25" t="n">
        <f aca="false">IF(AND(D2905=1,A2905&gt;=$R$2),F2905,"")</f>
        <v>0.00948973398390614</v>
      </c>
      <c r="H2905" s="27" t="n">
        <f aca="false">IF(G2905="","",G2905^2)</f>
        <v>9.00550510853032E-005</v>
      </c>
      <c r="I2905" s="25" t="n">
        <f aca="false">IF(G2905="","",C2905/C2904-1)</f>
        <v>0.00953490428108395</v>
      </c>
      <c r="J2905" s="17" t="n">
        <f aca="false">AVERAGE(C2706:C2905)</f>
        <v>20561.8572</v>
      </c>
      <c r="K2905" s="17" t="n">
        <f aca="false">MAX(K2904,C2905)</f>
        <v>67510.06</v>
      </c>
      <c r="L2905" s="25" t="n">
        <f aca="false">C2905/K2905-1</f>
        <v>-0.751357501385719</v>
      </c>
      <c r="M2905" s="25" t="n">
        <f aca="false">IF(COUNT(G2876:G2905)&lt;20,"",_xlfn.STDEV.S(G2876:G2905)*SQRT($R$3))</f>
        <v>0.362281532218679</v>
      </c>
      <c r="N2905" s="25" t="n">
        <f aca="false">IF(A2905-7&lt;$R$2,"",C2905/INDEX(Clean_Data!$C$2:$C$4314,MATCH(A2905-7,Clean_Data!$A$2:$A$4314,1))-1)</f>
        <v>-0.0201482339357295</v>
      </c>
      <c r="O2905" s="25" t="n">
        <f aca="false">IF(A2905-30&lt;$R$2,"",C2905/INDEX(Clean_Data!$C$2:$C$4314,MATCH(A2905-30,Clean_Data!$A$2:$A$4314,1))-1)</f>
        <v>0.00650642547741365</v>
      </c>
    </row>
    <row r="2906" customFormat="false" ht="15" hidden="false" customHeight="false" outlineLevel="0" collapsed="false">
      <c r="A2906" s="16" t="n">
        <v>44913</v>
      </c>
      <c r="B2906" s="23" t="n">
        <f aca="false">YEAR(A2906)</f>
        <v>2022</v>
      </c>
      <c r="C2906" s="17" t="n">
        <v>16754.6</v>
      </c>
      <c r="D2906" s="23" t="n">
        <f aca="false">A2906-A2905</f>
        <v>1</v>
      </c>
      <c r="E2906" s="24" t="n">
        <f aca="false">LN(C2906)</f>
        <v>9.72642812641583</v>
      </c>
      <c r="F2906" s="25" t="n">
        <f aca="false">LN(C2906/C2905)</f>
        <v>-0.00186461364792556</v>
      </c>
      <c r="G2906" s="25" t="n">
        <f aca="false">IF(AND(D2906=1,A2906&gt;=$R$2),F2906,"")</f>
        <v>-0.00186461364792556</v>
      </c>
      <c r="H2906" s="27" t="n">
        <f aca="false">IF(G2906="","",G2906^2)</f>
        <v>3.47678405603027E-006</v>
      </c>
      <c r="I2906" s="25" t="n">
        <f aca="false">IF(G2906="","",C2906/C2905-1)</f>
        <v>-0.00186287633587057</v>
      </c>
      <c r="J2906" s="17" t="n">
        <f aca="false">AVERAGE(C2707:C2906)</f>
        <v>20496.7344</v>
      </c>
      <c r="K2906" s="17" t="n">
        <f aca="false">MAX(K2905,C2906)</f>
        <v>67510.06</v>
      </c>
      <c r="L2906" s="25" t="n">
        <f aca="false">C2906/K2906-1</f>
        <v>-0.75182069161248</v>
      </c>
      <c r="M2906" s="25" t="n">
        <f aca="false">IF(COUNT(G2877:G2906)&lt;20,"",_xlfn.STDEV.S(G2877:G2906)*SQRT($R$3))</f>
        <v>0.362351345938009</v>
      </c>
      <c r="N2906" s="25" t="n">
        <f aca="false">IF(A2906-7&lt;$R$2,"",C2906/INDEX(Clean_Data!$C$2:$C$4314,MATCH(A2906-7,Clean_Data!$A$2:$A$4314,1))-1)</f>
        <v>-0.0194774869465373</v>
      </c>
      <c r="O2906" s="25" t="n">
        <f aca="false">IF(A2906-30&lt;$R$2,"",C2906/INDEX(Clean_Data!$C$2:$C$4314,MATCH(A2906-30,Clean_Data!$A$2:$A$4314,1))-1)</f>
        <v>0.00488992129223953</v>
      </c>
    </row>
    <row r="2907" customFormat="false" ht="15" hidden="false" customHeight="false" outlineLevel="0" collapsed="false">
      <c r="A2907" s="16" t="n">
        <v>44914</v>
      </c>
      <c r="B2907" s="23" t="n">
        <f aca="false">YEAR(A2907)</f>
        <v>2022</v>
      </c>
      <c r="C2907" s="17" t="n">
        <v>16453.07</v>
      </c>
      <c r="D2907" s="23" t="n">
        <f aca="false">A2907-A2906</f>
        <v>1</v>
      </c>
      <c r="E2907" s="24" t="n">
        <f aca="false">LN(C2907)</f>
        <v>9.70826736492084</v>
      </c>
      <c r="F2907" s="25" t="n">
        <f aca="false">LN(C2907/C2906)</f>
        <v>-0.0181607614949851</v>
      </c>
      <c r="G2907" s="25" t="n">
        <f aca="false">IF(AND(D2907=1,A2907&gt;=$R$2),F2907,"")</f>
        <v>-0.0181607614949851</v>
      </c>
      <c r="H2907" s="27" t="n">
        <f aca="false">IF(G2907="","",G2907^2)</f>
        <v>0.000329813258077735</v>
      </c>
      <c r="I2907" s="25" t="n">
        <f aca="false">IF(G2907="","",C2907/C2906-1)</f>
        <v>-0.0179968486266457</v>
      </c>
      <c r="J2907" s="17" t="n">
        <f aca="false">AVERAGE(C2708:C2907)</f>
        <v>20426.85485</v>
      </c>
      <c r="K2907" s="17" t="n">
        <f aca="false">MAX(K2906,C2907)</f>
        <v>67510.06</v>
      </c>
      <c r="L2907" s="25" t="n">
        <f aca="false">C2907/K2907-1</f>
        <v>-0.756287137057796</v>
      </c>
      <c r="M2907" s="25" t="n">
        <f aca="false">IF(COUNT(G2878:G2907)&lt;20,"",_xlfn.STDEV.S(G2878:G2907)*SQRT($R$3))</f>
        <v>0.36795080174912</v>
      </c>
      <c r="N2907" s="25" t="n">
        <f aca="false">IF(A2907-7&lt;$R$2,"",C2907/INDEX(Clean_Data!$C$2:$C$4314,MATCH(A2907-7,Clean_Data!$A$2:$A$4314,1))-1)</f>
        <v>-0.0439608776951496</v>
      </c>
      <c r="O2907" s="25" t="n">
        <f aca="false">IF(A2907-30&lt;$R$2,"",C2907/INDEX(Clean_Data!$C$2:$C$4314,MATCH(A2907-30,Clean_Data!$A$2:$A$4314,1))-1)</f>
        <v>-0.0128793705685355</v>
      </c>
    </row>
    <row r="2908" customFormat="false" ht="15" hidden="false" customHeight="false" outlineLevel="0" collapsed="false">
      <c r="A2908" s="16" t="n">
        <v>44915</v>
      </c>
      <c r="B2908" s="23" t="n">
        <f aca="false">YEAR(A2908)</f>
        <v>2022</v>
      </c>
      <c r="C2908" s="17" t="n">
        <v>16893.02</v>
      </c>
      <c r="D2908" s="23" t="n">
        <f aca="false">A2908-A2907</f>
        <v>1</v>
      </c>
      <c r="E2908" s="24" t="n">
        <f aca="false">LN(C2908)</f>
        <v>9.73465579784436</v>
      </c>
      <c r="F2908" s="25" t="n">
        <f aca="false">LN(C2908/C2907)</f>
        <v>0.0263884329235181</v>
      </c>
      <c r="G2908" s="25" t="n">
        <f aca="false">IF(AND(D2908=1,A2908&gt;=$R$2),F2908,"")</f>
        <v>0.0263884329235181</v>
      </c>
      <c r="H2908" s="27" t="n">
        <f aca="false">IF(G2908="","",G2908^2)</f>
        <v>0.000696349392159013</v>
      </c>
      <c r="I2908" s="25" t="n">
        <f aca="false">IF(G2908="","",C2908/C2907-1)</f>
        <v>0.026739690525841</v>
      </c>
      <c r="J2908" s="17" t="n">
        <f aca="false">AVERAGE(C2709:C2908)</f>
        <v>20362.8966</v>
      </c>
      <c r="K2908" s="17" t="n">
        <f aca="false">MAX(K2907,C2908)</f>
        <v>67510.06</v>
      </c>
      <c r="L2908" s="25" t="n">
        <f aca="false">C2908/K2908-1</f>
        <v>-0.749770330525554</v>
      </c>
      <c r="M2908" s="25" t="n">
        <f aca="false">IF(COUNT(G2879:G2908)&lt;20,"",_xlfn.STDEV.S(G2879:G2908)*SQRT($R$3))</f>
        <v>0.368699593101915</v>
      </c>
      <c r="N2908" s="25" t="n">
        <f aca="false">IF(A2908-7&lt;$R$2,"",C2908/INDEX(Clean_Data!$C$2:$C$4314,MATCH(A2908-7,Clean_Data!$A$2:$A$4314,1))-1)</f>
        <v>-0.0490118866336592</v>
      </c>
      <c r="O2908" s="25" t="n">
        <f aca="false">IF(A2908-30&lt;$R$2,"",C2908/INDEX(Clean_Data!$C$2:$C$4314,MATCH(A2908-30,Clean_Data!$A$2:$A$4314,1))-1)</f>
        <v>0.0388531733781352</v>
      </c>
    </row>
    <row r="2909" customFormat="false" ht="15" hidden="false" customHeight="false" outlineLevel="0" collapsed="false">
      <c r="A2909" s="16" t="n">
        <v>44916</v>
      </c>
      <c r="B2909" s="23" t="n">
        <f aca="false">YEAR(A2909)</f>
        <v>2022</v>
      </c>
      <c r="C2909" s="17" t="n">
        <v>16821.03</v>
      </c>
      <c r="D2909" s="23" t="n">
        <f aca="false">A2909-A2908</f>
        <v>1</v>
      </c>
      <c r="E2909" s="24" t="n">
        <f aca="false">LN(C2909)</f>
        <v>9.73038516827512</v>
      </c>
      <c r="F2909" s="25" t="n">
        <f aca="false">LN(C2909/C2908)</f>
        <v>-0.00427062956924079</v>
      </c>
      <c r="G2909" s="25" t="n">
        <f aca="false">IF(AND(D2909=1,A2909&gt;=$R$2),F2909,"")</f>
        <v>-0.00427062956924079</v>
      </c>
      <c r="H2909" s="27" t="n">
        <f aca="false">IF(G2909="","",G2909^2)</f>
        <v>1.82382769176738E-005</v>
      </c>
      <c r="I2909" s="25" t="n">
        <f aca="false">IF(G2909="","",C2909/C2908-1)</f>
        <v>-0.00426152339842145</v>
      </c>
      <c r="J2909" s="17" t="n">
        <f aca="false">AVERAGE(C2710:C2909)</f>
        <v>20297.84165</v>
      </c>
      <c r="K2909" s="17" t="n">
        <f aca="false">MAX(K2908,C2909)</f>
        <v>67510.06</v>
      </c>
      <c r="L2909" s="25" t="n">
        <f aca="false">C2909/K2909-1</f>
        <v>-0.750836690116999</v>
      </c>
      <c r="M2909" s="25" t="n">
        <f aca="false">IF(COUNT(G2880:G2909)&lt;20,"",_xlfn.STDEV.S(G2880:G2909)*SQRT($R$3))</f>
        <v>0.349903309414384</v>
      </c>
      <c r="N2909" s="25" t="n">
        <f aca="false">IF(A2909-7&lt;$R$2,"",C2909/INDEX(Clean_Data!$C$2:$C$4314,MATCH(A2909-7,Clean_Data!$A$2:$A$4314,1))-1)</f>
        <v>-0.0558358624568431</v>
      </c>
      <c r="O2909" s="25" t="n">
        <f aca="false">IF(A2909-30&lt;$R$2,"",C2909/INDEX(Clean_Data!$C$2:$C$4314,MATCH(A2909-30,Clean_Data!$A$2:$A$4314,1))-1)</f>
        <v>0.0676121415990987</v>
      </c>
    </row>
    <row r="2910" customFormat="false" ht="15" hidden="false" customHeight="false" outlineLevel="0" collapsed="false">
      <c r="A2910" s="16" t="n">
        <v>44917</v>
      </c>
      <c r="B2910" s="23" t="n">
        <f aca="false">YEAR(A2910)</f>
        <v>2022</v>
      </c>
      <c r="C2910" s="17" t="n">
        <v>16819.21</v>
      </c>
      <c r="D2910" s="23" t="n">
        <f aca="false">A2910-A2909</f>
        <v>1</v>
      </c>
      <c r="E2910" s="24" t="n">
        <f aca="false">LN(C2910)</f>
        <v>9.73027696452855</v>
      </c>
      <c r="F2910" s="25" t="n">
        <f aca="false">LN(C2910/C2909)</f>
        <v>-0.000108203746571094</v>
      </c>
      <c r="G2910" s="25" t="n">
        <f aca="false">IF(AND(D2910=1,A2910&gt;=$R$2),F2910,"")</f>
        <v>-0.000108203746571094</v>
      </c>
      <c r="H2910" s="27" t="n">
        <f aca="false">IF(G2910="","",G2910^2)</f>
        <v>1.17080507720216E-008</v>
      </c>
      <c r="I2910" s="25" t="n">
        <f aca="false">IF(G2910="","",C2910/C2909-1)</f>
        <v>-0.000108197892756845</v>
      </c>
      <c r="J2910" s="17" t="n">
        <f aca="false">AVERAGE(C2711:C2910)</f>
        <v>20232.4678</v>
      </c>
      <c r="K2910" s="17" t="n">
        <f aca="false">MAX(K2909,C2910)</f>
        <v>67510.06</v>
      </c>
      <c r="L2910" s="25" t="n">
        <f aca="false">C2910/K2910-1</f>
        <v>-0.750863649062081</v>
      </c>
      <c r="M2910" s="25" t="n">
        <f aca="false">IF(COUNT(G2881:G2910)&lt;20,"",_xlfn.STDEV.S(G2881:G2910)*SQRT($R$3))</f>
        <v>0.33711127490304</v>
      </c>
      <c r="N2910" s="25" t="n">
        <f aca="false">IF(A2910-7&lt;$R$2,"",C2910/INDEX(Clean_Data!$C$2:$C$4314,MATCH(A2910-7,Clean_Data!$A$2:$A$4314,1))-1)</f>
        <v>-0.0310398663440489</v>
      </c>
      <c r="O2910" s="25" t="n">
        <f aca="false">IF(A2910-30&lt;$R$2,"",C2910/INDEX(Clean_Data!$C$2:$C$4314,MATCH(A2910-30,Clean_Data!$A$2:$A$4314,1))-1)</f>
        <v>0.0378179623751722</v>
      </c>
    </row>
    <row r="2911" customFormat="false" ht="15" hidden="false" customHeight="false" outlineLevel="0" collapsed="false">
      <c r="A2911" s="16" t="n">
        <v>44918</v>
      </c>
      <c r="B2911" s="23" t="n">
        <f aca="false">YEAR(A2911)</f>
        <v>2022</v>
      </c>
      <c r="C2911" s="17" t="n">
        <v>16776.77</v>
      </c>
      <c r="D2911" s="23" t="n">
        <f aca="false">A2911-A2910</f>
        <v>1</v>
      </c>
      <c r="E2911" s="24" t="n">
        <f aca="false">LN(C2911)</f>
        <v>9.72775047043163</v>
      </c>
      <c r="F2911" s="25" t="n">
        <f aca="false">LN(C2911/C2910)</f>
        <v>-0.00252649409692167</v>
      </c>
      <c r="G2911" s="25" t="n">
        <f aca="false">IF(AND(D2911=1,A2911&gt;=$R$2),F2911,"")</f>
        <v>-0.00252649409692167</v>
      </c>
      <c r="H2911" s="27" t="n">
        <f aca="false">IF(G2911="","",G2911^2)</f>
        <v>6.38317242178005E-006</v>
      </c>
      <c r="I2911" s="25" t="n">
        <f aca="false">IF(G2911="","",C2911/C2910-1)</f>
        <v>-0.00252330519685517</v>
      </c>
      <c r="J2911" s="17" t="n">
        <f aca="false">AVERAGE(C2712:C2911)</f>
        <v>20159.72725</v>
      </c>
      <c r="K2911" s="17" t="n">
        <f aca="false">MAX(K2910,C2911)</f>
        <v>67510.06</v>
      </c>
      <c r="L2911" s="25" t="n">
        <f aca="false">C2911/K2911-1</f>
        <v>-0.751492296111128</v>
      </c>
      <c r="M2911" s="25" t="n">
        <f aca="false">IF(COUNT(G2882:G2911)&lt;20,"",_xlfn.STDEV.S(G2882:G2911)*SQRT($R$3))</f>
        <v>0.327254728052257</v>
      </c>
      <c r="N2911" s="25" t="n">
        <f aca="false">IF(A2911-7&lt;$R$2,"",C2911/INDEX(Clean_Data!$C$2:$C$4314,MATCH(A2911-7,Clean_Data!$A$2:$A$4314,1))-1)</f>
        <v>0.0089876125631716</v>
      </c>
      <c r="O2911" s="25" t="n">
        <f aca="false">IF(A2911-30&lt;$R$2,"",C2911/INDEX(Clean_Data!$C$2:$C$4314,MATCH(A2911-30,Clean_Data!$A$2:$A$4314,1))-1)</f>
        <v>0.0108034602885021</v>
      </c>
    </row>
    <row r="2912" customFormat="false" ht="15" hidden="false" customHeight="false" outlineLevel="0" collapsed="false">
      <c r="A2912" s="16" t="n">
        <v>44919</v>
      </c>
      <c r="B2912" s="23" t="n">
        <f aca="false">YEAR(A2912)</f>
        <v>2022</v>
      </c>
      <c r="C2912" s="17" t="n">
        <v>16833.61</v>
      </c>
      <c r="D2912" s="23" t="n">
        <f aca="false">A2912-A2911</f>
        <v>1</v>
      </c>
      <c r="E2912" s="24" t="n">
        <f aca="false">LN(C2912)</f>
        <v>9.73113276210384</v>
      </c>
      <c r="F2912" s="25" t="n">
        <f aca="false">LN(C2912/C2911)</f>
        <v>0.00338229167221368</v>
      </c>
      <c r="G2912" s="25" t="n">
        <f aca="false">IF(AND(D2912=1,A2912&gt;=$R$2),F2912,"")</f>
        <v>0.00338229167221368</v>
      </c>
      <c r="H2912" s="27" t="n">
        <f aca="false">IF(G2912="","",G2912^2)</f>
        <v>1.1439896955926E-005</v>
      </c>
      <c r="I2912" s="25" t="n">
        <f aca="false">IF(G2912="","",C2912/C2911-1)</f>
        <v>0.003388018074993</v>
      </c>
      <c r="J2912" s="17" t="n">
        <f aca="false">AVERAGE(C2713:C2912)</f>
        <v>20088.5265</v>
      </c>
      <c r="K2912" s="17" t="n">
        <f aca="false">MAX(K2911,C2912)</f>
        <v>67510.06</v>
      </c>
      <c r="L2912" s="25" t="n">
        <f aca="false">C2912/K2912-1</f>
        <v>-0.750650347518577</v>
      </c>
      <c r="M2912" s="25" t="n">
        <f aca="false">IF(COUNT(G2883:G2912)&lt;20,"",_xlfn.STDEV.S(G2883:G2912)*SQRT($R$3))</f>
        <v>0.327377125257011</v>
      </c>
      <c r="N2912" s="25" t="n">
        <f aca="false">IF(A2912-7&lt;$R$2,"",C2912/INDEX(Clean_Data!$C$2:$C$4314,MATCH(A2912-7,Clean_Data!$A$2:$A$4314,1))-1)</f>
        <v>0.00284405872319993</v>
      </c>
      <c r="O2912" s="25" t="n">
        <f aca="false">IF(A2912-30&lt;$R$2,"",C2912/INDEX(Clean_Data!$C$2:$C$4314,MATCH(A2912-30,Clean_Data!$A$2:$A$4314,1))-1)</f>
        <v>0.0153390070750876</v>
      </c>
    </row>
    <row r="2913" customFormat="false" ht="15" hidden="false" customHeight="false" outlineLevel="0" collapsed="false">
      <c r="A2913" s="16" t="n">
        <v>44920</v>
      </c>
      <c r="B2913" s="23" t="n">
        <f aca="false">YEAR(A2913)</f>
        <v>2022</v>
      </c>
      <c r="C2913" s="17" t="n">
        <v>16831.17</v>
      </c>
      <c r="D2913" s="23" t="n">
        <f aca="false">A2913-A2912</f>
        <v>1</v>
      </c>
      <c r="E2913" s="24" t="n">
        <f aca="false">LN(C2913)</f>
        <v>9.73098780348512</v>
      </c>
      <c r="F2913" s="25" t="n">
        <f aca="false">LN(C2913/C2912)</f>
        <v>-0.000144958618727054</v>
      </c>
      <c r="G2913" s="25" t="n">
        <f aca="false">IF(AND(D2913=1,A2913&gt;=$R$2),F2913,"")</f>
        <v>-0.000144958618727054</v>
      </c>
      <c r="H2913" s="27" t="n">
        <f aca="false">IF(G2913="","",G2913^2)</f>
        <v>2.10130011432555E-008</v>
      </c>
      <c r="I2913" s="25" t="n">
        <f aca="false">IF(G2913="","",C2913/C2912-1)</f>
        <v>-0.000144948112734133</v>
      </c>
      <c r="J2913" s="17" t="n">
        <f aca="false">AVERAGE(C2714:C2913)</f>
        <v>20021.7057</v>
      </c>
      <c r="K2913" s="17" t="n">
        <f aca="false">MAX(K2912,C2913)</f>
        <v>67510.06</v>
      </c>
      <c r="L2913" s="25" t="n">
        <f aca="false">C2913/K2913-1</f>
        <v>-0.750686490280115</v>
      </c>
      <c r="M2913" s="25" t="n">
        <f aca="false">IF(COUNT(G2884:G2913)&lt;20,"",_xlfn.STDEV.S(G2884:G2913)*SQRT($R$3))</f>
        <v>0.326933449606717</v>
      </c>
      <c r="N2913" s="25" t="n">
        <f aca="false">IF(A2913-7&lt;$R$2,"",C2913/INDEX(Clean_Data!$C$2:$C$4314,MATCH(A2913-7,Clean_Data!$A$2:$A$4314,1))-1)</f>
        <v>0.00457008821457983</v>
      </c>
      <c r="O2913" s="25" t="n">
        <f aca="false">IF(A2913-30&lt;$R$2,"",C2913/INDEX(Clean_Data!$C$2:$C$4314,MATCH(A2913-30,Clean_Data!$A$2:$A$4314,1))-1)</f>
        <v>0.0195463061733687</v>
      </c>
    </row>
    <row r="2914" customFormat="false" ht="15" hidden="false" customHeight="false" outlineLevel="0" collapsed="false">
      <c r="A2914" s="16" t="n">
        <v>44921</v>
      </c>
      <c r="B2914" s="23" t="n">
        <f aca="false">YEAR(A2914)</f>
        <v>2022</v>
      </c>
      <c r="C2914" s="17" t="n">
        <v>16940.82</v>
      </c>
      <c r="D2914" s="23" t="n">
        <f aca="false">A2914-A2913</f>
        <v>1</v>
      </c>
      <c r="E2914" s="24" t="n">
        <f aca="false">LN(C2914)</f>
        <v>9.73748137317382</v>
      </c>
      <c r="F2914" s="25" t="n">
        <f aca="false">LN(C2914/C2913)</f>
        <v>0.006493569688706</v>
      </c>
      <c r="G2914" s="25" t="n">
        <f aca="false">IF(AND(D2914=1,A2914&gt;=$R$2),F2914,"")</f>
        <v>0.006493569688706</v>
      </c>
      <c r="H2914" s="27" t="n">
        <f aca="false">IF(G2914="","",G2914^2)</f>
        <v>4.21664473020814E-005</v>
      </c>
      <c r="I2914" s="25" t="n">
        <f aca="false">IF(G2914="","",C2914/C2913-1)</f>
        <v>0.00651469862166443</v>
      </c>
      <c r="J2914" s="17" t="n">
        <f aca="false">AVERAGE(C2715:C2914)</f>
        <v>19956.05625</v>
      </c>
      <c r="K2914" s="17" t="n">
        <f aca="false">MAX(K2913,C2914)</f>
        <v>67510.06</v>
      </c>
      <c r="L2914" s="25" t="n">
        <f aca="false">C2914/K2914-1</f>
        <v>-0.749062287901981</v>
      </c>
      <c r="M2914" s="25" t="n">
        <f aca="false">IF(COUNT(G2885:G2914)&lt;20,"",_xlfn.STDEV.S(G2885:G2914)*SQRT($R$3))</f>
        <v>0.327213218872659</v>
      </c>
      <c r="N2914" s="25" t="n">
        <f aca="false">IF(A2914-7&lt;$R$2,"",C2914/INDEX(Clean_Data!$C$2:$C$4314,MATCH(A2914-7,Clean_Data!$A$2:$A$4314,1))-1)</f>
        <v>0.0296449234094305</v>
      </c>
      <c r="O2914" s="25" t="n">
        <f aca="false">IF(A2914-30&lt;$R$2,"",C2914/INDEX(Clean_Data!$C$2:$C$4314,MATCH(A2914-30,Clean_Data!$A$2:$A$4314,1))-1)</f>
        <v>0.0296874800560891</v>
      </c>
    </row>
    <row r="2915" customFormat="false" ht="15" hidden="false" customHeight="false" outlineLevel="0" collapsed="false">
      <c r="A2915" s="16" t="n">
        <v>44922</v>
      </c>
      <c r="B2915" s="23" t="n">
        <f aca="false">YEAR(A2915)</f>
        <v>2022</v>
      </c>
      <c r="C2915" s="17" t="n">
        <v>16693.38</v>
      </c>
      <c r="D2915" s="23" t="n">
        <f aca="false">A2915-A2914</f>
        <v>1</v>
      </c>
      <c r="E2915" s="24" t="n">
        <f aca="false">LN(C2915)</f>
        <v>9.72276751262912</v>
      </c>
      <c r="F2915" s="25" t="n">
        <f aca="false">LN(C2915/C2914)</f>
        <v>-0.0147138605447016</v>
      </c>
      <c r="G2915" s="25" t="n">
        <f aca="false">IF(AND(D2915=1,A2915&gt;=$R$2),F2915,"")</f>
        <v>-0.0147138605447016</v>
      </c>
      <c r="H2915" s="27" t="n">
        <f aca="false">IF(G2915="","",G2915^2)</f>
        <v>0.000216497692128928</v>
      </c>
      <c r="I2915" s="25" t="n">
        <f aca="false">IF(G2915="","",C2915/C2914-1)</f>
        <v>-0.0146061406708765</v>
      </c>
      <c r="J2915" s="17" t="n">
        <f aca="false">AVERAGE(C2716:C2915)</f>
        <v>19894.21375</v>
      </c>
      <c r="K2915" s="17" t="n">
        <f aca="false">MAX(K2914,C2915)</f>
        <v>67510.06</v>
      </c>
      <c r="L2915" s="25" t="n">
        <f aca="false">C2915/K2915-1</f>
        <v>-0.752727519424512</v>
      </c>
      <c r="M2915" s="25" t="n">
        <f aca="false">IF(COUNT(G2886:G2915)&lt;20,"",_xlfn.STDEV.S(G2886:G2915)*SQRT($R$3))</f>
        <v>0.331691665562626</v>
      </c>
      <c r="N2915" s="25" t="n">
        <f aca="false">IF(A2915-7&lt;$R$2,"",C2915/INDEX(Clean_Data!$C$2:$C$4314,MATCH(A2915-7,Clean_Data!$A$2:$A$4314,1))-1)</f>
        <v>-0.0118178987534496</v>
      </c>
      <c r="O2915" s="25" t="n">
        <f aca="false">IF(A2915-30&lt;$R$2,"",C2915/INDEX(Clean_Data!$C$2:$C$4314,MATCH(A2915-30,Clean_Data!$A$2:$A$4314,1))-1)</f>
        <v>0.016106500973597</v>
      </c>
    </row>
    <row r="2916" customFormat="false" ht="15" hidden="false" customHeight="false" outlineLevel="0" collapsed="false">
      <c r="A2916" s="16" t="n">
        <v>44923</v>
      </c>
      <c r="B2916" s="23" t="n">
        <f aca="false">YEAR(A2916)</f>
        <v>2022</v>
      </c>
      <c r="C2916" s="17" t="n">
        <v>16539.02</v>
      </c>
      <c r="D2916" s="23" t="n">
        <f aca="false">A2916-A2915</f>
        <v>1</v>
      </c>
      <c r="E2916" s="24" t="n">
        <f aca="false">LN(C2916)</f>
        <v>9.71347771652002</v>
      </c>
      <c r="F2916" s="25" t="n">
        <f aca="false">LN(C2916/C2915)</f>
        <v>-0.00928979610910326</v>
      </c>
      <c r="G2916" s="25" t="n">
        <f aca="false">IF(AND(D2916=1,A2916&gt;=$R$2),F2916,"")</f>
        <v>-0.00928979610910326</v>
      </c>
      <c r="H2916" s="27" t="n">
        <f aca="false">IF(G2916="","",G2916^2)</f>
        <v>8.630031174871E-005</v>
      </c>
      <c r="I2916" s="25" t="n">
        <f aca="false">IF(G2916="","",C2916/C2915-1)</f>
        <v>-0.00924677926219863</v>
      </c>
      <c r="J2916" s="17" t="n">
        <f aca="false">AVERAGE(C2717:C2916)</f>
        <v>19835.0016</v>
      </c>
      <c r="K2916" s="17" t="n">
        <f aca="false">MAX(K2915,C2916)</f>
        <v>67510.06</v>
      </c>
      <c r="L2916" s="25" t="n">
        <f aca="false">C2916/K2916-1</f>
        <v>-0.75501399347001</v>
      </c>
      <c r="M2916" s="25" t="n">
        <f aca="false">IF(COUNT(G2887:G2916)&lt;20,"",_xlfn.STDEV.S(G2887:G2916)*SQRT($R$3))</f>
        <v>0.32926613748654</v>
      </c>
      <c r="N2916" s="25" t="n">
        <f aca="false">IF(A2916-7&lt;$R$2,"",C2916/INDEX(Clean_Data!$C$2:$C$4314,MATCH(A2916-7,Clean_Data!$A$2:$A$4314,1))-1)</f>
        <v>-0.0167653229320677</v>
      </c>
      <c r="O2916" s="25" t="n">
        <f aca="false">IF(A2916-30&lt;$R$2,"",C2916/INDEX(Clean_Data!$C$2:$C$4314,MATCH(A2916-30,Clean_Data!$A$2:$A$4314,1))-1)</f>
        <v>0.0213123591675626</v>
      </c>
    </row>
    <row r="2917" customFormat="false" ht="15" hidden="false" customHeight="false" outlineLevel="0" collapsed="false">
      <c r="A2917" s="16" t="n">
        <v>44924</v>
      </c>
      <c r="B2917" s="23" t="n">
        <f aca="false">YEAR(A2917)</f>
        <v>2022</v>
      </c>
      <c r="C2917" s="17" t="n">
        <v>16626.11</v>
      </c>
      <c r="D2917" s="23" t="n">
        <f aca="false">A2917-A2916</f>
        <v>1</v>
      </c>
      <c r="E2917" s="24" t="n">
        <f aca="false">LN(C2917)</f>
        <v>9.71872963021254</v>
      </c>
      <c r="F2917" s="25" t="n">
        <f aca="false">LN(C2917/C2916)</f>
        <v>0.00525191369252043</v>
      </c>
      <c r="G2917" s="25" t="n">
        <f aca="false">IF(AND(D2917=1,A2917&gt;=$R$2),F2917,"")</f>
        <v>0.00525191369252043</v>
      </c>
      <c r="H2917" s="27" t="n">
        <f aca="false">IF(G2917="","",G2917^2)</f>
        <v>2.75825974336836E-005</v>
      </c>
      <c r="I2917" s="25" t="n">
        <f aca="false">IF(G2917="","",C2917/C2916-1)</f>
        <v>0.00526572916654078</v>
      </c>
      <c r="J2917" s="17" t="n">
        <f aca="false">AVERAGE(C2718:C2917)</f>
        <v>19784.9654</v>
      </c>
      <c r="K2917" s="17" t="n">
        <f aca="false">MAX(K2916,C2917)</f>
        <v>67510.06</v>
      </c>
      <c r="L2917" s="25" t="n">
        <f aca="false">C2917/K2917-1</f>
        <v>-0.753723963510031</v>
      </c>
      <c r="M2917" s="25" t="n">
        <f aca="false">IF(COUNT(G2888:G2917)&lt;20,"",_xlfn.STDEV.S(G2888:G2917)*SQRT($R$3))</f>
        <v>0.325570979871432</v>
      </c>
      <c r="N2917" s="25" t="n">
        <f aca="false">IF(A2917-7&lt;$R$2,"",C2917/INDEX(Clean_Data!$C$2:$C$4314,MATCH(A2917-7,Clean_Data!$A$2:$A$4314,1))-1)</f>
        <v>-0.0114809197340421</v>
      </c>
      <c r="O2917" s="25" t="n">
        <f aca="false">IF(A2917-30&lt;$R$2,"",C2917/INDEX(Clean_Data!$C$2:$C$4314,MATCH(A2917-30,Clean_Data!$A$2:$A$4314,1))-1)</f>
        <v>0.0112202987173413</v>
      </c>
    </row>
    <row r="2918" customFormat="false" ht="15" hidden="false" customHeight="false" outlineLevel="0" collapsed="false">
      <c r="A2918" s="16" t="n">
        <v>44925</v>
      </c>
      <c r="B2918" s="23" t="n">
        <f aca="false">YEAR(A2918)</f>
        <v>2022</v>
      </c>
      <c r="C2918" s="17" t="n">
        <v>16606.43</v>
      </c>
      <c r="D2918" s="23" t="n">
        <f aca="false">A2918-A2917</f>
        <v>1</v>
      </c>
      <c r="E2918" s="24" t="n">
        <f aca="false">LN(C2918)</f>
        <v>9.71754524874181</v>
      </c>
      <c r="F2918" s="25" t="n">
        <f aca="false">LN(C2918/C2917)</f>
        <v>-0.00118438147072271</v>
      </c>
      <c r="G2918" s="25" t="n">
        <f aca="false">IF(AND(D2918=1,A2918&gt;=$R$2),F2918,"")</f>
        <v>-0.00118438147072271</v>
      </c>
      <c r="H2918" s="27" t="n">
        <f aca="false">IF(G2918="","",G2918^2)</f>
        <v>1.40275946819128E-006</v>
      </c>
      <c r="I2918" s="25" t="n">
        <f aca="false">IF(G2918="","",C2918/C2917-1)</f>
        <v>-0.00118368036780703</v>
      </c>
      <c r="J2918" s="17" t="n">
        <f aca="false">AVERAGE(C2719:C2918)</f>
        <v>19756.33255</v>
      </c>
      <c r="K2918" s="17" t="n">
        <f aca="false">MAX(K2917,C2918)</f>
        <v>67510.06</v>
      </c>
      <c r="L2918" s="25" t="n">
        <f aca="false">C2918/K2918-1</f>
        <v>-0.754015475619486</v>
      </c>
      <c r="M2918" s="25" t="n">
        <f aca="false">IF(COUNT(G2889:G2918)&lt;20,"",_xlfn.STDEV.S(G2889:G2918)*SQRT($R$3))</f>
        <v>0.285146269922773</v>
      </c>
      <c r="N2918" s="25" t="n">
        <f aca="false">IF(A2918-7&lt;$R$2,"",C2918/INDEX(Clean_Data!$C$2:$C$4314,MATCH(A2918-7,Clean_Data!$A$2:$A$4314,1))-1)</f>
        <v>-0.0101533251036999</v>
      </c>
      <c r="O2918" s="25" t="n">
        <f aca="false">IF(A2918-30&lt;$R$2,"",C2918/INDEX(Clean_Data!$C$2:$C$4314,MATCH(A2918-30,Clean_Data!$A$2:$A$4314,1))-1)</f>
        <v>-0.0333735356331687</v>
      </c>
    </row>
    <row r="2919" customFormat="false" ht="15" hidden="false" customHeight="false" outlineLevel="0" collapsed="false">
      <c r="A2919" s="16" t="n">
        <v>44926</v>
      </c>
      <c r="B2919" s="23" t="n">
        <f aca="false">YEAR(A2919)</f>
        <v>2022</v>
      </c>
      <c r="C2919" s="17" t="n">
        <v>16531</v>
      </c>
      <c r="D2919" s="23" t="n">
        <f aca="false">A2919-A2918</f>
        <v>1</v>
      </c>
      <c r="E2919" s="24" t="n">
        <f aca="false">LN(C2919)</f>
        <v>9.71299268505301</v>
      </c>
      <c r="F2919" s="25" t="n">
        <f aca="false">LN(C2919/C2918)</f>
        <v>-0.0045525636888019</v>
      </c>
      <c r="G2919" s="25" t="n">
        <f aca="false">IF(AND(D2919=1,A2919&gt;=$R$2),F2919,"")</f>
        <v>-0.0045525636888019</v>
      </c>
      <c r="H2919" s="27" t="n">
        <f aca="false">IF(G2919="","",G2919^2)</f>
        <v>2.07258361405976E-005</v>
      </c>
      <c r="I2919" s="25" t="n">
        <f aca="false">IF(G2919="","",C2919/C2918-1)</f>
        <v>-0.00454221647879771</v>
      </c>
      <c r="J2919" s="17" t="n">
        <f aca="false">AVERAGE(C2720:C2919)</f>
        <v>19728.3747</v>
      </c>
      <c r="K2919" s="17" t="n">
        <f aca="false">MAX(K2918,C2919)</f>
        <v>67510.06</v>
      </c>
      <c r="L2919" s="25" t="n">
        <f aca="false">C2919/K2919-1</f>
        <v>-0.755132790579656</v>
      </c>
      <c r="M2919" s="25" t="n">
        <f aca="false">IF(COUNT(G2890:G2919)&lt;20,"",_xlfn.STDEV.S(G2890:G2919)*SQRT($R$3))</f>
        <v>0.282910043831779</v>
      </c>
      <c r="N2919" s="25" t="n">
        <f aca="false">IF(A2919-7&lt;$R$2,"",C2919/INDEX(Clean_Data!$C$2:$C$4314,MATCH(A2919-7,Clean_Data!$A$2:$A$4314,1))-1)</f>
        <v>-0.0179765362272264</v>
      </c>
      <c r="O2919" s="25" t="n">
        <f aca="false">IF(A2919-30&lt;$R$2,"",C2919/INDEX(Clean_Data!$C$2:$C$4314,MATCH(A2919-30,Clean_Data!$A$2:$A$4314,1))-1)</f>
        <v>-0.0264744074838565</v>
      </c>
    </row>
    <row r="2920" customFormat="false" ht="15" hidden="false" customHeight="false" outlineLevel="0" collapsed="false">
      <c r="A2920" s="16" t="n">
        <v>44927</v>
      </c>
      <c r="B2920" s="23" t="n">
        <f aca="false">YEAR(A2920)</f>
        <v>2023</v>
      </c>
      <c r="C2920" s="17" t="n">
        <v>16615.18</v>
      </c>
      <c r="D2920" s="23" t="n">
        <f aca="false">A2920-A2919</f>
        <v>1</v>
      </c>
      <c r="E2920" s="24" t="n">
        <f aca="false">LN(C2920)</f>
        <v>9.71807201431412</v>
      </c>
      <c r="F2920" s="25" t="n">
        <f aca="false">LN(C2920/C2919)</f>
        <v>0.00507932926111049</v>
      </c>
      <c r="G2920" s="25" t="n">
        <f aca="false">IF(AND(D2920=1,A2920&gt;=$R$2),F2920,"")</f>
        <v>0.00507932926111049</v>
      </c>
      <c r="H2920" s="27" t="n">
        <f aca="false">IF(G2920="","",G2920^2)</f>
        <v>2.57995857427732E-005</v>
      </c>
      <c r="I2920" s="25" t="n">
        <f aca="false">IF(G2920="","",C2920/C2919-1)</f>
        <v>0.00509225092250931</v>
      </c>
      <c r="J2920" s="17" t="n">
        <f aca="false">AVERAGE(C2721:C2920)</f>
        <v>19698.73025</v>
      </c>
      <c r="K2920" s="17" t="n">
        <f aca="false">MAX(K2919,C2920)</f>
        <v>67510.06</v>
      </c>
      <c r="L2920" s="25" t="n">
        <f aca="false">C2920/K2920-1</f>
        <v>-0.753885865306593</v>
      </c>
      <c r="M2920" s="25" t="n">
        <f aca="false">IF(COUNT(G2891:G2920)&lt;20,"",_xlfn.STDEV.S(G2891:G2920)*SQRT($R$3))</f>
        <v>0.282325796999757</v>
      </c>
      <c r="N2920" s="25" t="n">
        <f aca="false">IF(A2920-7&lt;$R$2,"",C2920/INDEX(Clean_Data!$C$2:$C$4314,MATCH(A2920-7,Clean_Data!$A$2:$A$4314,1))-1)</f>
        <v>-0.0128327383063683</v>
      </c>
      <c r="O2920" s="25" t="n">
        <f aca="false">IF(A2920-30&lt;$R$2,"",C2920/INDEX(Clean_Data!$C$2:$C$4314,MATCH(A2920-30,Clean_Data!$A$2:$A$4314,1))-1)</f>
        <v>-0.0283105653048347</v>
      </c>
    </row>
    <row r="2921" customFormat="false" ht="15" hidden="false" customHeight="false" outlineLevel="0" collapsed="false">
      <c r="A2921" s="16" t="n">
        <v>44928</v>
      </c>
      <c r="B2921" s="23" t="n">
        <f aca="false">YEAR(A2921)</f>
        <v>2023</v>
      </c>
      <c r="C2921" s="17" t="n">
        <v>16660.83</v>
      </c>
      <c r="D2921" s="23" t="n">
        <f aca="false">A2921-A2920</f>
        <v>1</v>
      </c>
      <c r="E2921" s="24" t="n">
        <f aca="false">LN(C2921)</f>
        <v>9.72081573440783</v>
      </c>
      <c r="F2921" s="25" t="n">
        <f aca="false">LN(C2921/C2920)</f>
        <v>0.00274372009371105</v>
      </c>
      <c r="G2921" s="25" t="n">
        <f aca="false">IF(AND(D2921=1,A2921&gt;=$R$2),F2921,"")</f>
        <v>0.00274372009371105</v>
      </c>
      <c r="H2921" s="27" t="n">
        <f aca="false">IF(G2921="","",G2921^2)</f>
        <v>7.52799995263377E-006</v>
      </c>
      <c r="I2921" s="25" t="n">
        <f aca="false">IF(G2921="","",C2921/C2920-1)</f>
        <v>0.00274748753850407</v>
      </c>
      <c r="J2921" s="17" t="n">
        <f aca="false">AVERAGE(C2722:C2921)</f>
        <v>19680.3513</v>
      </c>
      <c r="K2921" s="17" t="n">
        <f aca="false">MAX(K2920,C2921)</f>
        <v>67510.06</v>
      </c>
      <c r="L2921" s="25" t="n">
        <f aca="false">C2921/K2921-1</f>
        <v>-0.753209669788473</v>
      </c>
      <c r="M2921" s="25" t="n">
        <f aca="false">IF(COUNT(G2892:G2921)&lt;20,"",_xlfn.STDEV.S(G2892:G2921)*SQRT($R$3))</f>
        <v>0.279371216681753</v>
      </c>
      <c r="N2921" s="25" t="n">
        <f aca="false">IF(A2921-7&lt;$R$2,"",C2921/INDEX(Clean_Data!$C$2:$C$4314,MATCH(A2921-7,Clean_Data!$A$2:$A$4314,1))-1)</f>
        <v>-0.0165275352668878</v>
      </c>
      <c r="O2921" s="25" t="n">
        <f aca="false">IF(A2921-30&lt;$R$2,"",C2921/INDEX(Clean_Data!$C$2:$C$4314,MATCH(A2921-30,Clean_Data!$A$2:$A$4314,1))-1)</f>
        <v>-0.0131991366811026</v>
      </c>
    </row>
    <row r="2922" customFormat="false" ht="15" hidden="false" customHeight="false" outlineLevel="0" collapsed="false">
      <c r="A2922" s="16" t="n">
        <v>44929</v>
      </c>
      <c r="B2922" s="23" t="n">
        <f aca="false">YEAR(A2922)</f>
        <v>2023</v>
      </c>
      <c r="C2922" s="17" t="n">
        <v>16670.38</v>
      </c>
      <c r="D2922" s="23" t="n">
        <f aca="false">A2922-A2921</f>
        <v>1</v>
      </c>
      <c r="E2922" s="24" t="n">
        <f aca="false">LN(C2922)</f>
        <v>9.72138877092594</v>
      </c>
      <c r="F2922" s="25" t="n">
        <f aca="false">LN(C2922/C2921)</f>
        <v>0.000573036518105856</v>
      </c>
      <c r="G2922" s="25" t="n">
        <f aca="false">IF(AND(D2922=1,A2922&gt;=$R$2),F2922,"")</f>
        <v>0.000573036518105856</v>
      </c>
      <c r="H2922" s="27" t="n">
        <f aca="false">IF(G2922="","",G2922^2)</f>
        <v>3.28370851082883E-007</v>
      </c>
      <c r="I2922" s="25" t="n">
        <f aca="false">IF(G2922="","",C2922/C2921-1)</f>
        <v>0.000573200734897306</v>
      </c>
      <c r="J2922" s="17" t="n">
        <f aca="false">AVERAGE(C2723:C2922)</f>
        <v>19661.5971</v>
      </c>
      <c r="K2922" s="17" t="n">
        <f aca="false">MAX(K2921,C2922)</f>
        <v>67510.06</v>
      </c>
      <c r="L2922" s="25" t="n">
        <f aca="false">C2922/K2922-1</f>
        <v>-0.75306820938983</v>
      </c>
      <c r="M2922" s="25" t="n">
        <f aca="false">IF(COUNT(G2893:G2922)&lt;20,"",_xlfn.STDEV.S(G2893:G2922)*SQRT($R$3))</f>
        <v>0.275259298966815</v>
      </c>
      <c r="N2922" s="25" t="n">
        <f aca="false">IF(A2922-7&lt;$R$2,"",C2922/INDEX(Clean_Data!$C$2:$C$4314,MATCH(A2922-7,Clean_Data!$A$2:$A$4314,1))-1)</f>
        <v>-0.00137779167550256</v>
      </c>
      <c r="O2922" s="25" t="n">
        <f aca="false">IF(A2922-30&lt;$R$2,"",C2922/INDEX(Clean_Data!$C$2:$C$4314,MATCH(A2922-30,Clean_Data!$A$2:$A$4314,1))-1)</f>
        <v>-0.0252579323894083</v>
      </c>
    </row>
    <row r="2923" customFormat="false" ht="15" hidden="false" customHeight="false" outlineLevel="0" collapsed="false">
      <c r="A2923" s="16" t="n">
        <v>44930</v>
      </c>
      <c r="B2923" s="23" t="n">
        <f aca="false">YEAR(A2923)</f>
        <v>2023</v>
      </c>
      <c r="C2923" s="17" t="n">
        <v>16850.4</v>
      </c>
      <c r="D2923" s="23" t="n">
        <f aca="false">A2923-A2922</f>
        <v>1</v>
      </c>
      <c r="E2923" s="24" t="n">
        <f aca="false">LN(C2923)</f>
        <v>9.73212967437115</v>
      </c>
      <c r="F2923" s="25" t="n">
        <f aca="false">LN(C2923/C2922)</f>
        <v>0.0107409034452094</v>
      </c>
      <c r="G2923" s="25" t="n">
        <f aca="false">IF(AND(D2923=1,A2923&gt;=$R$2),F2923,"")</f>
        <v>0.0107409034452094</v>
      </c>
      <c r="H2923" s="27" t="n">
        <f aca="false">IF(G2923="","",G2923^2)</f>
        <v>0.000115367006819311</v>
      </c>
      <c r="I2923" s="25" t="n">
        <f aca="false">IF(G2923="","",C2923/C2922-1)</f>
        <v>0.0107987940286904</v>
      </c>
      <c r="J2923" s="17" t="n">
        <f aca="false">AVERAGE(C2724:C2923)</f>
        <v>19650.90305</v>
      </c>
      <c r="K2923" s="17" t="n">
        <f aca="false">MAX(K2922,C2923)</f>
        <v>67510.06</v>
      </c>
      <c r="L2923" s="25" t="n">
        <f aca="false">C2923/K2923-1</f>
        <v>-0.750401643843895</v>
      </c>
      <c r="M2923" s="25" t="n">
        <f aca="false">IF(COUNT(G2894:G2923)&lt;20,"",_xlfn.STDEV.S(G2894:G2923)*SQRT($R$3))</f>
        <v>0.276988208269741</v>
      </c>
      <c r="N2923" s="25" t="n">
        <f aca="false">IF(A2923-7&lt;$R$2,"",C2923/INDEX(Clean_Data!$C$2:$C$4314,MATCH(A2923-7,Clean_Data!$A$2:$A$4314,1))-1)</f>
        <v>0.0188269921676134</v>
      </c>
      <c r="O2923" s="25" t="n">
        <f aca="false">IF(A2923-30&lt;$R$2,"",C2923/INDEX(Clean_Data!$C$2:$C$4314,MATCH(A2923-30,Clean_Data!$A$2:$A$4314,1))-1)</f>
        <v>-0.00709395378765509</v>
      </c>
    </row>
    <row r="2924" customFormat="false" ht="15" hidden="false" customHeight="false" outlineLevel="0" collapsed="false">
      <c r="A2924" s="16" t="n">
        <v>44931</v>
      </c>
      <c r="B2924" s="23" t="n">
        <f aca="false">YEAR(A2924)</f>
        <v>2023</v>
      </c>
      <c r="C2924" s="17" t="n">
        <v>16824.98</v>
      </c>
      <c r="D2924" s="23" t="n">
        <f aca="false">A2924-A2923</f>
        <v>1</v>
      </c>
      <c r="E2924" s="24" t="n">
        <f aca="false">LN(C2924)</f>
        <v>9.73061996580494</v>
      </c>
      <c r="F2924" s="25" t="n">
        <f aca="false">LN(C2924/C2923)</f>
        <v>-0.00150970856620769</v>
      </c>
      <c r="G2924" s="25" t="n">
        <f aca="false">IF(AND(D2924=1,A2924&gt;=$R$2),F2924,"")</f>
        <v>-0.00150970856620769</v>
      </c>
      <c r="H2924" s="27" t="n">
        <f aca="false">IF(G2924="","",G2924^2)</f>
        <v>2.27921995488087E-006</v>
      </c>
      <c r="I2924" s="25" t="n">
        <f aca="false">IF(G2924="","",C2924/C2923-1)</f>
        <v>-0.00150856952950684</v>
      </c>
      <c r="J2924" s="17" t="n">
        <f aca="false">AVERAGE(C2725:C2924)</f>
        <v>19632.42655</v>
      </c>
      <c r="K2924" s="17" t="n">
        <f aca="false">MAX(K2923,C2924)</f>
        <v>67510.06</v>
      </c>
      <c r="L2924" s="25" t="n">
        <f aca="false">C2924/K2924-1</f>
        <v>-0.750778180318607</v>
      </c>
      <c r="M2924" s="25" t="n">
        <f aca="false">IF(COUNT(G2895:G2924)&lt;20,"",_xlfn.STDEV.S(G2895:G2924)*SQRT($R$3))</f>
        <v>0.275778524288943</v>
      </c>
      <c r="N2924" s="25" t="n">
        <f aca="false">IF(A2924-7&lt;$R$2,"",C2924/INDEX(Clean_Data!$C$2:$C$4314,MATCH(A2924-7,Clean_Data!$A$2:$A$4314,1))-1)</f>
        <v>0.0119613066435864</v>
      </c>
      <c r="O2924" s="25" t="n">
        <f aca="false">IF(A2924-30&lt;$R$2,"",C2924/INDEX(Clean_Data!$C$2:$C$4314,MATCH(A2924-30,Clean_Data!$A$2:$A$4314,1))-1)</f>
        <v>-0.0155044338924339</v>
      </c>
    </row>
    <row r="2925" customFormat="false" ht="15" hidden="false" customHeight="false" outlineLevel="0" collapsed="false">
      <c r="A2925" s="16" t="n">
        <v>44932</v>
      </c>
      <c r="B2925" s="23" t="n">
        <f aca="false">YEAR(A2925)</f>
        <v>2023</v>
      </c>
      <c r="C2925" s="17" t="n">
        <v>16950.6</v>
      </c>
      <c r="D2925" s="23" t="n">
        <f aca="false">A2925-A2924</f>
        <v>1</v>
      </c>
      <c r="E2925" s="24" t="n">
        <f aca="false">LN(C2925)</f>
        <v>9.73805851041218</v>
      </c>
      <c r="F2925" s="25" t="n">
        <f aca="false">LN(C2925/C2924)</f>
        <v>0.00743854460724095</v>
      </c>
      <c r="G2925" s="25" t="n">
        <f aca="false">IF(AND(D2925=1,A2925&gt;=$R$2),F2925,"")</f>
        <v>0.00743854460724095</v>
      </c>
      <c r="H2925" s="27" t="n">
        <f aca="false">IF(G2925="","",G2925^2)</f>
        <v>5.53319458739134E-005</v>
      </c>
      <c r="I2925" s="25" t="n">
        <f aca="false">IF(G2925="","",C2925/C2924-1)</f>
        <v>0.00746627930612687</v>
      </c>
      <c r="J2925" s="17" t="n">
        <f aca="false">AVERAGE(C2726:C2925)</f>
        <v>19614.5079</v>
      </c>
      <c r="K2925" s="17" t="n">
        <f aca="false">MAX(K2924,C2925)</f>
        <v>67510.06</v>
      </c>
      <c r="L2925" s="25" t="n">
        <f aca="false">C2925/K2925-1</f>
        <v>-0.748917420603685</v>
      </c>
      <c r="M2925" s="25" t="n">
        <f aca="false">IF(COUNT(G2896:G2925)&lt;20,"",_xlfn.STDEV.S(G2896:G2925)*SQRT($R$3))</f>
        <v>0.272382526549137</v>
      </c>
      <c r="N2925" s="25" t="n">
        <f aca="false">IF(A2925-7&lt;$R$2,"",C2925/INDEX(Clean_Data!$C$2:$C$4314,MATCH(A2925-7,Clean_Data!$A$2:$A$4314,1))-1)</f>
        <v>0.0207251046733101</v>
      </c>
      <c r="O2925" s="25" t="n">
        <f aca="false">IF(A2925-30&lt;$R$2,"",C2925/INDEX(Clean_Data!$C$2:$C$4314,MATCH(A2925-30,Clean_Data!$A$2:$A$4314,1))-1)</f>
        <v>0.00632567583211863</v>
      </c>
    </row>
    <row r="2926" customFormat="false" ht="15" hidden="false" customHeight="false" outlineLevel="0" collapsed="false">
      <c r="A2926" s="16" t="n">
        <v>44933</v>
      </c>
      <c r="B2926" s="23" t="n">
        <f aca="false">YEAR(A2926)</f>
        <v>2023</v>
      </c>
      <c r="C2926" s="17" t="n">
        <v>16945.34</v>
      </c>
      <c r="D2926" s="23" t="n">
        <f aca="false">A2926-A2925</f>
        <v>1</v>
      </c>
      <c r="E2926" s="24" t="n">
        <f aca="false">LN(C2926)</f>
        <v>9.73774814875576</v>
      </c>
      <c r="F2926" s="25" t="n">
        <f aca="false">LN(C2926/C2925)</f>
        <v>-0.000310361656423766</v>
      </c>
      <c r="G2926" s="25" t="n">
        <f aca="false">IF(AND(D2926=1,A2926&gt;=$R$2),F2926,"")</f>
        <v>-0.000310361656423766</v>
      </c>
      <c r="H2926" s="27" t="n">
        <f aca="false">IF(G2926="","",G2926^2)</f>
        <v>9.63243577781039E-008</v>
      </c>
      <c r="I2926" s="25" t="n">
        <f aca="false">IF(G2926="","",C2926/C2925-1)</f>
        <v>-0.000310313499227055</v>
      </c>
      <c r="J2926" s="17" t="n">
        <f aca="false">AVERAGE(C2727:C2926)</f>
        <v>19595.859</v>
      </c>
      <c r="K2926" s="17" t="n">
        <f aca="false">MAX(K2925,C2926)</f>
        <v>67510.06</v>
      </c>
      <c r="L2926" s="25" t="n">
        <f aca="false">C2926/K2926-1</f>
        <v>-0.748995334917492</v>
      </c>
      <c r="M2926" s="25" t="n">
        <f aca="false">IF(COUNT(G2897:G2926)&lt;20,"",_xlfn.STDEV.S(G2897:G2926)*SQRT($R$3))</f>
        <v>0.260180650645661</v>
      </c>
      <c r="N2926" s="25" t="n">
        <f aca="false">IF(A2926-7&lt;$R$2,"",C2926/INDEX(Clean_Data!$C$2:$C$4314,MATCH(A2926-7,Clean_Data!$A$2:$A$4314,1))-1)</f>
        <v>0.025064424414736</v>
      </c>
      <c r="O2926" s="25" t="n">
        <f aca="false">IF(A2926-30&lt;$R$2,"",C2926/INDEX(Clean_Data!$C$2:$C$4314,MATCH(A2926-30,Clean_Data!$A$2:$A$4314,1))-1)</f>
        <v>-0.0164201429862498</v>
      </c>
    </row>
    <row r="2927" customFormat="false" ht="15" hidden="false" customHeight="false" outlineLevel="0" collapsed="false">
      <c r="A2927" s="16" t="n">
        <v>44934</v>
      </c>
      <c r="B2927" s="23" t="n">
        <f aca="false">YEAR(A2927)</f>
        <v>2023</v>
      </c>
      <c r="C2927" s="17" t="n">
        <v>17134.34</v>
      </c>
      <c r="D2927" s="23" t="n">
        <f aca="false">A2927-A2926</f>
        <v>1</v>
      </c>
      <c r="E2927" s="24" t="n">
        <f aca="false">LN(C2927)</f>
        <v>9.74883991591296</v>
      </c>
      <c r="F2927" s="25" t="n">
        <f aca="false">LN(C2927/C2926)</f>
        <v>0.0110917671572022</v>
      </c>
      <c r="G2927" s="25" t="n">
        <f aca="false">IF(AND(D2927=1,A2927&gt;=$R$2),F2927,"")</f>
        <v>0.0110917671572022</v>
      </c>
      <c r="H2927" s="27" t="n">
        <f aca="false">IF(G2927="","",G2927^2)</f>
        <v>0.000123027298669589</v>
      </c>
      <c r="I2927" s="25" t="n">
        <f aca="false">IF(G2927="","",C2927/C2926-1)</f>
        <v>0.0111535088702852</v>
      </c>
      <c r="J2927" s="17" t="n">
        <f aca="false">AVERAGE(C2728:C2927)</f>
        <v>19581.54455</v>
      </c>
      <c r="K2927" s="17" t="n">
        <f aca="false">MAX(K2926,C2927)</f>
        <v>67510.06</v>
      </c>
      <c r="L2927" s="25" t="n">
        <f aca="false">C2927/K2927-1</f>
        <v>-0.746195752159012</v>
      </c>
      <c r="M2927" s="25" t="n">
        <f aca="false">IF(COUNT(G2898:G2927)&lt;20,"",_xlfn.STDEV.S(G2898:G2927)*SQRT($R$3))</f>
        <v>0.262559528254312</v>
      </c>
      <c r="N2927" s="25" t="n">
        <f aca="false">IF(A2927-7&lt;$R$2,"",C2927/INDEX(Clean_Data!$C$2:$C$4314,MATCH(A2927-7,Clean_Data!$A$2:$A$4314,1))-1)</f>
        <v>0.0312461255309904</v>
      </c>
      <c r="O2927" s="25" t="n">
        <f aca="false">IF(A2927-30&lt;$R$2,"",C2927/INDEX(Clean_Data!$C$2:$C$4314,MATCH(A2927-30,Clean_Data!$A$2:$A$4314,1))-1)</f>
        <v>0.000311168012628871</v>
      </c>
    </row>
    <row r="2928" customFormat="false" ht="15" hidden="false" customHeight="false" outlineLevel="0" collapsed="false">
      <c r="A2928" s="16" t="n">
        <v>44935</v>
      </c>
      <c r="B2928" s="23" t="n">
        <f aca="false">YEAR(A2928)</f>
        <v>2023</v>
      </c>
      <c r="C2928" s="17" t="n">
        <v>17181.15</v>
      </c>
      <c r="D2928" s="23" t="n">
        <f aca="false">A2928-A2927</f>
        <v>1</v>
      </c>
      <c r="E2928" s="24" t="n">
        <f aca="false">LN(C2928)</f>
        <v>9.75156813159833</v>
      </c>
      <c r="F2928" s="25" t="n">
        <f aca="false">LN(C2928/C2927)</f>
        <v>0.00272821568536712</v>
      </c>
      <c r="G2928" s="25" t="n">
        <f aca="false">IF(AND(D2928=1,A2928&gt;=$R$2),F2928,"")</f>
        <v>0.00272821568536712</v>
      </c>
      <c r="H2928" s="27" t="n">
        <f aca="false">IF(G2928="","",G2928^2)</f>
        <v>7.44316082588317E-006</v>
      </c>
      <c r="I2928" s="25" t="n">
        <f aca="false">IF(G2928="","",C2928/C2927-1)</f>
        <v>0.00273194065251436</v>
      </c>
      <c r="J2928" s="17" t="n">
        <f aca="false">AVERAGE(C2729:C2928)</f>
        <v>19561.84255</v>
      </c>
      <c r="K2928" s="17" t="n">
        <f aca="false">MAX(K2927,C2928)</f>
        <v>67510.06</v>
      </c>
      <c r="L2928" s="25" t="n">
        <f aca="false">C2928/K2928-1</f>
        <v>-0.745502374016554</v>
      </c>
      <c r="M2928" s="25" t="n">
        <f aca="false">IF(COUNT(G2899:G2928)&lt;20,"",_xlfn.STDEV.S(G2899:G2928)*SQRT($R$3))</f>
        <v>0.262730797583531</v>
      </c>
      <c r="N2928" s="25" t="n">
        <f aca="false">IF(A2928-7&lt;$R$2,"",C2928/INDEX(Clean_Data!$C$2:$C$4314,MATCH(A2928-7,Clean_Data!$A$2:$A$4314,1))-1)</f>
        <v>0.0312301367939052</v>
      </c>
      <c r="O2928" s="25" t="n">
        <f aca="false">IF(A2928-30&lt;$R$2,"",C2928/INDEX(Clean_Data!$C$2:$C$4314,MATCH(A2928-30,Clean_Data!$A$2:$A$4314,1))-1)</f>
        <v>0.00292568514561009</v>
      </c>
    </row>
    <row r="2929" customFormat="false" ht="15" hidden="false" customHeight="false" outlineLevel="0" collapsed="false">
      <c r="A2929" s="16" t="n">
        <v>44936</v>
      </c>
      <c r="B2929" s="23" t="n">
        <f aca="false">YEAR(A2929)</f>
        <v>2023</v>
      </c>
      <c r="C2929" s="17" t="n">
        <v>17444.75</v>
      </c>
      <c r="D2929" s="23" t="n">
        <f aca="false">A2929-A2928</f>
        <v>1</v>
      </c>
      <c r="E2929" s="24" t="n">
        <f aca="false">LN(C2929)</f>
        <v>9.76679402276439</v>
      </c>
      <c r="F2929" s="25" t="n">
        <f aca="false">LN(C2929/C2928)</f>
        <v>0.015225891166063</v>
      </c>
      <c r="G2929" s="25" t="n">
        <f aca="false">IF(AND(D2929=1,A2929&gt;=$R$2),F2929,"")</f>
        <v>0.015225891166063</v>
      </c>
      <c r="H2929" s="27" t="n">
        <f aca="false">IF(G2929="","",G2929^2)</f>
        <v>0.000231827761800796</v>
      </c>
      <c r="I2929" s="25" t="n">
        <f aca="false">IF(G2929="","",C2929/C2928-1)</f>
        <v>0.0153423955905163</v>
      </c>
      <c r="J2929" s="17" t="n">
        <f aca="false">AVERAGE(C2730:C2929)</f>
        <v>19543.0347</v>
      </c>
      <c r="K2929" s="17" t="n">
        <f aca="false">MAX(K2928,C2929)</f>
        <v>67510.06</v>
      </c>
      <c r="L2929" s="25" t="n">
        <f aca="false">C2929/K2929-1</f>
        <v>-0.741597770761869</v>
      </c>
      <c r="M2929" s="25" t="n">
        <f aca="false">IF(COUNT(G2900:G2929)&lt;20,"",_xlfn.STDEV.S(G2900:G2929)*SQRT($R$3))</f>
        <v>0.267745045113511</v>
      </c>
      <c r="N2929" s="25" t="n">
        <f aca="false">IF(A2929-7&lt;$R$2,"",C2929/INDEX(Clean_Data!$C$2:$C$4314,MATCH(A2929-7,Clean_Data!$A$2:$A$4314,1))-1)</f>
        <v>0.0464518505277023</v>
      </c>
      <c r="O2929" s="25" t="n">
        <f aca="false">IF(A2929-30&lt;$R$2,"",C2929/INDEX(Clean_Data!$C$2:$C$4314,MATCH(A2929-30,Clean_Data!$A$2:$A$4314,1))-1)</f>
        <v>0.0209118755201196</v>
      </c>
    </row>
    <row r="2930" customFormat="false" ht="15" hidden="false" customHeight="false" outlineLevel="0" collapsed="false">
      <c r="A2930" s="16" t="n">
        <v>44937</v>
      </c>
      <c r="B2930" s="23" t="n">
        <f aca="false">YEAR(A2930)</f>
        <v>2023</v>
      </c>
      <c r="C2930" s="17" t="n">
        <v>17942.22</v>
      </c>
      <c r="D2930" s="23" t="n">
        <f aca="false">A2930-A2929</f>
        <v>1</v>
      </c>
      <c r="E2930" s="24" t="n">
        <f aca="false">LN(C2930)</f>
        <v>9.7949118737763</v>
      </c>
      <c r="F2930" s="25" t="n">
        <f aca="false">LN(C2930/C2929)</f>
        <v>0.0281178510119123</v>
      </c>
      <c r="G2930" s="25" t="n">
        <f aca="false">IF(AND(D2930=1,A2930&gt;=$R$2),F2930,"")</f>
        <v>0.0281178510119123</v>
      </c>
      <c r="H2930" s="27" t="n">
        <f aca="false">IF(G2930="","",G2930^2)</f>
        <v>0.000790613545528099</v>
      </c>
      <c r="I2930" s="25" t="n">
        <f aca="false">IF(G2930="","",C2930/C2929-1)</f>
        <v>0.0285168890353833</v>
      </c>
      <c r="J2930" s="17" t="n">
        <f aca="false">AVERAGE(C2731:C2930)</f>
        <v>19525.372</v>
      </c>
      <c r="K2930" s="17" t="n">
        <f aca="false">MAX(K2929,C2930)</f>
        <v>67510.06</v>
      </c>
      <c r="L2930" s="25" t="n">
        <f aca="false">C2930/K2930-1</f>
        <v>-0.734228943064189</v>
      </c>
      <c r="M2930" s="25" t="n">
        <f aca="false">IF(COUNT(G2901:G2930)&lt;20,"",_xlfn.STDEV.S(G2901:G2930)*SQRT($R$3))</f>
        <v>0.283636551844869</v>
      </c>
      <c r="N2930" s="25" t="n">
        <f aca="false">IF(A2930-7&lt;$R$2,"",C2930/INDEX(Clean_Data!$C$2:$C$4314,MATCH(A2930-7,Clean_Data!$A$2:$A$4314,1))-1)</f>
        <v>0.0647949010112519</v>
      </c>
      <c r="O2930" s="25" t="n">
        <f aca="false">IF(A2930-30&lt;$R$2,"",C2930/INDEX(Clean_Data!$C$2:$C$4314,MATCH(A2930-30,Clean_Data!$A$2:$A$4314,1))-1)</f>
        <v>0.0425692141953165</v>
      </c>
    </row>
    <row r="2931" customFormat="false" ht="15" hidden="false" customHeight="false" outlineLevel="0" collapsed="false">
      <c r="A2931" s="16" t="n">
        <v>44938</v>
      </c>
      <c r="B2931" s="23" t="n">
        <f aca="false">YEAR(A2931)</f>
        <v>2023</v>
      </c>
      <c r="C2931" s="17" t="n">
        <v>18863.74</v>
      </c>
      <c r="D2931" s="23" t="n">
        <f aca="false">A2931-A2930</f>
        <v>1</v>
      </c>
      <c r="E2931" s="24" t="n">
        <f aca="false">LN(C2931)</f>
        <v>9.84499683981533</v>
      </c>
      <c r="F2931" s="25" t="n">
        <f aca="false">LN(C2931/C2930)</f>
        <v>0.0500849660390285</v>
      </c>
      <c r="G2931" s="25" t="n">
        <f aca="false">IF(AND(D2931=1,A2931&gt;=$R$2),F2931,"")</f>
        <v>0.0500849660390285</v>
      </c>
      <c r="H2931" s="27" t="n">
        <f aca="false">IF(G2931="","",G2931^2)</f>
        <v>0.00250850382313064</v>
      </c>
      <c r="I2931" s="25" t="n">
        <f aca="false">IF(G2931="","",C2931/C2930-1)</f>
        <v>0.0513604225118185</v>
      </c>
      <c r="J2931" s="17" t="n">
        <f aca="false">AVERAGE(C2732:C2931)</f>
        <v>19514.5646</v>
      </c>
      <c r="K2931" s="17" t="n">
        <f aca="false">MAX(K2930,C2931)</f>
        <v>67510.06</v>
      </c>
      <c r="L2931" s="25" t="n">
        <f aca="false">C2931/K2931-1</f>
        <v>-0.720578829288553</v>
      </c>
      <c r="M2931" s="25" t="n">
        <f aca="false">IF(COUNT(G2902:G2931)&lt;20,"",_xlfn.STDEV.S(G2902:G2931)*SQRT($R$3))</f>
        <v>0.314006791534922</v>
      </c>
      <c r="N2931" s="25" t="n">
        <f aca="false">IF(A2931-7&lt;$R$2,"",C2931/INDEX(Clean_Data!$C$2:$C$4314,MATCH(A2931-7,Clean_Data!$A$2:$A$4314,1))-1)</f>
        <v>0.121174586834576</v>
      </c>
      <c r="O2931" s="25" t="n">
        <f aca="false">IF(A2931-30&lt;$R$2,"",C2931/INDEX(Clean_Data!$C$2:$C$4314,MATCH(A2931-30,Clean_Data!$A$2:$A$4314,1))-1)</f>
        <v>0.0619292769222541</v>
      </c>
    </row>
    <row r="2932" customFormat="false" ht="15" hidden="false" customHeight="false" outlineLevel="0" collapsed="false">
      <c r="A2932" s="16" t="n">
        <v>44939</v>
      </c>
      <c r="B2932" s="23" t="n">
        <f aca="false">YEAR(A2932)</f>
        <v>2023</v>
      </c>
      <c r="C2932" s="17" t="n">
        <v>19909.21</v>
      </c>
      <c r="D2932" s="23" t="n">
        <f aca="false">A2932-A2931</f>
        <v>1</v>
      </c>
      <c r="E2932" s="24" t="n">
        <f aca="false">LN(C2932)</f>
        <v>9.89893771771754</v>
      </c>
      <c r="F2932" s="25" t="n">
        <f aca="false">LN(C2932/C2931)</f>
        <v>0.0539408779022053</v>
      </c>
      <c r="G2932" s="25" t="n">
        <f aca="false">IF(AND(D2932=1,A2932&gt;=$R$2),F2932,"")</f>
        <v>0.0539408779022053</v>
      </c>
      <c r="H2932" s="27" t="n">
        <f aca="false">IF(G2932="","",G2932^2)</f>
        <v>0.00290961830886062</v>
      </c>
      <c r="I2932" s="25" t="n">
        <f aca="false">IF(G2932="","",C2932/C2931-1)</f>
        <v>0.0554222015358565</v>
      </c>
      <c r="J2932" s="17" t="n">
        <f aca="false">AVERAGE(C2733:C2932)</f>
        <v>19510.51695</v>
      </c>
      <c r="K2932" s="17" t="n">
        <f aca="false">MAX(K2931,C2932)</f>
        <v>67510.06</v>
      </c>
      <c r="L2932" s="25" t="n">
        <f aca="false">C2932/K2932-1</f>
        <v>-0.705092692851999</v>
      </c>
      <c r="M2932" s="25" t="n">
        <f aca="false">IF(COUNT(G2903:G2932)&lt;20,"",_xlfn.STDEV.S(G2903:G2932)*SQRT($R$3))</f>
        <v>0.362559964962233</v>
      </c>
      <c r="N2932" s="25" t="n">
        <f aca="false">IF(A2932-7&lt;$R$2,"",C2932/INDEX(Clean_Data!$C$2:$C$4314,MATCH(A2932-7,Clean_Data!$A$2:$A$4314,1))-1)</f>
        <v>0.174543084020625</v>
      </c>
      <c r="O2932" s="25" t="n">
        <f aca="false">IF(A2932-30&lt;$R$2,"",C2932/INDEX(Clean_Data!$C$2:$C$4314,MATCH(A2932-30,Clean_Data!$A$2:$A$4314,1))-1)</f>
        <v>0.117503630206687</v>
      </c>
    </row>
    <row r="2933" customFormat="false" ht="15" hidden="false" customHeight="false" outlineLevel="0" collapsed="false">
      <c r="A2933" s="16" t="n">
        <v>44940</v>
      </c>
      <c r="B2933" s="23" t="n">
        <f aca="false">YEAR(A2933)</f>
        <v>2023</v>
      </c>
      <c r="C2933" s="17" t="n">
        <v>20970.85</v>
      </c>
      <c r="D2933" s="23" t="n">
        <f aca="false">A2933-A2932</f>
        <v>1</v>
      </c>
      <c r="E2933" s="24" t="n">
        <f aca="false">LN(C2933)</f>
        <v>9.95088865717081</v>
      </c>
      <c r="F2933" s="25" t="n">
        <f aca="false">LN(C2933/C2932)</f>
        <v>0.0519509394532729</v>
      </c>
      <c r="G2933" s="25" t="n">
        <f aca="false">IF(AND(D2933=1,A2933&gt;=$R$2),F2933,"")</f>
        <v>0.0519509394532729</v>
      </c>
      <c r="H2933" s="27" t="n">
        <f aca="false">IF(G2933="","",G2933^2)</f>
        <v>0.00269890011007762</v>
      </c>
      <c r="I2933" s="25" t="n">
        <f aca="false">IF(G2933="","",C2933/C2932-1)</f>
        <v>0.0533240645912119</v>
      </c>
      <c r="J2933" s="17" t="n">
        <f aca="false">AVERAGE(C2734:C2933)</f>
        <v>19514.1145</v>
      </c>
      <c r="K2933" s="17" t="n">
        <f aca="false">MAX(K2932,C2933)</f>
        <v>67510.06</v>
      </c>
      <c r="L2933" s="25" t="n">
        <f aca="false">C2933/K2933-1</f>
        <v>-0.689367036557218</v>
      </c>
      <c r="M2933" s="25" t="n">
        <f aca="false">IF(COUNT(G2904:G2933)&lt;20,"",_xlfn.STDEV.S(G2904:G2933)*SQRT($R$3))</f>
        <v>0.383495496302428</v>
      </c>
      <c r="N2933" s="25" t="n">
        <f aca="false">IF(A2933-7&lt;$R$2,"",C2933/INDEX(Clean_Data!$C$2:$C$4314,MATCH(A2933-7,Clean_Data!$A$2:$A$4314,1))-1)</f>
        <v>0.237558526414932</v>
      </c>
      <c r="O2933" s="25" t="n">
        <f aca="false">IF(A2933-30&lt;$R$2,"",C2933/INDEX(Clean_Data!$C$2:$C$4314,MATCH(A2933-30,Clean_Data!$A$2:$A$4314,1))-1)</f>
        <v>0.208137458232515</v>
      </c>
    </row>
    <row r="2934" customFormat="false" ht="15" hidden="false" customHeight="false" outlineLevel="0" collapsed="false">
      <c r="A2934" s="16" t="n">
        <v>44941</v>
      </c>
      <c r="B2934" s="23" t="n">
        <f aca="false">YEAR(A2934)</f>
        <v>2023</v>
      </c>
      <c r="C2934" s="17" t="n">
        <v>20871.25</v>
      </c>
      <c r="D2934" s="23" t="n">
        <f aca="false">A2934-A2933</f>
        <v>1</v>
      </c>
      <c r="E2934" s="24" t="n">
        <f aca="false">LN(C2934)</f>
        <v>9.94612789286317</v>
      </c>
      <c r="F2934" s="25" t="n">
        <f aca="false">LN(C2934/C2933)</f>
        <v>-0.0047607643076425</v>
      </c>
      <c r="G2934" s="25" t="n">
        <f aca="false">IF(AND(D2934=1,A2934&gt;=$R$2),F2934,"")</f>
        <v>-0.0047607643076425</v>
      </c>
      <c r="H2934" s="27" t="n">
        <f aca="false">IF(G2934="","",G2934^2)</f>
        <v>2.26648767929228E-005</v>
      </c>
      <c r="I2934" s="25" t="n">
        <f aca="false">IF(G2934="","",C2934/C2933-1)</f>
        <v>-0.00474944983155179</v>
      </c>
      <c r="J2934" s="17" t="n">
        <f aca="false">AVERAGE(C2735:C2934)</f>
        <v>19517.9986</v>
      </c>
      <c r="K2934" s="17" t="n">
        <f aca="false">MAX(K2933,C2934)</f>
        <v>67510.06</v>
      </c>
      <c r="L2934" s="25" t="n">
        <f aca="false">C2934/K2934-1</f>
        <v>-0.690842372233116</v>
      </c>
      <c r="M2934" s="25" t="n">
        <f aca="false">IF(COUNT(G2905:G2934)&lt;20,"",_xlfn.STDEV.S(G2905:G2934)*SQRT($R$3))</f>
        <v>0.34262891475386</v>
      </c>
      <c r="N2934" s="25" t="n">
        <f aca="false">IF(A2934-7&lt;$R$2,"",C2934/INDEX(Clean_Data!$C$2:$C$4314,MATCH(A2934-7,Clean_Data!$A$2:$A$4314,1))-1)</f>
        <v>0.218094773419927</v>
      </c>
      <c r="O2934" s="25" t="n">
        <f aca="false">IF(A2934-30&lt;$R$2,"",C2934/INDEX(Clean_Data!$C$2:$C$4314,MATCH(A2934-30,Clean_Data!$A$2:$A$4314,1))-1)</f>
        <v>0.255237611811397</v>
      </c>
    </row>
    <row r="2935" customFormat="false" ht="15" hidden="false" customHeight="false" outlineLevel="0" collapsed="false">
      <c r="A2935" s="16" t="n">
        <v>44942</v>
      </c>
      <c r="B2935" s="23" t="n">
        <f aca="false">YEAR(A2935)</f>
        <v>2023</v>
      </c>
      <c r="C2935" s="17" t="n">
        <v>21186.93</v>
      </c>
      <c r="D2935" s="23" t="n">
        <f aca="false">A2935-A2934</f>
        <v>1</v>
      </c>
      <c r="E2935" s="24" t="n">
        <f aca="false">LN(C2935)</f>
        <v>9.96113976110606</v>
      </c>
      <c r="F2935" s="25" t="n">
        <f aca="false">LN(C2935/C2934)</f>
        <v>0.0150118682428891</v>
      </c>
      <c r="G2935" s="25" t="n">
        <f aca="false">IF(AND(D2935=1,A2935&gt;=$R$2),F2935,"")</f>
        <v>0.0150118682428891</v>
      </c>
      <c r="H2935" s="27" t="n">
        <f aca="false">IF(G2935="","",G2935^2)</f>
        <v>0.000225356188141862</v>
      </c>
      <c r="I2935" s="25" t="n">
        <f aca="false">IF(G2935="","",C2935/C2934-1)</f>
        <v>0.015125112295622</v>
      </c>
      <c r="J2935" s="17" t="n">
        <f aca="false">AVERAGE(C2736:C2935)</f>
        <v>19524.74535</v>
      </c>
      <c r="K2935" s="17" t="n">
        <f aca="false">MAX(K2934,C2935)</f>
        <v>67510.06</v>
      </c>
      <c r="L2935" s="25" t="n">
        <f aca="false">C2935/K2935-1</f>
        <v>-0.686166328396094</v>
      </c>
      <c r="M2935" s="25" t="n">
        <f aca="false">IF(COUNT(G2906:G2935)&lt;20,"",_xlfn.STDEV.S(G2906:G2935)*SQRT($R$3))</f>
        <v>0.343556974346067</v>
      </c>
      <c r="N2935" s="25" t="n">
        <f aca="false">IF(A2935-7&lt;$R$2,"",C2935/INDEX(Clean_Data!$C$2:$C$4314,MATCH(A2935-7,Clean_Data!$A$2:$A$4314,1))-1)</f>
        <v>0.233149701853485</v>
      </c>
      <c r="O2935" s="25" t="n">
        <f aca="false">IF(A2935-30&lt;$R$2,"",C2935/INDEX(Clean_Data!$C$2:$C$4314,MATCH(A2935-30,Clean_Data!$A$2:$A$4314,1))-1)</f>
        <v>0.262188376295063</v>
      </c>
    </row>
    <row r="2936" customFormat="false" ht="15" hidden="false" customHeight="false" outlineLevel="0" collapsed="false">
      <c r="A2936" s="16" t="n">
        <v>44943</v>
      </c>
      <c r="B2936" s="23" t="n">
        <f aca="false">YEAR(A2936)</f>
        <v>2023</v>
      </c>
      <c r="C2936" s="17" t="n">
        <v>21153.37</v>
      </c>
      <c r="D2936" s="23" t="n">
        <f aca="false">A2936-A2935</f>
        <v>1</v>
      </c>
      <c r="E2936" s="24" t="n">
        <f aca="false">LN(C2936)</f>
        <v>9.95955450984293</v>
      </c>
      <c r="F2936" s="25" t="n">
        <f aca="false">LN(C2936/C2935)</f>
        <v>-0.00158525126312683</v>
      </c>
      <c r="G2936" s="25" t="n">
        <f aca="false">IF(AND(D2936=1,A2936&gt;=$R$2),F2936,"")</f>
        <v>-0.00158525126312683</v>
      </c>
      <c r="H2936" s="27" t="n">
        <f aca="false">IF(G2936="","",G2936^2)</f>
        <v>2.51302156724523E-006</v>
      </c>
      <c r="I2936" s="25" t="n">
        <f aca="false">IF(G2936="","",C2936/C2935-1)</f>
        <v>-0.00158399541604193</v>
      </c>
      <c r="J2936" s="17" t="n">
        <f aca="false">AVERAGE(C2737:C2936)</f>
        <v>19534.1607</v>
      </c>
      <c r="K2936" s="17" t="n">
        <f aca="false">MAX(K2935,C2936)</f>
        <v>67510.06</v>
      </c>
      <c r="L2936" s="25" t="n">
        <f aca="false">C2936/K2936-1</f>
        <v>-0.686663439493314</v>
      </c>
      <c r="M2936" s="25" t="n">
        <f aca="false">IF(COUNT(G2907:G2936)&lt;20,"",_xlfn.STDEV.S(G2907:G2936)*SQRT($R$3))</f>
        <v>0.343459823957735</v>
      </c>
      <c r="N2936" s="25" t="n">
        <f aca="false">IF(A2936-7&lt;$R$2,"",C2936/INDEX(Clean_Data!$C$2:$C$4314,MATCH(A2936-7,Clean_Data!$A$2:$A$4314,1))-1)</f>
        <v>0.21259232720446</v>
      </c>
      <c r="O2936" s="25" t="n">
        <f aca="false">IF(A2936-30&lt;$R$2,"",C2936/INDEX(Clean_Data!$C$2:$C$4314,MATCH(A2936-30,Clean_Data!$A$2:$A$4314,1))-1)</f>
        <v>0.262541033507216</v>
      </c>
    </row>
    <row r="2937" customFormat="false" ht="15" hidden="false" customHeight="false" outlineLevel="0" collapsed="false">
      <c r="A2937" s="16" t="n">
        <v>44944</v>
      </c>
      <c r="B2937" s="23" t="n">
        <f aca="false">YEAR(A2937)</f>
        <v>2023</v>
      </c>
      <c r="C2937" s="17" t="n">
        <v>20710.89</v>
      </c>
      <c r="D2937" s="23" t="n">
        <f aca="false">A2937-A2936</f>
        <v>1</v>
      </c>
      <c r="E2937" s="24" t="n">
        <f aca="false">LN(C2937)</f>
        <v>9.93841492787476</v>
      </c>
      <c r="F2937" s="25" t="n">
        <f aca="false">LN(C2937/C2936)</f>
        <v>-0.0211395819681745</v>
      </c>
      <c r="G2937" s="25" t="n">
        <f aca="false">IF(AND(D2937=1,A2937&gt;=$R$2),F2937,"")</f>
        <v>-0.0211395819681745</v>
      </c>
      <c r="H2937" s="27" t="n">
        <f aca="false">IF(G2937="","",G2937^2)</f>
        <v>0.000446881925789166</v>
      </c>
      <c r="I2937" s="25" t="n">
        <f aca="false">IF(G2937="","",C2937/C2936-1)</f>
        <v>-0.0209177072022094</v>
      </c>
      <c r="J2937" s="17" t="n">
        <f aca="false">AVERAGE(C2738:C2937)</f>
        <v>19541.66255</v>
      </c>
      <c r="K2937" s="17" t="n">
        <f aca="false">MAX(K2936,C2937)</f>
        <v>67510.06</v>
      </c>
      <c r="L2937" s="25" t="n">
        <f aca="false">C2937/K2937-1</f>
        <v>-0.69321772192174</v>
      </c>
      <c r="M2937" s="25" t="n">
        <f aca="false">IF(COUNT(G2908:G2937)&lt;20,"",_xlfn.STDEV.S(G2908:G2937)*SQRT($R$3))</f>
        <v>0.346434800248869</v>
      </c>
      <c r="N2937" s="25" t="n">
        <f aca="false">IF(A2937-7&lt;$R$2,"",C2937/INDEX(Clean_Data!$C$2:$C$4314,MATCH(A2937-7,Clean_Data!$A$2:$A$4314,1))-1)</f>
        <v>0.154310336179135</v>
      </c>
      <c r="O2937" s="25" t="n">
        <f aca="false">IF(A2937-30&lt;$R$2,"",C2937/INDEX(Clean_Data!$C$2:$C$4314,MATCH(A2937-30,Clean_Data!$A$2:$A$4314,1))-1)</f>
        <v>0.258785746368307</v>
      </c>
    </row>
    <row r="2938" customFormat="false" ht="15" hidden="false" customHeight="false" outlineLevel="0" collapsed="false">
      <c r="A2938" s="16" t="n">
        <v>44945</v>
      </c>
      <c r="B2938" s="23" t="n">
        <f aca="false">YEAR(A2938)</f>
        <v>2023</v>
      </c>
      <c r="C2938" s="17" t="n">
        <v>21088.14</v>
      </c>
      <c r="D2938" s="23" t="n">
        <f aca="false">A2938-A2937</f>
        <v>1</v>
      </c>
      <c r="E2938" s="24" t="n">
        <f aca="false">LN(C2938)</f>
        <v>9.95646607612694</v>
      </c>
      <c r="F2938" s="25" t="n">
        <f aca="false">LN(C2938/C2937)</f>
        <v>0.0180511482521796</v>
      </c>
      <c r="G2938" s="25" t="n">
        <f aca="false">IF(AND(D2938=1,A2938&gt;=$R$2),F2938,"")</f>
        <v>0.0180511482521796</v>
      </c>
      <c r="H2938" s="27" t="n">
        <f aca="false">IF(G2938="","",G2938^2)</f>
        <v>0.000325843953222166</v>
      </c>
      <c r="I2938" s="25" t="n">
        <f aca="false">IF(G2938="","",C2938/C2937-1)</f>
        <v>0.0182150549783231</v>
      </c>
      <c r="J2938" s="17" t="n">
        <f aca="false">AVERAGE(C2739:C2938)</f>
        <v>19550.6879</v>
      </c>
      <c r="K2938" s="17" t="n">
        <f aca="false">MAX(K2937,C2938)</f>
        <v>67510.06</v>
      </c>
      <c r="L2938" s="25" t="n">
        <f aca="false">C2938/K2938-1</f>
        <v>-0.68762966586017</v>
      </c>
      <c r="M2938" s="25" t="n">
        <f aca="false">IF(COUNT(G2909:G2938)&lt;20,"",_xlfn.STDEV.S(G2909:G2938)*SQRT($R$3))</f>
        <v>0.341957135835433</v>
      </c>
      <c r="N2938" s="25" t="n">
        <f aca="false">IF(A2938-7&lt;$R$2,"",C2938/INDEX(Clean_Data!$C$2:$C$4314,MATCH(A2938-7,Clean_Data!$A$2:$A$4314,1))-1)</f>
        <v>0.117919352153921</v>
      </c>
      <c r="O2938" s="25" t="n">
        <f aca="false">IF(A2938-30&lt;$R$2,"",C2938/INDEX(Clean_Data!$C$2:$C$4314,MATCH(A2938-30,Clean_Data!$A$2:$A$4314,1))-1)</f>
        <v>0.248334519227468</v>
      </c>
    </row>
    <row r="2939" customFormat="false" ht="15" hidden="false" customHeight="false" outlineLevel="0" collapsed="false">
      <c r="A2939" s="16" t="n">
        <v>44946</v>
      </c>
      <c r="B2939" s="23" t="n">
        <f aca="false">YEAR(A2939)</f>
        <v>2023</v>
      </c>
      <c r="C2939" s="17" t="n">
        <v>22686.85</v>
      </c>
      <c r="D2939" s="23" t="n">
        <f aca="false">A2939-A2938</f>
        <v>1</v>
      </c>
      <c r="E2939" s="24" t="n">
        <f aca="false">LN(C2939)</f>
        <v>10.029540740459</v>
      </c>
      <c r="F2939" s="25" t="n">
        <f aca="false">LN(C2939/C2938)</f>
        <v>0.0730746643321082</v>
      </c>
      <c r="G2939" s="25" t="n">
        <f aca="false">IF(AND(D2939=1,A2939&gt;=$R$2),F2939,"")</f>
        <v>0.0730746643321082</v>
      </c>
      <c r="H2939" s="27" t="n">
        <f aca="false">IF(G2939="","",G2939^2)</f>
        <v>0.00533990656725028</v>
      </c>
      <c r="I2939" s="25" t="n">
        <f aca="false">IF(G2939="","",C2939/C2938-1)</f>
        <v>0.0758108586153163</v>
      </c>
      <c r="J2939" s="17" t="n">
        <f aca="false">AVERAGE(C2740:C2939)</f>
        <v>19563.0927</v>
      </c>
      <c r="K2939" s="17" t="n">
        <f aca="false">MAX(K2938,C2939)</f>
        <v>67510.06</v>
      </c>
      <c r="L2939" s="25" t="n">
        <f aca="false">C2939/K2939-1</f>
        <v>-0.663948602623076</v>
      </c>
      <c r="M2939" s="25" t="n">
        <f aca="false">IF(COUNT(G2910:G2939)&lt;20,"",_xlfn.STDEV.S(G2910:G2939)*SQRT($R$3))</f>
        <v>0.40866763894112</v>
      </c>
      <c r="N2939" s="25" t="n">
        <f aca="false">IF(A2939-7&lt;$R$2,"",C2939/INDEX(Clean_Data!$C$2:$C$4314,MATCH(A2939-7,Clean_Data!$A$2:$A$4314,1))-1)</f>
        <v>0.139515329839808</v>
      </c>
      <c r="O2939" s="25" t="n">
        <f aca="false">IF(A2939-30&lt;$R$2,"",C2939/INDEX(Clean_Data!$C$2:$C$4314,MATCH(A2939-30,Clean_Data!$A$2:$A$4314,1))-1)</f>
        <v>0.348719430379709</v>
      </c>
    </row>
    <row r="2940" customFormat="false" ht="15" hidden="false" customHeight="false" outlineLevel="0" collapsed="false">
      <c r="A2940" s="16" t="n">
        <v>44947</v>
      </c>
      <c r="B2940" s="23" t="n">
        <f aca="false">YEAR(A2940)</f>
        <v>2023</v>
      </c>
      <c r="C2940" s="17" t="n">
        <v>22785.59</v>
      </c>
      <c r="D2940" s="23" t="n">
        <f aca="false">A2940-A2939</f>
        <v>1</v>
      </c>
      <c r="E2940" s="24" t="n">
        <f aca="false">LN(C2940)</f>
        <v>10.0338835975914</v>
      </c>
      <c r="F2940" s="25" t="n">
        <f aca="false">LN(C2940/C2939)</f>
        <v>0.00434285713234994</v>
      </c>
      <c r="G2940" s="25" t="n">
        <f aca="false">IF(AND(D2940=1,A2940&gt;=$R$2),F2940,"")</f>
        <v>0.00434285713234994</v>
      </c>
      <c r="H2940" s="27" t="n">
        <f aca="false">IF(G2940="","",G2940^2)</f>
        <v>1.88604080720027E-005</v>
      </c>
      <c r="I2940" s="25" t="n">
        <f aca="false">IF(G2940="","",C2940/C2939-1)</f>
        <v>0.00435230100256323</v>
      </c>
      <c r="J2940" s="17" t="n">
        <f aca="false">AVERAGE(C2741:C2940)</f>
        <v>19576.16515</v>
      </c>
      <c r="K2940" s="17" t="n">
        <f aca="false">MAX(K2939,C2940)</f>
        <v>67510.06</v>
      </c>
      <c r="L2940" s="25" t="n">
        <f aca="false">C2940/K2940-1</f>
        <v>-0.662486005789359</v>
      </c>
      <c r="M2940" s="25" t="n">
        <f aca="false">IF(COUNT(G2911:G2940)&lt;20,"",_xlfn.STDEV.S(G2911:G2940)*SQRT($R$3))</f>
        <v>0.40757928695369</v>
      </c>
      <c r="N2940" s="25" t="n">
        <f aca="false">IF(A2940-7&lt;$R$2,"",C2940/INDEX(Clean_Data!$C$2:$C$4314,MATCH(A2940-7,Clean_Data!$A$2:$A$4314,1))-1)</f>
        <v>0.0865363111175752</v>
      </c>
      <c r="O2940" s="25" t="n">
        <f aca="false">IF(A2940-30&lt;$R$2,"",C2940/INDEX(Clean_Data!$C$2:$C$4314,MATCH(A2940-30,Clean_Data!$A$2:$A$4314,1))-1)</f>
        <v>0.35473604289381</v>
      </c>
    </row>
    <row r="2941" customFormat="false" ht="15" hidden="false" customHeight="false" outlineLevel="0" collapsed="false">
      <c r="A2941" s="16" t="n">
        <v>44948</v>
      </c>
      <c r="B2941" s="23" t="n">
        <f aca="false">YEAR(A2941)</f>
        <v>2023</v>
      </c>
      <c r="C2941" s="17" t="n">
        <v>22706.71</v>
      </c>
      <c r="D2941" s="23" t="n">
        <f aca="false">A2941-A2940</f>
        <v>1</v>
      </c>
      <c r="E2941" s="24" t="n">
        <f aca="false">LN(C2941)</f>
        <v>10.0304157545036</v>
      </c>
      <c r="F2941" s="25" t="n">
        <f aca="false">LN(C2941/C2940)</f>
        <v>-0.00346784308775192</v>
      </c>
      <c r="G2941" s="25" t="n">
        <f aca="false">IF(AND(D2941=1,A2941&gt;=$R$2),F2941,"")</f>
        <v>-0.00346784308775192</v>
      </c>
      <c r="H2941" s="27" t="n">
        <f aca="false">IF(G2941="","",G2941^2)</f>
        <v>1.20259356812688E-005</v>
      </c>
      <c r="I2941" s="25" t="n">
        <f aca="false">IF(G2941="","",C2941/C2940-1)</f>
        <v>-0.00346183706456582</v>
      </c>
      <c r="J2941" s="17" t="n">
        <f aca="false">AVERAGE(C2742:C2941)</f>
        <v>19586.9147</v>
      </c>
      <c r="K2941" s="17" t="n">
        <f aca="false">MAX(K2940,C2941)</f>
        <v>67510.06</v>
      </c>
      <c r="L2941" s="25" t="n">
        <f aca="false">C2941/K2941-1</f>
        <v>-0.663654424244327</v>
      </c>
      <c r="M2941" s="25" t="n">
        <f aca="false">IF(COUNT(G2912:G2941)&lt;20,"",_xlfn.STDEV.S(G2912:G2941)*SQRT($R$3))</f>
        <v>0.407959965431207</v>
      </c>
      <c r="N2941" s="25" t="n">
        <f aca="false">IF(A2941-7&lt;$R$2,"",C2941/INDEX(Clean_Data!$C$2:$C$4314,MATCH(A2941-7,Clean_Data!$A$2:$A$4314,1))-1)</f>
        <v>0.0879420255135652</v>
      </c>
      <c r="O2941" s="25" t="n">
        <f aca="false">IF(A2941-30&lt;$R$2,"",C2941/INDEX(Clean_Data!$C$2:$C$4314,MATCH(A2941-30,Clean_Data!$A$2:$A$4314,1))-1)</f>
        <v>0.353461363540181</v>
      </c>
    </row>
    <row r="2942" customFormat="false" ht="15" hidden="false" customHeight="false" outlineLevel="0" collapsed="false">
      <c r="A2942" s="16" t="n">
        <v>44949</v>
      </c>
      <c r="B2942" s="23" t="n">
        <f aca="false">YEAR(A2942)</f>
        <v>2023</v>
      </c>
      <c r="C2942" s="17" t="n">
        <v>22915.32</v>
      </c>
      <c r="D2942" s="23" t="n">
        <f aca="false">A2942-A2941</f>
        <v>1</v>
      </c>
      <c r="E2942" s="24" t="n">
        <f aca="false">LN(C2942)</f>
        <v>10.0395609614977</v>
      </c>
      <c r="F2942" s="25" t="n">
        <f aca="false">LN(C2942/C2941)</f>
        <v>0.00914520699405378</v>
      </c>
      <c r="G2942" s="25" t="n">
        <f aca="false">IF(AND(D2942=1,A2942&gt;=$R$2),F2942,"")</f>
        <v>0.00914520699405378</v>
      </c>
      <c r="H2942" s="27" t="n">
        <f aca="false">IF(G2942="","",G2942^2)</f>
        <v>8.36348109640902E-005</v>
      </c>
      <c r="I2942" s="25" t="n">
        <f aca="false">IF(G2942="","",C2942/C2941-1)</f>
        <v>0.00918715216779531</v>
      </c>
      <c r="J2942" s="17" t="n">
        <f aca="false">AVERAGE(C2743:C2942)</f>
        <v>19593.20435</v>
      </c>
      <c r="K2942" s="17" t="n">
        <f aca="false">MAX(K2941,C2942)</f>
        <v>67510.06</v>
      </c>
      <c r="L2942" s="25" t="n">
        <f aca="false">C2942/K2942-1</f>
        <v>-0.660564366258895</v>
      </c>
      <c r="M2942" s="25" t="n">
        <f aca="false">IF(COUNT(G2913:G2942)&lt;20,"",_xlfn.STDEV.S(G2913:G2942)*SQRT($R$3))</f>
        <v>0.407262209249618</v>
      </c>
      <c r="N2942" s="25" t="n">
        <f aca="false">IF(A2942-7&lt;$R$2,"",C2942/INDEX(Clean_Data!$C$2:$C$4314,MATCH(A2942-7,Clean_Data!$A$2:$A$4314,1))-1)</f>
        <v>0.0815781238716511</v>
      </c>
      <c r="O2942" s="25" t="n">
        <f aca="false">IF(A2942-30&lt;$R$2,"",C2942/INDEX(Clean_Data!$C$2:$C$4314,MATCH(A2942-30,Clean_Data!$A$2:$A$4314,1))-1)</f>
        <v>0.361283765039109</v>
      </c>
    </row>
    <row r="2943" customFormat="false" ht="15" hidden="false" customHeight="false" outlineLevel="0" collapsed="false">
      <c r="A2943" s="16" t="n">
        <v>44950</v>
      </c>
      <c r="B2943" s="23" t="n">
        <f aca="false">YEAR(A2943)</f>
        <v>2023</v>
      </c>
      <c r="C2943" s="17" t="n">
        <v>22612.34</v>
      </c>
      <c r="D2943" s="23" t="n">
        <f aca="false">A2943-A2942</f>
        <v>1</v>
      </c>
      <c r="E2943" s="24" t="n">
        <f aca="false">LN(C2943)</f>
        <v>10.0262510539461</v>
      </c>
      <c r="F2943" s="25" t="n">
        <f aca="false">LN(C2943/C2942)</f>
        <v>-0.0133099075516256</v>
      </c>
      <c r="G2943" s="25" t="n">
        <f aca="false">IF(AND(D2943=1,A2943&gt;=$R$2),F2943,"")</f>
        <v>-0.0133099075516256</v>
      </c>
      <c r="H2943" s="27" t="n">
        <f aca="false">IF(G2943="","",G2943^2)</f>
        <v>0.000177153639032821</v>
      </c>
      <c r="I2943" s="25" t="n">
        <f aca="false">IF(G2943="","",C2943/C2942-1)</f>
        <v>-0.0132217224110333</v>
      </c>
      <c r="J2943" s="17" t="n">
        <f aca="false">AVERAGE(C2744:C2943)</f>
        <v>19598.35335</v>
      </c>
      <c r="K2943" s="17" t="n">
        <f aca="false">MAX(K2942,C2943)</f>
        <v>67510.06</v>
      </c>
      <c r="L2943" s="25" t="n">
        <f aca="false">C2943/K2943-1</f>
        <v>-0.665052289984633</v>
      </c>
      <c r="M2943" s="25" t="n">
        <f aca="false">IF(COUNT(G2914:G2943)&lt;20,"",_xlfn.STDEV.S(G2914:G2943)*SQRT($R$3))</f>
        <v>0.414036543186708</v>
      </c>
      <c r="N2943" s="25" t="n">
        <f aca="false">IF(A2943-7&lt;$R$2,"",C2943/INDEX(Clean_Data!$C$2:$C$4314,MATCH(A2943-7,Clean_Data!$A$2:$A$4314,1))-1)</f>
        <v>0.0689710433845767</v>
      </c>
      <c r="O2943" s="25" t="n">
        <f aca="false">IF(A2943-30&lt;$R$2,"",C2943/INDEX(Clean_Data!$C$2:$C$4314,MATCH(A2943-30,Clean_Data!$A$2:$A$4314,1))-1)</f>
        <v>0.343479983863273</v>
      </c>
    </row>
    <row r="2944" customFormat="false" ht="15" hidden="false" customHeight="false" outlineLevel="0" collapsed="false">
      <c r="A2944" s="16" t="n">
        <v>44951</v>
      </c>
      <c r="B2944" s="23" t="n">
        <f aca="false">YEAR(A2944)</f>
        <v>2023</v>
      </c>
      <c r="C2944" s="17" t="n">
        <v>23072.42</v>
      </c>
      <c r="D2944" s="23" t="n">
        <f aca="false">A2944-A2943</f>
        <v>1</v>
      </c>
      <c r="E2944" s="24" t="n">
        <f aca="false">LN(C2944)</f>
        <v>10.0463932438025</v>
      </c>
      <c r="F2944" s="25" t="n">
        <f aca="false">LN(C2944/C2943)</f>
        <v>0.0201421898564134</v>
      </c>
      <c r="G2944" s="25" t="n">
        <f aca="false">IF(AND(D2944=1,A2944&gt;=$R$2),F2944,"")</f>
        <v>0.0201421898564134</v>
      </c>
      <c r="H2944" s="27" t="n">
        <f aca="false">IF(G2944="","",G2944^2)</f>
        <v>0.000405707812211805</v>
      </c>
      <c r="I2944" s="25" t="n">
        <f aca="false">IF(G2944="","",C2944/C2943-1)</f>
        <v>0.0203464126224884</v>
      </c>
      <c r="J2944" s="17" t="n">
        <f aca="false">AVERAGE(C2745:C2944)</f>
        <v>19605.8486</v>
      </c>
      <c r="K2944" s="17" t="n">
        <f aca="false">MAX(K2943,C2944)</f>
        <v>67510.06</v>
      </c>
      <c r="L2944" s="25" t="n">
        <f aca="false">C2944/K2944-1</f>
        <v>-0.658237305669703</v>
      </c>
      <c r="M2944" s="25" t="n">
        <f aca="false">IF(COUNT(G2915:G2944)&lt;20,"",_xlfn.STDEV.S(G2915:G2944)*SQRT($R$3))</f>
        <v>0.415382078853647</v>
      </c>
      <c r="N2944" s="25" t="n">
        <f aca="false">IF(A2944-7&lt;$R$2,"",C2944/INDEX(Clean_Data!$C$2:$C$4314,MATCH(A2944-7,Clean_Data!$A$2:$A$4314,1))-1)</f>
        <v>0.114023588556552</v>
      </c>
      <c r="O2944" s="25" t="n">
        <f aca="false">IF(A2944-30&lt;$R$2,"",C2944/INDEX(Clean_Data!$C$2:$C$4314,MATCH(A2944-30,Clean_Data!$A$2:$A$4314,1))-1)</f>
        <v>0.361942338092253</v>
      </c>
    </row>
    <row r="2945" customFormat="false" ht="15" hidden="false" customHeight="false" outlineLevel="0" collapsed="false">
      <c r="A2945" s="16" t="n">
        <v>44952</v>
      </c>
      <c r="B2945" s="23" t="n">
        <f aca="false">YEAR(A2945)</f>
        <v>2023</v>
      </c>
      <c r="C2945" s="17" t="n">
        <v>23028.35</v>
      </c>
      <c r="D2945" s="23" t="n">
        <f aca="false">A2945-A2944</f>
        <v>1</v>
      </c>
      <c r="E2945" s="24" t="n">
        <f aca="false">LN(C2945)</f>
        <v>10.0444813445685</v>
      </c>
      <c r="F2945" s="25" t="n">
        <f aca="false">LN(C2945/C2944)</f>
        <v>-0.00191189923397395</v>
      </c>
      <c r="G2945" s="25" t="n">
        <f aca="false">IF(AND(D2945=1,A2945&gt;=$R$2),F2945,"")</f>
        <v>-0.00191189923397395</v>
      </c>
      <c r="H2945" s="27" t="n">
        <f aca="false">IF(G2945="","",G2945^2)</f>
        <v>3.65535868087018E-006</v>
      </c>
      <c r="I2945" s="25" t="n">
        <f aca="false">IF(G2945="","",C2945/C2944-1)</f>
        <v>-0.00191007271885657</v>
      </c>
      <c r="J2945" s="17" t="n">
        <f aca="false">AVERAGE(C2746:C2945)</f>
        <v>19616.9556</v>
      </c>
      <c r="K2945" s="17" t="n">
        <f aca="false">MAX(K2944,C2945)</f>
        <v>67510.06</v>
      </c>
      <c r="L2945" s="25" t="n">
        <f aca="false">C2945/K2945-1</f>
        <v>-0.658890097268466</v>
      </c>
      <c r="M2945" s="25" t="n">
        <f aca="false">IF(COUNT(G2916:G2945)&lt;20,"",_xlfn.STDEV.S(G2916:G2945)*SQRT($R$3))</f>
        <v>0.408015125172559</v>
      </c>
      <c r="N2945" s="25" t="n">
        <f aca="false">IF(A2945-7&lt;$R$2,"",C2945/INDEX(Clean_Data!$C$2:$C$4314,MATCH(A2945-7,Clean_Data!$A$2:$A$4314,1))-1)</f>
        <v>0.0920047951123237</v>
      </c>
      <c r="O2945" s="25" t="n">
        <f aca="false">IF(A2945-30&lt;$R$2,"",C2945/INDEX(Clean_Data!$C$2:$C$4314,MATCH(A2945-30,Clean_Data!$A$2:$A$4314,1))-1)</f>
        <v>0.379489953502526</v>
      </c>
    </row>
    <row r="2946" customFormat="false" ht="15" hidden="false" customHeight="false" outlineLevel="0" collapsed="false">
      <c r="A2946" s="16" t="n">
        <v>44953</v>
      </c>
      <c r="B2946" s="23" t="n">
        <f aca="false">YEAR(A2946)</f>
        <v>2023</v>
      </c>
      <c r="C2946" s="17" t="n">
        <v>23072.62</v>
      </c>
      <c r="D2946" s="23" t="n">
        <f aca="false">A2946-A2945</f>
        <v>1</v>
      </c>
      <c r="E2946" s="24" t="n">
        <f aca="false">LN(C2946)</f>
        <v>10.0464019121231</v>
      </c>
      <c r="F2946" s="25" t="n">
        <f aca="false">LN(C2946/C2945)</f>
        <v>0.00192056755455628</v>
      </c>
      <c r="G2946" s="25" t="n">
        <f aca="false">IF(AND(D2946=1,A2946&gt;=$R$2),F2946,"")</f>
        <v>0.00192056755455628</v>
      </c>
      <c r="H2946" s="27" t="n">
        <f aca="false">IF(G2946="","",G2946^2)</f>
        <v>3.6885797316143E-006</v>
      </c>
      <c r="I2946" s="25" t="n">
        <f aca="false">IF(G2946="","",C2946/C2945-1)</f>
        <v>0.00192241302568363</v>
      </c>
      <c r="J2946" s="17" t="n">
        <f aca="false">AVERAGE(C2747:C2946)</f>
        <v>19632.60415</v>
      </c>
      <c r="K2946" s="17" t="n">
        <f aca="false">MAX(K2945,C2946)</f>
        <v>67510.06</v>
      </c>
      <c r="L2946" s="25" t="n">
        <f aca="false">C2946/K2946-1</f>
        <v>-0.658234343148266</v>
      </c>
      <c r="M2946" s="25" t="n">
        <f aca="false">IF(COUNT(G2917:G2946)&lt;20,"",_xlfn.STDEV.S(G2917:G2946)*SQRT($R$3))</f>
        <v>0.402936324246608</v>
      </c>
      <c r="N2946" s="25" t="n">
        <f aca="false">IF(A2946-7&lt;$R$2,"",C2946/INDEX(Clean_Data!$C$2:$C$4314,MATCH(A2946-7,Clean_Data!$A$2:$A$4314,1))-1)</f>
        <v>0.0170041235341178</v>
      </c>
      <c r="O2946" s="25" t="n">
        <f aca="false">IF(A2946-30&lt;$R$2,"",C2946/INDEX(Clean_Data!$C$2:$C$4314,MATCH(A2946-30,Clean_Data!$A$2:$A$4314,1))-1)</f>
        <v>0.395041544178555</v>
      </c>
    </row>
    <row r="2947" customFormat="false" ht="15" hidden="false" customHeight="false" outlineLevel="0" collapsed="false">
      <c r="A2947" s="16" t="n">
        <v>44954</v>
      </c>
      <c r="B2947" s="23" t="n">
        <f aca="false">YEAR(A2947)</f>
        <v>2023</v>
      </c>
      <c r="C2947" s="17" t="n">
        <v>23034.71</v>
      </c>
      <c r="D2947" s="23" t="n">
        <f aca="false">A2947-A2946</f>
        <v>1</v>
      </c>
      <c r="E2947" s="24" t="n">
        <f aca="false">LN(C2947)</f>
        <v>10.0447574877531</v>
      </c>
      <c r="F2947" s="25" t="n">
        <f aca="false">LN(C2947/C2946)</f>
        <v>-0.00164442436995597</v>
      </c>
      <c r="G2947" s="25" t="n">
        <f aca="false">IF(AND(D2947=1,A2947&gt;=$R$2),F2947,"")</f>
        <v>-0.00164442436995597</v>
      </c>
      <c r="H2947" s="27" t="n">
        <f aca="false">IF(G2947="","",G2947^2)</f>
        <v>2.70413150850508E-006</v>
      </c>
      <c r="I2947" s="25" t="n">
        <f aca="false">IF(G2947="","",C2947/C2946-1)</f>
        <v>-0.00164307304502043</v>
      </c>
      <c r="J2947" s="17" t="n">
        <f aca="false">AVERAGE(C2748:C2947)</f>
        <v>19651.26415</v>
      </c>
      <c r="K2947" s="17" t="n">
        <f aca="false">MAX(K2946,C2947)</f>
        <v>67510.06</v>
      </c>
      <c r="L2947" s="25" t="n">
        <f aca="false">C2947/K2947-1</f>
        <v>-0.658795889086753</v>
      </c>
      <c r="M2947" s="25" t="n">
        <f aca="false">IF(COUNT(G2918:G2947)&lt;20,"",_xlfn.STDEV.S(G2918:G2947)*SQRT($R$3))</f>
        <v>0.404908750327172</v>
      </c>
      <c r="N2947" s="25" t="n">
        <f aca="false">IF(A2947-7&lt;$R$2,"",C2947/INDEX(Clean_Data!$C$2:$C$4314,MATCH(A2947-7,Clean_Data!$A$2:$A$4314,1))-1)</f>
        <v>0.0109332257799775</v>
      </c>
      <c r="O2947" s="25" t="n">
        <f aca="false">IF(A2947-30&lt;$R$2,"",C2947/INDEX(Clean_Data!$C$2:$C$4314,MATCH(A2947-30,Clean_Data!$A$2:$A$4314,1))-1)</f>
        <v>0.385453963675207</v>
      </c>
    </row>
    <row r="2948" customFormat="false" ht="15" hidden="false" customHeight="false" outlineLevel="0" collapsed="false">
      <c r="A2948" s="16" t="n">
        <v>44955</v>
      </c>
      <c r="B2948" s="23" t="n">
        <f aca="false">YEAR(A2948)</f>
        <v>2023</v>
      </c>
      <c r="C2948" s="17" t="n">
        <v>23736.52</v>
      </c>
      <c r="D2948" s="23" t="n">
        <f aca="false">A2948-A2947</f>
        <v>1</v>
      </c>
      <c r="E2948" s="24" t="n">
        <f aca="false">LN(C2948)</f>
        <v>10.0747700693815</v>
      </c>
      <c r="F2948" s="25" t="n">
        <f aca="false">LN(C2948/C2947)</f>
        <v>0.0300125816284062</v>
      </c>
      <c r="G2948" s="25" t="n">
        <f aca="false">IF(AND(D2948=1,A2948&gt;=$R$2),F2948,"")</f>
        <v>0.0300125816284062</v>
      </c>
      <c r="H2948" s="27" t="n">
        <f aca="false">IF(G2948="","",G2948^2)</f>
        <v>0.000900755056001745</v>
      </c>
      <c r="I2948" s="25" t="n">
        <f aca="false">IF(G2948="","",C2948/C2947-1)</f>
        <v>0.030467498831112</v>
      </c>
      <c r="J2948" s="17" t="n">
        <f aca="false">AVERAGE(C2749:C2948)</f>
        <v>19668.91365</v>
      </c>
      <c r="K2948" s="17" t="n">
        <f aca="false">MAX(K2947,C2948)</f>
        <v>67510.06</v>
      </c>
      <c r="L2948" s="25" t="n">
        <f aca="false">C2948/K2948-1</f>
        <v>-0.648400253236332</v>
      </c>
      <c r="M2948" s="25" t="n">
        <f aca="false">IF(COUNT(G2919:G2948)&lt;20,"",_xlfn.STDEV.S(G2919:G2948)*SQRT($R$3))</f>
        <v>0.4078331261058</v>
      </c>
      <c r="N2948" s="25" t="n">
        <f aca="false">IF(A2948-7&lt;$R$2,"",C2948/INDEX(Clean_Data!$C$2:$C$4314,MATCH(A2948-7,Clean_Data!$A$2:$A$4314,1))-1)</f>
        <v>0.0453526732846812</v>
      </c>
      <c r="O2948" s="25" t="n">
        <f aca="false">IF(A2948-30&lt;$R$2,"",C2948/INDEX(Clean_Data!$C$2:$C$4314,MATCH(A2948-30,Clean_Data!$A$2:$A$4314,1))-1)</f>
        <v>0.429357182729822</v>
      </c>
    </row>
    <row r="2949" customFormat="false" ht="15" hidden="false" customHeight="false" outlineLevel="0" collapsed="false">
      <c r="A2949" s="16" t="n">
        <v>44956</v>
      </c>
      <c r="B2949" s="23" t="n">
        <f aca="false">YEAR(A2949)</f>
        <v>2023</v>
      </c>
      <c r="C2949" s="17" t="n">
        <v>22832.32</v>
      </c>
      <c r="D2949" s="23" t="n">
        <f aca="false">A2949-A2948</f>
        <v>1</v>
      </c>
      <c r="E2949" s="24" t="n">
        <f aca="false">LN(C2949)</f>
        <v>10.0359323550354</v>
      </c>
      <c r="F2949" s="25" t="n">
        <f aca="false">LN(C2949/C2948)</f>
        <v>-0.0388377143461532</v>
      </c>
      <c r="G2949" s="25" t="n">
        <f aca="false">IF(AND(D2949=1,A2949&gt;=$R$2),F2949,"")</f>
        <v>-0.0388377143461532</v>
      </c>
      <c r="H2949" s="27" t="n">
        <f aca="false">IF(G2949="","",G2949^2)</f>
        <v>0.00150836805563339</v>
      </c>
      <c r="I2949" s="25" t="n">
        <f aca="false">IF(G2949="","",C2949/C2948-1)</f>
        <v>-0.0380931998456388</v>
      </c>
      <c r="J2949" s="17" t="n">
        <f aca="false">AVERAGE(C2750:C2949)</f>
        <v>19680.15785</v>
      </c>
      <c r="K2949" s="17" t="n">
        <f aca="false">MAX(K2948,C2949)</f>
        <v>67510.06</v>
      </c>
      <c r="L2949" s="25" t="n">
        <f aca="false">C2949/K2949-1</f>
        <v>-0.661793812655477</v>
      </c>
      <c r="M2949" s="25" t="n">
        <f aca="false">IF(COUNT(G2920:G2949)&lt;20,"",_xlfn.STDEV.S(G2920:G2949)*SQRT($R$3))</f>
        <v>0.441401311209027</v>
      </c>
      <c r="N2949" s="25" t="n">
        <f aca="false">IF(A2949-7&lt;$R$2,"",C2949/INDEX(Clean_Data!$C$2:$C$4314,MATCH(A2949-7,Clean_Data!$A$2:$A$4314,1))-1)</f>
        <v>-0.00362203102553227</v>
      </c>
      <c r="O2949" s="25" t="n">
        <f aca="false">IF(A2949-30&lt;$R$2,"",C2949/INDEX(Clean_Data!$C$2:$C$4314,MATCH(A2949-30,Clean_Data!$A$2:$A$4314,1))-1)</f>
        <v>0.381182021656282</v>
      </c>
    </row>
    <row r="2950" customFormat="false" ht="15" hidden="false" customHeight="false" outlineLevel="0" collapsed="false">
      <c r="A2950" s="16" t="n">
        <v>44957</v>
      </c>
      <c r="B2950" s="23" t="n">
        <f aca="false">YEAR(A2950)</f>
        <v>2023</v>
      </c>
      <c r="C2950" s="17" t="n">
        <v>23134.74</v>
      </c>
      <c r="D2950" s="23" t="n">
        <f aca="false">A2950-A2949</f>
        <v>1</v>
      </c>
      <c r="E2950" s="24" t="n">
        <f aca="false">LN(C2950)</f>
        <v>10.0490906628945</v>
      </c>
      <c r="F2950" s="25" t="n">
        <f aca="false">LN(C2950/C2949)</f>
        <v>0.0131583078591858</v>
      </c>
      <c r="G2950" s="25" t="n">
        <f aca="false">IF(AND(D2950=1,A2950&gt;=$R$2),F2950,"")</f>
        <v>0.0131583078591858</v>
      </c>
      <c r="H2950" s="27" t="n">
        <f aca="false">IF(G2950="","",G2950^2)</f>
        <v>0.000173141065717111</v>
      </c>
      <c r="I2950" s="25" t="n">
        <f aca="false">IF(G2950="","",C2950/C2949-1)</f>
        <v>0.0132452593516559</v>
      </c>
      <c r="J2950" s="17" t="n">
        <f aca="false">AVERAGE(C2751:C2950)</f>
        <v>19691.6396</v>
      </c>
      <c r="K2950" s="17" t="n">
        <f aca="false">MAX(K2949,C2950)</f>
        <v>67510.06</v>
      </c>
      <c r="L2950" s="25" t="n">
        <f aca="false">C2950/K2950-1</f>
        <v>-0.657314183989764</v>
      </c>
      <c r="M2950" s="25" t="n">
        <f aca="false">IF(COUNT(G2921:G2950)&lt;20,"",_xlfn.STDEV.S(G2921:G2950)*SQRT($R$3))</f>
        <v>0.440990957492145</v>
      </c>
      <c r="N2950" s="25" t="n">
        <f aca="false">IF(A2950-7&lt;$R$2,"",C2950/INDEX(Clean_Data!$C$2:$C$4314,MATCH(A2950-7,Clean_Data!$A$2:$A$4314,1))-1)</f>
        <v>0.0231024299121632</v>
      </c>
      <c r="O2950" s="25" t="n">
        <f aca="false">IF(A2950-30&lt;$R$2,"",C2950/INDEX(Clean_Data!$C$2:$C$4314,MATCH(A2950-30,Clean_Data!$A$2:$A$4314,1))-1)</f>
        <v>0.392385758083873</v>
      </c>
    </row>
    <row r="2951" customFormat="false" ht="15" hidden="false" customHeight="false" outlineLevel="0" collapsed="false">
      <c r="A2951" s="16" t="n">
        <v>44958</v>
      </c>
      <c r="B2951" s="23" t="n">
        <f aca="false">YEAR(A2951)</f>
        <v>2023</v>
      </c>
      <c r="C2951" s="17" t="n">
        <v>23740.02</v>
      </c>
      <c r="D2951" s="23" t="n">
        <f aca="false">A2951-A2950</f>
        <v>1</v>
      </c>
      <c r="E2951" s="24" t="n">
        <f aca="false">LN(C2951)</f>
        <v>10.0749175106233</v>
      </c>
      <c r="F2951" s="25" t="n">
        <f aca="false">LN(C2951/C2950)</f>
        <v>0.0258268477287402</v>
      </c>
      <c r="G2951" s="25" t="n">
        <f aca="false">IF(AND(D2951=1,A2951&gt;=$R$2),F2951,"")</f>
        <v>0.0258268477287402</v>
      </c>
      <c r="H2951" s="27" t="n">
        <f aca="false">IF(G2951="","",G2951^2)</f>
        <v>0.000667026063603534</v>
      </c>
      <c r="I2951" s="25" t="n">
        <f aca="false">IF(G2951="","",C2951/C2950-1)</f>
        <v>0.0261632505919669</v>
      </c>
      <c r="J2951" s="17" t="n">
        <f aca="false">AVERAGE(C2752:C2951)</f>
        <v>19704.3633</v>
      </c>
      <c r="K2951" s="17" t="n">
        <f aca="false">MAX(K2950,C2951)</f>
        <v>67510.06</v>
      </c>
      <c r="L2951" s="25" t="n">
        <f aca="false">C2951/K2951-1</f>
        <v>-0.648348409111175</v>
      </c>
      <c r="M2951" s="25" t="n">
        <f aca="false">IF(COUNT(G2922:G2951)&lt;20,"",_xlfn.STDEV.S(G2922:G2951)*SQRT($R$3))</f>
        <v>0.442875480778608</v>
      </c>
      <c r="N2951" s="25" t="n">
        <f aca="false">IF(A2951-7&lt;$R$2,"",C2951/INDEX(Clean_Data!$C$2:$C$4314,MATCH(A2951-7,Clean_Data!$A$2:$A$4314,1))-1)</f>
        <v>0.0289349795123357</v>
      </c>
      <c r="O2951" s="25" t="n">
        <f aca="false">IF(A2951-30&lt;$R$2,"",C2951/INDEX(Clean_Data!$C$2:$C$4314,MATCH(A2951-30,Clean_Data!$A$2:$A$4314,1))-1)</f>
        <v>0.424900200050057</v>
      </c>
    </row>
    <row r="2952" customFormat="false" ht="15" hidden="false" customHeight="false" outlineLevel="0" collapsed="false">
      <c r="A2952" s="16" t="n">
        <v>44959</v>
      </c>
      <c r="B2952" s="23" t="n">
        <f aca="false">YEAR(A2952)</f>
        <v>2023</v>
      </c>
      <c r="C2952" s="17" t="n">
        <v>23548.98</v>
      </c>
      <c r="D2952" s="23" t="n">
        <f aca="false">A2952-A2951</f>
        <v>1</v>
      </c>
      <c r="E2952" s="24" t="n">
        <f aca="false">LN(C2952)</f>
        <v>10.0668377864047</v>
      </c>
      <c r="F2952" s="25" t="n">
        <f aca="false">LN(C2952/C2951)</f>
        <v>-0.00807972421863051</v>
      </c>
      <c r="G2952" s="25" t="n">
        <f aca="false">IF(AND(D2952=1,A2952&gt;=$R$2),F2952,"")</f>
        <v>-0.00807972421863051</v>
      </c>
      <c r="H2952" s="27" t="n">
        <f aca="false">IF(G2952="","",G2952^2)</f>
        <v>6.52819434491243E-005</v>
      </c>
      <c r="I2952" s="25" t="n">
        <f aca="false">IF(G2952="","",C2952/C2951-1)</f>
        <v>-0.00804717097963692</v>
      </c>
      <c r="J2952" s="17" t="n">
        <f aca="false">AVERAGE(C2753:C2952)</f>
        <v>19718.2976</v>
      </c>
      <c r="K2952" s="17" t="n">
        <f aca="false">MAX(K2951,C2952)</f>
        <v>67510.06</v>
      </c>
      <c r="L2952" s="25" t="n">
        <f aca="false">C2952/K2952-1</f>
        <v>-0.651178209588319</v>
      </c>
      <c r="M2952" s="25" t="n">
        <f aca="false">IF(COUNT(G2923:G2952)&lt;20,"",_xlfn.STDEV.S(G2923:G2952)*SQRT($R$3))</f>
        <v>0.446649422624449</v>
      </c>
      <c r="N2952" s="25" t="n">
        <f aca="false">IF(A2952-7&lt;$R$2,"",C2952/INDEX(Clean_Data!$C$2:$C$4314,MATCH(A2952-7,Clean_Data!$A$2:$A$4314,1))-1)</f>
        <v>0.0226082198681192</v>
      </c>
      <c r="O2952" s="25" t="n">
        <f aca="false">IF(A2952-30&lt;$R$2,"",C2952/INDEX(Clean_Data!$C$2:$C$4314,MATCH(A2952-30,Clean_Data!$A$2:$A$4314,1))-1)</f>
        <v>0.412624067357793</v>
      </c>
    </row>
    <row r="2953" customFormat="false" ht="15" hidden="false" customHeight="false" outlineLevel="0" collapsed="false">
      <c r="A2953" s="16" t="n">
        <v>44960</v>
      </c>
      <c r="B2953" s="23" t="n">
        <f aca="false">YEAR(A2953)</f>
        <v>2023</v>
      </c>
      <c r="C2953" s="17" t="n">
        <v>23426.4</v>
      </c>
      <c r="D2953" s="23" t="n">
        <f aca="false">A2953-A2952</f>
        <v>1</v>
      </c>
      <c r="E2953" s="24" t="n">
        <f aca="false">LN(C2953)</f>
        <v>10.0616188705289</v>
      </c>
      <c r="F2953" s="25" t="n">
        <f aca="false">LN(C2953/C2952)</f>
        <v>-0.00521891587579175</v>
      </c>
      <c r="G2953" s="25" t="n">
        <f aca="false">IF(AND(D2953=1,A2953&gt;=$R$2),F2953,"")</f>
        <v>-0.00521891587579175</v>
      </c>
      <c r="H2953" s="27" t="n">
        <f aca="false">IF(G2953="","",G2953^2)</f>
        <v>2.72370829185911E-005</v>
      </c>
      <c r="I2953" s="25" t="n">
        <f aca="false">IF(G2953="","",C2953/C2952-1)</f>
        <v>-0.00520532099479465</v>
      </c>
      <c r="J2953" s="17" t="n">
        <f aca="false">AVERAGE(C2754:C2953)</f>
        <v>19723.58585</v>
      </c>
      <c r="K2953" s="17" t="n">
        <f aca="false">MAX(K2952,C2953)</f>
        <v>67510.06</v>
      </c>
      <c r="L2953" s="25" t="n">
        <f aca="false">C2953/K2953-1</f>
        <v>-0.652993938977391</v>
      </c>
      <c r="M2953" s="25" t="n">
        <f aca="false">IF(COUNT(G2924:G2953)&lt;20,"",_xlfn.STDEV.S(G2924:G2953)*SQRT($R$3))</f>
        <v>0.450450582509574</v>
      </c>
      <c r="N2953" s="25" t="n">
        <f aca="false">IF(A2953-7&lt;$R$2,"",C2953/INDEX(Clean_Data!$C$2:$C$4314,MATCH(A2953-7,Clean_Data!$A$2:$A$4314,1))-1)</f>
        <v>0.0153333258208215</v>
      </c>
      <c r="O2953" s="25" t="n">
        <f aca="false">IF(A2953-30&lt;$R$2,"",C2953/INDEX(Clean_Data!$C$2:$C$4314,MATCH(A2953-30,Clean_Data!$A$2:$A$4314,1))-1)</f>
        <v>0.390257798034468</v>
      </c>
    </row>
    <row r="2954" customFormat="false" ht="15" hidden="false" customHeight="false" outlineLevel="0" collapsed="false">
      <c r="A2954" s="16" t="n">
        <v>44961</v>
      </c>
      <c r="B2954" s="23" t="n">
        <f aca="false">YEAR(A2954)</f>
        <v>2023</v>
      </c>
      <c r="C2954" s="17" t="n">
        <v>23318.95</v>
      </c>
      <c r="D2954" s="23" t="n">
        <f aca="false">A2954-A2953</f>
        <v>1</v>
      </c>
      <c r="E2954" s="24" t="n">
        <f aca="false">LN(C2954)</f>
        <v>10.0570216137218</v>
      </c>
      <c r="F2954" s="25" t="n">
        <f aca="false">LN(C2954/C2953)</f>
        <v>-0.00459725680711296</v>
      </c>
      <c r="G2954" s="25" t="n">
        <f aca="false">IF(AND(D2954=1,A2954&gt;=$R$2),F2954,"")</f>
        <v>-0.00459725680711296</v>
      </c>
      <c r="H2954" s="27" t="n">
        <f aca="false">IF(G2954="","",G2954^2)</f>
        <v>2.11347701505464E-005</v>
      </c>
      <c r="I2954" s="25" t="n">
        <f aca="false">IF(G2954="","",C2954/C2953-1)</f>
        <v>-0.00458670559710417</v>
      </c>
      <c r="J2954" s="17" t="n">
        <f aca="false">AVERAGE(C2755:C2954)</f>
        <v>19723.126</v>
      </c>
      <c r="K2954" s="17" t="n">
        <f aca="false">MAX(K2953,C2954)</f>
        <v>67510.06</v>
      </c>
      <c r="L2954" s="25" t="n">
        <f aca="false">C2954/K2954-1</f>
        <v>-0.654585553619712</v>
      </c>
      <c r="M2954" s="25" t="n">
        <f aca="false">IF(COUNT(G2925:G2954)&lt;20,"",_xlfn.STDEV.S(G2925:G2954)*SQRT($R$3))</f>
        <v>0.451655461388783</v>
      </c>
      <c r="N2954" s="25" t="n">
        <f aca="false">IF(A2954-7&lt;$R$2,"",C2954/INDEX(Clean_Data!$C$2:$C$4314,MATCH(A2954-7,Clean_Data!$A$2:$A$4314,1))-1)</f>
        <v>0.0123396387451806</v>
      </c>
      <c r="O2954" s="25" t="n">
        <f aca="false">IF(A2954-30&lt;$R$2,"",C2954/INDEX(Clean_Data!$C$2:$C$4314,MATCH(A2954-30,Clean_Data!$A$2:$A$4314,1))-1)</f>
        <v>0.385971929832903</v>
      </c>
    </row>
    <row r="2955" customFormat="false" ht="15" hidden="false" customHeight="false" outlineLevel="0" collapsed="false">
      <c r="A2955" s="16" t="n">
        <v>44962</v>
      </c>
      <c r="B2955" s="23" t="n">
        <f aca="false">YEAR(A2955)</f>
        <v>2023</v>
      </c>
      <c r="C2955" s="17" t="n">
        <v>22938.03</v>
      </c>
      <c r="D2955" s="23" t="n">
        <f aca="false">A2955-A2954</f>
        <v>1</v>
      </c>
      <c r="E2955" s="24" t="n">
        <f aca="false">LN(C2955)</f>
        <v>10.040551510797</v>
      </c>
      <c r="F2955" s="25" t="n">
        <f aca="false">LN(C2955/C2954)</f>
        <v>-0.0164701029247418</v>
      </c>
      <c r="G2955" s="25" t="n">
        <f aca="false">IF(AND(D2955=1,A2955&gt;=$R$2),F2955,"")</f>
        <v>-0.0164701029247418</v>
      </c>
      <c r="H2955" s="27" t="n">
        <f aca="false">IF(G2955="","",G2955^2)</f>
        <v>0.000271264290351588</v>
      </c>
      <c r="I2955" s="25" t="n">
        <f aca="false">IF(G2955="","",C2955/C2954-1)</f>
        <v>-0.016335212348755</v>
      </c>
      <c r="J2955" s="17" t="n">
        <f aca="false">AVERAGE(C2756:C2955)</f>
        <v>19721.6306</v>
      </c>
      <c r="K2955" s="17" t="n">
        <f aca="false">MAX(K2954,C2955)</f>
        <v>67510.06</v>
      </c>
      <c r="L2955" s="25" t="n">
        <f aca="false">C2955/K2955-1</f>
        <v>-0.660227971949662</v>
      </c>
      <c r="M2955" s="25" t="n">
        <f aca="false">IF(COUNT(G2926:G2955)&lt;20,"",_xlfn.STDEV.S(G2926:G2955)*SQRT($R$3))</f>
        <v>0.461539424594173</v>
      </c>
      <c r="N2955" s="25" t="n">
        <f aca="false">IF(A2955-7&lt;$R$2,"",C2955/INDEX(Clean_Data!$C$2:$C$4314,MATCH(A2955-7,Clean_Data!$A$2:$A$4314,1))-1)</f>
        <v>-0.033639724778527</v>
      </c>
      <c r="O2955" s="25" t="n">
        <f aca="false">IF(A2955-30&lt;$R$2,"",C2955/INDEX(Clean_Data!$C$2:$C$4314,MATCH(A2955-30,Clean_Data!$A$2:$A$4314,1))-1)</f>
        <v>0.353228204311352</v>
      </c>
    </row>
    <row r="2956" customFormat="false" ht="15" hidden="false" customHeight="false" outlineLevel="0" collapsed="false">
      <c r="A2956" s="16" t="n">
        <v>44963</v>
      </c>
      <c r="B2956" s="23" t="n">
        <f aca="false">YEAR(A2956)</f>
        <v>2023</v>
      </c>
      <c r="C2956" s="17" t="n">
        <v>22751.79</v>
      </c>
      <c r="D2956" s="23" t="n">
        <f aca="false">A2956-A2955</f>
        <v>1</v>
      </c>
      <c r="E2956" s="24" t="n">
        <f aca="false">LN(C2956)</f>
        <v>10.0323991026026</v>
      </c>
      <c r="F2956" s="25" t="n">
        <f aca="false">LN(C2956/C2955)</f>
        <v>-0.00815240819444512</v>
      </c>
      <c r="G2956" s="25" t="n">
        <f aca="false">IF(AND(D2956=1,A2956&gt;=$R$2),F2956,"")</f>
        <v>-0.00815240819444512</v>
      </c>
      <c r="H2956" s="27" t="n">
        <f aca="false">IF(G2956="","",G2956^2)</f>
        <v>6.64617593688559E-005</v>
      </c>
      <c r="I2956" s="25" t="n">
        <f aca="false">IF(G2956="","",C2956/C2955-1)</f>
        <v>-0.00811926743491043</v>
      </c>
      <c r="J2956" s="17" t="n">
        <f aca="false">AVERAGE(C2757:C2956)</f>
        <v>19719.68495</v>
      </c>
      <c r="K2956" s="17" t="n">
        <f aca="false">MAX(K2955,C2956)</f>
        <v>67510.06</v>
      </c>
      <c r="L2956" s="25" t="n">
        <f aca="false">C2956/K2956-1</f>
        <v>-0.662986671912305</v>
      </c>
      <c r="M2956" s="25" t="n">
        <f aca="false">IF(COUNT(G2927:G2956)&lt;20,"",_xlfn.STDEV.S(G2927:G2956)*SQRT($R$3))</f>
        <v>0.464562767998172</v>
      </c>
      <c r="N2956" s="25" t="n">
        <f aca="false">IF(A2956-7&lt;$R$2,"",C2956/INDEX(Clean_Data!$C$2:$C$4314,MATCH(A2956-7,Clean_Data!$A$2:$A$4314,1))-1)</f>
        <v>-0.00352701784137566</v>
      </c>
      <c r="O2956" s="25" t="n">
        <f aca="false">IF(A2956-30&lt;$R$2,"",C2956/INDEX(Clean_Data!$C$2:$C$4314,MATCH(A2956-30,Clean_Data!$A$2:$A$4314,1))-1)</f>
        <v>0.342657627406709</v>
      </c>
    </row>
    <row r="2957" customFormat="false" ht="15" hidden="false" customHeight="false" outlineLevel="0" collapsed="false">
      <c r="A2957" s="16" t="n">
        <v>44964</v>
      </c>
      <c r="B2957" s="23" t="n">
        <f aca="false">YEAR(A2957)</f>
        <v>2023</v>
      </c>
      <c r="C2957" s="17" t="n">
        <v>23260.42</v>
      </c>
      <c r="D2957" s="23" t="n">
        <f aca="false">A2957-A2956</f>
        <v>1</v>
      </c>
      <c r="E2957" s="24" t="n">
        <f aca="false">LN(C2957)</f>
        <v>10.0545084826594</v>
      </c>
      <c r="F2957" s="25" t="n">
        <f aca="false">LN(C2957/C2956)</f>
        <v>0.0221093800568541</v>
      </c>
      <c r="G2957" s="25" t="n">
        <f aca="false">IF(AND(D2957=1,A2957&gt;=$R$2),F2957,"")</f>
        <v>0.0221093800568541</v>
      </c>
      <c r="H2957" s="27" t="n">
        <f aca="false">IF(G2957="","",G2957^2)</f>
        <v>0.000488824686498418</v>
      </c>
      <c r="I2957" s="25" t="n">
        <f aca="false">IF(G2957="","",C2957/C2956-1)</f>
        <v>0.022355603668986</v>
      </c>
      <c r="J2957" s="17" t="n">
        <f aca="false">AVERAGE(C2758:C2957)</f>
        <v>19722.4553</v>
      </c>
      <c r="K2957" s="17" t="n">
        <f aca="false">MAX(K2956,C2957)</f>
        <v>67510.06</v>
      </c>
      <c r="L2957" s="25" t="n">
        <f aca="false">C2957/K2957-1</f>
        <v>-0.65545253551841</v>
      </c>
      <c r="M2957" s="25" t="n">
        <f aca="false">IF(COUNT(G2928:G2957)&lt;20,"",_xlfn.STDEV.S(G2928:G2957)*SQRT($R$3))</f>
        <v>0.466527267130355</v>
      </c>
      <c r="N2957" s="25" t="n">
        <f aca="false">IF(A2957-7&lt;$R$2,"",C2957/INDEX(Clean_Data!$C$2:$C$4314,MATCH(A2957-7,Clean_Data!$A$2:$A$4314,1))-1)</f>
        <v>0.00543252269098327</v>
      </c>
      <c r="O2957" s="25" t="n">
        <f aca="false">IF(A2957-30&lt;$R$2,"",C2957/INDEX(Clean_Data!$C$2:$C$4314,MATCH(A2957-30,Clean_Data!$A$2:$A$4314,1))-1)</f>
        <v>0.357532300631364</v>
      </c>
    </row>
    <row r="2958" customFormat="false" ht="15" hidden="false" customHeight="false" outlineLevel="0" collapsed="false">
      <c r="A2958" s="16" t="n">
        <v>44965</v>
      </c>
      <c r="B2958" s="23" t="n">
        <f aca="false">YEAR(A2958)</f>
        <v>2023</v>
      </c>
      <c r="C2958" s="17" t="n">
        <v>22973.38</v>
      </c>
      <c r="D2958" s="23" t="n">
        <f aca="false">A2958-A2957</f>
        <v>1</v>
      </c>
      <c r="E2958" s="24" t="n">
        <f aca="false">LN(C2958)</f>
        <v>10.0420914333124</v>
      </c>
      <c r="F2958" s="25" t="n">
        <f aca="false">LN(C2958/C2957)</f>
        <v>-0.0124170493470413</v>
      </c>
      <c r="G2958" s="25" t="n">
        <f aca="false">IF(AND(D2958=1,A2958&gt;=$R$2),F2958,"")</f>
        <v>-0.0124170493470413</v>
      </c>
      <c r="H2958" s="27" t="n">
        <f aca="false">IF(G2958="","",G2958^2)</f>
        <v>0.000154183114486859</v>
      </c>
      <c r="I2958" s="25" t="n">
        <f aca="false">IF(G2958="","",C2958/C2957-1)</f>
        <v>-0.0123402758849581</v>
      </c>
      <c r="J2958" s="17" t="n">
        <f aca="false">AVERAGE(C2759:C2958)</f>
        <v>19725.03655</v>
      </c>
      <c r="K2958" s="17" t="n">
        <f aca="false">MAX(K2957,C2958)</f>
        <v>67510.06</v>
      </c>
      <c r="L2958" s="25" t="n">
        <f aca="false">C2958/K2958-1</f>
        <v>-0.659704346285576</v>
      </c>
      <c r="M2958" s="25" t="n">
        <f aca="false">IF(COUNT(G2929:G2958)&lt;20,"",_xlfn.STDEV.S(G2929:G2958)*SQRT($R$3))</f>
        <v>0.472528117815664</v>
      </c>
      <c r="N2958" s="25" t="n">
        <f aca="false">IF(A2958-7&lt;$R$2,"",C2958/INDEX(Clean_Data!$C$2:$C$4314,MATCH(A2958-7,Clean_Data!$A$2:$A$4314,1))-1)</f>
        <v>-0.0322931488684508</v>
      </c>
      <c r="O2958" s="25" t="n">
        <f aca="false">IF(A2958-30&lt;$R$2,"",C2958/INDEX(Clean_Data!$C$2:$C$4314,MATCH(A2958-30,Clean_Data!$A$2:$A$4314,1))-1)</f>
        <v>0.337127025839365</v>
      </c>
    </row>
    <row r="2959" customFormat="false" ht="15" hidden="false" customHeight="false" outlineLevel="0" collapsed="false">
      <c r="A2959" s="16" t="n">
        <v>44966</v>
      </c>
      <c r="B2959" s="23" t="n">
        <f aca="false">YEAR(A2959)</f>
        <v>2023</v>
      </c>
      <c r="C2959" s="17" t="n">
        <v>21804.16</v>
      </c>
      <c r="D2959" s="23" t="n">
        <f aca="false">A2959-A2958</f>
        <v>1</v>
      </c>
      <c r="E2959" s="24" t="n">
        <f aca="false">LN(C2959)</f>
        <v>9.98985605626035</v>
      </c>
      <c r="F2959" s="25" t="n">
        <f aca="false">LN(C2959/C2958)</f>
        <v>-0.0522353770520299</v>
      </c>
      <c r="G2959" s="25" t="n">
        <f aca="false">IF(AND(D2959=1,A2959&gt;=$R$2),F2959,"")</f>
        <v>-0.0522353770520299</v>
      </c>
      <c r="H2959" s="27" t="n">
        <f aca="false">IF(G2959="","",G2959^2)</f>
        <v>0.00272853461576773</v>
      </c>
      <c r="I2959" s="25" t="n">
        <f aca="false">IF(G2959="","",C2959/C2958-1)</f>
        <v>-0.0508945570917297</v>
      </c>
      <c r="J2959" s="17" t="n">
        <f aca="false">AVERAGE(C2760:C2959)</f>
        <v>19721.0954</v>
      </c>
      <c r="K2959" s="17" t="n">
        <f aca="false">MAX(K2958,C2959)</f>
        <v>67510.06</v>
      </c>
      <c r="L2959" s="25" t="n">
        <f aca="false">C2959/K2959-1</f>
        <v>-0.677023542861612</v>
      </c>
      <c r="M2959" s="25" t="n">
        <f aca="false">IF(COUNT(G2930:G2959)&lt;20,"",_xlfn.STDEV.S(G2930:G2959)*SQRT($R$3))</f>
        <v>0.518886067477875</v>
      </c>
      <c r="N2959" s="25" t="n">
        <f aca="false">IF(A2959-7&lt;$R$2,"",C2959/INDEX(Clean_Data!$C$2:$C$4314,MATCH(A2959-7,Clean_Data!$A$2:$A$4314,1))-1)</f>
        <v>-0.074093230364967</v>
      </c>
      <c r="O2959" s="25" t="n">
        <f aca="false">IF(A2959-30&lt;$R$2,"",C2959/INDEX(Clean_Data!$C$2:$C$4314,MATCH(A2959-30,Clean_Data!$A$2:$A$4314,1))-1)</f>
        <v>0.249898106880293</v>
      </c>
    </row>
    <row r="2960" customFormat="false" ht="15" hidden="false" customHeight="false" outlineLevel="0" collapsed="false">
      <c r="A2960" s="16" t="n">
        <v>44967</v>
      </c>
      <c r="B2960" s="23" t="n">
        <f aca="false">YEAR(A2960)</f>
        <v>2023</v>
      </c>
      <c r="C2960" s="17" t="n">
        <v>21629.58</v>
      </c>
      <c r="D2960" s="23" t="n">
        <f aca="false">A2960-A2959</f>
        <v>1</v>
      </c>
      <c r="E2960" s="24" t="n">
        <f aca="false">LN(C2960)</f>
        <v>9.98181710128286</v>
      </c>
      <c r="F2960" s="25" t="n">
        <f aca="false">LN(C2960/C2959)</f>
        <v>-0.00803895497749338</v>
      </c>
      <c r="G2960" s="25" t="n">
        <f aca="false">IF(AND(D2960=1,A2960&gt;=$R$2),F2960,"")</f>
        <v>-0.00803895497749338</v>
      </c>
      <c r="H2960" s="27" t="n">
        <f aca="false">IF(G2960="","",G2960^2)</f>
        <v>6.46247971301656E-005</v>
      </c>
      <c r="I2960" s="25" t="n">
        <f aca="false">IF(G2960="","",C2960/C2959-1)</f>
        <v>-0.00800672899116495</v>
      </c>
      <c r="J2960" s="17" t="n">
        <f aca="false">AVERAGE(C2761:C2960)</f>
        <v>19723.00175</v>
      </c>
      <c r="K2960" s="17" t="n">
        <f aca="false">MAX(K2959,C2960)</f>
        <v>67510.06</v>
      </c>
      <c r="L2960" s="25" t="n">
        <f aca="false">C2960/K2960-1</f>
        <v>-0.679609527824446</v>
      </c>
      <c r="M2960" s="25" t="n">
        <f aca="false">IF(COUNT(G2931:G2960)&lt;20,"",_xlfn.STDEV.S(G2931:G2960)*SQRT($R$3))</f>
        <v>0.516066077194444</v>
      </c>
      <c r="N2960" s="25" t="n">
        <f aca="false">IF(A2960-7&lt;$R$2,"",C2960/INDEX(Clean_Data!$C$2:$C$4314,MATCH(A2960-7,Clean_Data!$A$2:$A$4314,1))-1)</f>
        <v>-0.0767006454256736</v>
      </c>
      <c r="O2960" s="25" t="n">
        <f aca="false">IF(A2960-30&lt;$R$2,"",C2960/INDEX(Clean_Data!$C$2:$C$4314,MATCH(A2960-30,Clean_Data!$A$2:$A$4314,1))-1)</f>
        <v>0.205513030160147</v>
      </c>
    </row>
    <row r="2961" customFormat="false" ht="15" hidden="false" customHeight="false" outlineLevel="0" collapsed="false">
      <c r="A2961" s="16" t="n">
        <v>44968</v>
      </c>
      <c r="B2961" s="23" t="n">
        <f aca="false">YEAR(A2961)</f>
        <v>2023</v>
      </c>
      <c r="C2961" s="17" t="n">
        <v>21857.51</v>
      </c>
      <c r="D2961" s="23" t="n">
        <f aca="false">A2961-A2960</f>
        <v>1</v>
      </c>
      <c r="E2961" s="24" t="n">
        <f aca="false">LN(C2961)</f>
        <v>9.99229984856381</v>
      </c>
      <c r="F2961" s="25" t="n">
        <f aca="false">LN(C2961/C2960)</f>
        <v>0.0104827472809508</v>
      </c>
      <c r="G2961" s="25" t="n">
        <f aca="false">IF(AND(D2961=1,A2961&gt;=$R$2),F2961,"")</f>
        <v>0.0104827472809508</v>
      </c>
      <c r="H2961" s="27" t="n">
        <f aca="false">IF(G2961="","",G2961^2)</f>
        <v>0.000109887990556281</v>
      </c>
      <c r="I2961" s="25" t="n">
        <f aca="false">IF(G2961="","",C2961/C2960-1)</f>
        <v>0.0105378837684318</v>
      </c>
      <c r="J2961" s="17" t="n">
        <f aca="false">AVERAGE(C2762:C2961)</f>
        <v>19725.9028</v>
      </c>
      <c r="K2961" s="17" t="n">
        <f aca="false">MAX(K2960,C2961)</f>
        <v>67510.06</v>
      </c>
      <c r="L2961" s="25" t="n">
        <f aca="false">C2961/K2961-1</f>
        <v>-0.676233290268147</v>
      </c>
      <c r="M2961" s="25" t="n">
        <f aca="false">IF(COUNT(G2932:G2961)&lt;20,"",_xlfn.STDEV.S(G2932:G2961)*SQRT($R$3))</f>
        <v>0.491617227614988</v>
      </c>
      <c r="N2961" s="25" t="n">
        <f aca="false">IF(A2961-7&lt;$R$2,"",C2961/INDEX(Clean_Data!$C$2:$C$4314,MATCH(A2961-7,Clean_Data!$A$2:$A$4314,1))-1)</f>
        <v>-0.062671775530202</v>
      </c>
      <c r="O2961" s="25" t="n">
        <f aca="false">IF(A2961-30&lt;$R$2,"",C2961/INDEX(Clean_Data!$C$2:$C$4314,MATCH(A2961-30,Clean_Data!$A$2:$A$4314,1))-1)</f>
        <v>0.158705007596585</v>
      </c>
    </row>
    <row r="2962" customFormat="false" ht="15" hidden="false" customHeight="false" outlineLevel="0" collapsed="false">
      <c r="A2962" s="16" t="n">
        <v>44969</v>
      </c>
      <c r="B2962" s="23" t="n">
        <f aca="false">YEAR(A2962)</f>
        <v>2023</v>
      </c>
      <c r="C2962" s="17" t="n">
        <v>21784.08</v>
      </c>
      <c r="D2962" s="23" t="n">
        <f aca="false">A2962-A2961</f>
        <v>1</v>
      </c>
      <c r="E2962" s="24" t="n">
        <f aca="false">LN(C2962)</f>
        <v>9.98893470676698</v>
      </c>
      <c r="F2962" s="25" t="n">
        <f aca="false">LN(C2962/C2961)</f>
        <v>-0.00336514179682838</v>
      </c>
      <c r="G2962" s="25" t="n">
        <f aca="false">IF(AND(D2962=1,A2962&gt;=$R$2),F2962,"")</f>
        <v>-0.00336514179682838</v>
      </c>
      <c r="H2962" s="27" t="n">
        <f aca="false">IF(G2962="","",G2962^2)</f>
        <v>1.13241793127613E-005</v>
      </c>
      <c r="I2962" s="25" t="n">
        <f aca="false">IF(G2962="","",C2962/C2961-1)</f>
        <v>-0.00335948605307723</v>
      </c>
      <c r="J2962" s="17" t="n">
        <f aca="false">AVERAGE(C2763:C2962)</f>
        <v>19719.8895</v>
      </c>
      <c r="K2962" s="17" t="n">
        <f aca="false">MAX(K2961,C2962)</f>
        <v>67510.06</v>
      </c>
      <c r="L2962" s="25" t="n">
        <f aca="false">C2962/K2962-1</f>
        <v>-0.677320980013942</v>
      </c>
      <c r="M2962" s="25" t="n">
        <f aca="false">IF(COUNT(G2933:G2962)&lt;20,"",_xlfn.STDEV.S(G2933:G2962)*SQRT($R$3))</f>
        <v>0.459253936671556</v>
      </c>
      <c r="N2962" s="25" t="n">
        <f aca="false">IF(A2962-7&lt;$R$2,"",C2962/INDEX(Clean_Data!$C$2:$C$4314,MATCH(A2962-7,Clean_Data!$A$2:$A$4314,1))-1)</f>
        <v>-0.0503072844529368</v>
      </c>
      <c r="O2962" s="25" t="n">
        <f aca="false">IF(A2962-30&lt;$R$2,"",C2962/INDEX(Clean_Data!$C$2:$C$4314,MATCH(A2962-30,Clean_Data!$A$2:$A$4314,1))-1)</f>
        <v>0.0941709892054985</v>
      </c>
    </row>
    <row r="2963" customFormat="false" ht="15" hidden="false" customHeight="false" outlineLevel="0" collapsed="false">
      <c r="A2963" s="16" t="n">
        <v>44970</v>
      </c>
      <c r="B2963" s="23" t="n">
        <f aca="false">YEAR(A2963)</f>
        <v>2023</v>
      </c>
      <c r="C2963" s="17" t="n">
        <v>21786.33</v>
      </c>
      <c r="D2963" s="23" t="n">
        <f aca="false">A2963-A2962</f>
        <v>1</v>
      </c>
      <c r="E2963" s="24" t="n">
        <f aca="false">LN(C2963)</f>
        <v>9.98903798787</v>
      </c>
      <c r="F2963" s="25" t="n">
        <f aca="false">LN(C2963/C2962)</f>
        <v>0.000103281103023803</v>
      </c>
      <c r="G2963" s="25" t="n">
        <f aca="false">IF(AND(D2963=1,A2963&gt;=$R$2),F2963,"")</f>
        <v>0.000103281103023803</v>
      </c>
      <c r="H2963" s="27" t="n">
        <f aca="false">IF(G2963="","",G2963^2)</f>
        <v>1.06669862418134E-008</v>
      </c>
      <c r="I2963" s="25" t="n">
        <f aca="false">IF(G2963="","",C2963/C2962-1)</f>
        <v>0.000103286436700545</v>
      </c>
      <c r="J2963" s="17" t="n">
        <f aca="false">AVERAGE(C2764:C2963)</f>
        <v>19709.44305</v>
      </c>
      <c r="K2963" s="17" t="n">
        <f aca="false">MAX(K2962,C2963)</f>
        <v>67510.06</v>
      </c>
      <c r="L2963" s="25" t="n">
        <f aca="false">C2963/K2963-1</f>
        <v>-0.677287651647769</v>
      </c>
      <c r="M2963" s="25" t="n">
        <f aca="false">IF(COUNT(G2934:G2963)&lt;20,"",_xlfn.STDEV.S(G2934:G2963)*SQRT($R$3))</f>
        <v>0.423949123183859</v>
      </c>
      <c r="N2963" s="25" t="n">
        <f aca="false">IF(A2963-7&lt;$R$2,"",C2963/INDEX(Clean_Data!$C$2:$C$4314,MATCH(A2963-7,Clean_Data!$A$2:$A$4314,1))-1)</f>
        <v>-0.0424344633982644</v>
      </c>
      <c r="O2963" s="25" t="n">
        <f aca="false">IF(A2963-30&lt;$R$2,"",C2963/INDEX(Clean_Data!$C$2:$C$4314,MATCH(A2963-30,Clean_Data!$A$2:$A$4314,1))-1)</f>
        <v>0.0388863589220276</v>
      </c>
    </row>
    <row r="2964" customFormat="false" ht="15" hidden="false" customHeight="false" outlineLevel="0" collapsed="false">
      <c r="A2964" s="16" t="n">
        <v>44971</v>
      </c>
      <c r="B2964" s="23" t="n">
        <f aca="false">YEAR(A2964)</f>
        <v>2023</v>
      </c>
      <c r="C2964" s="17" t="n">
        <v>22193.69</v>
      </c>
      <c r="D2964" s="23" t="n">
        <f aca="false">A2964-A2963</f>
        <v>1</v>
      </c>
      <c r="E2964" s="24" t="n">
        <f aca="false">LN(C2964)</f>
        <v>10.0075632932239</v>
      </c>
      <c r="F2964" s="25" t="n">
        <f aca="false">LN(C2964/C2963)</f>
        <v>0.0185253053539296</v>
      </c>
      <c r="G2964" s="25" t="n">
        <f aca="false">IF(AND(D2964=1,A2964&gt;=$R$2),F2964,"")</f>
        <v>0.0185253053539296</v>
      </c>
      <c r="H2964" s="27" t="n">
        <f aca="false">IF(G2964="","",G2964^2)</f>
        <v>0.000343186938456334</v>
      </c>
      <c r="I2964" s="25" t="n">
        <f aca="false">IF(G2964="","",C2964/C2963-1)</f>
        <v>0.0186979633559208</v>
      </c>
      <c r="J2964" s="17" t="n">
        <f aca="false">AVERAGE(C2765:C2964)</f>
        <v>19701.324</v>
      </c>
      <c r="K2964" s="17" t="n">
        <f aca="false">MAX(K2963,C2964)</f>
        <v>67510.06</v>
      </c>
      <c r="L2964" s="25" t="n">
        <f aca="false">C2964/K2964-1</f>
        <v>-0.671253587983776</v>
      </c>
      <c r="M2964" s="25" t="n">
        <f aca="false">IF(COUNT(G2935:G2964)&lt;20,"",_xlfn.STDEV.S(G2935:G2964)*SQRT($R$3))</f>
        <v>0.427544300249368</v>
      </c>
      <c r="N2964" s="25" t="n">
        <f aca="false">IF(A2964-7&lt;$R$2,"",C2964/INDEX(Clean_Data!$C$2:$C$4314,MATCH(A2964-7,Clean_Data!$A$2:$A$4314,1))-1)</f>
        <v>-0.0458603069076139</v>
      </c>
      <c r="O2964" s="25" t="n">
        <f aca="false">IF(A2964-30&lt;$R$2,"",C2964/INDEX(Clean_Data!$C$2:$C$4314,MATCH(A2964-30,Clean_Data!$A$2:$A$4314,1))-1)</f>
        <v>0.0633618015212314</v>
      </c>
    </row>
    <row r="2965" customFormat="false" ht="15" hidden="false" customHeight="false" outlineLevel="0" collapsed="false">
      <c r="A2965" s="16" t="n">
        <v>44972</v>
      </c>
      <c r="B2965" s="23" t="n">
        <f aca="false">YEAR(A2965)</f>
        <v>2023</v>
      </c>
      <c r="C2965" s="17" t="n">
        <v>24340.76</v>
      </c>
      <c r="D2965" s="23" t="n">
        <f aca="false">A2965-A2964</f>
        <v>1</v>
      </c>
      <c r="E2965" s="24" t="n">
        <f aca="false">LN(C2965)</f>
        <v>10.0999075903762</v>
      </c>
      <c r="F2965" s="25" t="n">
        <f aca="false">LN(C2965/C2964)</f>
        <v>0.0923442971522221</v>
      </c>
      <c r="G2965" s="25" t="n">
        <f aca="false">IF(AND(D2965=1,A2965&gt;=$R$2),F2965,"")</f>
        <v>0.0923442971522221</v>
      </c>
      <c r="H2965" s="27" t="n">
        <f aca="false">IF(G2965="","",G2965^2)</f>
        <v>0.00852746921653789</v>
      </c>
      <c r="I2965" s="25" t="n">
        <f aca="false">IF(G2965="","",C2965/C2964-1)</f>
        <v>0.0967423623561472</v>
      </c>
      <c r="J2965" s="17" t="n">
        <f aca="false">AVERAGE(C2766:C2965)</f>
        <v>19704.81125</v>
      </c>
      <c r="K2965" s="17" t="n">
        <f aca="false">MAX(K2964,C2965)</f>
        <v>67510.06</v>
      </c>
      <c r="L2965" s="25" t="n">
        <f aca="false">C2965/K2965-1</f>
        <v>-0.639449883469219</v>
      </c>
      <c r="M2965" s="25" t="n">
        <f aca="false">IF(COUNT(G2936:G2965)&lt;20,"",_xlfn.STDEV.S(G2936:G2965)*SQRT($R$3))</f>
        <v>0.52989700351472</v>
      </c>
      <c r="N2965" s="25" t="n">
        <f aca="false">IF(A2965-7&lt;$R$2,"",C2965/INDEX(Clean_Data!$C$2:$C$4314,MATCH(A2965-7,Clean_Data!$A$2:$A$4314,1))-1)</f>
        <v>0.0595201925010598</v>
      </c>
      <c r="O2965" s="25" t="n">
        <f aca="false">IF(A2965-30&lt;$R$2,"",C2965/INDEX(Clean_Data!$C$2:$C$4314,MATCH(A2965-30,Clean_Data!$A$2:$A$4314,1))-1)</f>
        <v>0.148857337990922</v>
      </c>
    </row>
    <row r="2966" customFormat="false" ht="15" hidden="false" customHeight="false" outlineLevel="0" collapsed="false">
      <c r="A2966" s="16" t="n">
        <v>44973</v>
      </c>
      <c r="B2966" s="23" t="n">
        <f aca="false">YEAR(A2966)</f>
        <v>2023</v>
      </c>
      <c r="C2966" s="17" t="n">
        <v>23468.21</v>
      </c>
      <c r="D2966" s="23" t="n">
        <f aca="false">A2966-A2965</f>
        <v>1</v>
      </c>
      <c r="E2966" s="24" t="n">
        <f aca="false">LN(C2966)</f>
        <v>10.0634020183609</v>
      </c>
      <c r="F2966" s="25" t="n">
        <f aca="false">LN(C2966/C2965)</f>
        <v>-0.0365055720152314</v>
      </c>
      <c r="G2966" s="25" t="n">
        <f aca="false">IF(AND(D2966=1,A2966&gt;=$R$2),F2966,"")</f>
        <v>-0.0365055720152314</v>
      </c>
      <c r="H2966" s="27" t="n">
        <f aca="false">IF(G2966="","",G2966^2)</f>
        <v>0.00133265678815924</v>
      </c>
      <c r="I2966" s="25" t="n">
        <f aca="false">IF(G2966="","",C2966/C2965-1)</f>
        <v>-0.0358472783922934</v>
      </c>
      <c r="J2966" s="17" t="n">
        <f aca="false">AVERAGE(C2767:C2966)</f>
        <v>19705.6716</v>
      </c>
      <c r="K2966" s="17" t="n">
        <f aca="false">MAX(K2965,C2966)</f>
        <v>67510.06</v>
      </c>
      <c r="L2966" s="25" t="n">
        <f aca="false">C2966/K2966-1</f>
        <v>-0.652374623870872</v>
      </c>
      <c r="M2966" s="25" t="n">
        <f aca="false">IF(COUNT(G2937:G2966)&lt;20,"",_xlfn.STDEV.S(G2937:G2966)*SQRT($R$3))</f>
        <v>0.54871370494073</v>
      </c>
      <c r="N2966" s="25" t="n">
        <f aca="false">IF(A2966-7&lt;$R$2,"",C2966/INDEX(Clean_Data!$C$2:$C$4314,MATCH(A2966-7,Clean_Data!$A$2:$A$4314,1))-1)</f>
        <v>0.0763180053714521</v>
      </c>
      <c r="O2966" s="25" t="n">
        <f aca="false">IF(A2966-30&lt;$R$2,"",C2966/INDEX(Clean_Data!$C$2:$C$4314,MATCH(A2966-30,Clean_Data!$A$2:$A$4314,1))-1)</f>
        <v>0.109431263198252</v>
      </c>
    </row>
    <row r="2967" customFormat="false" ht="15" hidden="false" customHeight="false" outlineLevel="0" collapsed="false">
      <c r="A2967" s="16" t="n">
        <v>44974</v>
      </c>
      <c r="B2967" s="23" t="n">
        <f aca="false">YEAR(A2967)</f>
        <v>2023</v>
      </c>
      <c r="C2967" s="17" t="n">
        <v>24562.04</v>
      </c>
      <c r="D2967" s="23" t="n">
        <f aca="false">A2967-A2966</f>
        <v>1</v>
      </c>
      <c r="E2967" s="24" t="n">
        <f aca="false">LN(C2967)</f>
        <v>10.1089574407009</v>
      </c>
      <c r="F2967" s="25" t="n">
        <f aca="false">LN(C2967/C2966)</f>
        <v>0.0455554223399606</v>
      </c>
      <c r="G2967" s="25" t="n">
        <f aca="false">IF(AND(D2967=1,A2967&gt;=$R$2),F2967,"")</f>
        <v>0.0455554223399606</v>
      </c>
      <c r="H2967" s="27" t="n">
        <f aca="false">IF(G2967="","",G2967^2)</f>
        <v>0.00207529650457218</v>
      </c>
      <c r="I2967" s="25" t="n">
        <f aca="false">IF(G2967="","",C2967/C2966-1)</f>
        <v>0.046609008526854</v>
      </c>
      <c r="J2967" s="17" t="n">
        <f aca="false">AVERAGE(C2768:C2967)</f>
        <v>19712.23085</v>
      </c>
      <c r="K2967" s="17" t="n">
        <f aca="false">MAX(K2966,C2967)</f>
        <v>67510.06</v>
      </c>
      <c r="L2967" s="25" t="n">
        <f aca="false">C2967/K2967-1</f>
        <v>-0.636172149750719</v>
      </c>
      <c r="M2967" s="25" t="n">
        <f aca="false">IF(COUNT(G2938:G2967)&lt;20,"",_xlfn.STDEV.S(G2938:G2967)*SQRT($R$3))</f>
        <v>0.560271827288696</v>
      </c>
      <c r="N2967" s="25" t="n">
        <f aca="false">IF(A2967-7&lt;$R$2,"",C2967/INDEX(Clean_Data!$C$2:$C$4314,MATCH(A2967-7,Clean_Data!$A$2:$A$4314,1))-1)</f>
        <v>0.135576372726609</v>
      </c>
      <c r="O2967" s="25" t="n">
        <f aca="false">IF(A2967-30&lt;$R$2,"",C2967/INDEX(Clean_Data!$C$2:$C$4314,MATCH(A2967-30,Clean_Data!$A$2:$A$4314,1))-1)</f>
        <v>0.185948068866186</v>
      </c>
    </row>
    <row r="2968" customFormat="false" ht="15" hidden="false" customHeight="false" outlineLevel="0" collapsed="false">
      <c r="A2968" s="16" t="n">
        <v>44975</v>
      </c>
      <c r="B2968" s="23" t="n">
        <f aca="false">YEAR(A2968)</f>
        <v>2023</v>
      </c>
      <c r="C2968" s="17" t="n">
        <v>24626.23</v>
      </c>
      <c r="D2968" s="23" t="n">
        <f aca="false">A2968-A2967</f>
        <v>1</v>
      </c>
      <c r="E2968" s="24" t="n">
        <f aca="false">LN(C2968)</f>
        <v>10.1115674140314</v>
      </c>
      <c r="F2968" s="25" t="n">
        <f aca="false">LN(C2968/C2967)</f>
        <v>0.00260997333056475</v>
      </c>
      <c r="G2968" s="25" t="n">
        <f aca="false">IF(AND(D2968=1,A2968&gt;=$R$2),F2968,"")</f>
        <v>0.00260997333056475</v>
      </c>
      <c r="H2968" s="27" t="n">
        <f aca="false">IF(G2968="","",G2968^2)</f>
        <v>6.81196078625925E-006</v>
      </c>
      <c r="I2968" s="25" t="n">
        <f aca="false">IF(G2968="","",C2968/C2967-1)</f>
        <v>0.002613382276065</v>
      </c>
      <c r="J2968" s="17" t="n">
        <f aca="false">AVERAGE(C2769:C2968)</f>
        <v>19720.3359</v>
      </c>
      <c r="K2968" s="17" t="n">
        <f aca="false">MAX(K2967,C2968)</f>
        <v>67510.06</v>
      </c>
      <c r="L2968" s="25" t="n">
        <f aca="false">C2968/K2968-1</f>
        <v>-0.635221328495338</v>
      </c>
      <c r="M2968" s="25" t="n">
        <f aca="false">IF(COUNT(G2939:G2968)&lt;20,"",_xlfn.STDEV.S(G2939:G2968)*SQRT($R$3))</f>
        <v>0.558568439723179</v>
      </c>
      <c r="N2968" s="25" t="n">
        <f aca="false">IF(A2968-7&lt;$R$2,"",C2968/INDEX(Clean_Data!$C$2:$C$4314,MATCH(A2968-7,Clean_Data!$A$2:$A$4314,1))-1)</f>
        <v>0.126671336305005</v>
      </c>
      <c r="O2968" s="25" t="n">
        <f aca="false">IF(A2968-30&lt;$R$2,"",C2968/INDEX(Clean_Data!$C$2:$C$4314,MATCH(A2968-30,Clean_Data!$A$2:$A$4314,1))-1)</f>
        <v>0.16777629511185</v>
      </c>
    </row>
    <row r="2969" customFormat="false" ht="15" hidden="false" customHeight="false" outlineLevel="0" collapsed="false">
      <c r="A2969" s="16" t="n">
        <v>44976</v>
      </c>
      <c r="B2969" s="23" t="n">
        <f aca="false">YEAR(A2969)</f>
        <v>2023</v>
      </c>
      <c r="C2969" s="17" t="n">
        <v>24316.05</v>
      </c>
      <c r="D2969" s="23" t="n">
        <f aca="false">A2969-A2968</f>
        <v>1</v>
      </c>
      <c r="E2969" s="24" t="n">
        <f aca="false">LN(C2969)</f>
        <v>10.0988919051258</v>
      </c>
      <c r="F2969" s="25" t="n">
        <f aca="false">LN(C2969/C2968)</f>
        <v>-0.0126755089056945</v>
      </c>
      <c r="G2969" s="25" t="n">
        <f aca="false">IF(AND(D2969=1,A2969&gt;=$R$2),F2969,"")</f>
        <v>-0.0126755089056945</v>
      </c>
      <c r="H2969" s="27" t="n">
        <f aca="false">IF(G2969="","",G2969^2)</f>
        <v>0.00016066852601834</v>
      </c>
      <c r="I2969" s="25" t="n">
        <f aca="false">IF(G2969="","",C2969/C2968-1)</f>
        <v>-0.0125955129956961</v>
      </c>
      <c r="J2969" s="17" t="n">
        <f aca="false">AVERAGE(C2770:C2969)</f>
        <v>19727.81375</v>
      </c>
      <c r="K2969" s="17" t="n">
        <f aca="false">MAX(K2968,C2969)</f>
        <v>67510.06</v>
      </c>
      <c r="L2969" s="25" t="n">
        <f aca="false">C2969/K2969-1</f>
        <v>-0.639815902992828</v>
      </c>
      <c r="M2969" s="25" t="n">
        <f aca="false">IF(COUNT(G2940:G2969)&lt;20,"",_xlfn.STDEV.S(G2940:G2969)*SQRT($R$3))</f>
        <v>0.504862916434055</v>
      </c>
      <c r="N2969" s="25" t="n">
        <f aca="false">IF(A2969-7&lt;$R$2,"",C2969/INDEX(Clean_Data!$C$2:$C$4314,MATCH(A2969-7,Clean_Data!$A$2:$A$4314,1))-1)</f>
        <v>0.116230292947877</v>
      </c>
      <c r="O2969" s="25" t="n">
        <f aca="false">IF(A2969-30&lt;$R$2,"",C2969/INDEX(Clean_Data!$C$2:$C$4314,MATCH(A2969-30,Clean_Data!$A$2:$A$4314,1))-1)</f>
        <v>0.0718125257583138</v>
      </c>
    </row>
    <row r="2970" customFormat="false" ht="15" hidden="false" customHeight="false" outlineLevel="0" collapsed="false">
      <c r="A2970" s="16" t="n">
        <v>44977</v>
      </c>
      <c r="B2970" s="23" t="n">
        <f aca="false">YEAR(A2970)</f>
        <v>2023</v>
      </c>
      <c r="C2970" s="17" t="n">
        <v>24835.63</v>
      </c>
      <c r="D2970" s="23" t="n">
        <f aca="false">A2970-A2969</f>
        <v>1</v>
      </c>
      <c r="E2970" s="24" t="n">
        <f aca="false">LN(C2970)</f>
        <v>10.1200345946447</v>
      </c>
      <c r="F2970" s="25" t="n">
        <f aca="false">LN(C2970/C2969)</f>
        <v>0.0211426895189562</v>
      </c>
      <c r="G2970" s="25" t="n">
        <f aca="false">IF(AND(D2970=1,A2970&gt;=$R$2),F2970,"")</f>
        <v>0.0211426895189562</v>
      </c>
      <c r="H2970" s="27" t="n">
        <f aca="false">IF(G2970="","",G2970^2)</f>
        <v>0.000447013320094979</v>
      </c>
      <c r="I2970" s="25" t="n">
        <f aca="false">IF(G2970="","",C2970/C2969-1)</f>
        <v>0.0213677797175118</v>
      </c>
      <c r="J2970" s="17" t="n">
        <f aca="false">AVERAGE(C2771:C2970)</f>
        <v>19738.96875</v>
      </c>
      <c r="K2970" s="17" t="n">
        <f aca="false">MAX(K2969,C2970)</f>
        <v>67510.06</v>
      </c>
      <c r="L2970" s="25" t="n">
        <f aca="false">C2970/K2970-1</f>
        <v>-0.632119568550228</v>
      </c>
      <c r="M2970" s="25" t="n">
        <f aca="false">IF(COUNT(G2941:G2970)&lt;20,"",_xlfn.STDEV.S(G2941:G2970)*SQRT($R$3))</f>
        <v>0.509096625726817</v>
      </c>
      <c r="N2970" s="25" t="n">
        <f aca="false">IF(A2970-7&lt;$R$2,"",C2970/INDEX(Clean_Data!$C$2:$C$4314,MATCH(A2970-7,Clean_Data!$A$2:$A$4314,1))-1)</f>
        <v>0.139963913151045</v>
      </c>
      <c r="O2970" s="25" t="n">
        <f aca="false">IF(A2970-30&lt;$R$2,"",C2970/INDEX(Clean_Data!$C$2:$C$4314,MATCH(A2970-30,Clean_Data!$A$2:$A$4314,1))-1)</f>
        <v>0.0899708982738652</v>
      </c>
    </row>
    <row r="2971" customFormat="false" ht="15" hidden="false" customHeight="false" outlineLevel="0" collapsed="false">
      <c r="A2971" s="16" t="n">
        <v>44978</v>
      </c>
      <c r="B2971" s="23" t="n">
        <f aca="false">YEAR(A2971)</f>
        <v>2023</v>
      </c>
      <c r="C2971" s="17" t="n">
        <v>24447.91</v>
      </c>
      <c r="D2971" s="23" t="n">
        <f aca="false">A2971-A2970</f>
        <v>1</v>
      </c>
      <c r="E2971" s="24" t="n">
        <f aca="false">LN(C2971)</f>
        <v>10.1043000106767</v>
      </c>
      <c r="F2971" s="25" t="n">
        <f aca="false">LN(C2971/C2970)</f>
        <v>-0.0157345839679597</v>
      </c>
      <c r="G2971" s="25" t="n">
        <f aca="false">IF(AND(D2971=1,A2971&gt;=$R$2),F2971,"")</f>
        <v>-0.0157345839679597</v>
      </c>
      <c r="H2971" s="27" t="n">
        <f aca="false">IF(G2971="","",G2971^2)</f>
        <v>0.000247577132644773</v>
      </c>
      <c r="I2971" s="25" t="n">
        <f aca="false">IF(G2971="","",C2971/C2970-1)</f>
        <v>-0.0156114421095821</v>
      </c>
      <c r="J2971" s="17" t="n">
        <f aca="false">AVERAGE(C2772:C2971)</f>
        <v>19744.7826</v>
      </c>
      <c r="K2971" s="17" t="n">
        <f aca="false">MAX(K2970,C2971)</f>
        <v>67510.06</v>
      </c>
      <c r="L2971" s="25" t="n">
        <f aca="false">C2971/K2971-1</f>
        <v>-0.637862712609054</v>
      </c>
      <c r="M2971" s="25" t="n">
        <f aca="false">IF(COUNT(G2942:G2971)&lt;20,"",_xlfn.STDEV.S(G2942:G2971)*SQRT($R$3))</f>
        <v>0.512803738733692</v>
      </c>
      <c r="N2971" s="25" t="n">
        <f aca="false">IF(A2971-7&lt;$R$2,"",C2971/INDEX(Clean_Data!$C$2:$C$4314,MATCH(A2971-7,Clean_Data!$A$2:$A$4314,1))-1)</f>
        <v>0.101570311201067</v>
      </c>
      <c r="O2971" s="25" t="n">
        <f aca="false">IF(A2971-30&lt;$R$2,"",C2971/INDEX(Clean_Data!$C$2:$C$4314,MATCH(A2971-30,Clean_Data!$A$2:$A$4314,1))-1)</f>
        <v>0.0766821789682433</v>
      </c>
    </row>
    <row r="2972" customFormat="false" ht="15" hidden="false" customHeight="false" outlineLevel="0" collapsed="false">
      <c r="A2972" s="16" t="n">
        <v>44979</v>
      </c>
      <c r="B2972" s="23" t="n">
        <f aca="false">YEAR(A2972)</f>
        <v>2023</v>
      </c>
      <c r="C2972" s="17" t="n">
        <v>24187.63</v>
      </c>
      <c r="D2972" s="23" t="n">
        <f aca="false">A2972-A2971</f>
        <v>1</v>
      </c>
      <c r="E2972" s="24" t="n">
        <f aca="false">LN(C2972)</f>
        <v>10.0935966244347</v>
      </c>
      <c r="F2972" s="25" t="n">
        <f aca="false">LN(C2972/C2971)</f>
        <v>-0.0107033862420519</v>
      </c>
      <c r="G2972" s="25" t="n">
        <f aca="false">IF(AND(D2972=1,A2972&gt;=$R$2),F2972,"")</f>
        <v>-0.0107033862420519</v>
      </c>
      <c r="H2972" s="27" t="n">
        <f aca="false">IF(G2972="","",G2972^2)</f>
        <v>0.000114562477046546</v>
      </c>
      <c r="I2972" s="25" t="n">
        <f aca="false">IF(G2972="","",C2972/C2971-1)</f>
        <v>-0.0106463088255806</v>
      </c>
      <c r="J2972" s="17" t="n">
        <f aca="false">AVERAGE(C2773:C2972)</f>
        <v>19750.91995</v>
      </c>
      <c r="K2972" s="17" t="n">
        <f aca="false">MAX(K2971,C2972)</f>
        <v>67510.06</v>
      </c>
      <c r="L2972" s="25" t="n">
        <f aca="false">C2972/K2972-1</f>
        <v>-0.641718138007876</v>
      </c>
      <c r="M2972" s="25" t="n">
        <f aca="false">IF(COUNT(G2943:G2972)&lt;20,"",_xlfn.STDEV.S(G2943:G2972)*SQRT($R$3))</f>
        <v>0.514219954764871</v>
      </c>
      <c r="N2972" s="25" t="n">
        <f aca="false">IF(A2972-7&lt;$R$2,"",C2972/INDEX(Clean_Data!$C$2:$C$4314,MATCH(A2972-7,Clean_Data!$A$2:$A$4314,1))-1)</f>
        <v>-0.00629109362238478</v>
      </c>
      <c r="O2972" s="25" t="n">
        <f aca="false">IF(A2972-30&lt;$R$2,"",C2972/INDEX(Clean_Data!$C$2:$C$4314,MATCH(A2972-30,Clean_Data!$A$2:$A$4314,1))-1)</f>
        <v>0.0555222445071681</v>
      </c>
    </row>
    <row r="2973" customFormat="false" ht="15" hidden="false" customHeight="false" outlineLevel="0" collapsed="false">
      <c r="A2973" s="16" t="n">
        <v>44980</v>
      </c>
      <c r="B2973" s="23" t="n">
        <f aca="false">YEAR(A2973)</f>
        <v>2023</v>
      </c>
      <c r="C2973" s="17" t="n">
        <v>23938.48</v>
      </c>
      <c r="D2973" s="23" t="n">
        <f aca="false">A2973-A2972</f>
        <v>1</v>
      </c>
      <c r="E2973" s="24" t="n">
        <f aca="false">LN(C2973)</f>
        <v>10.0832424850328</v>
      </c>
      <c r="F2973" s="25" t="n">
        <f aca="false">LN(C2973/C2972)</f>
        <v>-0.0103541394019311</v>
      </c>
      <c r="G2973" s="25" t="n">
        <f aca="false">IF(AND(D2973=1,A2973&gt;=$R$2),F2973,"")</f>
        <v>-0.0103541394019311</v>
      </c>
      <c r="H2973" s="27" t="n">
        <f aca="false">IF(G2973="","",G2973^2)</f>
        <v>0.000107208202754621</v>
      </c>
      <c r="I2973" s="25" t="n">
        <f aca="false">IF(G2973="","",C2973/C2972-1)</f>
        <v>-0.0103007198307565</v>
      </c>
      <c r="J2973" s="17" t="n">
        <f aca="false">AVERAGE(C2774:C2973)</f>
        <v>19754.6753</v>
      </c>
      <c r="K2973" s="17" t="n">
        <f aca="false">MAX(K2972,C2973)</f>
        <v>67510.06</v>
      </c>
      <c r="L2973" s="25" t="n">
        <f aca="false">C2973/K2973-1</f>
        <v>-0.645408699088699</v>
      </c>
      <c r="M2973" s="25" t="n">
        <f aca="false">IF(COUNT(G2944:G2973)&lt;20,"",_xlfn.STDEV.S(G2944:G2973)*SQRT($R$3))</f>
        <v>0.513229123766924</v>
      </c>
      <c r="N2973" s="25" t="n">
        <f aca="false">IF(A2973-7&lt;$R$2,"",C2973/INDEX(Clean_Data!$C$2:$C$4314,MATCH(A2973-7,Clean_Data!$A$2:$A$4314,1))-1)</f>
        <v>0.0200385968934145</v>
      </c>
      <c r="O2973" s="25" t="n">
        <f aca="false">IF(A2973-30&lt;$R$2,"",C2973/INDEX(Clean_Data!$C$2:$C$4314,MATCH(A2973-30,Clean_Data!$A$2:$A$4314,1))-1)</f>
        <v>0.0586467389045096</v>
      </c>
    </row>
    <row r="2974" customFormat="false" ht="15" hidden="false" customHeight="false" outlineLevel="0" collapsed="false">
      <c r="A2974" s="16" t="n">
        <v>44981</v>
      </c>
      <c r="B2974" s="23" t="n">
        <f aca="false">YEAR(A2974)</f>
        <v>2023</v>
      </c>
      <c r="C2974" s="17" t="n">
        <v>23181.45</v>
      </c>
      <c r="D2974" s="23" t="n">
        <f aca="false">A2974-A2973</f>
        <v>1</v>
      </c>
      <c r="E2974" s="24" t="n">
        <f aca="false">LN(C2974)</f>
        <v>10.0511076688631</v>
      </c>
      <c r="F2974" s="25" t="n">
        <f aca="false">LN(C2974/C2973)</f>
        <v>-0.03213481616964</v>
      </c>
      <c r="G2974" s="25" t="n">
        <f aca="false">IF(AND(D2974=1,A2974&gt;=$R$2),F2974,"")</f>
        <v>-0.03213481616964</v>
      </c>
      <c r="H2974" s="27" t="n">
        <f aca="false">IF(G2974="","",G2974^2)</f>
        <v>0.00103264641025656</v>
      </c>
      <c r="I2974" s="25" t="n">
        <f aca="false">IF(G2974="","",C2974/C2973-1)</f>
        <v>-0.0316239794673679</v>
      </c>
      <c r="J2974" s="17" t="n">
        <f aca="false">AVERAGE(C2775:C2974)</f>
        <v>19751.45805</v>
      </c>
      <c r="K2974" s="17" t="n">
        <f aca="false">MAX(K2973,C2974)</f>
        <v>67510.06</v>
      </c>
      <c r="L2974" s="25" t="n">
        <f aca="false">C2974/K2974-1</f>
        <v>-0.656622287108025</v>
      </c>
      <c r="M2974" s="25" t="n">
        <f aca="false">IF(COUNT(G2945:G2974)&lt;20,"",_xlfn.STDEV.S(G2945:G2974)*SQRT($R$3))</f>
        <v>0.522157317460436</v>
      </c>
      <c r="N2974" s="25" t="n">
        <f aca="false">IF(A2974-7&lt;$R$2,"",C2974/INDEX(Clean_Data!$C$2:$C$4314,MATCH(A2974-7,Clean_Data!$A$2:$A$4314,1))-1)</f>
        <v>-0.0562082791168812</v>
      </c>
      <c r="O2974" s="25" t="n">
        <f aca="false">IF(A2974-30&lt;$R$2,"",C2974/INDEX(Clean_Data!$C$2:$C$4314,MATCH(A2974-30,Clean_Data!$A$2:$A$4314,1))-1)</f>
        <v>0.0047255554467196</v>
      </c>
    </row>
    <row r="2975" customFormat="false" ht="15" hidden="false" customHeight="false" outlineLevel="0" collapsed="false">
      <c r="A2975" s="16" t="n">
        <v>44982</v>
      </c>
      <c r="B2975" s="23" t="n">
        <f aca="false">YEAR(A2975)</f>
        <v>2023</v>
      </c>
      <c r="C2975" s="17" t="n">
        <v>23157.01</v>
      </c>
      <c r="D2975" s="23" t="n">
        <f aca="false">A2975-A2974</f>
        <v>1</v>
      </c>
      <c r="E2975" s="24" t="n">
        <f aca="false">LN(C2975)</f>
        <v>10.0500528214527</v>
      </c>
      <c r="F2975" s="25" t="n">
        <f aca="false">LN(C2975/C2974)</f>
        <v>-0.00105484741038898</v>
      </c>
      <c r="G2975" s="25" t="n">
        <f aca="false">IF(AND(D2975=1,A2975&gt;=$R$2),F2975,"")</f>
        <v>-0.00105484741038898</v>
      </c>
      <c r="H2975" s="27" t="n">
        <f aca="false">IF(G2975="","",G2975^2)</f>
        <v>1.11270305920435E-006</v>
      </c>
      <c r="I2975" s="25" t="n">
        <f aca="false">IF(G2975="","",C2975/C2974-1)</f>
        <v>-0.0010542912544298</v>
      </c>
      <c r="J2975" s="17" t="n">
        <f aca="false">AVERAGE(C2776:C2975)</f>
        <v>19751.54855</v>
      </c>
      <c r="K2975" s="17" t="n">
        <f aca="false">MAX(K2974,C2975)</f>
        <v>67510.06</v>
      </c>
      <c r="L2975" s="25" t="n">
        <f aca="false">C2975/K2975-1</f>
        <v>-0.656984307227693</v>
      </c>
      <c r="M2975" s="25" t="n">
        <f aca="false">IF(COUNT(G2946:G2975)&lt;20,"",_xlfn.STDEV.S(G2946:G2975)*SQRT($R$3))</f>
        <v>0.522123130410305</v>
      </c>
      <c r="N2975" s="25" t="n">
        <f aca="false">IF(A2975-7&lt;$R$2,"",C2975/INDEX(Clean_Data!$C$2:$C$4314,MATCH(A2975-7,Clean_Data!$A$2:$A$4314,1))-1)</f>
        <v>-0.0596607763348268</v>
      </c>
      <c r="O2975" s="25" t="n">
        <f aca="false">IF(A2975-30&lt;$R$2,"",C2975/INDEX(Clean_Data!$C$2:$C$4314,MATCH(A2975-30,Clean_Data!$A$2:$A$4314,1))-1)</f>
        <v>0.00558702642612263</v>
      </c>
    </row>
    <row r="2976" customFormat="false" ht="15" hidden="false" customHeight="false" outlineLevel="0" collapsed="false">
      <c r="A2976" s="16" t="n">
        <v>44983</v>
      </c>
      <c r="B2976" s="23" t="n">
        <f aca="false">YEAR(A2976)</f>
        <v>2023</v>
      </c>
      <c r="C2976" s="17" t="n">
        <v>23551.19</v>
      </c>
      <c r="D2976" s="23" t="n">
        <f aca="false">A2976-A2975</f>
        <v>1</v>
      </c>
      <c r="E2976" s="24" t="n">
        <f aca="false">LN(C2976)</f>
        <v>10.0669316289535</v>
      </c>
      <c r="F2976" s="25" t="n">
        <f aca="false">LN(C2976/C2975)</f>
        <v>0.0168788075007526</v>
      </c>
      <c r="G2976" s="25" t="n">
        <f aca="false">IF(AND(D2976=1,A2976&gt;=$R$2),F2976,"")</f>
        <v>0.0168788075007526</v>
      </c>
      <c r="H2976" s="27" t="n">
        <f aca="false">IF(G2976="","",G2976^2)</f>
        <v>0.000284894142647464</v>
      </c>
      <c r="I2976" s="25" t="n">
        <f aca="false">IF(G2976="","",C2976/C2975-1)</f>
        <v>0.0170220594109516</v>
      </c>
      <c r="J2976" s="17" t="n">
        <f aca="false">AVERAGE(C2777:C2976)</f>
        <v>19749.39075</v>
      </c>
      <c r="K2976" s="17" t="n">
        <f aca="false">MAX(K2975,C2976)</f>
        <v>67510.06</v>
      </c>
      <c r="L2976" s="25" t="n">
        <f aca="false">C2976/K2976-1</f>
        <v>-0.651145473726434</v>
      </c>
      <c r="M2976" s="25" t="n">
        <f aca="false">IF(COUNT(G2947:G2976)&lt;20,"",_xlfn.STDEV.S(G2947:G2976)*SQRT($R$3))</f>
        <v>0.525345671426071</v>
      </c>
      <c r="N2976" s="25" t="n">
        <f aca="false">IF(A2976-7&lt;$R$2,"",C2976/INDEX(Clean_Data!$C$2:$C$4314,MATCH(A2976-7,Clean_Data!$A$2:$A$4314,1))-1)</f>
        <v>-0.0314549443680203</v>
      </c>
      <c r="O2976" s="25" t="n">
        <f aca="false">IF(A2976-30&lt;$R$2,"",C2976/INDEX(Clean_Data!$C$2:$C$4314,MATCH(A2976-30,Clean_Data!$A$2:$A$4314,1))-1)</f>
        <v>0.0207419010064744</v>
      </c>
    </row>
    <row r="2977" customFormat="false" ht="15" hidden="false" customHeight="false" outlineLevel="0" collapsed="false">
      <c r="A2977" s="16" t="n">
        <v>44984</v>
      </c>
      <c r="B2977" s="23" t="n">
        <f aca="false">YEAR(A2977)</f>
        <v>2023</v>
      </c>
      <c r="C2977" s="17" t="n">
        <v>23479.61</v>
      </c>
      <c r="D2977" s="23" t="n">
        <f aca="false">A2977-A2976</f>
        <v>1</v>
      </c>
      <c r="E2977" s="24" t="n">
        <f aca="false">LN(C2977)</f>
        <v>10.0638876639233</v>
      </c>
      <c r="F2977" s="25" t="n">
        <f aca="false">LN(C2977/C2976)</f>
        <v>-0.00304396503015166</v>
      </c>
      <c r="G2977" s="25" t="n">
        <f aca="false">IF(AND(D2977=1,A2977&gt;=$R$2),F2977,"")</f>
        <v>-0.00304396503015166</v>
      </c>
      <c r="H2977" s="27" t="n">
        <f aca="false">IF(G2977="","",G2977^2)</f>
        <v>9.2657231047862E-006</v>
      </c>
      <c r="I2977" s="25" t="n">
        <f aca="false">IF(G2977="","",C2977/C2976-1)</f>
        <v>-0.0030393368657804</v>
      </c>
      <c r="J2977" s="17" t="n">
        <f aca="false">AVERAGE(C2778:C2977)</f>
        <v>19747.0074</v>
      </c>
      <c r="K2977" s="17" t="n">
        <f aca="false">MAX(K2976,C2977)</f>
        <v>67510.06</v>
      </c>
      <c r="L2977" s="25" t="n">
        <f aca="false">C2977/K2977-1</f>
        <v>-0.652205760148932</v>
      </c>
      <c r="M2977" s="25" t="n">
        <f aca="false">IF(COUNT(G2948:G2977)&lt;20,"",_xlfn.STDEV.S(G2948:G2977)*SQRT($R$3))</f>
        <v>0.52544642627148</v>
      </c>
      <c r="N2977" s="25" t="n">
        <f aca="false">IF(A2977-7&lt;$R$2,"",C2977/INDEX(Clean_Data!$C$2:$C$4314,MATCH(A2977-7,Clean_Data!$A$2:$A$4314,1))-1)</f>
        <v>-0.0545997826509737</v>
      </c>
      <c r="O2977" s="25" t="n">
        <f aca="false">IF(A2977-30&lt;$R$2,"",C2977/INDEX(Clean_Data!$C$2:$C$4314,MATCH(A2977-30,Clean_Data!$A$2:$A$4314,1))-1)</f>
        <v>0.0193143304170098</v>
      </c>
    </row>
    <row r="2978" customFormat="false" ht="15" hidden="false" customHeight="false" outlineLevel="0" collapsed="false">
      <c r="A2978" s="16" t="n">
        <v>44985</v>
      </c>
      <c r="B2978" s="23" t="n">
        <f aca="false">YEAR(A2978)</f>
        <v>2023</v>
      </c>
      <c r="C2978" s="17" t="n">
        <v>23146.93</v>
      </c>
      <c r="D2978" s="23" t="n">
        <f aca="false">A2978-A2977</f>
        <v>1</v>
      </c>
      <c r="E2978" s="24" t="n">
        <f aca="false">LN(C2978)</f>
        <v>10.0496174373295</v>
      </c>
      <c r="F2978" s="25" t="n">
        <f aca="false">LN(C2978/C2977)</f>
        <v>-0.0142702265938194</v>
      </c>
      <c r="G2978" s="25" t="n">
        <f aca="false">IF(AND(D2978=1,A2978&gt;=$R$2),F2978,"")</f>
        <v>-0.0142702265938194</v>
      </c>
      <c r="H2978" s="27" t="n">
        <f aca="false">IF(G2978="","",G2978^2)</f>
        <v>0.000203639367038951</v>
      </c>
      <c r="I2978" s="25" t="n">
        <f aca="false">IF(G2978="","",C2978/C2977-1)</f>
        <v>-0.0141688895173302</v>
      </c>
      <c r="J2978" s="17" t="n">
        <f aca="false">AVERAGE(C2779:C2978)</f>
        <v>19740.7506</v>
      </c>
      <c r="K2978" s="17" t="n">
        <f aca="false">MAX(K2977,C2978)</f>
        <v>67510.06</v>
      </c>
      <c r="L2978" s="25" t="n">
        <f aca="false">C2978/K2978-1</f>
        <v>-0.657133618308146</v>
      </c>
      <c r="M2978" s="25" t="n">
        <f aca="false">IF(COUNT(G2949:G2978)&lt;20,"",_xlfn.STDEV.S(G2949:G2978)*SQRT($R$3))</f>
        <v>0.516921673832033</v>
      </c>
      <c r="N2978" s="25" t="n">
        <f aca="false">IF(A2978-7&lt;$R$2,"",C2978/INDEX(Clean_Data!$C$2:$C$4314,MATCH(A2978-7,Clean_Data!$A$2:$A$4314,1))-1)</f>
        <v>-0.0532143647452891</v>
      </c>
      <c r="O2978" s="25" t="n">
        <f aca="false">IF(A2978-30&lt;$R$2,"",C2978/INDEX(Clean_Data!$C$2:$C$4314,MATCH(A2978-30,Clean_Data!$A$2:$A$4314,1))-1)</f>
        <v>-0.0248389401647756</v>
      </c>
    </row>
    <row r="2979" customFormat="false" ht="15" hidden="false" customHeight="false" outlineLevel="0" collapsed="false">
      <c r="A2979" s="16" t="n">
        <v>44986</v>
      </c>
      <c r="B2979" s="23" t="n">
        <f aca="false">YEAR(A2979)</f>
        <v>2023</v>
      </c>
      <c r="C2979" s="17" t="n">
        <v>23634.46</v>
      </c>
      <c r="D2979" s="23" t="n">
        <f aca="false">A2979-A2978</f>
        <v>1</v>
      </c>
      <c r="E2979" s="24" t="n">
        <f aca="false">LN(C2979)</f>
        <v>10.0704610954944</v>
      </c>
      <c r="F2979" s="25" t="n">
        <f aca="false">LN(C2979/C2978)</f>
        <v>0.0208436581648414</v>
      </c>
      <c r="G2979" s="25" t="n">
        <f aca="false">IF(AND(D2979=1,A2979&gt;=$R$2),F2979,"")</f>
        <v>0.0208436581648414</v>
      </c>
      <c r="H2979" s="27" t="n">
        <f aca="false">IF(G2979="","",G2979^2)</f>
        <v>0.000434458085692759</v>
      </c>
      <c r="I2979" s="25" t="n">
        <f aca="false">IF(G2979="","",C2979/C2978-1)</f>
        <v>0.0210624043879684</v>
      </c>
      <c r="J2979" s="17" t="n">
        <f aca="false">AVERAGE(C2780:C2979)</f>
        <v>19736.6875</v>
      </c>
      <c r="K2979" s="17" t="n">
        <f aca="false">MAX(K2978,C2979)</f>
        <v>67510.06</v>
      </c>
      <c r="L2979" s="25" t="n">
        <f aca="false">C2979/K2979-1</f>
        <v>-0.649912027925912</v>
      </c>
      <c r="M2979" s="25" t="n">
        <f aca="false">IF(COUNT(G2950:G2979)&lt;20,"",_xlfn.STDEV.S(G2950:G2979)*SQRT($R$3))</f>
        <v>0.503444930352159</v>
      </c>
      <c r="N2979" s="25" t="n">
        <f aca="false">IF(A2979-7&lt;$R$2,"",C2979/INDEX(Clean_Data!$C$2:$C$4314,MATCH(A2979-7,Clean_Data!$A$2:$A$4314,1))-1)</f>
        <v>-0.0228699546007609</v>
      </c>
      <c r="O2979" s="25" t="n">
        <f aca="false">IF(A2979-30&lt;$R$2,"",C2979/INDEX(Clean_Data!$C$2:$C$4314,MATCH(A2979-30,Clean_Data!$A$2:$A$4314,1))-1)</f>
        <v>0.0351317781110285</v>
      </c>
    </row>
    <row r="2980" customFormat="false" ht="15" hidden="false" customHeight="false" outlineLevel="0" collapsed="false">
      <c r="A2980" s="16" t="n">
        <v>44987</v>
      </c>
      <c r="B2980" s="23" t="n">
        <f aca="false">YEAR(A2980)</f>
        <v>2023</v>
      </c>
      <c r="C2980" s="17" t="n">
        <v>23469.09</v>
      </c>
      <c r="D2980" s="23" t="n">
        <f aca="false">A2980-A2979</f>
        <v>1</v>
      </c>
      <c r="E2980" s="24" t="n">
        <f aca="false">LN(C2980)</f>
        <v>10.0634395151918</v>
      </c>
      <c r="F2980" s="25" t="n">
        <f aca="false">LN(C2980/C2979)</f>
        <v>-0.00702158030255536</v>
      </c>
      <c r="G2980" s="25" t="n">
        <f aca="false">IF(AND(D2980=1,A2980&gt;=$R$2),F2980,"")</f>
        <v>-0.00702158030255536</v>
      </c>
      <c r="H2980" s="27" t="n">
        <f aca="false">IF(G2980="","",G2980^2)</f>
        <v>4.93025899452334E-005</v>
      </c>
      <c r="I2980" s="25" t="n">
        <f aca="false">IF(G2980="","",C2980/C2979-1)</f>
        <v>-0.00699698660345949</v>
      </c>
      <c r="J2980" s="17" t="n">
        <f aca="false">AVERAGE(C2781:C2980)</f>
        <v>19732.5244</v>
      </c>
      <c r="K2980" s="17" t="n">
        <f aca="false">MAX(K2979,C2980)</f>
        <v>67510.06</v>
      </c>
      <c r="L2980" s="25" t="n">
        <f aca="false">C2980/K2980-1</f>
        <v>-0.652361588776547</v>
      </c>
      <c r="M2980" s="25" t="n">
        <f aca="false">IF(COUNT(G2951:G2980)&lt;20,"",_xlfn.STDEV.S(G2951:G2980)*SQRT($R$3))</f>
        <v>0.502306631806805</v>
      </c>
      <c r="N2980" s="25" t="n">
        <f aca="false">IF(A2980-7&lt;$R$2,"",C2980/INDEX(Clean_Data!$C$2:$C$4314,MATCH(A2980-7,Clean_Data!$A$2:$A$4314,1))-1)</f>
        <v>-0.0196081789654147</v>
      </c>
      <c r="O2980" s="25" t="n">
        <f aca="false">IF(A2980-30&lt;$R$2,"",C2980/INDEX(Clean_Data!$C$2:$C$4314,MATCH(A2980-30,Clean_Data!$A$2:$A$4314,1))-1)</f>
        <v>0.0144522912295535</v>
      </c>
    </row>
    <row r="2981" customFormat="false" ht="15" hidden="false" customHeight="false" outlineLevel="0" collapsed="false">
      <c r="A2981" s="16" t="n">
        <v>44988</v>
      </c>
      <c r="B2981" s="23" t="n">
        <f aca="false">YEAR(A2981)</f>
        <v>2023</v>
      </c>
      <c r="C2981" s="17" t="n">
        <v>22343.55</v>
      </c>
      <c r="D2981" s="23" t="n">
        <f aca="false">A2981-A2980</f>
        <v>1</v>
      </c>
      <c r="E2981" s="24" t="n">
        <f aca="false">LN(C2981)</f>
        <v>10.0142929677874</v>
      </c>
      <c r="F2981" s="25" t="n">
        <f aca="false">LN(C2981/C2980)</f>
        <v>-0.0491465474043981</v>
      </c>
      <c r="G2981" s="25" t="n">
        <f aca="false">IF(AND(D2981=1,A2981&gt;=$R$2),F2981,"")</f>
        <v>-0.0491465474043981</v>
      </c>
      <c r="H2981" s="27" t="n">
        <f aca="false">IF(G2981="","",G2981^2)</f>
        <v>0.00241538312177275</v>
      </c>
      <c r="I2981" s="25" t="n">
        <f aca="false">IF(G2981="","",C2981/C2980-1)</f>
        <v>-0.0479583997504803</v>
      </c>
      <c r="J2981" s="17" t="n">
        <f aca="false">AVERAGE(C2782:C2981)</f>
        <v>19723.7808</v>
      </c>
      <c r="K2981" s="17" t="n">
        <f aca="false">MAX(K2980,C2981)</f>
        <v>67510.06</v>
      </c>
      <c r="L2981" s="25" t="n">
        <f aca="false">C2981/K2981-1</f>
        <v>-0.669033770670623</v>
      </c>
      <c r="M2981" s="25" t="n">
        <f aca="false">IF(COUNT(G2952:G2981)&lt;20,"",_xlfn.STDEV.S(G2952:G2981)*SQRT($R$3))</f>
        <v>0.522361526150537</v>
      </c>
      <c r="N2981" s="25" t="n">
        <f aca="false">IF(A2981-7&lt;$R$2,"",C2981/INDEX(Clean_Data!$C$2:$C$4314,MATCH(A2981-7,Clean_Data!$A$2:$A$4314,1))-1)</f>
        <v>-0.0361452799544464</v>
      </c>
      <c r="O2981" s="25" t="n">
        <f aca="false">IF(A2981-30&lt;$R$2,"",C2981/INDEX(Clean_Data!$C$2:$C$4314,MATCH(A2981-30,Clean_Data!$A$2:$A$4314,1))-1)</f>
        <v>-0.0588234550771229</v>
      </c>
    </row>
    <row r="2982" customFormat="false" ht="15" hidden="false" customHeight="false" outlineLevel="0" collapsed="false">
      <c r="A2982" s="16" t="n">
        <v>44989</v>
      </c>
      <c r="B2982" s="23" t="n">
        <f aca="false">YEAR(A2982)</f>
        <v>2023</v>
      </c>
      <c r="C2982" s="17" t="n">
        <v>22345.17</v>
      </c>
      <c r="D2982" s="23" t="n">
        <f aca="false">A2982-A2981</f>
        <v>1</v>
      </c>
      <c r="E2982" s="24" t="n">
        <f aca="false">LN(C2982)</f>
        <v>10.0143654693046</v>
      </c>
      <c r="F2982" s="25" t="n">
        <f aca="false">LN(C2982/C2981)</f>
        <v>7.25015171931317E-005</v>
      </c>
      <c r="G2982" s="25" t="n">
        <f aca="false">IF(AND(D2982=1,A2982&gt;=$R$2),F2982,"")</f>
        <v>7.25015171931317E-005</v>
      </c>
      <c r="H2982" s="27" t="n">
        <f aca="false">IF(G2982="","",G2982^2)</f>
        <v>5.25646999530597E-009</v>
      </c>
      <c r="I2982" s="25" t="n">
        <f aca="false">IF(G2982="","",C2982/C2981-1)</f>
        <v>7.25041454916475E-005</v>
      </c>
      <c r="J2982" s="17" t="n">
        <f aca="false">AVERAGE(C2783:C2982)</f>
        <v>19716.19765</v>
      </c>
      <c r="K2982" s="17" t="n">
        <f aca="false">MAX(K2981,C2982)</f>
        <v>67510.06</v>
      </c>
      <c r="L2982" s="25" t="n">
        <f aca="false">C2982/K2982-1</f>
        <v>-0.669009774246979</v>
      </c>
      <c r="M2982" s="25" t="n">
        <f aca="false">IF(COUNT(G2953:G2982)&lt;20,"",_xlfn.STDEV.S(G2953:G2982)*SQRT($R$3))</f>
        <v>0.52194519873837</v>
      </c>
      <c r="N2982" s="25" t="n">
        <f aca="false">IF(A2982-7&lt;$R$2,"",C2982/INDEX(Clean_Data!$C$2:$C$4314,MATCH(A2982-7,Clean_Data!$A$2:$A$4314,1))-1)</f>
        <v>-0.0350580666502282</v>
      </c>
      <c r="O2982" s="25" t="n">
        <f aca="false">IF(A2982-30&lt;$R$2,"",C2982/INDEX(Clean_Data!$C$2:$C$4314,MATCH(A2982-30,Clean_Data!$A$2:$A$4314,1))-1)</f>
        <v>-0.0511194115413917</v>
      </c>
    </row>
    <row r="2983" customFormat="false" ht="15" hidden="false" customHeight="false" outlineLevel="0" collapsed="false">
      <c r="A2983" s="16" t="n">
        <v>44990</v>
      </c>
      <c r="B2983" s="23" t="n">
        <f aca="false">YEAR(A2983)</f>
        <v>2023</v>
      </c>
      <c r="C2983" s="17" t="n">
        <v>22429.5</v>
      </c>
      <c r="D2983" s="23" t="n">
        <f aca="false">A2983-A2982</f>
        <v>1</v>
      </c>
      <c r="E2983" s="24" t="n">
        <f aca="false">LN(C2983)</f>
        <v>10.018132335692</v>
      </c>
      <c r="F2983" s="25" t="n">
        <f aca="false">LN(C2983/C2982)</f>
        <v>0.00376686638740878</v>
      </c>
      <c r="G2983" s="25" t="n">
        <f aca="false">IF(AND(D2983=1,A2983&gt;=$R$2),F2983,"")</f>
        <v>0.00376686638740878</v>
      </c>
      <c r="H2983" s="27" t="n">
        <f aca="false">IF(G2983="","",G2983^2)</f>
        <v>1.41892823805901E-005</v>
      </c>
      <c r="I2983" s="25" t="n">
        <f aca="false">IF(G2983="","",C2983/C2982-1)</f>
        <v>0.00377396994518286</v>
      </c>
      <c r="J2983" s="17" t="n">
        <f aca="false">AVERAGE(C2784:C2983)</f>
        <v>19711.5557</v>
      </c>
      <c r="K2983" s="17" t="n">
        <f aca="false">MAX(K2982,C2983)</f>
        <v>67510.06</v>
      </c>
      <c r="L2983" s="25" t="n">
        <f aca="false">C2983/K2983-1</f>
        <v>-0.667760627082838</v>
      </c>
      <c r="M2983" s="25" t="n">
        <f aca="false">IF(COUNT(G2954:G2983)&lt;20,"",_xlfn.STDEV.S(G2954:G2983)*SQRT($R$3))</f>
        <v>0.522134391868577</v>
      </c>
      <c r="N2983" s="25" t="n">
        <f aca="false">IF(A2983-7&lt;$R$2,"",C2983/INDEX(Clean_Data!$C$2:$C$4314,MATCH(A2983-7,Clean_Data!$A$2:$A$4314,1))-1)</f>
        <v>-0.047627741952742</v>
      </c>
      <c r="O2983" s="25" t="n">
        <f aca="false">IF(A2983-30&lt;$R$2,"",C2983/INDEX(Clean_Data!$C$2:$C$4314,MATCH(A2983-30,Clean_Data!$A$2:$A$4314,1))-1)</f>
        <v>-0.0425545538366972</v>
      </c>
    </row>
    <row r="2984" customFormat="false" ht="15" hidden="false" customHeight="false" outlineLevel="0" collapsed="false">
      <c r="A2984" s="16" t="n">
        <v>44991</v>
      </c>
      <c r="B2984" s="23" t="n">
        <f aca="false">YEAR(A2984)</f>
        <v>2023</v>
      </c>
      <c r="C2984" s="17" t="n">
        <v>22419.33</v>
      </c>
      <c r="D2984" s="23" t="n">
        <f aca="false">A2984-A2983</f>
        <v>1</v>
      </c>
      <c r="E2984" s="24" t="n">
        <f aca="false">LN(C2984)</f>
        <v>10.0176788121475</v>
      </c>
      <c r="F2984" s="25" t="n">
        <f aca="false">LN(C2984/C2983)</f>
        <v>-0.0004535235445078</v>
      </c>
      <c r="G2984" s="25" t="n">
        <f aca="false">IF(AND(D2984=1,A2984&gt;=$R$2),F2984,"")</f>
        <v>-0.0004535235445078</v>
      </c>
      <c r="H2984" s="27" t="n">
        <f aca="false">IF(G2984="","",G2984^2)</f>
        <v>2.05683605422919E-007</v>
      </c>
      <c r="I2984" s="25" t="n">
        <f aca="false">IF(G2984="","",C2984/C2983-1)</f>
        <v>-0.000453420718250386</v>
      </c>
      <c r="J2984" s="17" t="n">
        <f aca="false">AVERAGE(C2785:C2984)</f>
        <v>19707.77285</v>
      </c>
      <c r="K2984" s="17" t="n">
        <f aca="false">MAX(K2983,C2984)</f>
        <v>67510.06</v>
      </c>
      <c r="L2984" s="25" t="n">
        <f aca="false">C2984/K2984-1</f>
        <v>-0.667911271297937</v>
      </c>
      <c r="M2984" s="25" t="n">
        <f aca="false">IF(COUNT(G2955:G2984)&lt;20,"",_xlfn.STDEV.S(G2955:G2984)*SQRT($R$3))</f>
        <v>0.522020019806824</v>
      </c>
      <c r="N2984" s="25" t="n">
        <f aca="false">IF(A2984-7&lt;$R$2,"",C2984/INDEX(Clean_Data!$C$2:$C$4314,MATCH(A2984-7,Clean_Data!$A$2:$A$4314,1))-1)</f>
        <v>-0.0451574791915197</v>
      </c>
      <c r="O2984" s="25" t="n">
        <f aca="false">IF(A2984-30&lt;$R$2,"",C2984/INDEX(Clean_Data!$C$2:$C$4314,MATCH(A2984-30,Clean_Data!$A$2:$A$4314,1))-1)</f>
        <v>-0.0385789240081564</v>
      </c>
    </row>
    <row r="2985" customFormat="false" ht="15" hidden="false" customHeight="false" outlineLevel="0" collapsed="false">
      <c r="A2985" s="16" t="n">
        <v>44992</v>
      </c>
      <c r="B2985" s="23" t="n">
        <f aca="false">YEAR(A2985)</f>
        <v>2023</v>
      </c>
      <c r="C2985" s="17" t="n">
        <v>22198.95</v>
      </c>
      <c r="D2985" s="23" t="n">
        <f aca="false">A2985-A2984</f>
        <v>1</v>
      </c>
      <c r="E2985" s="24" t="n">
        <f aca="false">LN(C2985)</f>
        <v>10.0078002694445</v>
      </c>
      <c r="F2985" s="25" t="n">
        <f aca="false">LN(C2985/C2984)</f>
        <v>-0.00987854270297912</v>
      </c>
      <c r="G2985" s="25" t="n">
        <f aca="false">IF(AND(D2985=1,A2985&gt;=$R$2),F2985,"")</f>
        <v>-0.00987854270297912</v>
      </c>
      <c r="H2985" s="27" t="n">
        <f aca="false">IF(G2985="","",G2985^2)</f>
        <v>9.75856059345819E-005</v>
      </c>
      <c r="I2985" s="25" t="n">
        <f aca="false">IF(G2985="","",C2985/C2984-1)</f>
        <v>-0.00982991017126744</v>
      </c>
      <c r="J2985" s="17" t="n">
        <f aca="false">AVERAGE(C2786:C2985)</f>
        <v>19714.5174</v>
      </c>
      <c r="K2985" s="17" t="n">
        <f aca="false">MAX(K2984,C2985)</f>
        <v>67510.06</v>
      </c>
      <c r="L2985" s="25" t="n">
        <f aca="false">C2985/K2985-1</f>
        <v>-0.671175673669969</v>
      </c>
      <c r="M2985" s="25" t="n">
        <f aca="false">IF(COUNT(G2956:G2985)&lt;20,"",_xlfn.STDEV.S(G2956:G2985)*SQRT($R$3))</f>
        <v>0.520113752817486</v>
      </c>
      <c r="N2985" s="25" t="n">
        <f aca="false">IF(A2985-7&lt;$R$2,"",C2985/INDEX(Clean_Data!$C$2:$C$4314,MATCH(A2985-7,Clean_Data!$A$2:$A$4314,1))-1)</f>
        <v>-0.040954891210195</v>
      </c>
      <c r="O2985" s="25" t="n">
        <f aca="false">IF(A2985-30&lt;$R$2,"",C2985/INDEX(Clean_Data!$C$2:$C$4314,MATCH(A2985-30,Clean_Data!$A$2:$A$4314,1))-1)</f>
        <v>-0.0322207268889263</v>
      </c>
    </row>
    <row r="2986" customFormat="false" ht="15" hidden="false" customHeight="false" outlineLevel="0" collapsed="false">
      <c r="A2986" s="16" t="n">
        <v>44993</v>
      </c>
      <c r="B2986" s="23" t="n">
        <f aca="false">YEAR(A2986)</f>
        <v>2023</v>
      </c>
      <c r="C2986" s="17" t="n">
        <v>21712.64</v>
      </c>
      <c r="D2986" s="23" t="n">
        <f aca="false">A2986-A2985</f>
        <v>1</v>
      </c>
      <c r="E2986" s="24" t="n">
        <f aca="false">LN(C2986)</f>
        <v>9.98564985842725</v>
      </c>
      <c r="F2986" s="25" t="n">
        <f aca="false">LN(C2986/C2985)</f>
        <v>-0.0221504110172725</v>
      </c>
      <c r="G2986" s="25" t="n">
        <f aca="false">IF(AND(D2986=1,A2986&gt;=$R$2),F2986,"")</f>
        <v>-0.0221504110172725</v>
      </c>
      <c r="H2986" s="27" t="n">
        <f aca="false">IF(G2986="","",G2986^2)</f>
        <v>0.000490640708234109</v>
      </c>
      <c r="I2986" s="25" t="n">
        <f aca="false">IF(G2986="","",C2986/C2985-1)</f>
        <v>-0.0219068919926394</v>
      </c>
      <c r="J2986" s="17" t="n">
        <f aca="false">AVERAGE(C2787:C2986)</f>
        <v>19717.32335</v>
      </c>
      <c r="K2986" s="17" t="n">
        <f aca="false">MAX(K2985,C2986)</f>
        <v>67510.06</v>
      </c>
      <c r="L2986" s="25" t="n">
        <f aca="false">C2986/K2986-1</f>
        <v>-0.678379192671433</v>
      </c>
      <c r="M2986" s="25" t="n">
        <f aca="false">IF(COUNT(G2957:G2986)&lt;20,"",_xlfn.STDEV.S(G2957:G2986)*SQRT($R$3))</f>
        <v>0.524776367005014</v>
      </c>
      <c r="N2986" s="25" t="n">
        <f aca="false">IF(A2986-7&lt;$R$2,"",C2986/INDEX(Clean_Data!$C$2:$C$4314,MATCH(A2986-7,Clean_Data!$A$2:$A$4314,1))-1)</f>
        <v>-0.081314318160855</v>
      </c>
      <c r="O2986" s="25" t="n">
        <f aca="false">IF(A2986-30&lt;$R$2,"",C2986/INDEX(Clean_Data!$C$2:$C$4314,MATCH(A2986-30,Clean_Data!$A$2:$A$4314,1))-1)</f>
        <v>-0.0456733294391343</v>
      </c>
    </row>
    <row r="2987" customFormat="false" ht="15" hidden="false" customHeight="false" outlineLevel="0" collapsed="false">
      <c r="A2987" s="16" t="n">
        <v>44994</v>
      </c>
      <c r="B2987" s="23" t="n">
        <f aca="false">YEAR(A2987)</f>
        <v>2023</v>
      </c>
      <c r="C2987" s="17" t="n">
        <v>20364.09</v>
      </c>
      <c r="D2987" s="23" t="n">
        <f aca="false">A2987-A2986</f>
        <v>1</v>
      </c>
      <c r="E2987" s="24" t="n">
        <f aca="false">LN(C2987)</f>
        <v>9.9215283345764</v>
      </c>
      <c r="F2987" s="25" t="n">
        <f aca="false">LN(C2987/C2986)</f>
        <v>-0.0641215238508518</v>
      </c>
      <c r="G2987" s="25" t="n">
        <f aca="false">IF(AND(D2987=1,A2987&gt;=$R$2),F2987,"")</f>
        <v>-0.0641215238508518</v>
      </c>
      <c r="H2987" s="27" t="n">
        <f aca="false">IF(G2987="","",G2987^2)</f>
        <v>0.00411156982095536</v>
      </c>
      <c r="I2987" s="25" t="n">
        <f aca="false">IF(G2987="","",C2987/C2986-1)</f>
        <v>-0.0621089835229617</v>
      </c>
      <c r="J2987" s="17" t="n">
        <f aca="false">AVERAGE(C2788:C2987)</f>
        <v>19711.5745</v>
      </c>
      <c r="K2987" s="17" t="n">
        <f aca="false">MAX(K2986,C2987)</f>
        <v>67510.06</v>
      </c>
      <c r="L2987" s="25" t="n">
        <f aca="false">C2987/K2987-1</f>
        <v>-0.698354734094445</v>
      </c>
      <c r="M2987" s="25" t="n">
        <f aca="false">IF(COUNT(G2958:G2987)&lt;20,"",_xlfn.STDEV.S(G2958:G2987)*SQRT($R$3))</f>
        <v>0.560789376722159</v>
      </c>
      <c r="N2987" s="25" t="n">
        <f aca="false">IF(A2987-7&lt;$R$2,"",C2987/INDEX(Clean_Data!$C$2:$C$4314,MATCH(A2987-7,Clean_Data!$A$2:$A$4314,1))-1)</f>
        <v>-0.132301678505643</v>
      </c>
      <c r="O2987" s="25" t="n">
        <f aca="false">IF(A2987-30&lt;$R$2,"",C2987/INDEX(Clean_Data!$C$2:$C$4314,MATCH(A2987-30,Clean_Data!$A$2:$A$4314,1))-1)</f>
        <v>-0.124517528058393</v>
      </c>
    </row>
    <row r="2988" customFormat="false" ht="15" hidden="false" customHeight="false" outlineLevel="0" collapsed="false">
      <c r="A2988" s="16" t="n">
        <v>44995</v>
      </c>
      <c r="B2988" s="23" t="n">
        <f aca="false">YEAR(A2988)</f>
        <v>2023</v>
      </c>
      <c r="C2988" s="17" t="n">
        <v>20227.02</v>
      </c>
      <c r="D2988" s="23" t="n">
        <f aca="false">A2988-A2987</f>
        <v>1</v>
      </c>
      <c r="E2988" s="24" t="n">
        <f aca="false">LN(C2988)</f>
        <v>9.91477461332998</v>
      </c>
      <c r="F2988" s="25" t="n">
        <f aca="false">LN(C2988/C2987)</f>
        <v>-0.00675372124641326</v>
      </c>
      <c r="G2988" s="25" t="n">
        <f aca="false">IF(AND(D2988=1,A2988&gt;=$R$2),F2988,"")</f>
        <v>-0.00675372124641326</v>
      </c>
      <c r="H2988" s="27" t="n">
        <f aca="false">IF(G2988="","",G2988^2)</f>
        <v>4.56127506742539E-005</v>
      </c>
      <c r="I2988" s="25" t="n">
        <f aca="false">IF(G2988="","",C2988/C2987-1)</f>
        <v>-0.00673096612713853</v>
      </c>
      <c r="J2988" s="17" t="n">
        <f aca="false">AVERAGE(C2789:C2988)</f>
        <v>19705.6905</v>
      </c>
      <c r="K2988" s="17" t="n">
        <f aca="false">MAX(K2987,C2988)</f>
        <v>67510.06</v>
      </c>
      <c r="L2988" s="25" t="n">
        <f aca="false">C2988/K2988-1</f>
        <v>-0.700385098161667</v>
      </c>
      <c r="M2988" s="25" t="n">
        <f aca="false">IF(COUNT(G2959:G2988)&lt;20,"",_xlfn.STDEV.S(G2959:G2988)*SQRT($R$3))</f>
        <v>0.560122040282318</v>
      </c>
      <c r="N2988" s="25" t="n">
        <f aca="false">IF(A2988-7&lt;$R$2,"",C2988/INDEX(Clean_Data!$C$2:$C$4314,MATCH(A2988-7,Clean_Data!$A$2:$A$4314,1))-1)</f>
        <v>-0.0947266660848433</v>
      </c>
      <c r="O2988" s="25" t="n">
        <f aca="false">IF(A2988-30&lt;$R$2,"",C2988/INDEX(Clean_Data!$C$2:$C$4314,MATCH(A2988-30,Clean_Data!$A$2:$A$4314,1))-1)</f>
        <v>-0.119545317232379</v>
      </c>
    </row>
    <row r="2989" customFormat="false" ht="15" hidden="false" customHeight="false" outlineLevel="0" collapsed="false">
      <c r="A2989" s="16" t="n">
        <v>44996</v>
      </c>
      <c r="B2989" s="23" t="n">
        <f aca="false">YEAR(A2989)</f>
        <v>2023</v>
      </c>
      <c r="C2989" s="17" t="n">
        <v>20607.79</v>
      </c>
      <c r="D2989" s="23" t="n">
        <f aca="false">A2989-A2988</f>
        <v>1</v>
      </c>
      <c r="E2989" s="24" t="n">
        <f aca="false">LN(C2989)</f>
        <v>9.93342443863477</v>
      </c>
      <c r="F2989" s="25" t="n">
        <f aca="false">LN(C2989/C2988)</f>
        <v>0.0186498253047847</v>
      </c>
      <c r="G2989" s="25" t="n">
        <f aca="false">IF(AND(D2989=1,A2989&gt;=$R$2),F2989,"")</f>
        <v>0.0186498253047847</v>
      </c>
      <c r="H2989" s="27" t="n">
        <f aca="false">IF(G2989="","",G2989^2)</f>
        <v>0.000347815983898989</v>
      </c>
      <c r="I2989" s="25" t="n">
        <f aca="false">IF(G2989="","",C2989/C2988-1)</f>
        <v>0.0188248194741489</v>
      </c>
      <c r="J2989" s="17" t="n">
        <f aca="false">AVERAGE(C2790:C2989)</f>
        <v>19701.08275</v>
      </c>
      <c r="K2989" s="17" t="n">
        <f aca="false">MAX(K2988,C2989)</f>
        <v>67510.06</v>
      </c>
      <c r="L2989" s="25" t="n">
        <f aca="false">C2989/K2989-1</f>
        <v>-0.694744901722795</v>
      </c>
      <c r="M2989" s="25" t="n">
        <f aca="false">IF(COUNT(G2960:G2989)&lt;20,"",_xlfn.STDEV.S(G2960:G2989)*SQRT($R$3))</f>
        <v>0.537807598679136</v>
      </c>
      <c r="N2989" s="25" t="n">
        <f aca="false">IF(A2989-7&lt;$R$2,"",C2989/INDEX(Clean_Data!$C$2:$C$4314,MATCH(A2989-7,Clean_Data!$A$2:$A$4314,1))-1)</f>
        <v>-0.07775192580768</v>
      </c>
      <c r="O2989" s="25" t="n">
        <f aca="false">IF(A2989-30&lt;$R$2,"",C2989/INDEX(Clean_Data!$C$2:$C$4314,MATCH(A2989-30,Clean_Data!$A$2:$A$4314,1))-1)</f>
        <v>-0.0548688874049722</v>
      </c>
    </row>
    <row r="2990" customFormat="false" ht="15" hidden="false" customHeight="false" outlineLevel="0" collapsed="false">
      <c r="A2990" s="16" t="n">
        <v>44997</v>
      </c>
      <c r="B2990" s="23" t="n">
        <f aca="false">YEAR(A2990)</f>
        <v>2023</v>
      </c>
      <c r="C2990" s="17" t="n">
        <v>22284.36</v>
      </c>
      <c r="D2990" s="23" t="n">
        <f aca="false">A2990-A2989</f>
        <v>1</v>
      </c>
      <c r="E2990" s="24" t="n">
        <f aca="false">LN(C2990)</f>
        <v>10.0116403660991</v>
      </c>
      <c r="F2990" s="25" t="n">
        <f aca="false">LN(C2990/C2989)</f>
        <v>0.0782159274642987</v>
      </c>
      <c r="G2990" s="25" t="n">
        <f aca="false">IF(AND(D2990=1,A2990&gt;=$R$2),F2990,"")</f>
        <v>0.0782159274642987</v>
      </c>
      <c r="H2990" s="27" t="n">
        <f aca="false">IF(G2990="","",G2990^2)</f>
        <v>0.00611773130910044</v>
      </c>
      <c r="I2990" s="25" t="n">
        <f aca="false">IF(G2990="","",C2990/C2989-1)</f>
        <v>0.0813561279496733</v>
      </c>
      <c r="J2990" s="17" t="n">
        <f aca="false">AVERAGE(C2791:C2990)</f>
        <v>19705.7112</v>
      </c>
      <c r="K2990" s="17" t="n">
        <f aca="false">MAX(K2989,C2990)</f>
        <v>67510.06</v>
      </c>
      <c r="L2990" s="25" t="n">
        <f aca="false">C2990/K2990-1</f>
        <v>-0.669910528890065</v>
      </c>
      <c r="M2990" s="25" t="n">
        <f aca="false">IF(COUNT(G2961:G2990)&lt;20,"",_xlfn.STDEV.S(G2961:G2990)*SQRT($R$3))</f>
        <v>0.605297902729953</v>
      </c>
      <c r="N2990" s="25" t="n">
        <f aca="false">IF(A2990-7&lt;$R$2,"",C2990/INDEX(Clean_Data!$C$2:$C$4314,MATCH(A2990-7,Clean_Data!$A$2:$A$4314,1))-1)</f>
        <v>-0.0064709422858289</v>
      </c>
      <c r="O2990" s="25" t="n">
        <f aca="false">IF(A2990-30&lt;$R$2,"",C2990/INDEX(Clean_Data!$C$2:$C$4314,MATCH(A2990-30,Clean_Data!$A$2:$A$4314,1))-1)</f>
        <v>0.030272432474417</v>
      </c>
    </row>
    <row r="2991" customFormat="false" ht="15" hidden="false" customHeight="false" outlineLevel="0" collapsed="false">
      <c r="A2991" s="16" t="n">
        <v>44998</v>
      </c>
      <c r="B2991" s="23" t="n">
        <f aca="false">YEAR(A2991)</f>
        <v>2023</v>
      </c>
      <c r="C2991" s="17" t="n">
        <v>24239.87</v>
      </c>
      <c r="D2991" s="23" t="n">
        <f aca="false">A2991-A2990</f>
        <v>1</v>
      </c>
      <c r="E2991" s="24" t="n">
        <f aca="false">LN(C2991)</f>
        <v>10.0957540771326</v>
      </c>
      <c r="F2991" s="25" t="n">
        <f aca="false">LN(C2991/C2990)</f>
        <v>0.0841137110334989</v>
      </c>
      <c r="G2991" s="25" t="n">
        <f aca="false">IF(AND(D2991=1,A2991&gt;=$R$2),F2991,"")</f>
        <v>0.0841137110334989</v>
      </c>
      <c r="H2991" s="27" t="n">
        <f aca="false">IF(G2991="","",G2991^2)</f>
        <v>0.00707511638382696</v>
      </c>
      <c r="I2991" s="25" t="n">
        <f aca="false">IF(G2991="","",C2991/C2990-1)</f>
        <v>0.0877525762463001</v>
      </c>
      <c r="J2991" s="17" t="n">
        <f aca="false">AVERAGE(C2792:C2991)</f>
        <v>19719.3188</v>
      </c>
      <c r="K2991" s="17" t="n">
        <f aca="false">MAX(K2990,C2991)</f>
        <v>67510.06</v>
      </c>
      <c r="L2991" s="25" t="n">
        <f aca="false">C2991/K2991-1</f>
        <v>-0.640944327408389</v>
      </c>
      <c r="M2991" s="25" t="n">
        <f aca="false">IF(COUNT(G2962:G2991)&lt;20,"",_xlfn.STDEV.S(G2962:G2991)*SQRT($R$3))</f>
        <v>0.670771392841433</v>
      </c>
      <c r="N2991" s="25" t="n">
        <f aca="false">IF(A2991-7&lt;$R$2,"",C2991/INDEX(Clean_Data!$C$2:$C$4314,MATCH(A2991-7,Clean_Data!$A$2:$A$4314,1))-1)</f>
        <v>0.0812040324131005</v>
      </c>
      <c r="O2991" s="25" t="n">
        <f aca="false">IF(A2991-30&lt;$R$2,"",C2991/INDEX(Clean_Data!$C$2:$C$4314,MATCH(A2991-30,Clean_Data!$A$2:$A$4314,1))-1)</f>
        <v>0.108995031913516</v>
      </c>
    </row>
    <row r="2992" customFormat="false" ht="15" hidden="false" customHeight="false" outlineLevel="0" collapsed="false">
      <c r="A2992" s="16" t="n">
        <v>44999</v>
      </c>
      <c r="B2992" s="23" t="n">
        <f aca="false">YEAR(A2992)</f>
        <v>2023</v>
      </c>
      <c r="C2992" s="17" t="n">
        <v>24786.83</v>
      </c>
      <c r="D2992" s="23" t="n">
        <f aca="false">A2992-A2991</f>
        <v>1</v>
      </c>
      <c r="E2992" s="24" t="n">
        <f aca="false">LN(C2992)</f>
        <v>10.1180677427098</v>
      </c>
      <c r="F2992" s="25" t="n">
        <f aca="false">LN(C2992/C2991)</f>
        <v>0.0223136655772754</v>
      </c>
      <c r="G2992" s="25" t="n">
        <f aca="false">IF(AND(D2992=1,A2992&gt;=$R$2),F2992,"")</f>
        <v>0.0223136655772754</v>
      </c>
      <c r="H2992" s="27" t="n">
        <f aca="false">IF(G2992="","",G2992^2)</f>
        <v>0.000497899671494487</v>
      </c>
      <c r="I2992" s="25" t="n">
        <f aca="false">IF(G2992="","",C2992/C2991-1)</f>
        <v>0.0225644774497553</v>
      </c>
      <c r="J2992" s="17" t="n">
        <f aca="false">AVERAGE(C2793:C2992)</f>
        <v>19742.10205</v>
      </c>
      <c r="K2992" s="17" t="n">
        <f aca="false">MAX(K2991,C2992)</f>
        <v>67510.06</v>
      </c>
      <c r="L2992" s="25" t="n">
        <f aca="false">C2992/K2992-1</f>
        <v>-0.632842423780989</v>
      </c>
      <c r="M2992" s="25" t="n">
        <f aca="false">IF(COUNT(G2963:G2992)&lt;20,"",_xlfn.STDEV.S(G2963:G2992)*SQRT($R$3))</f>
        <v>0.673463191703582</v>
      </c>
      <c r="N2992" s="25" t="n">
        <f aca="false">IF(A2992-7&lt;$R$2,"",C2992/INDEX(Clean_Data!$C$2:$C$4314,MATCH(A2992-7,Clean_Data!$A$2:$A$4314,1))-1)</f>
        <v>0.116576684933297</v>
      </c>
      <c r="O2992" s="25" t="n">
        <f aca="false">IF(A2992-30&lt;$R$2,"",C2992/INDEX(Clean_Data!$C$2:$C$4314,MATCH(A2992-30,Clean_Data!$A$2:$A$4314,1))-1)</f>
        <v>0.137841487912274</v>
      </c>
    </row>
    <row r="2993" customFormat="false" ht="15" hidden="false" customHeight="false" outlineLevel="0" collapsed="false">
      <c r="A2993" s="16" t="n">
        <v>45000</v>
      </c>
      <c r="B2993" s="23" t="n">
        <f aca="false">YEAR(A2993)</f>
        <v>2023</v>
      </c>
      <c r="C2993" s="17" t="n">
        <v>24350.57</v>
      </c>
      <c r="D2993" s="23" t="n">
        <f aca="false">A2993-A2992</f>
        <v>1</v>
      </c>
      <c r="E2993" s="24" t="n">
        <f aca="false">LN(C2993)</f>
        <v>10.100310536861</v>
      </c>
      <c r="F2993" s="25" t="n">
        <f aca="false">LN(C2993/C2992)</f>
        <v>-0.0177572058488532</v>
      </c>
      <c r="G2993" s="25" t="n">
        <f aca="false">IF(AND(D2993=1,A2993&gt;=$R$2),F2993,"")</f>
        <v>-0.0177572058488532</v>
      </c>
      <c r="H2993" s="27" t="n">
        <f aca="false">IF(G2993="","",G2993^2)</f>
        <v>0.000315318359558547</v>
      </c>
      <c r="I2993" s="25" t="n">
        <f aca="false">IF(G2993="","",C2993/C2992-1)</f>
        <v>-0.0176004757365101</v>
      </c>
      <c r="J2993" s="17" t="n">
        <f aca="false">AVERAGE(C2794:C2993)</f>
        <v>19763.76275</v>
      </c>
      <c r="K2993" s="17" t="n">
        <f aca="false">MAX(K2992,C2993)</f>
        <v>67510.06</v>
      </c>
      <c r="L2993" s="25" t="n">
        <f aca="false">C2993/K2993-1</f>
        <v>-0.639304571792708</v>
      </c>
      <c r="M2993" s="25" t="n">
        <f aca="false">IF(COUNT(G2964:G2993)&lt;20,"",_xlfn.STDEV.S(G2964:G2993)*SQRT($R$3))</f>
        <v>0.67773343124924</v>
      </c>
      <c r="N2993" s="25" t="n">
        <f aca="false">IF(A2993-7&lt;$R$2,"",C2993/INDEX(Clean_Data!$C$2:$C$4314,MATCH(A2993-7,Clean_Data!$A$2:$A$4314,1))-1)</f>
        <v>0.121492826298414</v>
      </c>
      <c r="O2993" s="25" t="n">
        <f aca="false">IF(A2993-30&lt;$R$2,"",C2993/INDEX(Clean_Data!$C$2:$C$4314,MATCH(A2993-30,Clean_Data!$A$2:$A$4314,1))-1)</f>
        <v>0.117699493214323</v>
      </c>
    </row>
    <row r="2994" customFormat="false" ht="15" hidden="false" customHeight="false" outlineLevel="0" collapsed="false">
      <c r="A2994" s="16" t="n">
        <v>45001</v>
      </c>
      <c r="B2994" s="23" t="n">
        <f aca="false">YEAR(A2994)</f>
        <v>2023</v>
      </c>
      <c r="C2994" s="17" t="n">
        <v>25040.11</v>
      </c>
      <c r="D2994" s="23" t="n">
        <f aca="false">A2994-A2993</f>
        <v>1</v>
      </c>
      <c r="E2994" s="24" t="n">
        <f aca="false">LN(C2994)</f>
        <v>10.1282342181756</v>
      </c>
      <c r="F2994" s="25" t="n">
        <f aca="false">LN(C2994/C2993)</f>
        <v>0.0279236813146436</v>
      </c>
      <c r="G2994" s="25" t="n">
        <f aca="false">IF(AND(D2994=1,A2994&gt;=$R$2),F2994,"")</f>
        <v>0.0279236813146436</v>
      </c>
      <c r="H2994" s="27" t="n">
        <f aca="false">IF(G2994="","",G2994^2)</f>
        <v>0.000779731978161778</v>
      </c>
      <c r="I2994" s="25" t="n">
        <f aca="false">IF(G2994="","",C2994/C2993-1)</f>
        <v>0.0283172016096545</v>
      </c>
      <c r="J2994" s="17" t="n">
        <f aca="false">AVERAGE(C2795:C2994)</f>
        <v>19791.04915</v>
      </c>
      <c r="K2994" s="17" t="n">
        <f aca="false">MAX(K2993,C2994)</f>
        <v>67510.06</v>
      </c>
      <c r="L2994" s="25" t="n">
        <f aca="false">C2994/K2994-1</f>
        <v>-0.629090686632481</v>
      </c>
      <c r="M2994" s="25" t="n">
        <f aca="false">IF(COUNT(G2965:G2994)&lt;20,"",_xlfn.STDEV.S(G2965:G2994)*SQRT($R$3))</f>
        <v>0.681103881683368</v>
      </c>
      <c r="N2994" s="25" t="n">
        <f aca="false">IF(A2994-7&lt;$R$2,"",C2994/INDEX(Clean_Data!$C$2:$C$4314,MATCH(A2994-7,Clean_Data!$A$2:$A$4314,1))-1)</f>
        <v>0.229620866928009</v>
      </c>
      <c r="O2994" s="25" t="n">
        <f aca="false">IF(A2994-30&lt;$R$2,"",C2994/INDEX(Clean_Data!$C$2:$C$4314,MATCH(A2994-30,Clean_Data!$A$2:$A$4314,1))-1)</f>
        <v>0.128253571172707</v>
      </c>
    </row>
    <row r="2995" customFormat="false" ht="15" hidden="false" customHeight="false" outlineLevel="0" collapsed="false">
      <c r="A2995" s="16" t="n">
        <v>45002</v>
      </c>
      <c r="B2995" s="23" t="n">
        <f aca="false">YEAR(A2995)</f>
        <v>2023</v>
      </c>
      <c r="C2995" s="17" t="n">
        <v>27442.51</v>
      </c>
      <c r="D2995" s="23" t="n">
        <f aca="false">A2995-A2994</f>
        <v>1</v>
      </c>
      <c r="E2995" s="24" t="n">
        <f aca="false">LN(C2995)</f>
        <v>10.2198485499597</v>
      </c>
      <c r="F2995" s="25" t="n">
        <f aca="false">LN(C2995/C2994)</f>
        <v>0.0916143317840606</v>
      </c>
      <c r="G2995" s="25" t="n">
        <f aca="false">IF(AND(D2995=1,A2995&gt;=$R$2),F2995,"")</f>
        <v>0.0916143317840606</v>
      </c>
      <c r="H2995" s="27" t="n">
        <f aca="false">IF(G2995="","",G2995^2)</f>
        <v>0.00839318578823993</v>
      </c>
      <c r="I2995" s="25" t="n">
        <f aca="false">IF(G2995="","",C2995/C2994-1)</f>
        <v>0.0959420705420222</v>
      </c>
      <c r="J2995" s="17" t="n">
        <f aca="false">AVERAGE(C2796:C2995)</f>
        <v>19826.80635</v>
      </c>
      <c r="K2995" s="17" t="n">
        <f aca="false">MAX(K2994,C2995)</f>
        <v>67510.06</v>
      </c>
      <c r="L2995" s="25" t="n">
        <f aca="false">C2995/K2995-1</f>
        <v>-0.593504879124682</v>
      </c>
      <c r="M2995" s="25" t="n">
        <f aca="false">IF(COUNT(G2966:G2995)&lt;20,"",_xlfn.STDEV.S(G2966:G2995)*SQRT($R$3))</f>
        <v>0.679916219826798</v>
      </c>
      <c r="N2995" s="25" t="n">
        <f aca="false">IF(A2995-7&lt;$R$2,"",C2995/INDEX(Clean_Data!$C$2:$C$4314,MATCH(A2995-7,Clean_Data!$A$2:$A$4314,1))-1)</f>
        <v>0.356725310994897</v>
      </c>
      <c r="O2995" s="25" t="n">
        <f aca="false">IF(A2995-30&lt;$R$2,"",C2995/INDEX(Clean_Data!$C$2:$C$4314,MATCH(A2995-30,Clean_Data!$A$2:$A$4314,1))-1)</f>
        <v>0.12743028566076</v>
      </c>
    </row>
    <row r="2996" customFormat="false" ht="15" hidden="false" customHeight="false" outlineLevel="0" collapsed="false">
      <c r="A2996" s="16" t="n">
        <v>45003</v>
      </c>
      <c r="B2996" s="23" t="n">
        <f aca="false">YEAR(A2996)</f>
        <v>2023</v>
      </c>
      <c r="C2996" s="17" t="n">
        <v>26991.27</v>
      </c>
      <c r="D2996" s="23" t="n">
        <f aca="false">A2996-A2995</f>
        <v>1</v>
      </c>
      <c r="E2996" s="24" t="n">
        <f aca="false">LN(C2996)</f>
        <v>10.2032687593696</v>
      </c>
      <c r="F2996" s="25" t="n">
        <f aca="false">LN(C2996/C2995)</f>
        <v>-0.0165797905900521</v>
      </c>
      <c r="G2996" s="25" t="n">
        <f aca="false">IF(AND(D2996=1,A2996&gt;=$R$2),F2996,"")</f>
        <v>-0.0165797905900521</v>
      </c>
      <c r="H2996" s="27" t="n">
        <f aca="false">IF(G2996="","",G2996^2)</f>
        <v>0.00027488945600998</v>
      </c>
      <c r="I2996" s="25" t="n">
        <f aca="false">IF(G2996="","",C2996/C2995-1)</f>
        <v>-0.0164431023255525</v>
      </c>
      <c r="J2996" s="17" t="n">
        <f aca="false">AVERAGE(C2797:C2996)</f>
        <v>19862.5842</v>
      </c>
      <c r="K2996" s="17" t="n">
        <f aca="false">MAX(K2995,C2996)</f>
        <v>67510.06</v>
      </c>
      <c r="L2996" s="25" t="n">
        <f aca="false">C2996/K2996-1</f>
        <v>-0.600188919992072</v>
      </c>
      <c r="M2996" s="25" t="n">
        <f aca="false">IF(COUNT(G2967:G2996)&lt;20,"",_xlfn.STDEV.S(G2967:G2996)*SQRT($R$3))</f>
        <v>0.668431658176495</v>
      </c>
      <c r="N2996" s="25" t="n">
        <f aca="false">IF(A2996-7&lt;$R$2,"",C2996/INDEX(Clean_Data!$C$2:$C$4314,MATCH(A2996-7,Clean_Data!$A$2:$A$4314,1))-1)</f>
        <v>0.309760532303561</v>
      </c>
      <c r="O2996" s="25" t="n">
        <f aca="false">IF(A2996-30&lt;$R$2,"",C2996/INDEX(Clean_Data!$C$2:$C$4314,MATCH(A2996-30,Clean_Data!$A$2:$A$4314,1))-1)</f>
        <v>0.150120524743898</v>
      </c>
    </row>
    <row r="2997" customFormat="false" ht="15" hidden="false" customHeight="false" outlineLevel="0" collapsed="false">
      <c r="A2997" s="16" t="n">
        <v>45004</v>
      </c>
      <c r="B2997" s="23" t="n">
        <f aca="false">YEAR(A2997)</f>
        <v>2023</v>
      </c>
      <c r="C2997" s="17" t="n">
        <v>28050.01</v>
      </c>
      <c r="D2997" s="23" t="n">
        <f aca="false">A2997-A2996</f>
        <v>1</v>
      </c>
      <c r="E2997" s="24" t="n">
        <f aca="false">LN(C2997)</f>
        <v>10.241744267457</v>
      </c>
      <c r="F2997" s="25" t="n">
        <f aca="false">LN(C2997/C2996)</f>
        <v>0.0384755080873773</v>
      </c>
      <c r="G2997" s="25" t="n">
        <f aca="false">IF(AND(D2997=1,A2997&gt;=$R$2),F2997,"")</f>
        <v>0.0384755080873773</v>
      </c>
      <c r="H2997" s="27" t="n">
        <f aca="false">IF(G2997="","",G2997^2)</f>
        <v>0.00148036472258183</v>
      </c>
      <c r="I2997" s="25" t="n">
        <f aca="false">IF(G2997="","",C2997/C2996-1)</f>
        <v>0.0392252754316487</v>
      </c>
      <c r="J2997" s="17" t="n">
        <f aca="false">AVERAGE(C2798:C2997)</f>
        <v>19902.70685</v>
      </c>
      <c r="K2997" s="17" t="n">
        <f aca="false">MAX(K2996,C2997)</f>
        <v>67510.06</v>
      </c>
      <c r="L2997" s="25" t="n">
        <f aca="false">C2997/K2997-1</f>
        <v>-0.584506220258136</v>
      </c>
      <c r="M2997" s="25" t="n">
        <f aca="false">IF(COUNT(G2968:G2997)&lt;20,"",_xlfn.STDEV.S(G2968:G2997)*SQRT($R$3))</f>
        <v>0.663417524988054</v>
      </c>
      <c r="N2997" s="25" t="n">
        <f aca="false">IF(A2997-7&lt;$R$2,"",C2997/INDEX(Clean_Data!$C$2:$C$4314,MATCH(A2997-7,Clean_Data!$A$2:$A$4314,1))-1)</f>
        <v>0.258730786973465</v>
      </c>
      <c r="O2997" s="25" t="n">
        <f aca="false">IF(A2997-30&lt;$R$2,"",C2997/INDEX(Clean_Data!$C$2:$C$4314,MATCH(A2997-30,Clean_Data!$A$2:$A$4314,1))-1)</f>
        <v>0.142006527145139</v>
      </c>
    </row>
    <row r="2998" customFormat="false" ht="15" hidden="false" customHeight="false" outlineLevel="0" collapsed="false">
      <c r="A2998" s="16" t="n">
        <v>45005</v>
      </c>
      <c r="B2998" s="23" t="n">
        <f aca="false">YEAR(A2998)</f>
        <v>2023</v>
      </c>
      <c r="C2998" s="17" t="n">
        <v>27818.07</v>
      </c>
      <c r="D2998" s="23" t="n">
        <f aca="false">A2998-A2997</f>
        <v>1</v>
      </c>
      <c r="E2998" s="24" t="n">
        <f aca="false">LN(C2998)</f>
        <v>10.2334410885202</v>
      </c>
      <c r="F2998" s="25" t="n">
        <f aca="false">LN(C2998/C2997)</f>
        <v>-0.00830317893679213</v>
      </c>
      <c r="G2998" s="25" t="n">
        <f aca="false">IF(AND(D2998=1,A2998&gt;=$R$2),F2998,"")</f>
        <v>-0.00830317893679213</v>
      </c>
      <c r="H2998" s="27" t="n">
        <f aca="false">IF(G2998="","",G2998^2)</f>
        <v>6.89427804563885E-005</v>
      </c>
      <c r="I2998" s="25" t="n">
        <f aca="false">IF(G2998="","",C2998/C2997-1)</f>
        <v>-0.00826880275622</v>
      </c>
      <c r="J2998" s="17" t="n">
        <f aca="false">AVERAGE(C2799:C2998)</f>
        <v>19941.23465</v>
      </c>
      <c r="K2998" s="17" t="n">
        <f aca="false">MAX(K2997,C2998)</f>
        <v>67510.06</v>
      </c>
      <c r="L2998" s="25" t="n">
        <f aca="false">C2998/K2998-1</f>
        <v>-0.587941856369258</v>
      </c>
      <c r="M2998" s="25" t="n">
        <f aca="false">IF(COUNT(G2969:G2998)&lt;20,"",_xlfn.STDEV.S(G2969:G2998)*SQRT($R$3))</f>
        <v>0.664884026390977</v>
      </c>
      <c r="N2998" s="25" t="n">
        <f aca="false">IF(A2998-7&lt;$R$2,"",C2998/INDEX(Clean_Data!$C$2:$C$4314,MATCH(A2998-7,Clean_Data!$A$2:$A$4314,1))-1)</f>
        <v>0.147616303222748</v>
      </c>
      <c r="O2998" s="25" t="n">
        <f aca="false">IF(A2998-30&lt;$R$2,"",C2998/INDEX(Clean_Data!$C$2:$C$4314,MATCH(A2998-30,Clean_Data!$A$2:$A$4314,1))-1)</f>
        <v>0.129611394029862</v>
      </c>
    </row>
    <row r="2999" customFormat="false" ht="15" hidden="false" customHeight="false" outlineLevel="0" collapsed="false">
      <c r="A2999" s="16" t="n">
        <v>45006</v>
      </c>
      <c r="B2999" s="23" t="n">
        <f aca="false">YEAR(A2999)</f>
        <v>2023</v>
      </c>
      <c r="C2999" s="17" t="n">
        <v>28195.56</v>
      </c>
      <c r="D2999" s="23" t="n">
        <f aca="false">A2999-A2998</f>
        <v>1</v>
      </c>
      <c r="E2999" s="24" t="n">
        <f aca="false">LN(C2999)</f>
        <v>10.2469197977216</v>
      </c>
      <c r="F2999" s="25" t="n">
        <f aca="false">LN(C2999/C2998)</f>
        <v>0.013478709201419</v>
      </c>
      <c r="G2999" s="25" t="n">
        <f aca="false">IF(AND(D2999=1,A2999&gt;=$R$2),F2999,"")</f>
        <v>0.013478709201419</v>
      </c>
      <c r="H2999" s="27" t="n">
        <f aca="false">IF(G2999="","",G2999^2)</f>
        <v>0.000181675601736417</v>
      </c>
      <c r="I2999" s="25" t="n">
        <f aca="false">IF(G2999="","",C2999/C2998-1)</f>
        <v>0.013569956506688</v>
      </c>
      <c r="J2999" s="17" t="n">
        <f aca="false">AVERAGE(C2800:C2999)</f>
        <v>19982.4781</v>
      </c>
      <c r="K2999" s="17" t="n">
        <f aca="false">MAX(K2998,C2999)</f>
        <v>67510.06</v>
      </c>
      <c r="L2999" s="25" t="n">
        <f aca="false">C2999/K2999-1</f>
        <v>-0.582350245281962</v>
      </c>
      <c r="M2999" s="25" t="n">
        <f aca="false">IF(COUNT(G2970:G2999)&lt;20,"",_xlfn.STDEV.S(G2970:G2999)*SQRT($R$3))</f>
        <v>0.662852627985874</v>
      </c>
      <c r="N2999" s="25" t="n">
        <f aca="false">IF(A2999-7&lt;$R$2,"",C2999/INDEX(Clean_Data!$C$2:$C$4314,MATCH(A2999-7,Clean_Data!$A$2:$A$4314,1))-1)</f>
        <v>0.137521821063847</v>
      </c>
      <c r="O2999" s="25" t="n">
        <f aca="false">IF(A2999-30&lt;$R$2,"",C2999/INDEX(Clean_Data!$C$2:$C$4314,MATCH(A2999-30,Clean_Data!$A$2:$A$4314,1))-1)</f>
        <v>0.159545238638677</v>
      </c>
    </row>
    <row r="3000" customFormat="false" ht="15" hidden="false" customHeight="false" outlineLevel="0" collapsed="false">
      <c r="A3000" s="16" t="n">
        <v>45007</v>
      </c>
      <c r="B3000" s="23" t="n">
        <f aca="false">YEAR(A3000)</f>
        <v>2023</v>
      </c>
      <c r="C3000" s="17" t="n">
        <v>27324.09</v>
      </c>
      <c r="D3000" s="23" t="n">
        <f aca="false">A3000-A2999</f>
        <v>1</v>
      </c>
      <c r="E3000" s="24" t="n">
        <f aca="false">LN(C3000)</f>
        <v>10.215524009654</v>
      </c>
      <c r="F3000" s="25" t="n">
        <f aca="false">LN(C3000/C2999)</f>
        <v>-0.0313957880676874</v>
      </c>
      <c r="G3000" s="25" t="n">
        <f aca="false">IF(AND(D3000=1,A3000&gt;=$R$2),F3000,"")</f>
        <v>-0.0313957880676874</v>
      </c>
      <c r="H3000" s="27" t="n">
        <f aca="false">IF(G3000="","",G3000^2)</f>
        <v>0.000985695508391145</v>
      </c>
      <c r="I3000" s="25" t="n">
        <f aca="false">IF(G3000="","",C3000/C2999-1)</f>
        <v>-0.0309080578644297</v>
      </c>
      <c r="J3000" s="17" t="n">
        <f aca="false">AVERAGE(C2801:C3000)</f>
        <v>20019.898</v>
      </c>
      <c r="K3000" s="17" t="n">
        <f aca="false">MAX(K2999,C3000)</f>
        <v>67510.06</v>
      </c>
      <c r="L3000" s="25" t="n">
        <f aca="false">C3000/K3000-1</f>
        <v>-0.595258988067852</v>
      </c>
      <c r="M3000" s="25" t="n">
        <f aca="false">IF(COUNT(G2971:G3000)&lt;20,"",_xlfn.STDEV.S(G2971:G3000)*SQRT($R$3))</f>
        <v>0.671953258496704</v>
      </c>
      <c r="N3000" s="25" t="n">
        <f aca="false">IF(A3000-7&lt;$R$2,"",C3000/INDEX(Clean_Data!$C$2:$C$4314,MATCH(A3000-7,Clean_Data!$A$2:$A$4314,1))-1)</f>
        <v>0.122112952592075</v>
      </c>
      <c r="O3000" s="25" t="n">
        <f aca="false">IF(A3000-30&lt;$R$2,"",C3000/INDEX(Clean_Data!$C$2:$C$4314,MATCH(A3000-30,Clean_Data!$A$2:$A$4314,1))-1)</f>
        <v>0.100197176395364</v>
      </c>
    </row>
    <row r="3001" customFormat="false" ht="15" hidden="false" customHeight="false" outlineLevel="0" collapsed="false">
      <c r="A3001" s="16" t="n">
        <v>45008</v>
      </c>
      <c r="B3001" s="23" t="n">
        <f aca="false">YEAR(A3001)</f>
        <v>2023</v>
      </c>
      <c r="C3001" s="17" t="n">
        <v>28361.31</v>
      </c>
      <c r="D3001" s="23" t="n">
        <f aca="false">A3001-A3000</f>
        <v>1</v>
      </c>
      <c r="E3001" s="24" t="n">
        <f aca="false">LN(C3001)</f>
        <v>10.2527811713987</v>
      </c>
      <c r="F3001" s="25" t="n">
        <f aca="false">LN(C3001/C3000)</f>
        <v>0.0372571617447616</v>
      </c>
      <c r="G3001" s="25" t="n">
        <f aca="false">IF(AND(D3001=1,A3001&gt;=$R$2),F3001,"")</f>
        <v>0.0372571617447616</v>
      </c>
      <c r="H3001" s="27" t="n">
        <f aca="false">IF(G3001="","",G3001^2)</f>
        <v>0.00138809610127532</v>
      </c>
      <c r="I3001" s="25" t="n">
        <f aca="false">IF(G3001="","",C3001/C3000-1)</f>
        <v>0.0379599101013062</v>
      </c>
      <c r="J3001" s="17" t="n">
        <f aca="false">AVERAGE(C2802:C3001)</f>
        <v>20061.67185</v>
      </c>
      <c r="K3001" s="17" t="n">
        <f aca="false">MAX(K3000,C3001)</f>
        <v>67510.06</v>
      </c>
      <c r="L3001" s="25" t="n">
        <f aca="false">C3001/K3001-1</f>
        <v>-0.579895055640596</v>
      </c>
      <c r="M3001" s="25" t="n">
        <f aca="false">IF(COUNT(G2972:G3001)&lt;20,"",_xlfn.STDEV.S(G2972:G3001)*SQRT($R$3))</f>
        <v>0.67856613104308</v>
      </c>
      <c r="N3001" s="25" t="n">
        <f aca="false">IF(A3001-7&lt;$R$2,"",C3001/INDEX(Clean_Data!$C$2:$C$4314,MATCH(A3001-7,Clean_Data!$A$2:$A$4314,1))-1)</f>
        <v>0.132635200084984</v>
      </c>
      <c r="O3001" s="25" t="n">
        <f aca="false">IF(A3001-30&lt;$R$2,"",C3001/INDEX(Clean_Data!$C$2:$C$4314,MATCH(A3001-30,Clean_Data!$A$2:$A$4314,1))-1)</f>
        <v>0.160070942669537</v>
      </c>
    </row>
    <row r="3002" customFormat="false" ht="15" hidden="false" customHeight="false" outlineLevel="0" collapsed="false">
      <c r="A3002" s="16" t="n">
        <v>45009</v>
      </c>
      <c r="B3002" s="23" t="n">
        <f aca="false">YEAR(A3002)</f>
        <v>2023</v>
      </c>
      <c r="C3002" s="17" t="n">
        <v>27488.93</v>
      </c>
      <c r="D3002" s="23" t="n">
        <f aca="false">A3002-A3001</f>
        <v>1</v>
      </c>
      <c r="E3002" s="24" t="n">
        <f aca="false">LN(C3002)</f>
        <v>10.2215386571569</v>
      </c>
      <c r="F3002" s="25" t="n">
        <f aca="false">LN(C3002/C3001)</f>
        <v>-0.0312425142417727</v>
      </c>
      <c r="G3002" s="25" t="n">
        <f aca="false">IF(AND(D3002=1,A3002&gt;=$R$2),F3002,"")</f>
        <v>-0.0312425142417727</v>
      </c>
      <c r="H3002" s="27" t="n">
        <f aca="false">IF(G3002="","",G3002^2)</f>
        <v>0.000976094696147369</v>
      </c>
      <c r="I3002" s="25" t="n">
        <f aca="false">IF(G3002="","",C3002/C3001-1)</f>
        <v>-0.0307595100508404</v>
      </c>
      <c r="J3002" s="17" t="n">
        <f aca="false">AVERAGE(C2803:C3002)</f>
        <v>20100.0778</v>
      </c>
      <c r="K3002" s="17" t="n">
        <f aca="false">MAX(K3001,C3002)</f>
        <v>67510.06</v>
      </c>
      <c r="L3002" s="25" t="n">
        <f aca="false">C3002/K3002-1</f>
        <v>-0.592817277899027</v>
      </c>
      <c r="M3002" s="25" t="n">
        <f aca="false">IF(COUNT(G2973:G3002)&lt;20,"",_xlfn.STDEV.S(G2973:G3002)*SQRT($R$3))</f>
        <v>0.688242219704308</v>
      </c>
      <c r="N3002" s="25" t="n">
        <f aca="false">IF(A3002-7&lt;$R$2,"",C3002/INDEX(Clean_Data!$C$2:$C$4314,MATCH(A3002-7,Clean_Data!$A$2:$A$4314,1))-1)</f>
        <v>0.00169153623338403</v>
      </c>
      <c r="O3002" s="25" t="n">
        <f aca="false">IF(A3002-30&lt;$R$2,"",C3002/INDEX(Clean_Data!$C$2:$C$4314,MATCH(A3002-30,Clean_Data!$A$2:$A$4314,1))-1)</f>
        <v>0.136487121722963</v>
      </c>
    </row>
    <row r="3003" customFormat="false" ht="15" hidden="false" customHeight="false" outlineLevel="0" collapsed="false">
      <c r="A3003" s="16" t="n">
        <v>45010</v>
      </c>
      <c r="B3003" s="23" t="n">
        <f aca="false">YEAR(A3003)</f>
        <v>2023</v>
      </c>
      <c r="C3003" s="17" t="n">
        <v>27485.45</v>
      </c>
      <c r="D3003" s="23" t="n">
        <f aca="false">A3003-A3002</f>
        <v>1</v>
      </c>
      <c r="E3003" s="24" t="n">
        <f aca="false">LN(C3003)</f>
        <v>10.2214120527276</v>
      </c>
      <c r="F3003" s="25" t="n">
        <f aca="false">LN(C3003/C3002)</f>
        <v>-0.00012660442935951</v>
      </c>
      <c r="G3003" s="25" t="n">
        <f aca="false">IF(AND(D3003=1,A3003&gt;=$R$2),F3003,"")</f>
        <v>-0.00012660442935951</v>
      </c>
      <c r="H3003" s="27" t="n">
        <f aca="false">IF(G3003="","",G3003^2)</f>
        <v>1.60286815334472E-008</v>
      </c>
      <c r="I3003" s="25" t="n">
        <f aca="false">IF(G3003="","",C3003/C3002-1)</f>
        <v>-0.00012659641535695</v>
      </c>
      <c r="J3003" s="17" t="n">
        <f aca="false">AVERAGE(C2804:C3003)</f>
        <v>20143.62005</v>
      </c>
      <c r="K3003" s="17" t="n">
        <f aca="false">MAX(K3002,C3003)</f>
        <v>67510.06</v>
      </c>
      <c r="L3003" s="25" t="n">
        <f aca="false">C3003/K3003-1</f>
        <v>-0.592868825772041</v>
      </c>
      <c r="M3003" s="25" t="n">
        <f aca="false">IF(COUNT(G2974:G3003)&lt;20,"",_xlfn.STDEV.S(G2974:G3003)*SQRT($R$3))</f>
        <v>0.686430158027416</v>
      </c>
      <c r="N3003" s="25" t="n">
        <f aca="false">IF(A3003-7&lt;$R$2,"",C3003/INDEX(Clean_Data!$C$2:$C$4314,MATCH(A3003-7,Clean_Data!$A$2:$A$4314,1))-1)</f>
        <v>0.0183088828350797</v>
      </c>
      <c r="O3003" s="25" t="n">
        <f aca="false">IF(A3003-30&lt;$R$2,"",C3003/INDEX(Clean_Data!$C$2:$C$4314,MATCH(A3003-30,Clean_Data!$A$2:$A$4314,1))-1)</f>
        <v>0.148170226346869</v>
      </c>
    </row>
    <row r="3004" customFormat="false" ht="15" hidden="false" customHeight="false" outlineLevel="0" collapsed="false">
      <c r="A3004" s="16" t="n">
        <v>45011</v>
      </c>
      <c r="B3004" s="23" t="n">
        <f aca="false">YEAR(A3004)</f>
        <v>2023</v>
      </c>
      <c r="C3004" s="17" t="n">
        <v>27987.14</v>
      </c>
      <c r="D3004" s="23" t="n">
        <f aca="false">A3004-A3003</f>
        <v>1</v>
      </c>
      <c r="E3004" s="24" t="n">
        <f aca="false">LN(C3004)</f>
        <v>10.2395003979391</v>
      </c>
      <c r="F3004" s="25" t="n">
        <f aca="false">LN(C3004/C3003)</f>
        <v>0.0180883452114796</v>
      </c>
      <c r="G3004" s="25" t="n">
        <f aca="false">IF(AND(D3004=1,A3004&gt;=$R$2),F3004,"")</f>
        <v>0.0180883452114796</v>
      </c>
      <c r="H3004" s="27" t="n">
        <f aca="false">IF(G3004="","",G3004^2)</f>
        <v>0.000327188232489657</v>
      </c>
      <c r="I3004" s="25" t="n">
        <f aca="false">IF(G3004="","",C3004/C3003-1)</f>
        <v>0.0182529301866987</v>
      </c>
      <c r="J3004" s="17" t="n">
        <f aca="false">AVERAGE(C2805:C3004)</f>
        <v>20187.1246</v>
      </c>
      <c r="K3004" s="17" t="n">
        <f aca="false">MAX(K3003,C3004)</f>
        <v>67510.06</v>
      </c>
      <c r="L3004" s="25" t="n">
        <f aca="false">C3004/K3004-1</f>
        <v>-0.585437488872029</v>
      </c>
      <c r="M3004" s="25" t="n">
        <f aca="false">IF(COUNT(G2975:G3004)&lt;20,"",_xlfn.STDEV.S(G2975:G3004)*SQRT($R$3))</f>
        <v>0.674852905277493</v>
      </c>
      <c r="N3004" s="25" t="n">
        <f aca="false">IF(A3004-7&lt;$R$2,"",C3004/INDEX(Clean_Data!$C$2:$C$4314,MATCH(A3004-7,Clean_Data!$A$2:$A$4314,1))-1)</f>
        <v>-0.00224135392465097</v>
      </c>
      <c r="O3004" s="25" t="n">
        <f aca="false">IF(A3004-30&lt;$R$2,"",C3004/INDEX(Clean_Data!$C$2:$C$4314,MATCH(A3004-30,Clean_Data!$A$2:$A$4314,1))-1)</f>
        <v>0.207307567041751</v>
      </c>
    </row>
    <row r="3005" customFormat="false" ht="15" hidden="false" customHeight="false" outlineLevel="0" collapsed="false">
      <c r="A3005" s="16" t="n">
        <v>45012</v>
      </c>
      <c r="B3005" s="23" t="n">
        <f aca="false">YEAR(A3005)</f>
        <v>2023</v>
      </c>
      <c r="C3005" s="17" t="n">
        <v>27139.64</v>
      </c>
      <c r="D3005" s="23" t="n">
        <f aca="false">A3005-A3004</f>
        <v>1</v>
      </c>
      <c r="E3005" s="24" t="n">
        <f aca="false">LN(C3005)</f>
        <v>10.2087506687467</v>
      </c>
      <c r="F3005" s="25" t="n">
        <f aca="false">LN(C3005/C3004)</f>
        <v>-0.0307497291923444</v>
      </c>
      <c r="G3005" s="25" t="n">
        <f aca="false">IF(AND(D3005=1,A3005&gt;=$R$2),F3005,"")</f>
        <v>-0.0307497291923444</v>
      </c>
      <c r="H3005" s="27" t="n">
        <f aca="false">IF(G3005="","",G3005^2)</f>
        <v>0.00094554584540252</v>
      </c>
      <c r="I3005" s="25" t="n">
        <f aca="false">IF(G3005="","",C3005/C3004-1)</f>
        <v>-0.0302817651249824</v>
      </c>
      <c r="J3005" s="17" t="n">
        <f aca="false">AVERAGE(C2806:C3005)</f>
        <v>20226.22275</v>
      </c>
      <c r="K3005" s="17" t="n">
        <f aca="false">MAX(K3004,C3005)</f>
        <v>67510.06</v>
      </c>
      <c r="L3005" s="25" t="n">
        <f aca="false">C3005/K3005-1</f>
        <v>-0.597991173463629</v>
      </c>
      <c r="M3005" s="25" t="n">
        <f aca="false">IF(COUNT(G2976:G3005)&lt;20,"",_xlfn.STDEV.S(G2976:G3005)*SQRT($R$3))</f>
        <v>0.686758616729278</v>
      </c>
      <c r="N3005" s="25" t="n">
        <f aca="false">IF(A3005-7&lt;$R$2,"",C3005/INDEX(Clean_Data!$C$2:$C$4314,MATCH(A3005-7,Clean_Data!$A$2:$A$4314,1))-1)</f>
        <v>-0.0243881045665642</v>
      </c>
      <c r="O3005" s="25" t="n">
        <f aca="false">IF(A3005-30&lt;$R$2,"",C3005/INDEX(Clean_Data!$C$2:$C$4314,MATCH(A3005-30,Clean_Data!$A$2:$A$4314,1))-1)</f>
        <v>0.171983775107408</v>
      </c>
    </row>
    <row r="3006" customFormat="false" ht="15" hidden="false" customHeight="false" outlineLevel="0" collapsed="false">
      <c r="A3006" s="16" t="n">
        <v>45013</v>
      </c>
      <c r="B3006" s="23" t="n">
        <f aca="false">YEAR(A3006)</f>
        <v>2023</v>
      </c>
      <c r="C3006" s="17" t="n">
        <v>27273.12</v>
      </c>
      <c r="D3006" s="23" t="n">
        <f aca="false">A3006-A3005</f>
        <v>1</v>
      </c>
      <c r="E3006" s="24" t="n">
        <f aca="false">LN(C3006)</f>
        <v>10.2136568807363</v>
      </c>
      <c r="F3006" s="25" t="n">
        <f aca="false">LN(C3006/C3005)</f>
        <v>0.00490621198956697</v>
      </c>
      <c r="G3006" s="25" t="n">
        <f aca="false">IF(AND(D3006=1,A3006&gt;=$R$2),F3006,"")</f>
        <v>0.00490621198956697</v>
      </c>
      <c r="H3006" s="27" t="n">
        <f aca="false">IF(G3006="","",G3006^2)</f>
        <v>2.40709160865707E-005</v>
      </c>
      <c r="I3006" s="25" t="n">
        <f aca="false">IF(G3006="","",C3006/C3005-1)</f>
        <v>0.00491826715461219</v>
      </c>
      <c r="J3006" s="17" t="n">
        <f aca="false">AVERAGE(C2807:C3006)</f>
        <v>20255.8106</v>
      </c>
      <c r="K3006" s="17" t="n">
        <f aca="false">MAX(K3005,C3006)</f>
        <v>67510.06</v>
      </c>
      <c r="L3006" s="25" t="n">
        <f aca="false">C3006/K3006-1</f>
        <v>-0.596013986656211</v>
      </c>
      <c r="M3006" s="25" t="n">
        <f aca="false">IF(COUNT(G2977:G3006)&lt;20,"",_xlfn.STDEV.S(G2977:G3006)*SQRT($R$3))</f>
        <v>0.685484323926373</v>
      </c>
      <c r="N3006" s="25" t="n">
        <f aca="false">IF(A3006-7&lt;$R$2,"",C3006/INDEX(Clean_Data!$C$2:$C$4314,MATCH(A3006-7,Clean_Data!$A$2:$A$4314,1))-1)</f>
        <v>-0.0327157892944847</v>
      </c>
      <c r="O3006" s="25" t="n">
        <f aca="false">IF(A3006-30&lt;$R$2,"",C3006/INDEX(Clean_Data!$C$2:$C$4314,MATCH(A3006-30,Clean_Data!$A$2:$A$4314,1))-1)</f>
        <v>0.158035751059713</v>
      </c>
    </row>
    <row r="3007" customFormat="false" ht="15" hidden="false" customHeight="false" outlineLevel="0" collapsed="false">
      <c r="A3007" s="16" t="n">
        <v>45014</v>
      </c>
      <c r="B3007" s="23" t="n">
        <f aca="false">YEAR(A3007)</f>
        <v>2023</v>
      </c>
      <c r="C3007" s="17" t="n">
        <v>28366.67</v>
      </c>
      <c r="D3007" s="23" t="n">
        <f aca="false">A3007-A3006</f>
        <v>1</v>
      </c>
      <c r="E3007" s="24" t="n">
        <f aca="false">LN(C3007)</f>
        <v>10.2529701434022</v>
      </c>
      <c r="F3007" s="25" t="n">
        <f aca="false">LN(C3007/C3006)</f>
        <v>0.0393132626658736</v>
      </c>
      <c r="G3007" s="25" t="n">
        <f aca="false">IF(AND(D3007=1,A3007&gt;=$R$2),F3007,"")</f>
        <v>0.0393132626658736</v>
      </c>
      <c r="H3007" s="27" t="n">
        <f aca="false">IF(G3007="","",G3007^2)</f>
        <v>0.00154553262143597</v>
      </c>
      <c r="I3007" s="25" t="n">
        <f aca="false">IF(G3007="","",C3007/C3006-1)</f>
        <v>0.0400962559472478</v>
      </c>
      <c r="J3007" s="17" t="n">
        <f aca="false">AVERAGE(C2808:C3007)</f>
        <v>20289.342</v>
      </c>
      <c r="K3007" s="17" t="n">
        <f aca="false">MAX(K3006,C3007)</f>
        <v>67510.06</v>
      </c>
      <c r="L3007" s="25" t="n">
        <f aca="false">C3007/K3007-1</f>
        <v>-0.57981566006607</v>
      </c>
      <c r="M3007" s="25" t="n">
        <f aca="false">IF(COUNT(G2978:G3007)&lt;20,"",_xlfn.STDEV.S(G2978:G3007)*SQRT($R$3))</f>
        <v>0.695166914914532</v>
      </c>
      <c r="N3007" s="25" t="n">
        <f aca="false">IF(A3007-7&lt;$R$2,"",C3007/INDEX(Clean_Data!$C$2:$C$4314,MATCH(A3007-7,Clean_Data!$A$2:$A$4314,1))-1)</f>
        <v>0.0381560739991707</v>
      </c>
      <c r="O3007" s="25" t="n">
        <f aca="false">IF(A3007-30&lt;$R$2,"",C3007/INDEX(Clean_Data!$C$2:$C$4314,MATCH(A3007-30,Clean_Data!$A$2:$A$4314,1))-1)</f>
        <v>0.208140595180244</v>
      </c>
    </row>
    <row r="3008" customFormat="false" ht="15" hidden="false" customHeight="false" outlineLevel="0" collapsed="false">
      <c r="A3008" s="16" t="n">
        <v>45015</v>
      </c>
      <c r="B3008" s="23" t="n">
        <f aca="false">YEAR(A3008)</f>
        <v>2023</v>
      </c>
      <c r="C3008" s="17" t="n">
        <v>28036.88</v>
      </c>
      <c r="D3008" s="23" t="n">
        <f aca="false">A3008-A3007</f>
        <v>1</v>
      </c>
      <c r="E3008" s="24" t="n">
        <f aca="false">LN(C3008)</f>
        <v>10.2412760653428</v>
      </c>
      <c r="F3008" s="25" t="n">
        <f aca="false">LN(C3008/C3007)</f>
        <v>-0.0116940780593944</v>
      </c>
      <c r="G3008" s="25" t="n">
        <f aca="false">IF(AND(D3008=1,A3008&gt;=$R$2),F3008,"")</f>
        <v>-0.0116940780593944</v>
      </c>
      <c r="H3008" s="27" t="n">
        <f aca="false">IF(G3008="","",G3008^2)</f>
        <v>0.000136751461659209</v>
      </c>
      <c r="I3008" s="25" t="n">
        <f aca="false">IF(G3008="","",C3008/C3007-1)</f>
        <v>-0.0116259680815548</v>
      </c>
      <c r="J3008" s="17" t="n">
        <f aca="false">AVERAGE(C2809:C3008)</f>
        <v>20320.436</v>
      </c>
      <c r="K3008" s="17" t="n">
        <f aca="false">MAX(K3007,C3008)</f>
        <v>67510.06</v>
      </c>
      <c r="L3008" s="25" t="n">
        <f aca="false">C3008/K3008-1</f>
        <v>-0.584700709790511</v>
      </c>
      <c r="M3008" s="25" t="n">
        <f aca="false">IF(COUNT(G2979:G3008)&lt;20,"",_xlfn.STDEV.S(G2979:G3008)*SQRT($R$3))</f>
        <v>0.694264841662007</v>
      </c>
      <c r="N3008" s="25" t="n">
        <f aca="false">IF(A3008-7&lt;$R$2,"",C3008/INDEX(Clean_Data!$C$2:$C$4314,MATCH(A3008-7,Clean_Data!$A$2:$A$4314,1))-1)</f>
        <v>-0.0114391754118551</v>
      </c>
      <c r="O3008" s="25" t="n">
        <f aca="false">IF(A3008-30&lt;$R$2,"",C3008/INDEX(Clean_Data!$C$2:$C$4314,MATCH(A3008-30,Clean_Data!$A$2:$A$4314,1))-1)</f>
        <v>0.211256957186115</v>
      </c>
    </row>
    <row r="3009" customFormat="false" ht="15" hidden="false" customHeight="false" outlineLevel="0" collapsed="false">
      <c r="A3009" s="16" t="n">
        <v>45016</v>
      </c>
      <c r="B3009" s="23" t="n">
        <f aca="false">YEAR(A3009)</f>
        <v>2023</v>
      </c>
      <c r="C3009" s="17" t="n">
        <v>28492.72</v>
      </c>
      <c r="D3009" s="23" t="n">
        <f aca="false">A3009-A3008</f>
        <v>1</v>
      </c>
      <c r="E3009" s="24" t="n">
        <f aca="false">LN(C3009)</f>
        <v>10.2574038950303</v>
      </c>
      <c r="F3009" s="25" t="n">
        <f aca="false">LN(C3009/C3008)</f>
        <v>0.0161278296874881</v>
      </c>
      <c r="G3009" s="25" t="n">
        <f aca="false">IF(AND(D3009=1,A3009&gt;=$R$2),F3009,"")</f>
        <v>0.0161278296874881</v>
      </c>
      <c r="H3009" s="27" t="n">
        <f aca="false">IF(G3009="","",G3009^2)</f>
        <v>0.000260106890428623</v>
      </c>
      <c r="I3009" s="25" t="n">
        <f aca="false">IF(G3009="","",C3009/C3008-1)</f>
        <v>0.0162585851207411</v>
      </c>
      <c r="J3009" s="17" t="n">
        <f aca="false">AVERAGE(C2810:C3009)</f>
        <v>20350.8366</v>
      </c>
      <c r="K3009" s="17" t="n">
        <f aca="false">MAX(K3008,C3009)</f>
        <v>67510.06</v>
      </c>
      <c r="L3009" s="25" t="n">
        <f aca="false">C3009/K3009-1</f>
        <v>-0.577948530930057</v>
      </c>
      <c r="M3009" s="25" t="n">
        <f aca="false">IF(COUNT(G2980:G3009)&lt;20,"",_xlfn.STDEV.S(G2980:G3009)*SQRT($R$3))</f>
        <v>0.693223128159</v>
      </c>
      <c r="N3009" s="25" t="n">
        <f aca="false">IF(A3009-7&lt;$R$2,"",C3009/INDEX(Clean_Data!$C$2:$C$4314,MATCH(A3009-7,Clean_Data!$A$2:$A$4314,1))-1)</f>
        <v>0.0365161539572476</v>
      </c>
      <c r="O3009" s="25" t="n">
        <f aca="false">IF(A3009-30&lt;$R$2,"",C3009/INDEX(Clean_Data!$C$2:$C$4314,MATCH(A3009-30,Clean_Data!$A$2:$A$4314,1))-1)</f>
        <v>0.205558324581988</v>
      </c>
    </row>
    <row r="3010" customFormat="false" ht="15" hidden="false" customHeight="false" outlineLevel="0" collapsed="false">
      <c r="A3010" s="16" t="n">
        <v>45017</v>
      </c>
      <c r="B3010" s="23" t="n">
        <f aca="false">YEAR(A3010)</f>
        <v>2023</v>
      </c>
      <c r="C3010" s="17" t="n">
        <v>28471.82</v>
      </c>
      <c r="D3010" s="23" t="n">
        <f aca="false">A3010-A3009</f>
        <v>1</v>
      </c>
      <c r="E3010" s="24" t="n">
        <f aca="false">LN(C3010)</f>
        <v>10.2566701051695</v>
      </c>
      <c r="F3010" s="25" t="n">
        <f aca="false">LN(C3010/C3009)</f>
        <v>-0.000733789860772907</v>
      </c>
      <c r="G3010" s="25" t="n">
        <f aca="false">IF(AND(D3010=1,A3010&gt;=$R$2),F3010,"")</f>
        <v>-0.000733789860772907</v>
      </c>
      <c r="H3010" s="27" t="n">
        <f aca="false">IF(G3010="","",G3010^2)</f>
        <v>5.38447559773123E-007</v>
      </c>
      <c r="I3010" s="25" t="n">
        <f aca="false">IF(G3010="","",C3010/C3009-1)</f>
        <v>-0.000733520702832169</v>
      </c>
      <c r="J3010" s="17" t="n">
        <f aca="false">AVERAGE(C2811:C3010)</f>
        <v>20392.37525</v>
      </c>
      <c r="K3010" s="17" t="n">
        <f aca="false">MAX(K3009,C3010)</f>
        <v>67510.06</v>
      </c>
      <c r="L3010" s="25" t="n">
        <f aca="false">C3010/K3010-1</f>
        <v>-0.578258114420281</v>
      </c>
      <c r="M3010" s="25" t="n">
        <f aca="false">IF(COUNT(G2981:G3010)&lt;20,"",_xlfn.STDEV.S(G2981:G3010)*SQRT($R$3))</f>
        <v>0.69205611017683</v>
      </c>
      <c r="N3010" s="25" t="n">
        <f aca="false">IF(A3010-7&lt;$R$2,"",C3010/INDEX(Clean_Data!$C$2:$C$4314,MATCH(A3010-7,Clean_Data!$A$2:$A$4314,1))-1)</f>
        <v>0.0358869874788297</v>
      </c>
      <c r="O3010" s="25" t="n">
        <f aca="false">IF(A3010-30&lt;$R$2,"",C3010/INDEX(Clean_Data!$C$2:$C$4314,MATCH(A3010-30,Clean_Data!$A$2:$A$4314,1))-1)</f>
        <v>0.213162504383425</v>
      </c>
    </row>
    <row r="3011" customFormat="false" ht="15" hidden="false" customHeight="false" outlineLevel="0" collapsed="false">
      <c r="A3011" s="16" t="n">
        <v>45018</v>
      </c>
      <c r="B3011" s="23" t="n">
        <f aca="false">YEAR(A3011)</f>
        <v>2023</v>
      </c>
      <c r="C3011" s="17" t="n">
        <v>28179.21</v>
      </c>
      <c r="D3011" s="23" t="n">
        <f aca="false">A3011-A3010</f>
        <v>1</v>
      </c>
      <c r="E3011" s="24" t="n">
        <f aca="false">LN(C3011)</f>
        <v>10.246339750993</v>
      </c>
      <c r="F3011" s="25" t="n">
        <f aca="false">LN(C3011/C3010)</f>
        <v>-0.0103303541764873</v>
      </c>
      <c r="G3011" s="25" t="n">
        <f aca="false">IF(AND(D3011=1,A3011&gt;=$R$2),F3011,"")</f>
        <v>-0.0103303541764873</v>
      </c>
      <c r="H3011" s="27" t="n">
        <f aca="false">IF(G3011="","",G3011^2)</f>
        <v>0.000106716217411669</v>
      </c>
      <c r="I3011" s="25" t="n">
        <f aca="false">IF(G3011="","",C3011/C3010-1)</f>
        <v>-0.0102771793302993</v>
      </c>
      <c r="J3011" s="17" t="n">
        <f aca="false">AVERAGE(C2812:C3011)</f>
        <v>20432.18815</v>
      </c>
      <c r="K3011" s="17" t="n">
        <f aca="false">MAX(K3010,C3011)</f>
        <v>67510.06</v>
      </c>
      <c r="L3011" s="25" t="n">
        <f aca="false">C3011/K3011-1</f>
        <v>-0.582592431409482</v>
      </c>
      <c r="M3011" s="25" t="n">
        <f aca="false">IF(COUNT(G2982:G3011)&lt;20,"",_xlfn.STDEV.S(G2982:G3011)*SQRT($R$3))</f>
        <v>0.665551408677103</v>
      </c>
      <c r="N3011" s="25" t="n">
        <f aca="false">IF(A3011-7&lt;$R$2,"",C3011/INDEX(Clean_Data!$C$2:$C$4314,MATCH(A3011-7,Clean_Data!$A$2:$A$4314,1))-1)</f>
        <v>0.00686279484077335</v>
      </c>
      <c r="O3011" s="25" t="n">
        <f aca="false">IF(A3011-30&lt;$R$2,"",C3011/INDEX(Clean_Data!$C$2:$C$4314,MATCH(A3011-30,Clean_Data!$A$2:$A$4314,1))-1)</f>
        <v>0.261178729431984</v>
      </c>
    </row>
    <row r="3012" customFormat="false" ht="15" hidden="false" customHeight="false" outlineLevel="0" collapsed="false">
      <c r="A3012" s="16" t="n">
        <v>45019</v>
      </c>
      <c r="B3012" s="23" t="n">
        <f aca="false">YEAR(A3012)</f>
        <v>2023</v>
      </c>
      <c r="C3012" s="17" t="n">
        <v>27807.81</v>
      </c>
      <c r="D3012" s="23" t="n">
        <f aca="false">A3012-A3011</f>
        <v>1</v>
      </c>
      <c r="E3012" s="24" t="n">
        <f aca="false">LN(C3012)</f>
        <v>10.2330721954756</v>
      </c>
      <c r="F3012" s="25" t="n">
        <f aca="false">LN(C3012/C3011)</f>
        <v>-0.0132675555173869</v>
      </c>
      <c r="G3012" s="25" t="n">
        <f aca="false">IF(AND(D3012=1,A3012&gt;=$R$2),F3012,"")</f>
        <v>-0.0132675555173869</v>
      </c>
      <c r="H3012" s="27" t="n">
        <f aca="false">IF(G3012="","",G3012^2)</f>
        <v>0.000176028029406944</v>
      </c>
      <c r="I3012" s="25" t="n">
        <f aca="false">IF(G3012="","",C3012/C3011-1)</f>
        <v>-0.0131799294586328</v>
      </c>
      <c r="J3012" s="17" t="n">
        <f aca="false">AVERAGE(C2813:C3012)</f>
        <v>20472.77345</v>
      </c>
      <c r="K3012" s="17" t="n">
        <f aca="false">MAX(K3011,C3012)</f>
        <v>67510.06</v>
      </c>
      <c r="L3012" s="25" t="n">
        <f aca="false">C3012/K3012-1</f>
        <v>-0.588093833719004</v>
      </c>
      <c r="M3012" s="25" t="n">
        <f aca="false">IF(COUNT(G2983:G3012)&lt;20,"",_xlfn.STDEV.S(G2983:G3012)*SQRT($R$3))</f>
        <v>0.669101535312349</v>
      </c>
      <c r="N3012" s="25" t="n">
        <f aca="false">IF(A3012-7&lt;$R$2,"",C3012/INDEX(Clean_Data!$C$2:$C$4314,MATCH(A3012-7,Clean_Data!$A$2:$A$4314,1))-1)</f>
        <v>0.0246197075569168</v>
      </c>
      <c r="O3012" s="25" t="n">
        <f aca="false">IF(A3012-30&lt;$R$2,"",C3012/INDEX(Clean_Data!$C$2:$C$4314,MATCH(A3012-30,Clean_Data!$A$2:$A$4314,1))-1)</f>
        <v>0.244466253781019</v>
      </c>
    </row>
    <row r="3013" customFormat="false" ht="15" hidden="false" customHeight="false" outlineLevel="0" collapsed="false">
      <c r="A3013" s="16" t="n">
        <v>45020</v>
      </c>
      <c r="B3013" s="23" t="n">
        <f aca="false">YEAR(A3013)</f>
        <v>2023</v>
      </c>
      <c r="C3013" s="17" t="n">
        <v>28172.02</v>
      </c>
      <c r="D3013" s="23" t="n">
        <f aca="false">A3013-A3012</f>
        <v>1</v>
      </c>
      <c r="E3013" s="24" t="n">
        <f aca="false">LN(C3013)</f>
        <v>10.2460845657898</v>
      </c>
      <c r="F3013" s="25" t="n">
        <f aca="false">LN(C3013/C3012)</f>
        <v>0.0130123703141884</v>
      </c>
      <c r="G3013" s="25" t="n">
        <f aca="false">IF(AND(D3013=1,A3013&gt;=$R$2),F3013,"")</f>
        <v>0.0130123703141884</v>
      </c>
      <c r="H3013" s="27" t="n">
        <f aca="false">IF(G3013="","",G3013^2)</f>
        <v>0.000169321781193573</v>
      </c>
      <c r="I3013" s="25" t="n">
        <f aca="false">IF(G3013="","",C3013/C3012-1)</f>
        <v>0.0130973996154318</v>
      </c>
      <c r="J3013" s="17" t="n">
        <f aca="false">AVERAGE(C2814:C3013)</f>
        <v>20514.7127</v>
      </c>
      <c r="K3013" s="17" t="n">
        <f aca="false">MAX(K3012,C3013)</f>
        <v>67510.06</v>
      </c>
      <c r="L3013" s="25" t="n">
        <f aca="false">C3013/K3013-1</f>
        <v>-0.582698934055162</v>
      </c>
      <c r="M3013" s="25" t="n">
        <f aca="false">IF(COUNT(G2984:G3013)&lt;20,"",_xlfn.STDEV.S(G2984:G3013)*SQRT($R$3))</f>
        <v>0.66926591602158</v>
      </c>
      <c r="N3013" s="25" t="n">
        <f aca="false">IF(A3013-7&lt;$R$2,"",C3013/INDEX(Clean_Data!$C$2:$C$4314,MATCH(A3013-7,Clean_Data!$A$2:$A$4314,1))-1)</f>
        <v>0.0329591920543011</v>
      </c>
      <c r="O3013" s="25" t="n">
        <f aca="false">IF(A3013-30&lt;$R$2,"",C3013/INDEX(Clean_Data!$C$2:$C$4314,MATCH(A3013-30,Clean_Data!$A$2:$A$4314,1))-1)</f>
        <v>0.256025323792327</v>
      </c>
    </row>
    <row r="3014" customFormat="false" ht="15" hidden="false" customHeight="false" outlineLevel="0" collapsed="false">
      <c r="A3014" s="16" t="n">
        <v>45021</v>
      </c>
      <c r="B3014" s="23" t="n">
        <f aca="false">YEAR(A3014)</f>
        <v>2023</v>
      </c>
      <c r="C3014" s="17" t="n">
        <v>28187.68</v>
      </c>
      <c r="D3014" s="23" t="n">
        <f aca="false">A3014-A3013</f>
        <v>1</v>
      </c>
      <c r="E3014" s="24" t="n">
        <f aca="false">LN(C3014)</f>
        <v>10.246640282034</v>
      </c>
      <c r="F3014" s="25" t="n">
        <f aca="false">LN(C3014/C3013)</f>
        <v>0.000555716244160554</v>
      </c>
      <c r="G3014" s="25" t="n">
        <f aca="false">IF(AND(D3014=1,A3014&gt;=$R$2),F3014,"")</f>
        <v>0.000555716244160554</v>
      </c>
      <c r="H3014" s="27" t="n">
        <f aca="false">IF(G3014="","",G3014^2)</f>
        <v>3.08820544023913E-007</v>
      </c>
      <c r="I3014" s="25" t="n">
        <f aca="false">IF(G3014="","",C3014/C3013-1)</f>
        <v>0.000555870683039306</v>
      </c>
      <c r="J3014" s="17" t="n">
        <f aca="false">AVERAGE(C2815:C3014)</f>
        <v>20555.0652</v>
      </c>
      <c r="K3014" s="17" t="n">
        <f aca="false">MAX(K3013,C3014)</f>
        <v>67510.06</v>
      </c>
      <c r="L3014" s="25" t="n">
        <f aca="false">C3014/K3014-1</f>
        <v>-0.582466968626602</v>
      </c>
      <c r="M3014" s="25" t="n">
        <f aca="false">IF(COUNT(G2985:G3014)&lt;20,"",_xlfn.STDEV.S(G2985:G3014)*SQRT($R$3))</f>
        <v>0.669122335274532</v>
      </c>
      <c r="N3014" s="25" t="n">
        <f aca="false">IF(A3014-7&lt;$R$2,"",C3014/INDEX(Clean_Data!$C$2:$C$4314,MATCH(A3014-7,Clean_Data!$A$2:$A$4314,1))-1)</f>
        <v>-0.00630986999884009</v>
      </c>
      <c r="O3014" s="25" t="n">
        <f aca="false">IF(A3014-30&lt;$R$2,"",C3014/INDEX(Clean_Data!$C$2:$C$4314,MATCH(A3014-30,Clean_Data!$A$2:$A$4314,1))-1)</f>
        <v>0.257293594411608</v>
      </c>
    </row>
    <row r="3015" customFormat="false" ht="15" hidden="false" customHeight="false" outlineLevel="0" collapsed="false">
      <c r="A3015" s="16" t="n">
        <v>45022</v>
      </c>
      <c r="B3015" s="23" t="n">
        <f aca="false">YEAR(A3015)</f>
        <v>2023</v>
      </c>
      <c r="C3015" s="17" t="n">
        <v>28053.47</v>
      </c>
      <c r="D3015" s="23" t="n">
        <f aca="false">A3015-A3014</f>
        <v>1</v>
      </c>
      <c r="E3015" s="24" t="n">
        <f aca="false">LN(C3015)</f>
        <v>10.2418676109646</v>
      </c>
      <c r="F3015" s="25" t="n">
        <f aca="false">LN(C3015/C3014)</f>
        <v>-0.00477267106939328</v>
      </c>
      <c r="G3015" s="25" t="n">
        <f aca="false">IF(AND(D3015=1,A3015&gt;=$R$2),F3015,"")</f>
        <v>-0.00477267106939328</v>
      </c>
      <c r="H3015" s="27" t="n">
        <f aca="false">IF(G3015="","",G3015^2)</f>
        <v>2.27783891366236E-005</v>
      </c>
      <c r="I3015" s="25" t="n">
        <f aca="false">IF(G3015="","",C3015/C3014-1)</f>
        <v>-0.00476129997218644</v>
      </c>
      <c r="J3015" s="17" t="n">
        <f aca="false">AVERAGE(C2816:C3015)</f>
        <v>20598.2073</v>
      </c>
      <c r="K3015" s="17" t="n">
        <f aca="false">MAX(K3014,C3015)</f>
        <v>67510.06</v>
      </c>
      <c r="L3015" s="25" t="n">
        <f aca="false">C3015/K3015-1</f>
        <v>-0.584454968637267</v>
      </c>
      <c r="M3015" s="25" t="n">
        <f aca="false">IF(COUNT(G2986:G3015)&lt;20,"",_xlfn.STDEV.S(G2986:G3015)*SQRT($R$3))</f>
        <v>0.667676042587302</v>
      </c>
      <c r="N3015" s="25" t="n">
        <f aca="false">IF(A3015-7&lt;$R$2,"",C3015/INDEX(Clean_Data!$C$2:$C$4314,MATCH(A3015-7,Clean_Data!$A$2:$A$4314,1))-1)</f>
        <v>0.000591720619412817</v>
      </c>
      <c r="O3015" s="25" t="n">
        <f aca="false">IF(A3015-30&lt;$R$2,"",C3015/INDEX(Clean_Data!$C$2:$C$4314,MATCH(A3015-30,Clean_Data!$A$2:$A$4314,1))-1)</f>
        <v>0.26372959081398</v>
      </c>
    </row>
    <row r="3016" customFormat="false" ht="15" hidden="false" customHeight="false" outlineLevel="0" collapsed="false">
      <c r="A3016" s="16" t="n">
        <v>45023</v>
      </c>
      <c r="B3016" s="23" t="n">
        <f aca="false">YEAR(A3016)</f>
        <v>2023</v>
      </c>
      <c r="C3016" s="17" t="n">
        <v>27927.15</v>
      </c>
      <c r="D3016" s="23" t="n">
        <f aca="false">A3016-A3015</f>
        <v>1</v>
      </c>
      <c r="E3016" s="24" t="n">
        <f aca="false">LN(C3016)</f>
        <v>10.2373546129164</v>
      </c>
      <c r="F3016" s="25" t="n">
        <f aca="false">LN(C3016/C3015)</f>
        <v>-0.00451299804818673</v>
      </c>
      <c r="G3016" s="25" t="n">
        <f aca="false">IF(AND(D3016=1,A3016&gt;=$R$2),F3016,"")</f>
        <v>-0.00451299804818673</v>
      </c>
      <c r="H3016" s="27" t="n">
        <f aca="false">IF(G3016="","",G3016^2)</f>
        <v>2.03671513829373E-005</v>
      </c>
      <c r="I3016" s="25" t="n">
        <f aca="false">IF(G3016="","",C3016/C3015-1)</f>
        <v>-0.00450282977471239</v>
      </c>
      <c r="J3016" s="17" t="n">
        <f aca="false">AVERAGE(C2817:C3016)</f>
        <v>20640.07755</v>
      </c>
      <c r="K3016" s="17" t="n">
        <f aca="false">MAX(K3015,C3016)</f>
        <v>67510.06</v>
      </c>
      <c r="L3016" s="25" t="n">
        <f aca="false">C3016/K3016-1</f>
        <v>-0.586326097177221</v>
      </c>
      <c r="M3016" s="25" t="n">
        <f aca="false">IF(COUNT(G2987:G3016)&lt;20,"",_xlfn.STDEV.S(G2987:G3016)*SQRT($R$3))</f>
        <v>0.660513297575569</v>
      </c>
      <c r="N3016" s="25" t="n">
        <f aca="false">IF(A3016-7&lt;$R$2,"",C3016/INDEX(Clean_Data!$C$2:$C$4314,MATCH(A3016-7,Clean_Data!$A$2:$A$4314,1))-1)</f>
        <v>-0.0198496317655879</v>
      </c>
      <c r="O3016" s="25" t="n">
        <f aca="false">IF(A3016-30&lt;$R$2,"",C3016/INDEX(Clean_Data!$C$2:$C$4314,MATCH(A3016-30,Clean_Data!$A$2:$A$4314,1))-1)</f>
        <v>0.286216231651241</v>
      </c>
    </row>
    <row r="3017" customFormat="false" ht="15" hidden="false" customHeight="false" outlineLevel="0" collapsed="false">
      <c r="A3017" s="16" t="n">
        <v>45024</v>
      </c>
      <c r="B3017" s="23" t="n">
        <f aca="false">YEAR(A3017)</f>
        <v>2023</v>
      </c>
      <c r="C3017" s="17" t="n">
        <v>27959.5</v>
      </c>
      <c r="D3017" s="23" t="n">
        <f aca="false">A3017-A3016</f>
        <v>1</v>
      </c>
      <c r="E3017" s="24" t="n">
        <f aca="false">LN(C3017)</f>
        <v>10.2385123134983</v>
      </c>
      <c r="F3017" s="25" t="n">
        <f aca="false">LN(C3017/C3016)</f>
        <v>0.00115770058191508</v>
      </c>
      <c r="G3017" s="25" t="n">
        <f aca="false">IF(AND(D3017=1,A3017&gt;=$R$2),F3017,"")</f>
        <v>0.00115770058191508</v>
      </c>
      <c r="H3017" s="27" t="n">
        <f aca="false">IF(G3017="","",G3017^2)</f>
        <v>1.34027063736652E-006</v>
      </c>
      <c r="I3017" s="25" t="n">
        <f aca="false">IF(G3017="","",C3017/C3016-1)</f>
        <v>0.00115837097591398</v>
      </c>
      <c r="J3017" s="17" t="n">
        <f aca="false">AVERAGE(C2818:C3017)</f>
        <v>20685.52895</v>
      </c>
      <c r="K3017" s="17" t="n">
        <f aca="false">MAX(K3016,C3017)</f>
        <v>67510.06</v>
      </c>
      <c r="L3017" s="25" t="n">
        <f aca="false">C3017/K3017-1</f>
        <v>-0.585846909334698</v>
      </c>
      <c r="M3017" s="25" t="n">
        <f aca="false">IF(COUNT(G2988:G3017)&lt;20,"",_xlfn.STDEV.S(G2988:G3017)*SQRT($R$3))</f>
        <v>0.607429658554162</v>
      </c>
      <c r="N3017" s="25" t="n">
        <f aca="false">IF(A3017-7&lt;$R$2,"",C3017/INDEX(Clean_Data!$C$2:$C$4314,MATCH(A3017-7,Clean_Data!$A$2:$A$4314,1))-1)</f>
        <v>-0.0179939322459892</v>
      </c>
      <c r="O3017" s="25" t="n">
        <f aca="false">IF(A3017-30&lt;$R$2,"",C3017/INDEX(Clean_Data!$C$2:$C$4314,MATCH(A3017-30,Clean_Data!$A$2:$A$4314,1))-1)</f>
        <v>0.372980575120224</v>
      </c>
    </row>
    <row r="3018" customFormat="false" ht="15" hidden="false" customHeight="false" outlineLevel="0" collapsed="false">
      <c r="A3018" s="16" t="n">
        <v>45025</v>
      </c>
      <c r="B3018" s="23" t="n">
        <f aca="false">YEAR(A3018)</f>
        <v>2023</v>
      </c>
      <c r="C3018" s="17" t="n">
        <v>28337.04</v>
      </c>
      <c r="D3018" s="23" t="n">
        <f aca="false">A3018-A3017</f>
        <v>1</v>
      </c>
      <c r="E3018" s="24" t="n">
        <f aca="false">LN(C3018)</f>
        <v>10.2519250617771</v>
      </c>
      <c r="F3018" s="25" t="n">
        <f aca="false">LN(C3018/C3017)</f>
        <v>0.0134127482788112</v>
      </c>
      <c r="G3018" s="25" t="n">
        <f aca="false">IF(AND(D3018=1,A3018&gt;=$R$2),F3018,"")</f>
        <v>0.0134127482788112</v>
      </c>
      <c r="H3018" s="27" t="n">
        <f aca="false">IF(G3018="","",G3018^2)</f>
        <v>0.000179901816390753</v>
      </c>
      <c r="I3018" s="25" t="n">
        <f aca="false">IF(G3018="","",C3018/C3017-1)</f>
        <v>0.0135031027021228</v>
      </c>
      <c r="J3018" s="17" t="n">
        <f aca="false">AVERAGE(C2819:C3018)</f>
        <v>20734.77145</v>
      </c>
      <c r="K3018" s="17" t="n">
        <f aca="false">MAX(K3017,C3018)</f>
        <v>67510.06</v>
      </c>
      <c r="L3018" s="25" t="n">
        <f aca="false">C3018/K3018-1</f>
        <v>-0.580254557617043</v>
      </c>
      <c r="M3018" s="25" t="n">
        <f aca="false">IF(COUNT(G2989:G3018)&lt;20,"",_xlfn.STDEV.S(G2989:G3018)*SQRT($R$3))</f>
        <v>0.604257048542733</v>
      </c>
      <c r="N3018" s="25" t="n">
        <f aca="false">IF(A3018-7&lt;$R$2,"",C3018/INDEX(Clean_Data!$C$2:$C$4314,MATCH(A3018-7,Clean_Data!$A$2:$A$4314,1))-1)</f>
        <v>0.00560093771259029</v>
      </c>
      <c r="O3018" s="25" t="n">
        <f aca="false">IF(A3018-30&lt;$R$2,"",C3018/INDEX(Clean_Data!$C$2:$C$4314,MATCH(A3018-30,Clean_Data!$A$2:$A$4314,1))-1)</f>
        <v>0.40094981860897</v>
      </c>
    </row>
    <row r="3019" customFormat="false" ht="15" hidden="false" customHeight="false" outlineLevel="0" collapsed="false">
      <c r="A3019" s="16" t="n">
        <v>45026</v>
      </c>
      <c r="B3019" s="23" t="n">
        <f aca="false">YEAR(A3019)</f>
        <v>2023</v>
      </c>
      <c r="C3019" s="17" t="n">
        <v>29678.68</v>
      </c>
      <c r="D3019" s="23" t="n">
        <f aca="false">A3019-A3018</f>
        <v>1</v>
      </c>
      <c r="E3019" s="24" t="n">
        <f aca="false">LN(C3019)</f>
        <v>10.2981842218988</v>
      </c>
      <c r="F3019" s="25" t="n">
        <f aca="false">LN(C3019/C3018)</f>
        <v>0.0462591601216667</v>
      </c>
      <c r="G3019" s="25" t="n">
        <f aca="false">IF(AND(D3019=1,A3019&gt;=$R$2),F3019,"")</f>
        <v>0.0462591601216667</v>
      </c>
      <c r="H3019" s="27" t="n">
        <f aca="false">IF(G3019="","",G3019^2)</f>
        <v>0.00213990989516199</v>
      </c>
      <c r="I3019" s="25" t="n">
        <f aca="false">IF(G3019="","",C3019/C3018-1)</f>
        <v>0.0473458060545491</v>
      </c>
      <c r="J3019" s="17" t="n">
        <f aca="false">AVERAGE(C2820:C3019)</f>
        <v>20786.1531</v>
      </c>
      <c r="K3019" s="17" t="n">
        <f aca="false">MAX(K3018,C3019)</f>
        <v>67510.06</v>
      </c>
      <c r="L3019" s="25" t="n">
        <f aca="false">C3019/K3019-1</f>
        <v>-0.560381371309698</v>
      </c>
      <c r="M3019" s="25" t="n">
        <f aca="false">IF(COUNT(G2990:G3019)&lt;20,"",_xlfn.STDEV.S(G2990:G3019)*SQRT($R$3))</f>
        <v>0.616077803640607</v>
      </c>
      <c r="N3019" s="25" t="n">
        <f aca="false">IF(A3019-7&lt;$R$2,"",C3019/INDEX(Clean_Data!$C$2:$C$4314,MATCH(A3019-7,Clean_Data!$A$2:$A$4314,1))-1)</f>
        <v>0.0672785810892695</v>
      </c>
      <c r="O3019" s="25" t="n">
        <f aca="false">IF(A3019-30&lt;$R$2,"",C3019/INDEX(Clean_Data!$C$2:$C$4314,MATCH(A3019-30,Clean_Data!$A$2:$A$4314,1))-1)</f>
        <v>0.440168014134461</v>
      </c>
    </row>
    <row r="3020" customFormat="false" ht="15" hidden="false" customHeight="false" outlineLevel="0" collapsed="false">
      <c r="A3020" s="16" t="n">
        <v>45027</v>
      </c>
      <c r="B3020" s="23" t="n">
        <f aca="false">YEAR(A3020)</f>
        <v>2023</v>
      </c>
      <c r="C3020" s="17" t="n">
        <v>30243.93</v>
      </c>
      <c r="D3020" s="23" t="n">
        <f aca="false">A3020-A3019</f>
        <v>1</v>
      </c>
      <c r="E3020" s="24" t="n">
        <f aca="false">LN(C3020)</f>
        <v>10.3170507821668</v>
      </c>
      <c r="F3020" s="25" t="n">
        <f aca="false">LN(C3020/C3019)</f>
        <v>0.0188665602680486</v>
      </c>
      <c r="G3020" s="25" t="n">
        <f aca="false">IF(AND(D3020=1,A3020&gt;=$R$2),F3020,"")</f>
        <v>0.0188665602680486</v>
      </c>
      <c r="H3020" s="27" t="n">
        <f aca="false">IF(G3020="","",G3020^2)</f>
        <v>0.00035594709634791</v>
      </c>
      <c r="I3020" s="25" t="n">
        <f aca="false">IF(G3020="","",C3020/C3019-1)</f>
        <v>0.0190456583648599</v>
      </c>
      <c r="J3020" s="17" t="n">
        <f aca="false">AVERAGE(C2821:C3020)</f>
        <v>20840.8506</v>
      </c>
      <c r="K3020" s="17" t="n">
        <f aca="false">MAX(K3019,C3020)</f>
        <v>67510.06</v>
      </c>
      <c r="L3020" s="25" t="n">
        <f aca="false">C3020/K3020-1</f>
        <v>-0.552008545096834</v>
      </c>
      <c r="M3020" s="25" t="n">
        <f aca="false">IF(COUNT(G2991:G3020)&lt;20,"",_xlfn.STDEV.S(G2991:G3020)*SQRT($R$3))</f>
        <v>0.568963724158346</v>
      </c>
      <c r="N3020" s="25" t="n">
        <f aca="false">IF(A3020-7&lt;$R$2,"",C3020/INDEX(Clean_Data!$C$2:$C$4314,MATCH(A3020-7,Clean_Data!$A$2:$A$4314,1))-1)</f>
        <v>0.0735449570176368</v>
      </c>
      <c r="O3020" s="25" t="n">
        <f aca="false">IF(A3020-30&lt;$R$2,"",C3020/INDEX(Clean_Data!$C$2:$C$4314,MATCH(A3020-30,Clean_Data!$A$2:$A$4314,1))-1)</f>
        <v>0.357181897976877</v>
      </c>
    </row>
    <row r="3021" customFormat="false" ht="15" hidden="false" customHeight="false" outlineLevel="0" collapsed="false">
      <c r="A3021" s="16" t="n">
        <v>45028</v>
      </c>
      <c r="B3021" s="23" t="n">
        <f aca="false">YEAR(A3021)</f>
        <v>2023</v>
      </c>
      <c r="C3021" s="17" t="n">
        <v>29913.06</v>
      </c>
      <c r="D3021" s="23" t="n">
        <f aca="false">A3021-A3020</f>
        <v>1</v>
      </c>
      <c r="E3021" s="24" t="n">
        <f aca="false">LN(C3021)</f>
        <v>10.3060504533118</v>
      </c>
      <c r="F3021" s="25" t="n">
        <f aca="false">LN(C3021/C3020)</f>
        <v>-0.0110003288550592</v>
      </c>
      <c r="G3021" s="25" t="n">
        <f aca="false">IF(AND(D3021=1,A3021&gt;=$R$2),F3021,"")</f>
        <v>-0.0110003288550592</v>
      </c>
      <c r="H3021" s="27" t="n">
        <f aca="false">IF(G3021="","",G3021^2)</f>
        <v>0.000121007234919449</v>
      </c>
      <c r="I3021" s="25" t="n">
        <f aca="false">IF(G3021="","",C3021/C3020-1)</f>
        <v>-0.0109400464820544</v>
      </c>
      <c r="J3021" s="17" t="n">
        <f aca="false">AVERAGE(C2822:C3021)</f>
        <v>20895.6956</v>
      </c>
      <c r="K3021" s="17" t="n">
        <f aca="false">MAX(K3020,C3021)</f>
        <v>67510.06</v>
      </c>
      <c r="L3021" s="25" t="n">
        <f aca="false">C3021/K3021-1</f>
        <v>-0.556909592437038</v>
      </c>
      <c r="M3021" s="25" t="n">
        <f aca="false">IF(COUNT(G2992:G3021)&lt;20,"",_xlfn.STDEV.S(G2992:G3021)*SQRT($R$3))</f>
        <v>0.506727453772259</v>
      </c>
      <c r="N3021" s="25" t="n">
        <f aca="false">IF(A3021-7&lt;$R$2,"",C3021/INDEX(Clean_Data!$C$2:$C$4314,MATCH(A3021-7,Clean_Data!$A$2:$A$4314,1))-1)</f>
        <v>0.0612104295209823</v>
      </c>
      <c r="O3021" s="25" t="n">
        <f aca="false">IF(A3021-30&lt;$R$2,"",C3021/INDEX(Clean_Data!$C$2:$C$4314,MATCH(A3021-30,Clean_Data!$A$2:$A$4314,1))-1)</f>
        <v>0.234043746934286</v>
      </c>
    </row>
    <row r="3022" customFormat="false" ht="15" hidden="false" customHeight="false" outlineLevel="0" collapsed="false">
      <c r="A3022" s="16" t="n">
        <v>45029</v>
      </c>
      <c r="B3022" s="23" t="n">
        <f aca="false">YEAR(A3022)</f>
        <v>2023</v>
      </c>
      <c r="C3022" s="17" t="n">
        <v>30412.73</v>
      </c>
      <c r="D3022" s="23" t="n">
        <f aca="false">A3022-A3021</f>
        <v>1</v>
      </c>
      <c r="E3022" s="24" t="n">
        <f aca="false">LN(C3022)</f>
        <v>10.322616549743</v>
      </c>
      <c r="F3022" s="25" t="n">
        <f aca="false">LN(C3022/C3021)</f>
        <v>0.0165660964312403</v>
      </c>
      <c r="G3022" s="25" t="n">
        <f aca="false">IF(AND(D3022=1,A3022&gt;=$R$2),F3022,"")</f>
        <v>0.0165660964312403</v>
      </c>
      <c r="H3022" s="27" t="n">
        <f aca="false">IF(G3022="","",G3022^2)</f>
        <v>0.000274435550969153</v>
      </c>
      <c r="I3022" s="25" t="n">
        <f aca="false">IF(G3022="","",C3022/C3021-1)</f>
        <v>0.0167040750762375</v>
      </c>
      <c r="J3022" s="17" t="n">
        <f aca="false">AVERAGE(C2823:C3022)</f>
        <v>20953.8162</v>
      </c>
      <c r="K3022" s="17" t="n">
        <f aca="false">MAX(K3021,C3022)</f>
        <v>67510.06</v>
      </c>
      <c r="L3022" s="25" t="n">
        <f aca="false">C3022/K3022-1</f>
        <v>-0.549508177003546</v>
      </c>
      <c r="M3022" s="25" t="n">
        <f aca="false">IF(COUNT(G2993:G3022)&lt;20,"",_xlfn.STDEV.S(G2993:G3022)*SQRT($R$3))</f>
        <v>0.504936112865575</v>
      </c>
      <c r="N3022" s="25" t="n">
        <f aca="false">IF(A3022-7&lt;$R$2,"",C3022/INDEX(Clean_Data!$C$2:$C$4314,MATCH(A3022-7,Clean_Data!$A$2:$A$4314,1))-1)</f>
        <v>0.0840986872568705</v>
      </c>
      <c r="O3022" s="25" t="n">
        <f aca="false">IF(A3022-30&lt;$R$2,"",C3022/INDEX(Clean_Data!$C$2:$C$4314,MATCH(A3022-30,Clean_Data!$A$2:$A$4314,1))-1)</f>
        <v>0.22697133921522</v>
      </c>
    </row>
    <row r="3023" customFormat="false" ht="15" hidden="false" customHeight="false" outlineLevel="0" collapsed="false">
      <c r="A3023" s="16" t="n">
        <v>45030</v>
      </c>
      <c r="B3023" s="23" t="n">
        <f aca="false">YEAR(A3023)</f>
        <v>2023</v>
      </c>
      <c r="C3023" s="17" t="n">
        <v>30493.72</v>
      </c>
      <c r="D3023" s="23" t="n">
        <f aca="false">A3023-A3022</f>
        <v>1</v>
      </c>
      <c r="E3023" s="24" t="n">
        <f aca="false">LN(C3023)</f>
        <v>10.3252760397555</v>
      </c>
      <c r="F3023" s="25" t="n">
        <f aca="false">LN(C3023/C3022)</f>
        <v>0.0026594900125057</v>
      </c>
      <c r="G3023" s="25" t="n">
        <f aca="false">IF(AND(D3023=1,A3023&gt;=$R$2),F3023,"")</f>
        <v>0.0026594900125057</v>
      </c>
      <c r="H3023" s="27" t="n">
        <f aca="false">IF(G3023="","",G3023^2)</f>
        <v>7.07288712661759E-006</v>
      </c>
      <c r="I3023" s="25" t="n">
        <f aca="false">IF(G3023="","",C3023/C3022-1)</f>
        <v>0.00266302959319997</v>
      </c>
      <c r="J3023" s="17" t="n">
        <f aca="false">AVERAGE(C2824:C3023)</f>
        <v>21010.16075</v>
      </c>
      <c r="K3023" s="17" t="n">
        <f aca="false">MAX(K3022,C3023)</f>
        <v>67510.06</v>
      </c>
      <c r="L3023" s="25" t="n">
        <f aca="false">C3023/K3023-1</f>
        <v>-0.548308503947412</v>
      </c>
      <c r="M3023" s="25" t="n">
        <f aca="false">IF(COUNT(G2994:G3023)&lt;20,"",_xlfn.STDEV.S(G2994:G3023)*SQRT($R$3))</f>
        <v>0.497394992089466</v>
      </c>
      <c r="N3023" s="25" t="n">
        <f aca="false">IF(A3023-7&lt;$R$2,"",C3023/INDEX(Clean_Data!$C$2:$C$4314,MATCH(A3023-7,Clean_Data!$A$2:$A$4314,1))-1)</f>
        <v>0.0919023244405535</v>
      </c>
      <c r="O3023" s="25" t="n">
        <f aca="false">IF(A3023-30&lt;$R$2,"",C3023/INDEX(Clean_Data!$C$2:$C$4314,MATCH(A3023-30,Clean_Data!$A$2:$A$4314,1))-1)</f>
        <v>0.252279515428181</v>
      </c>
    </row>
    <row r="3024" customFormat="false" ht="15" hidden="false" customHeight="false" outlineLevel="0" collapsed="false">
      <c r="A3024" s="16" t="n">
        <v>45031</v>
      </c>
      <c r="B3024" s="23" t="n">
        <f aca="false">YEAR(A3024)</f>
        <v>2023</v>
      </c>
      <c r="C3024" s="17" t="n">
        <v>30319.72</v>
      </c>
      <c r="D3024" s="23" t="n">
        <f aca="false">A3024-A3023</f>
        <v>1</v>
      </c>
      <c r="E3024" s="24" t="n">
        <f aca="false">LN(C3024)</f>
        <v>10.3195536048852</v>
      </c>
      <c r="F3024" s="25" t="n">
        <f aca="false">LN(C3024/C3023)</f>
        <v>-0.00572243487033539</v>
      </c>
      <c r="G3024" s="25" t="n">
        <f aca="false">IF(AND(D3024=1,A3024&gt;=$R$2),F3024,"")</f>
        <v>-0.00572243487033539</v>
      </c>
      <c r="H3024" s="27" t="n">
        <f aca="false">IF(G3024="","",G3024^2)</f>
        <v>3.27462608452305E-005</v>
      </c>
      <c r="I3024" s="25" t="n">
        <f aca="false">IF(G3024="","",C3024/C3023-1)</f>
        <v>-0.00570609292667479</v>
      </c>
      <c r="J3024" s="17" t="n">
        <f aca="false">AVERAGE(C2825:C3024)</f>
        <v>21066.3945</v>
      </c>
      <c r="K3024" s="17" t="n">
        <f aca="false">MAX(K3023,C3024)</f>
        <v>67510.06</v>
      </c>
      <c r="L3024" s="25" t="n">
        <f aca="false">C3024/K3024-1</f>
        <v>-0.550885897598076</v>
      </c>
      <c r="M3024" s="25" t="n">
        <f aca="false">IF(COUNT(G2995:G3024)&lt;20,"",_xlfn.STDEV.S(G2995:G3024)*SQRT($R$3))</f>
        <v>0.49383833079099</v>
      </c>
      <c r="N3024" s="25" t="n">
        <f aca="false">IF(A3024-7&lt;$R$2,"",C3024/INDEX(Clean_Data!$C$2:$C$4314,MATCH(A3024-7,Clean_Data!$A$2:$A$4314,1))-1)</f>
        <v>0.0844156726693968</v>
      </c>
      <c r="O3024" s="25" t="n">
        <f aca="false">IF(A3024-30&lt;$R$2,"",C3024/INDEX(Clean_Data!$C$2:$C$4314,MATCH(A3024-30,Clean_Data!$A$2:$A$4314,1))-1)</f>
        <v>0.210846118487499</v>
      </c>
    </row>
    <row r="3025" customFormat="false" ht="15" hidden="false" customHeight="false" outlineLevel="0" collapsed="false">
      <c r="A3025" s="16" t="n">
        <v>45032</v>
      </c>
      <c r="B3025" s="23" t="n">
        <f aca="false">YEAR(A3025)</f>
        <v>2023</v>
      </c>
      <c r="C3025" s="17" t="n">
        <v>30328.02</v>
      </c>
      <c r="D3025" s="23" t="n">
        <f aca="false">A3025-A3024</f>
        <v>1</v>
      </c>
      <c r="E3025" s="24" t="n">
        <f aca="false">LN(C3025)</f>
        <v>10.3198273166526</v>
      </c>
      <c r="F3025" s="25" t="n">
        <f aca="false">LN(C3025/C3024)</f>
        <v>0.000273711767390409</v>
      </c>
      <c r="G3025" s="25" t="n">
        <f aca="false">IF(AND(D3025=1,A3025&gt;=$R$2),F3025,"")</f>
        <v>0.000273711767390409</v>
      </c>
      <c r="H3025" s="27" t="n">
        <f aca="false">IF(G3025="","",G3025^2)</f>
        <v>7.49181316079815E-008</v>
      </c>
      <c r="I3025" s="25" t="n">
        <f aca="false">IF(G3025="","",C3025/C3024-1)</f>
        <v>0.00027374922987411</v>
      </c>
      <c r="J3025" s="17" t="n">
        <f aca="false">AVERAGE(C2826:C3025)</f>
        <v>21120.9965</v>
      </c>
      <c r="K3025" s="17" t="n">
        <f aca="false">MAX(K3024,C3025)</f>
        <v>67510.06</v>
      </c>
      <c r="L3025" s="25" t="n">
        <f aca="false">C3025/K3025-1</f>
        <v>-0.550762952958418</v>
      </c>
      <c r="M3025" s="25" t="n">
        <f aca="false">IF(COUNT(G2996:G3025)&lt;20,"",_xlfn.STDEV.S(G2996:G3025)*SQRT($R$3))</f>
        <v>0.38652518990461</v>
      </c>
      <c r="N3025" s="25" t="n">
        <f aca="false">IF(A3025-7&lt;$R$2,"",C3025/INDEX(Clean_Data!$C$2:$C$4314,MATCH(A3025-7,Clean_Data!$A$2:$A$4314,1))-1)</f>
        <v>0.0702606906014178</v>
      </c>
      <c r="O3025" s="25" t="n">
        <f aca="false">IF(A3025-30&lt;$R$2,"",C3025/INDEX(Clean_Data!$C$2:$C$4314,MATCH(A3025-30,Clean_Data!$A$2:$A$4314,1))-1)</f>
        <v>0.105147451891245</v>
      </c>
    </row>
    <row r="3026" customFormat="false" ht="15" hidden="false" customHeight="false" outlineLevel="0" collapsed="false">
      <c r="A3026" s="16" t="n">
        <v>45033</v>
      </c>
      <c r="B3026" s="23" t="n">
        <f aca="false">YEAR(A3026)</f>
        <v>2023</v>
      </c>
      <c r="C3026" s="17" t="n">
        <v>29449.98</v>
      </c>
      <c r="D3026" s="23" t="n">
        <f aca="false">A3026-A3025</f>
        <v>1</v>
      </c>
      <c r="E3026" s="24" t="n">
        <f aca="false">LN(C3026)</f>
        <v>10.2904485099624</v>
      </c>
      <c r="F3026" s="25" t="n">
        <f aca="false">LN(C3026/C3025)</f>
        <v>-0.0293788066902067</v>
      </c>
      <c r="G3026" s="25" t="n">
        <f aca="false">IF(AND(D3026=1,A3026&gt;=$R$2),F3026,"")</f>
        <v>-0.0293788066902067</v>
      </c>
      <c r="H3026" s="27" t="n">
        <f aca="false">IF(G3026="","",G3026^2)</f>
        <v>0.000863114282540533</v>
      </c>
      <c r="I3026" s="25" t="n">
        <f aca="false">IF(G3026="","",C3026/C3025-1)</f>
        <v>-0.0289514449014476</v>
      </c>
      <c r="J3026" s="17" t="n">
        <f aca="false">AVERAGE(C2827:C3026)</f>
        <v>21170.19335</v>
      </c>
      <c r="K3026" s="17" t="n">
        <f aca="false">MAX(K3025,C3026)</f>
        <v>67510.06</v>
      </c>
      <c r="L3026" s="25" t="n">
        <f aca="false">C3026/K3026-1</f>
        <v>-0.563769014573532</v>
      </c>
      <c r="M3026" s="25" t="n">
        <f aca="false">IF(COUNT(G2997:G3026)&lt;20,"",_xlfn.STDEV.S(G2997:G3026)*SQRT($R$3))</f>
        <v>0.397253354036387</v>
      </c>
      <c r="N3026" s="25" t="n">
        <f aca="false">IF(A3026-7&lt;$R$2,"",C3026/INDEX(Clean_Data!$C$2:$C$4314,MATCH(A3026-7,Clean_Data!$A$2:$A$4314,1))-1)</f>
        <v>-0.00770586832028919</v>
      </c>
      <c r="O3026" s="25" t="n">
        <f aca="false">IF(A3026-30&lt;$R$2,"",C3026/INDEX(Clean_Data!$C$2:$C$4314,MATCH(A3026-30,Clean_Data!$A$2:$A$4314,1))-1)</f>
        <v>0.0910927866676892</v>
      </c>
    </row>
    <row r="3027" customFormat="false" ht="15" hidden="false" customHeight="false" outlineLevel="0" collapsed="false">
      <c r="A3027" s="16" t="n">
        <v>45034</v>
      </c>
      <c r="B3027" s="23" t="n">
        <f aca="false">YEAR(A3027)</f>
        <v>2023</v>
      </c>
      <c r="C3027" s="17" t="n">
        <v>30382.37</v>
      </c>
      <c r="D3027" s="23" t="n">
        <f aca="false">A3027-A3026</f>
        <v>1</v>
      </c>
      <c r="E3027" s="24" t="n">
        <f aca="false">LN(C3027)</f>
        <v>10.3216177849569</v>
      </c>
      <c r="F3027" s="25" t="n">
        <f aca="false">LN(C3027/C3026)</f>
        <v>0.0311692749945445</v>
      </c>
      <c r="G3027" s="25" t="n">
        <f aca="false">IF(AND(D3027=1,A3027&gt;=$R$2),F3027,"")</f>
        <v>0.0311692749945445</v>
      </c>
      <c r="H3027" s="27" t="n">
        <f aca="false">IF(G3027="","",G3027^2)</f>
        <v>0.000971523703685535</v>
      </c>
      <c r="I3027" s="25" t="n">
        <f aca="false">IF(G3027="","",C3027/C3026-1)</f>
        <v>0.0316601233685048</v>
      </c>
      <c r="J3027" s="17" t="n">
        <f aca="false">AVERAGE(C2828:C3027)</f>
        <v>21225.0262</v>
      </c>
      <c r="K3027" s="17" t="n">
        <f aca="false">MAX(K3026,C3027)</f>
        <v>67510.06</v>
      </c>
      <c r="L3027" s="25" t="n">
        <f aca="false">C3027/K3027-1</f>
        <v>-0.549957887757765</v>
      </c>
      <c r="M3027" s="25" t="n">
        <f aca="false">IF(COUNT(G2998:G3027)&lt;20,"",_xlfn.STDEV.S(G2998:G3027)*SQRT($R$3))</f>
        <v>0.389766481931374</v>
      </c>
      <c r="N3027" s="25" t="n">
        <f aca="false">IF(A3027-7&lt;$R$2,"",C3027/INDEX(Clean_Data!$C$2:$C$4314,MATCH(A3027-7,Clean_Data!$A$2:$A$4314,1))-1)</f>
        <v>0.00457744744151967</v>
      </c>
      <c r="O3027" s="25" t="n">
        <f aca="false">IF(A3027-30&lt;$R$2,"",C3027/INDEX(Clean_Data!$C$2:$C$4314,MATCH(A3027-30,Clean_Data!$A$2:$A$4314,1))-1)</f>
        <v>0.0831500594830448</v>
      </c>
    </row>
    <row r="3028" customFormat="false" ht="15" hidden="false" customHeight="false" outlineLevel="0" collapsed="false">
      <c r="A3028" s="16" t="n">
        <v>45035</v>
      </c>
      <c r="B3028" s="23" t="n">
        <f aca="false">YEAR(A3028)</f>
        <v>2023</v>
      </c>
      <c r="C3028" s="17" t="n">
        <v>28814.51</v>
      </c>
      <c r="D3028" s="23" t="n">
        <f aca="false">A3028-A3027</f>
        <v>1</v>
      </c>
      <c r="E3028" s="24" t="n">
        <f aca="false">LN(C3028)</f>
        <v>10.2686343586941</v>
      </c>
      <c r="F3028" s="25" t="n">
        <f aca="false">LN(C3028/C3027)</f>
        <v>-0.0529834262628209</v>
      </c>
      <c r="G3028" s="25" t="n">
        <f aca="false">IF(AND(D3028=1,A3028&gt;=$R$2),F3028,"")</f>
        <v>-0.0529834262628209</v>
      </c>
      <c r="H3028" s="27" t="n">
        <f aca="false">IF(G3028="","",G3028^2)</f>
        <v>0.00280724345854778</v>
      </c>
      <c r="I3028" s="25" t="n">
        <f aca="false">IF(G3028="","",C3028/C3027-1)</f>
        <v>-0.0516042691863736</v>
      </c>
      <c r="J3028" s="17" t="n">
        <f aca="false">AVERAGE(C2829:C3028)</f>
        <v>21272.55495</v>
      </c>
      <c r="K3028" s="17" t="n">
        <f aca="false">MAX(K3027,C3028)</f>
        <v>67510.06</v>
      </c>
      <c r="L3028" s="25" t="n">
        <f aca="false">C3028/K3028-1</f>
        <v>-0.573181982063118</v>
      </c>
      <c r="M3028" s="25" t="n">
        <f aca="false">IF(COUNT(G2999:G3028)&lt;20,"",_xlfn.STDEV.S(G2999:G3028)*SQRT($R$3))</f>
        <v>0.434211555355525</v>
      </c>
      <c r="N3028" s="25" t="n">
        <f aca="false">IF(A3028-7&lt;$R$2,"",C3028/INDEX(Clean_Data!$C$2:$C$4314,MATCH(A3028-7,Clean_Data!$A$2:$A$4314,1))-1)</f>
        <v>-0.0367247616927189</v>
      </c>
      <c r="O3028" s="25" t="n">
        <f aca="false">IF(A3028-30&lt;$R$2,"",C3028/INDEX(Clean_Data!$C$2:$C$4314,MATCH(A3028-30,Clean_Data!$A$2:$A$4314,1))-1)</f>
        <v>0.0358198825439722</v>
      </c>
    </row>
    <row r="3029" customFormat="false" ht="15" hidden="false" customHeight="false" outlineLevel="0" collapsed="false">
      <c r="A3029" s="16" t="n">
        <v>45036</v>
      </c>
      <c r="B3029" s="23" t="n">
        <f aca="false">YEAR(A3029)</f>
        <v>2023</v>
      </c>
      <c r="C3029" s="17" t="n">
        <v>28235.24</v>
      </c>
      <c r="D3029" s="23" t="n">
        <f aca="false">A3029-A3028</f>
        <v>1</v>
      </c>
      <c r="E3029" s="24" t="n">
        <f aca="false">LN(C3029)</f>
        <v>10.2483261221594</v>
      </c>
      <c r="F3029" s="25" t="n">
        <f aca="false">LN(C3029/C3028)</f>
        <v>-0.020308236534724</v>
      </c>
      <c r="G3029" s="25" t="n">
        <f aca="false">IF(AND(D3029=1,A3029&gt;=$R$2),F3029,"")</f>
        <v>-0.020308236534724</v>
      </c>
      <c r="H3029" s="27" t="n">
        <f aca="false">IF(G3029="","",G3029^2)</f>
        <v>0.000412424471150297</v>
      </c>
      <c r="I3029" s="25" t="n">
        <f aca="false">IF(G3029="","",C3029/C3028-1)</f>
        <v>-0.0201034131762087</v>
      </c>
      <c r="J3029" s="17" t="n">
        <f aca="false">AVERAGE(C2830:C3029)</f>
        <v>21318.3697</v>
      </c>
      <c r="K3029" s="17" t="n">
        <f aca="false">MAX(K3028,C3029)</f>
        <v>67510.06</v>
      </c>
      <c r="L3029" s="25" t="n">
        <f aca="false">C3029/K3029-1</f>
        <v>-0.581762481028753</v>
      </c>
      <c r="M3029" s="25" t="n">
        <f aca="false">IF(COUNT(G3000:G3029)&lt;20,"",_xlfn.STDEV.S(G3000:G3029)*SQRT($R$3))</f>
        <v>0.438135511510528</v>
      </c>
      <c r="N3029" s="25" t="n">
        <f aca="false">IF(A3029-7&lt;$R$2,"",C3029/INDEX(Clean_Data!$C$2:$C$4314,MATCH(A3029-7,Clean_Data!$A$2:$A$4314,1))-1)</f>
        <v>-0.0715979788726628</v>
      </c>
      <c r="O3029" s="25" t="n">
        <f aca="false">IF(A3029-30&lt;$R$2,"",C3029/INDEX(Clean_Data!$C$2:$C$4314,MATCH(A3029-30,Clean_Data!$A$2:$A$4314,1))-1)</f>
        <v>0.00140731377564407</v>
      </c>
    </row>
    <row r="3030" customFormat="false" ht="15" hidden="false" customHeight="false" outlineLevel="0" collapsed="false">
      <c r="A3030" s="16" t="n">
        <v>45037</v>
      </c>
      <c r="B3030" s="23" t="n">
        <f aca="false">YEAR(A3030)</f>
        <v>2023</v>
      </c>
      <c r="C3030" s="17" t="n">
        <v>27259</v>
      </c>
      <c r="D3030" s="23" t="n">
        <f aca="false">A3030-A3029</f>
        <v>1</v>
      </c>
      <c r="E3030" s="24" t="n">
        <f aca="false">LN(C3030)</f>
        <v>10.2131390207919</v>
      </c>
      <c r="F3030" s="25" t="n">
        <f aca="false">LN(C3030/C3029)</f>
        <v>-0.0351871013674638</v>
      </c>
      <c r="G3030" s="25" t="n">
        <f aca="false">IF(AND(D3030=1,A3030&gt;=$R$2),F3030,"")</f>
        <v>-0.0351871013674638</v>
      </c>
      <c r="H3030" s="27" t="n">
        <f aca="false">IF(G3030="","",G3030^2)</f>
        <v>0.00123813210264417</v>
      </c>
      <c r="I3030" s="25" t="n">
        <f aca="false">IF(G3030="","",C3030/C3029-1)</f>
        <v>-0.0345752329358632</v>
      </c>
      <c r="J3030" s="17" t="n">
        <f aca="false">AVERAGE(C2831:C3030)</f>
        <v>21356.4605</v>
      </c>
      <c r="K3030" s="17" t="n">
        <f aca="false">MAX(K3029,C3030)</f>
        <v>67510.06</v>
      </c>
      <c r="L3030" s="25" t="n">
        <f aca="false">C3030/K3030-1</f>
        <v>-0.596223140669702</v>
      </c>
      <c r="M3030" s="25" t="n">
        <f aca="false">IF(COUNT(G3001:G3030)&lt;20,"",_xlfn.STDEV.S(G3001:G3030)*SQRT($R$3))</f>
        <v>0.441744710187021</v>
      </c>
      <c r="N3030" s="25" t="n">
        <f aca="false">IF(A3030-7&lt;$R$2,"",C3030/INDEX(Clean_Data!$C$2:$C$4314,MATCH(A3030-7,Clean_Data!$A$2:$A$4314,1))-1)</f>
        <v>-0.106078235125134</v>
      </c>
      <c r="O3030" s="25" t="n">
        <f aca="false">IF(A3030-30&lt;$R$2,"",C3030/INDEX(Clean_Data!$C$2:$C$4314,MATCH(A3030-30,Clean_Data!$A$2:$A$4314,1))-1)</f>
        <v>-0.00238214703582074</v>
      </c>
    </row>
    <row r="3031" customFormat="false" ht="15" hidden="false" customHeight="false" outlineLevel="0" collapsed="false">
      <c r="A3031" s="16" t="n">
        <v>45038</v>
      </c>
      <c r="B3031" s="23" t="n">
        <f aca="false">YEAR(A3031)</f>
        <v>2023</v>
      </c>
      <c r="C3031" s="17" t="n">
        <v>27812.19</v>
      </c>
      <c r="D3031" s="23" t="n">
        <f aca="false">A3031-A3030</f>
        <v>1</v>
      </c>
      <c r="E3031" s="24" t="n">
        <f aca="false">LN(C3031)</f>
        <v>10.2332296927791</v>
      </c>
      <c r="F3031" s="25" t="n">
        <f aca="false">LN(C3031/C3030)</f>
        <v>0.020090671987172</v>
      </c>
      <c r="G3031" s="25" t="n">
        <f aca="false">IF(AND(D3031=1,A3031&gt;=$R$2),F3031,"")</f>
        <v>0.020090671987172</v>
      </c>
      <c r="H3031" s="27" t="n">
        <f aca="false">IF(G3031="","",G3031^2)</f>
        <v>0.000403635100896137</v>
      </c>
      <c r="I3031" s="25" t="n">
        <f aca="false">IF(G3031="","",C3031/C3030-1)</f>
        <v>0.0202938479034447</v>
      </c>
      <c r="J3031" s="17" t="n">
        <f aca="false">AVERAGE(C2832:C3031)</f>
        <v>21393.7996</v>
      </c>
      <c r="K3031" s="17" t="n">
        <f aca="false">MAX(K3030,C3031)</f>
        <v>67510.06</v>
      </c>
      <c r="L3031" s="25" t="n">
        <f aca="false">C3031/K3031-1</f>
        <v>-0.588028954499522</v>
      </c>
      <c r="M3031" s="25" t="n">
        <f aca="false">IF(COUNT(G3002:G3031)&lt;20,"",_xlfn.STDEV.S(G3002:G3031)*SQRT($R$3))</f>
        <v>0.427305244505437</v>
      </c>
      <c r="N3031" s="25" t="n">
        <f aca="false">IF(A3031-7&lt;$R$2,"",C3031/INDEX(Clean_Data!$C$2:$C$4314,MATCH(A3031-7,Clean_Data!$A$2:$A$4314,1))-1)</f>
        <v>-0.0827029405284746</v>
      </c>
      <c r="O3031" s="25" t="n">
        <f aca="false">IF(A3031-30&lt;$R$2,"",C3031/INDEX(Clean_Data!$C$2:$C$4314,MATCH(A3031-30,Clean_Data!$A$2:$A$4314,1))-1)</f>
        <v>-0.0193615880225562</v>
      </c>
    </row>
    <row r="3032" customFormat="false" ht="15" hidden="false" customHeight="false" outlineLevel="0" collapsed="false">
      <c r="A3032" s="16" t="n">
        <v>45039</v>
      </c>
      <c r="B3032" s="23" t="n">
        <f aca="false">YEAR(A3032)</f>
        <v>2023</v>
      </c>
      <c r="C3032" s="17" t="n">
        <v>27582.31</v>
      </c>
      <c r="D3032" s="23" t="n">
        <f aca="false">A3032-A3031</f>
        <v>1</v>
      </c>
      <c r="E3032" s="24" t="n">
        <f aca="false">LN(C3032)</f>
        <v>10.2249299041851</v>
      </c>
      <c r="F3032" s="25" t="n">
        <f aca="false">LN(C3032/C3031)</f>
        <v>-0.00829978859395869</v>
      </c>
      <c r="G3032" s="25" t="n">
        <f aca="false">IF(AND(D3032=1,A3032&gt;=$R$2),F3032,"")</f>
        <v>-0.00829978859395869</v>
      </c>
      <c r="H3032" s="27" t="n">
        <f aca="false">IF(G3032="","",G3032^2)</f>
        <v>6.88864907044068E-005</v>
      </c>
      <c r="I3032" s="25" t="n">
        <f aca="false">IF(G3032="","",C3032/C3031-1)</f>
        <v>-0.00826544044176303</v>
      </c>
      <c r="J3032" s="17" t="n">
        <f aca="false">AVERAGE(C2833:C3032)</f>
        <v>21430.9495</v>
      </c>
      <c r="K3032" s="17" t="n">
        <f aca="false">MAX(K3031,C3032)</f>
        <v>67510.06</v>
      </c>
      <c r="L3032" s="25" t="n">
        <f aca="false">C3032/K3032-1</f>
        <v>-0.591434076639837</v>
      </c>
      <c r="M3032" s="25" t="n">
        <f aca="false">IF(COUNT(G3003:G3032)&lt;20,"",_xlfn.STDEV.S(G3003:G3032)*SQRT($R$3))</f>
        <v>0.41391667089495</v>
      </c>
      <c r="N3032" s="25" t="n">
        <f aca="false">IF(A3032-7&lt;$R$2,"",C3032/INDEX(Clean_Data!$C$2:$C$4314,MATCH(A3032-7,Clean_Data!$A$2:$A$4314,1))-1)</f>
        <v>-0.0905337704208847</v>
      </c>
      <c r="O3032" s="25" t="n">
        <f aca="false">IF(A3032-30&lt;$R$2,"",C3032/INDEX(Clean_Data!$C$2:$C$4314,MATCH(A3032-30,Clean_Data!$A$2:$A$4314,1))-1)</f>
        <v>0.00339700381208008</v>
      </c>
    </row>
    <row r="3033" customFormat="false" ht="15" hidden="false" customHeight="false" outlineLevel="0" collapsed="false">
      <c r="A3033" s="16" t="n">
        <v>45040</v>
      </c>
      <c r="B3033" s="23" t="n">
        <f aca="false">YEAR(A3033)</f>
        <v>2023</v>
      </c>
      <c r="C3033" s="17" t="n">
        <v>27518.81</v>
      </c>
      <c r="D3033" s="23" t="n">
        <f aca="false">A3033-A3032</f>
        <v>1</v>
      </c>
      <c r="E3033" s="24" t="n">
        <f aca="false">LN(C3033)</f>
        <v>10.2226250498333</v>
      </c>
      <c r="F3033" s="25" t="n">
        <f aca="false">LN(C3033/C3032)</f>
        <v>-0.00230485435182454</v>
      </c>
      <c r="G3033" s="25" t="n">
        <f aca="false">IF(AND(D3033=1,A3033&gt;=$R$2),F3033,"")</f>
        <v>-0.00230485435182454</v>
      </c>
      <c r="H3033" s="27" t="n">
        <f aca="false">IF(G3033="","",G3033^2)</f>
        <v>5.3123535831245E-006</v>
      </c>
      <c r="I3033" s="25" t="n">
        <f aca="false">IF(G3033="","",C3033/C3032-1)</f>
        <v>-0.00230220021455785</v>
      </c>
      <c r="J3033" s="17" t="n">
        <f aca="false">AVERAGE(C2834:C3033)</f>
        <v>21468.7326</v>
      </c>
      <c r="K3033" s="17" t="n">
        <f aca="false">MAX(K3032,C3033)</f>
        <v>67510.06</v>
      </c>
      <c r="L3033" s="25" t="n">
        <f aca="false">C3033/K3033-1</f>
        <v>-0.592374677196258</v>
      </c>
      <c r="M3033" s="25" t="n">
        <f aca="false">IF(COUNT(G3004:G3033)&lt;20,"",_xlfn.STDEV.S(G3004:G3033)*SQRT($R$3))</f>
        <v>0.414002268998972</v>
      </c>
      <c r="N3033" s="25" t="n">
        <f aca="false">IF(A3033-7&lt;$R$2,"",C3033/INDEX(Clean_Data!$C$2:$C$4314,MATCH(A3033-7,Clean_Data!$A$2:$A$4314,1))-1)</f>
        <v>-0.065574577639781</v>
      </c>
      <c r="O3033" s="25" t="n">
        <f aca="false">IF(A3033-30&lt;$R$2,"",C3033/INDEX(Clean_Data!$C$2:$C$4314,MATCH(A3033-30,Clean_Data!$A$2:$A$4314,1))-1)</f>
        <v>0.00121373308423189</v>
      </c>
    </row>
    <row r="3034" customFormat="false" ht="15" hidden="false" customHeight="false" outlineLevel="0" collapsed="false">
      <c r="A3034" s="16" t="n">
        <v>45041</v>
      </c>
      <c r="B3034" s="23" t="n">
        <f aca="false">YEAR(A3034)</f>
        <v>2023</v>
      </c>
      <c r="C3034" s="17" t="n">
        <v>28321.6</v>
      </c>
      <c r="D3034" s="23" t="n">
        <f aca="false">A3034-A3033</f>
        <v>1</v>
      </c>
      <c r="E3034" s="24" t="n">
        <f aca="false">LN(C3034)</f>
        <v>10.2513800433869</v>
      </c>
      <c r="F3034" s="25" t="n">
        <f aca="false">LN(C3034/C3033)</f>
        <v>0.0287549935536128</v>
      </c>
      <c r="G3034" s="25" t="n">
        <f aca="false">IF(AND(D3034=1,A3034&gt;=$R$2),F3034,"")</f>
        <v>0.0287549935536128</v>
      </c>
      <c r="H3034" s="27" t="n">
        <f aca="false">IF(G3034="","",G3034^2)</f>
        <v>0.000826849654268313</v>
      </c>
      <c r="I3034" s="25" t="n">
        <f aca="false">IF(G3034="","",C3034/C3033-1)</f>
        <v>0.0291724097081232</v>
      </c>
      <c r="J3034" s="17" t="n">
        <f aca="false">AVERAGE(C2835:C3034)</f>
        <v>21512.7195</v>
      </c>
      <c r="K3034" s="17" t="n">
        <f aca="false">MAX(K3033,C3034)</f>
        <v>67510.06</v>
      </c>
      <c r="L3034" s="25" t="n">
        <f aca="false">C3034/K3034-1</f>
        <v>-0.580483264272021</v>
      </c>
      <c r="M3034" s="25" t="n">
        <f aca="false">IF(COUNT(G3005:G3034)&lt;20,"",_xlfn.STDEV.S(G3005:G3034)*SQRT($R$3))</f>
        <v>0.421459523608343</v>
      </c>
      <c r="N3034" s="25" t="n">
        <f aca="false">IF(A3034-7&lt;$R$2,"",C3034/INDEX(Clean_Data!$C$2:$C$4314,MATCH(A3034-7,Clean_Data!$A$2:$A$4314,1))-1)</f>
        <v>-0.0678278225168083</v>
      </c>
      <c r="O3034" s="25" t="n">
        <f aca="false">IF(A3034-30&lt;$R$2,"",C3034/INDEX(Clean_Data!$C$2:$C$4314,MATCH(A3034-30,Clean_Data!$A$2:$A$4314,1))-1)</f>
        <v>0.0119504886887334</v>
      </c>
    </row>
    <row r="3035" customFormat="false" ht="15" hidden="false" customHeight="false" outlineLevel="0" collapsed="false">
      <c r="A3035" s="16" t="n">
        <v>45042</v>
      </c>
      <c r="B3035" s="23" t="n">
        <f aca="false">YEAR(A3035)</f>
        <v>2023</v>
      </c>
      <c r="C3035" s="17" t="n">
        <v>28406.04</v>
      </c>
      <c r="D3035" s="23" t="n">
        <f aca="false">A3035-A3034</f>
        <v>1</v>
      </c>
      <c r="E3035" s="24" t="n">
        <f aca="false">LN(C3035)</f>
        <v>10.2543570775933</v>
      </c>
      <c r="F3035" s="25" t="n">
        <f aca="false">LN(C3035/C3034)</f>
        <v>0.00297703420639697</v>
      </c>
      <c r="G3035" s="25" t="n">
        <f aca="false">IF(AND(D3035=1,A3035&gt;=$R$2),F3035,"")</f>
        <v>0.00297703420639697</v>
      </c>
      <c r="H3035" s="27" t="n">
        <f aca="false">IF(G3035="","",G3035^2)</f>
        <v>8.86273266605765E-006</v>
      </c>
      <c r="I3035" s="25" t="n">
        <f aca="false">IF(G3035="","",C3035/C3034-1)</f>
        <v>0.00298146997344784</v>
      </c>
      <c r="J3035" s="17" t="n">
        <f aca="false">AVERAGE(C2836:C3035)</f>
        <v>21557.7011</v>
      </c>
      <c r="K3035" s="17" t="n">
        <f aca="false">MAX(K3034,C3035)</f>
        <v>67510.06</v>
      </c>
      <c r="L3035" s="25" t="n">
        <f aca="false">C3035/K3035-1</f>
        <v>-0.579232487721089</v>
      </c>
      <c r="M3035" s="25" t="n">
        <f aca="false">IF(COUNT(G3006:G3035)&lt;20,"",_xlfn.STDEV.S(G3006:G3035)*SQRT($R$3))</f>
        <v>0.406233221445254</v>
      </c>
      <c r="N3035" s="25" t="n">
        <f aca="false">IF(A3035-7&lt;$R$2,"",C3035/INDEX(Clean_Data!$C$2:$C$4314,MATCH(A3035-7,Clean_Data!$A$2:$A$4314,1))-1)</f>
        <v>-0.0141758440452396</v>
      </c>
      <c r="O3035" s="25" t="n">
        <f aca="false">IF(A3035-30&lt;$R$2,"",C3035/INDEX(Clean_Data!$C$2:$C$4314,MATCH(A3035-30,Clean_Data!$A$2:$A$4314,1))-1)</f>
        <v>0.0466623728244</v>
      </c>
    </row>
    <row r="3036" customFormat="false" ht="15" hidden="false" customHeight="false" outlineLevel="0" collapsed="false">
      <c r="A3036" s="16" t="n">
        <v>45043</v>
      </c>
      <c r="B3036" s="23" t="n">
        <f aca="false">YEAR(A3036)</f>
        <v>2023</v>
      </c>
      <c r="C3036" s="17" t="n">
        <v>29502.8</v>
      </c>
      <c r="D3036" s="23" t="n">
        <f aca="false">A3036-A3035</f>
        <v>1</v>
      </c>
      <c r="E3036" s="24" t="n">
        <f aca="false">LN(C3036)</f>
        <v>10.292240453078</v>
      </c>
      <c r="F3036" s="25" t="n">
        <f aca="false">LN(C3036/C3035)</f>
        <v>0.0378833754846917</v>
      </c>
      <c r="G3036" s="25" t="n">
        <f aca="false">IF(AND(D3036=1,A3036&gt;=$R$2),F3036,"")</f>
        <v>0.0378833754846917</v>
      </c>
      <c r="H3036" s="27" t="n">
        <f aca="false">IF(G3036="","",G3036^2)</f>
        <v>0.00143515013811414</v>
      </c>
      <c r="I3036" s="25" t="n">
        <f aca="false">IF(G3036="","",C3036/C3035-1)</f>
        <v>0.038610098415689</v>
      </c>
      <c r="J3036" s="17" t="n">
        <f aca="false">AVERAGE(C2837:C3036)</f>
        <v>21608.03</v>
      </c>
      <c r="K3036" s="17" t="n">
        <f aca="false">MAX(K3035,C3036)</f>
        <v>67510.06</v>
      </c>
      <c r="L3036" s="25" t="n">
        <f aca="false">C3036/K3036-1</f>
        <v>-0.562986612661876</v>
      </c>
      <c r="M3036" s="25" t="n">
        <f aca="false">IF(COUNT(G3007:G3036)&lt;20,"",_xlfn.STDEV.S(G3007:G3036)*SQRT($R$3))</f>
        <v>0.425520112577039</v>
      </c>
      <c r="N3036" s="25" t="n">
        <f aca="false">IF(A3036-7&lt;$R$2,"",C3036/INDEX(Clean_Data!$C$2:$C$4314,MATCH(A3036-7,Clean_Data!$A$2:$A$4314,1))-1)</f>
        <v>0.0448928360446024</v>
      </c>
      <c r="O3036" s="25" t="n">
        <f aca="false">IF(A3036-30&lt;$R$2,"",C3036/INDEX(Clean_Data!$C$2:$C$4314,MATCH(A3036-30,Clean_Data!$A$2:$A$4314,1))-1)</f>
        <v>0.0817537560792458</v>
      </c>
    </row>
    <row r="3037" customFormat="false" ht="15" hidden="false" customHeight="false" outlineLevel="0" collapsed="false">
      <c r="A3037" s="16" t="n">
        <v>45044</v>
      </c>
      <c r="B3037" s="23" t="n">
        <f aca="false">YEAR(A3037)</f>
        <v>2023</v>
      </c>
      <c r="C3037" s="17" t="n">
        <v>29344.36</v>
      </c>
      <c r="D3037" s="23" t="n">
        <f aca="false">A3037-A3036</f>
        <v>1</v>
      </c>
      <c r="E3037" s="24" t="n">
        <f aca="false">LN(C3037)</f>
        <v>10.286855643247</v>
      </c>
      <c r="F3037" s="25" t="n">
        <f aca="false">LN(C3037/C3036)</f>
        <v>-0.00538480983095876</v>
      </c>
      <c r="G3037" s="25" t="n">
        <f aca="false">IF(AND(D3037=1,A3037&gt;=$R$2),F3037,"")</f>
        <v>-0.00538480983095876</v>
      </c>
      <c r="H3037" s="27" t="n">
        <f aca="false">IF(G3037="","",G3037^2)</f>
        <v>2.89961769155901E-005</v>
      </c>
      <c r="I3037" s="25" t="n">
        <f aca="false">IF(G3037="","",C3037/C3036-1)</f>
        <v>-0.00537033773065598</v>
      </c>
      <c r="J3037" s="17" t="n">
        <f aca="false">AVERAGE(C2838:C3037)</f>
        <v>21659.22845</v>
      </c>
      <c r="K3037" s="17" t="n">
        <f aca="false">MAX(K3036,C3037)</f>
        <v>67510.06</v>
      </c>
      <c r="L3037" s="25" t="n">
        <f aca="false">C3037/K3037-1</f>
        <v>-0.5653335221447</v>
      </c>
      <c r="M3037" s="25" t="n">
        <f aca="false">IF(COUNT(G3008:G3037)&lt;20,"",_xlfn.STDEV.S(G3008:G3037)*SQRT($R$3))</f>
        <v>0.405079025288585</v>
      </c>
      <c r="N3037" s="25" t="n">
        <f aca="false">IF(A3037-7&lt;$R$2,"",C3037/INDEX(Clean_Data!$C$2:$C$4314,MATCH(A3037-7,Clean_Data!$A$2:$A$4314,1))-1)</f>
        <v>0.0765017058586155</v>
      </c>
      <c r="O3037" s="25" t="n">
        <f aca="false">IF(A3037-30&lt;$R$2,"",C3037/INDEX(Clean_Data!$C$2:$C$4314,MATCH(A3037-30,Clean_Data!$A$2:$A$4314,1))-1)</f>
        <v>0.034466153411733</v>
      </c>
    </row>
    <row r="3038" customFormat="false" ht="15" hidden="false" customHeight="false" outlineLevel="0" collapsed="false">
      <c r="A3038" s="16" t="n">
        <v>45045</v>
      </c>
      <c r="B3038" s="23" t="n">
        <f aca="false">YEAR(A3038)</f>
        <v>2023</v>
      </c>
      <c r="C3038" s="17" t="n">
        <v>29249.66</v>
      </c>
      <c r="D3038" s="23" t="n">
        <f aca="false">A3038-A3037</f>
        <v>1</v>
      </c>
      <c r="E3038" s="24" t="n">
        <f aca="false">LN(C3038)</f>
        <v>10.2836232286608</v>
      </c>
      <c r="F3038" s="25" t="n">
        <f aca="false">LN(C3038/C3037)</f>
        <v>-0.00323241458620168</v>
      </c>
      <c r="G3038" s="25" t="n">
        <f aca="false">IF(AND(D3038=1,A3038&gt;=$R$2),F3038,"")</f>
        <v>-0.00323241458620168</v>
      </c>
      <c r="H3038" s="27" t="n">
        <f aca="false">IF(G3038="","",G3038^2)</f>
        <v>1.04485040570894E-005</v>
      </c>
      <c r="I3038" s="25" t="n">
        <f aca="false">IF(G3038="","",C3038/C3037-1)</f>
        <v>-0.0032271959586101</v>
      </c>
      <c r="J3038" s="17" t="n">
        <f aca="false">AVERAGE(C2839:C3038)</f>
        <v>21710.1283</v>
      </c>
      <c r="K3038" s="17" t="n">
        <f aca="false">MAX(K3037,C3038)</f>
        <v>67510.06</v>
      </c>
      <c r="L3038" s="25" t="n">
        <f aca="false">C3038/K3038-1</f>
        <v>-0.566736276045378</v>
      </c>
      <c r="M3038" s="25" t="n">
        <f aca="false">IF(COUNT(G3009:G3038)&lt;20,"",_xlfn.STDEV.S(G3009:G3038)*SQRT($R$3))</f>
        <v>0.402776259218978</v>
      </c>
      <c r="N3038" s="25" t="n">
        <f aca="false">IF(A3038-7&lt;$R$2,"",C3038/INDEX(Clean_Data!$C$2:$C$4314,MATCH(A3038-7,Clean_Data!$A$2:$A$4314,1))-1)</f>
        <v>0.0516848906900176</v>
      </c>
      <c r="O3038" s="25" t="n">
        <f aca="false">IF(A3038-30&lt;$R$2,"",C3038/INDEX(Clean_Data!$C$2:$C$4314,MATCH(A3038-30,Clean_Data!$A$2:$A$4314,1))-1)</f>
        <v>0.0432565963117151</v>
      </c>
    </row>
    <row r="3039" customFormat="false" ht="15" hidden="false" customHeight="false" outlineLevel="0" collapsed="false">
      <c r="A3039" s="16" t="n">
        <v>45046</v>
      </c>
      <c r="B3039" s="23" t="n">
        <f aca="false">YEAR(A3039)</f>
        <v>2023</v>
      </c>
      <c r="C3039" s="17" t="n">
        <v>29271.16</v>
      </c>
      <c r="D3039" s="23" t="n">
        <f aca="false">A3039-A3038</f>
        <v>1</v>
      </c>
      <c r="E3039" s="24" t="n">
        <f aca="false">LN(C3039)</f>
        <v>10.2843580099222</v>
      </c>
      <c r="F3039" s="25" t="n">
        <f aca="false">LN(C3039/C3038)</f>
        <v>0.000734781261346915</v>
      </c>
      <c r="G3039" s="25" t="n">
        <f aca="false">IF(AND(D3039=1,A3039&gt;=$R$2),F3039,"")</f>
        <v>0.000734781261346915</v>
      </c>
      <c r="H3039" s="27" t="n">
        <f aca="false">IF(G3039="","",G3039^2)</f>
        <v>5.39903502026563E-007</v>
      </c>
      <c r="I3039" s="25" t="n">
        <f aca="false">IF(G3039="","",C3039/C3038-1)</f>
        <v>0.000735051279228571</v>
      </c>
      <c r="J3039" s="17" t="n">
        <f aca="false">AVERAGE(C2840:C3039)</f>
        <v>21760.6975</v>
      </c>
      <c r="K3039" s="17" t="n">
        <f aca="false">MAX(K3038,C3039)</f>
        <v>67510.06</v>
      </c>
      <c r="L3039" s="25" t="n">
        <f aca="false">C3039/K3039-1</f>
        <v>-0.566417804990841</v>
      </c>
      <c r="M3039" s="25" t="n">
        <f aca="false">IF(COUNT(G3010:G3039)&lt;20,"",_xlfn.STDEV.S(G3010:G3039)*SQRT($R$3))</f>
        <v>0.399260941061438</v>
      </c>
      <c r="N3039" s="25" t="n">
        <f aca="false">IF(A3039-7&lt;$R$2,"",C3039/INDEX(Clean_Data!$C$2:$C$4314,MATCH(A3039-7,Clean_Data!$A$2:$A$4314,1))-1)</f>
        <v>0.0612294619268654</v>
      </c>
      <c r="O3039" s="25" t="n">
        <f aca="false">IF(A3039-30&lt;$R$2,"",C3039/INDEX(Clean_Data!$C$2:$C$4314,MATCH(A3039-30,Clean_Data!$A$2:$A$4314,1))-1)</f>
        <v>0.0273206629623286</v>
      </c>
    </row>
    <row r="3040" customFormat="false" ht="15" hidden="false" customHeight="false" outlineLevel="0" collapsed="false">
      <c r="A3040" s="16" t="n">
        <v>45047</v>
      </c>
      <c r="B3040" s="23" t="n">
        <f aca="false">YEAR(A3040)</f>
        <v>2023</v>
      </c>
      <c r="C3040" s="17" t="n">
        <v>28056.44</v>
      </c>
      <c r="D3040" s="23" t="n">
        <f aca="false">A3040-A3039</f>
        <v>1</v>
      </c>
      <c r="E3040" s="24" t="n">
        <f aca="false">LN(C3040)</f>
        <v>10.2419734746169</v>
      </c>
      <c r="F3040" s="25" t="n">
        <f aca="false">LN(C3040/C3039)</f>
        <v>-0.0423845353052542</v>
      </c>
      <c r="G3040" s="25" t="n">
        <f aca="false">IF(AND(D3040=1,A3040&gt;=$R$2),F3040,"")</f>
        <v>-0.0423845353052542</v>
      </c>
      <c r="H3040" s="27" t="n">
        <f aca="false">IF(G3040="","",G3040^2)</f>
        <v>0.00179644883304234</v>
      </c>
      <c r="I3040" s="25" t="n">
        <f aca="false">IF(G3040="","",C3040/C3039-1)</f>
        <v>-0.0414988678275818</v>
      </c>
      <c r="J3040" s="17" t="n">
        <f aca="false">AVERAGE(C2841:C3040)</f>
        <v>21804.06705</v>
      </c>
      <c r="K3040" s="17" t="n">
        <f aca="false">MAX(K3039,C3040)</f>
        <v>67510.06</v>
      </c>
      <c r="L3040" s="25" t="n">
        <f aca="false">C3040/K3040-1</f>
        <v>-0.584410975193919</v>
      </c>
      <c r="M3040" s="25" t="n">
        <f aca="false">IF(COUNT(G3011:G3040)&lt;20,"",_xlfn.STDEV.S(G3011:G3040)*SQRT($R$3))</f>
        <v>0.42688076557727</v>
      </c>
      <c r="N3040" s="25" t="n">
        <f aca="false">IF(A3040-7&lt;$R$2,"",C3040/INDEX(Clean_Data!$C$2:$C$4314,MATCH(A3040-7,Clean_Data!$A$2:$A$4314,1))-1)</f>
        <v>0.019536818634236</v>
      </c>
      <c r="O3040" s="25" t="n">
        <f aca="false">IF(A3040-30&lt;$R$2,"",C3040/INDEX(Clean_Data!$C$2:$C$4314,MATCH(A3040-30,Clean_Data!$A$2:$A$4314,1))-1)</f>
        <v>-0.0145891621961646</v>
      </c>
    </row>
    <row r="3041" customFormat="false" ht="15" hidden="false" customHeight="false" outlineLevel="0" collapsed="false">
      <c r="A3041" s="16" t="n">
        <v>45048</v>
      </c>
      <c r="B3041" s="23" t="n">
        <f aca="false">YEAR(A3041)</f>
        <v>2023</v>
      </c>
      <c r="C3041" s="17" t="n">
        <v>28682.78</v>
      </c>
      <c r="D3041" s="23" t="n">
        <f aca="false">A3041-A3040</f>
        <v>1</v>
      </c>
      <c r="E3041" s="24" t="n">
        <f aca="false">LN(C3041)</f>
        <v>10.2640522216757</v>
      </c>
      <c r="F3041" s="25" t="n">
        <f aca="false">LN(C3041/C3040)</f>
        <v>0.0220787470587671</v>
      </c>
      <c r="G3041" s="25" t="n">
        <f aca="false">IF(AND(D3041=1,A3041&gt;=$R$2),F3041,"")</f>
        <v>0.0220787470587671</v>
      </c>
      <c r="H3041" s="27" t="n">
        <f aca="false">IF(G3041="","",G3041^2)</f>
        <v>0.000487471071685018</v>
      </c>
      <c r="I3041" s="25" t="n">
        <f aca="false">IF(G3041="","",C3041/C3040-1)</f>
        <v>0.022324286331409</v>
      </c>
      <c r="J3041" s="17" t="n">
        <f aca="false">AVERAGE(C2842:C3041)</f>
        <v>21851.54275</v>
      </c>
      <c r="K3041" s="17" t="n">
        <f aca="false">MAX(K3040,C3041)</f>
        <v>67510.06</v>
      </c>
      <c r="L3041" s="25" t="n">
        <f aca="false">C3041/K3041-1</f>
        <v>-0.575133246807957</v>
      </c>
      <c r="M3041" s="25" t="n">
        <f aca="false">IF(COUNT(G3012:G3041)&lt;20,"",_xlfn.STDEV.S(G3012:G3041)*SQRT($R$3))</f>
        <v>0.432410038331939</v>
      </c>
      <c r="N3041" s="25" t="n">
        <f aca="false">IF(A3041-7&lt;$R$2,"",C3041/INDEX(Clean_Data!$C$2:$C$4314,MATCH(A3041-7,Clean_Data!$A$2:$A$4314,1))-1)</f>
        <v>0.0127528105756738</v>
      </c>
      <c r="O3041" s="25" t="n">
        <f aca="false">IF(A3041-30&lt;$R$2,"",C3041/INDEX(Clean_Data!$C$2:$C$4314,MATCH(A3041-30,Clean_Data!$A$2:$A$4314,1))-1)</f>
        <v>0.0178702667675921</v>
      </c>
    </row>
    <row r="3042" customFormat="false" ht="15" hidden="false" customHeight="false" outlineLevel="0" collapsed="false">
      <c r="A3042" s="16" t="n">
        <v>45049</v>
      </c>
      <c r="B3042" s="23" t="n">
        <f aca="false">YEAR(A3042)</f>
        <v>2023</v>
      </c>
      <c r="C3042" s="17" t="n">
        <v>29047.44</v>
      </c>
      <c r="D3042" s="23" t="n">
        <f aca="false">A3042-A3041</f>
        <v>1</v>
      </c>
      <c r="E3042" s="24" t="n">
        <f aca="false">LN(C3042)</f>
        <v>10.2766856344726</v>
      </c>
      <c r="F3042" s="25" t="n">
        <f aca="false">LN(C3042/C3041)</f>
        <v>0.0126334127969675</v>
      </c>
      <c r="G3042" s="25" t="n">
        <f aca="false">IF(AND(D3042=1,A3042&gt;=$R$2),F3042,"")</f>
        <v>0.0126334127969675</v>
      </c>
      <c r="H3042" s="27" t="n">
        <f aca="false">IF(G3042="","",G3042^2)</f>
        <v>0.000159603118898583</v>
      </c>
      <c r="I3042" s="25" t="n">
        <f aca="false">IF(G3042="","",C3042/C3041-1)</f>
        <v>0.0127135514758332</v>
      </c>
      <c r="J3042" s="17" t="n">
        <f aca="false">AVERAGE(C2843:C3042)</f>
        <v>21901.4079</v>
      </c>
      <c r="K3042" s="17" t="n">
        <f aca="false">MAX(K3041,C3042)</f>
        <v>67510.06</v>
      </c>
      <c r="L3042" s="25" t="n">
        <f aca="false">C3042/K3042-1</f>
        <v>-0.56973168147088</v>
      </c>
      <c r="M3042" s="25" t="n">
        <f aca="false">IF(COUNT(G3013:G3042)&lt;20,"",_xlfn.STDEV.S(G3013:G3042)*SQRT($R$3))</f>
        <v>0.431399253639959</v>
      </c>
      <c r="N3042" s="25" t="n">
        <f aca="false">IF(A3042-7&lt;$R$2,"",C3042/INDEX(Clean_Data!$C$2:$C$4314,MATCH(A3042-7,Clean_Data!$A$2:$A$4314,1))-1)</f>
        <v>0.0225797048796663</v>
      </c>
      <c r="O3042" s="25" t="n">
        <f aca="false">IF(A3042-30&lt;$R$2,"",C3042/INDEX(Clean_Data!$C$2:$C$4314,MATCH(A3042-30,Clean_Data!$A$2:$A$4314,1))-1)</f>
        <v>0.0445784835267502</v>
      </c>
    </row>
    <row r="3043" customFormat="false" ht="15" hidden="false" customHeight="false" outlineLevel="0" collapsed="false">
      <c r="A3043" s="16" t="n">
        <v>45050</v>
      </c>
      <c r="B3043" s="23" t="n">
        <f aca="false">YEAR(A3043)</f>
        <v>2023</v>
      </c>
      <c r="C3043" s="17" t="n">
        <v>28861.56</v>
      </c>
      <c r="D3043" s="23" t="n">
        <f aca="false">A3043-A3042</f>
        <v>1</v>
      </c>
      <c r="E3043" s="24" t="n">
        <f aca="false">LN(C3043)</f>
        <v>10.270265884921</v>
      </c>
      <c r="F3043" s="25" t="n">
        <f aca="false">LN(C3043/C3042)</f>
        <v>-0.00641974955159941</v>
      </c>
      <c r="G3043" s="25" t="n">
        <f aca="false">IF(AND(D3043=1,A3043&gt;=$R$2),F3043,"")</f>
        <v>-0.00641974955159941</v>
      </c>
      <c r="H3043" s="27" t="n">
        <f aca="false">IF(G3043="","",G3043^2)</f>
        <v>4.12131843052608E-005</v>
      </c>
      <c r="I3043" s="25" t="n">
        <f aca="false">IF(G3043="","",C3043/C3042-1)</f>
        <v>-0.00639918698515252</v>
      </c>
      <c r="J3043" s="17" t="n">
        <f aca="false">AVERAGE(C2844:C3043)</f>
        <v>21949.36175</v>
      </c>
      <c r="K3043" s="17" t="n">
        <f aca="false">MAX(K3042,C3043)</f>
        <v>67510.06</v>
      </c>
      <c r="L3043" s="25" t="n">
        <f aca="false">C3043/K3043-1</f>
        <v>-0.572485048894935</v>
      </c>
      <c r="M3043" s="25" t="n">
        <f aca="false">IF(COUNT(G3014:G3043)&lt;20,"",_xlfn.STDEV.S(G3014:G3043)*SQRT($R$3))</f>
        <v>0.430169286793018</v>
      </c>
      <c r="N3043" s="25" t="n">
        <f aca="false">IF(A3043-7&lt;$R$2,"",C3043/INDEX(Clean_Data!$C$2:$C$4314,MATCH(A3043-7,Clean_Data!$A$2:$A$4314,1))-1)</f>
        <v>-0.0217348861802947</v>
      </c>
      <c r="O3043" s="25" t="n">
        <f aca="false">IF(A3043-30&lt;$R$2,"",C3043/INDEX(Clean_Data!$C$2:$C$4314,MATCH(A3043-30,Clean_Data!$A$2:$A$4314,1))-1)</f>
        <v>0.0244760581598338</v>
      </c>
    </row>
    <row r="3044" customFormat="false" ht="15" hidden="false" customHeight="false" outlineLevel="0" collapsed="false">
      <c r="A3044" s="16" t="n">
        <v>45051</v>
      </c>
      <c r="B3044" s="23" t="n">
        <f aca="false">YEAR(A3044)</f>
        <v>2023</v>
      </c>
      <c r="C3044" s="17" t="n">
        <v>29514.95</v>
      </c>
      <c r="D3044" s="23" t="n">
        <f aca="false">A3044-A3043</f>
        <v>1</v>
      </c>
      <c r="E3044" s="24" t="n">
        <f aca="false">LN(C3044)</f>
        <v>10.2926521936195</v>
      </c>
      <c r="F3044" s="25" t="n">
        <f aca="false">LN(C3044/C3043)</f>
        <v>0.0223863086984357</v>
      </c>
      <c r="G3044" s="25" t="n">
        <f aca="false">IF(AND(D3044=1,A3044&gt;=$R$2),F3044,"")</f>
        <v>0.0223863086984357</v>
      </c>
      <c r="H3044" s="27" t="n">
        <f aca="false">IF(G3044="","",G3044^2)</f>
        <v>0.000501146817141658</v>
      </c>
      <c r="I3044" s="25" t="n">
        <f aca="false">IF(G3044="","",C3044/C3043-1)</f>
        <v>0.0226387624230984</v>
      </c>
      <c r="J3044" s="17" t="n">
        <f aca="false">AVERAGE(C2845:C3044)</f>
        <v>21999.1067</v>
      </c>
      <c r="K3044" s="17" t="n">
        <f aca="false">MAX(K3043,C3044)</f>
        <v>67510.06</v>
      </c>
      <c r="L3044" s="25" t="n">
        <f aca="false">C3044/K3044-1</f>
        <v>-0.562806639484545</v>
      </c>
      <c r="M3044" s="25" t="n">
        <f aca="false">IF(COUNT(G3015:G3044)&lt;20,"",_xlfn.STDEV.S(G3015:G3044)*SQRT($R$3))</f>
        <v>0.436699415340468</v>
      </c>
      <c r="N3044" s="25" t="n">
        <f aca="false">IF(A3044-7&lt;$R$2,"",C3044/INDEX(Clean_Data!$C$2:$C$4314,MATCH(A3044-7,Clean_Data!$A$2:$A$4314,1))-1)</f>
        <v>0.00581338287834532</v>
      </c>
      <c r="O3044" s="25" t="n">
        <f aca="false">IF(A3044-30&lt;$R$2,"",C3044/INDEX(Clean_Data!$C$2:$C$4314,MATCH(A3044-30,Clean_Data!$A$2:$A$4314,1))-1)</f>
        <v>0.0470868833476186</v>
      </c>
    </row>
    <row r="3045" customFormat="false" ht="15" hidden="false" customHeight="false" outlineLevel="0" collapsed="false">
      <c r="A3045" s="16" t="n">
        <v>45052</v>
      </c>
      <c r="B3045" s="23" t="n">
        <f aca="false">YEAR(A3045)</f>
        <v>2023</v>
      </c>
      <c r="C3045" s="17" t="n">
        <v>28907.66</v>
      </c>
      <c r="D3045" s="23" t="n">
        <f aca="false">A3045-A3044</f>
        <v>1</v>
      </c>
      <c r="E3045" s="24" t="n">
        <f aca="false">LN(C3045)</f>
        <v>10.2718618908836</v>
      </c>
      <c r="F3045" s="25" t="n">
        <f aca="false">LN(C3045/C3044)</f>
        <v>-0.0207903027358963</v>
      </c>
      <c r="G3045" s="25" t="n">
        <f aca="false">IF(AND(D3045=1,A3045&gt;=$R$2),F3045,"")</f>
        <v>-0.0207903027358963</v>
      </c>
      <c r="H3045" s="27" t="n">
        <f aca="false">IF(G3045="","",G3045^2)</f>
        <v>0.000432236687850216</v>
      </c>
      <c r="I3045" s="25" t="n">
        <f aca="false">IF(G3045="","",C3045/C3044-1)</f>
        <v>-0.0205756743616371</v>
      </c>
      <c r="J3045" s="17" t="n">
        <f aca="false">AVERAGE(C2846:C3045)</f>
        <v>22046.97115</v>
      </c>
      <c r="K3045" s="17" t="n">
        <f aca="false">MAX(K3044,C3045)</f>
        <v>67510.06</v>
      </c>
      <c r="L3045" s="25" t="n">
        <f aca="false">C3045/K3045-1</f>
        <v>-0.571802187703581</v>
      </c>
      <c r="M3045" s="25" t="n">
        <f aca="false">IF(COUNT(G3016:G3045)&lt;20,"",_xlfn.STDEV.S(G3016:G3045)*SQRT($R$3))</f>
        <v>0.443137304833648</v>
      </c>
      <c r="N3045" s="25" t="n">
        <f aca="false">IF(A3045-7&lt;$R$2,"",C3045/INDEX(Clean_Data!$C$2:$C$4314,MATCH(A3045-7,Clean_Data!$A$2:$A$4314,1))-1)</f>
        <v>-0.0116924436044726</v>
      </c>
      <c r="O3045" s="25" t="n">
        <f aca="false">IF(A3045-30&lt;$R$2,"",C3045/INDEX(Clean_Data!$C$2:$C$4314,MATCH(A3045-30,Clean_Data!$A$2:$A$4314,1))-1)</f>
        <v>0.0304486396869976</v>
      </c>
    </row>
    <row r="3046" customFormat="false" ht="15" hidden="false" customHeight="false" outlineLevel="0" collapsed="false">
      <c r="A3046" s="16" t="n">
        <v>45053</v>
      </c>
      <c r="B3046" s="23" t="n">
        <f aca="false">YEAR(A3046)</f>
        <v>2023</v>
      </c>
      <c r="C3046" s="17" t="n">
        <v>28425</v>
      </c>
      <c r="D3046" s="23" t="n">
        <f aca="false">A3046-A3045</f>
        <v>1</v>
      </c>
      <c r="E3046" s="24" t="n">
        <f aca="false">LN(C3046)</f>
        <v>10.2550243186187</v>
      </c>
      <c r="F3046" s="25" t="n">
        <f aca="false">LN(C3046/C3045)</f>
        <v>-0.0168375722648509</v>
      </c>
      <c r="G3046" s="25" t="n">
        <f aca="false">IF(AND(D3046=1,A3046&gt;=$R$2),F3046,"")</f>
        <v>-0.0168375722648509</v>
      </c>
      <c r="H3046" s="27" t="n">
        <f aca="false">IF(G3046="","",G3046^2)</f>
        <v>0.000283503839774076</v>
      </c>
      <c r="I3046" s="25" t="n">
        <f aca="false">IF(G3046="","",C3046/C3045-1)</f>
        <v>-0.0166966125933403</v>
      </c>
      <c r="J3046" s="17" t="n">
        <f aca="false">AVERAGE(C2847:C3046)</f>
        <v>22093.4853</v>
      </c>
      <c r="K3046" s="17" t="n">
        <f aca="false">MAX(K3045,C3046)</f>
        <v>67510.06</v>
      </c>
      <c r="L3046" s="25" t="n">
        <f aca="false">C3046/K3046-1</f>
        <v>-0.57895164068881</v>
      </c>
      <c r="M3046" s="25" t="n">
        <f aca="false">IF(COUNT(G3017:G3046)&lt;20,"",_xlfn.STDEV.S(G3017:G3046)*SQRT($R$3))</f>
        <v>0.447134227887636</v>
      </c>
      <c r="N3046" s="25" t="n">
        <f aca="false">IF(A3046-7&lt;$R$2,"",C3046/INDEX(Clean_Data!$C$2:$C$4314,MATCH(A3046-7,Clean_Data!$A$2:$A$4314,1))-1)</f>
        <v>-0.0289076346820556</v>
      </c>
      <c r="O3046" s="25" t="n">
        <f aca="false">IF(A3046-30&lt;$R$2,"",C3046/INDEX(Clean_Data!$C$2:$C$4314,MATCH(A3046-30,Clean_Data!$A$2:$A$4314,1))-1)</f>
        <v>0.0178267384964093</v>
      </c>
    </row>
    <row r="3047" customFormat="false" ht="15" hidden="false" customHeight="false" outlineLevel="0" collapsed="false">
      <c r="A3047" s="16" t="n">
        <v>45054</v>
      </c>
      <c r="B3047" s="23" t="n">
        <f aca="false">YEAR(A3047)</f>
        <v>2023</v>
      </c>
      <c r="C3047" s="17" t="n">
        <v>27682.7</v>
      </c>
      <c r="D3047" s="23" t="n">
        <f aca="false">A3047-A3046</f>
        <v>1</v>
      </c>
      <c r="E3047" s="24" t="n">
        <f aca="false">LN(C3047)</f>
        <v>10.2285629483272</v>
      </c>
      <c r="F3047" s="25" t="n">
        <f aca="false">LN(C3047/C3046)</f>
        <v>-0.0264613702915732</v>
      </c>
      <c r="G3047" s="25" t="n">
        <f aca="false">IF(AND(D3047=1,A3047&gt;=$R$2),F3047,"")</f>
        <v>-0.0264613702915732</v>
      </c>
      <c r="H3047" s="27" t="n">
        <f aca="false">IF(G3047="","",G3047^2)</f>
        <v>0.000700204117707754</v>
      </c>
      <c r="I3047" s="25" t="n">
        <f aca="false">IF(G3047="","",C3047/C3046-1)</f>
        <v>-0.0261143359718558</v>
      </c>
      <c r="J3047" s="17" t="n">
        <f aca="false">AVERAGE(C2848:C3047)</f>
        <v>22136.66495</v>
      </c>
      <c r="K3047" s="17" t="n">
        <f aca="false">MAX(K3046,C3047)</f>
        <v>67510.06</v>
      </c>
      <c r="L3047" s="25" t="n">
        <f aca="false">C3047/K3047-1</f>
        <v>-0.589947039004261</v>
      </c>
      <c r="M3047" s="25" t="n">
        <f aca="false">IF(COUNT(G3018:G3047)&lt;20,"",_xlfn.STDEV.S(G3018:G3047)*SQRT($R$3))</f>
        <v>0.456962274930692</v>
      </c>
      <c r="N3047" s="25" t="n">
        <f aca="false">IF(A3047-7&lt;$R$2,"",C3047/INDEX(Clean_Data!$C$2:$C$4314,MATCH(A3047-7,Clean_Data!$A$2:$A$4314,1))-1)</f>
        <v>-0.0133210058011636</v>
      </c>
      <c r="O3047" s="25" t="n">
        <f aca="false">IF(A3047-30&lt;$R$2,"",C3047/INDEX(Clean_Data!$C$2:$C$4314,MATCH(A3047-30,Clean_Data!$A$2:$A$4314,1))-1)</f>
        <v>-0.00990003397771777</v>
      </c>
    </row>
    <row r="3048" customFormat="false" ht="15" hidden="false" customHeight="false" outlineLevel="0" collapsed="false">
      <c r="A3048" s="16" t="n">
        <v>45055</v>
      </c>
      <c r="B3048" s="23" t="n">
        <f aca="false">YEAR(A3048)</f>
        <v>2023</v>
      </c>
      <c r="C3048" s="17" t="n">
        <v>27647.15</v>
      </c>
      <c r="D3048" s="23" t="n">
        <f aca="false">A3048-A3047</f>
        <v>1</v>
      </c>
      <c r="E3048" s="24" t="n">
        <f aca="false">LN(C3048)</f>
        <v>10.2272779274969</v>
      </c>
      <c r="F3048" s="25" t="n">
        <f aca="false">LN(C3048/C3047)</f>
        <v>-0.00128502083023586</v>
      </c>
      <c r="G3048" s="25" t="n">
        <f aca="false">IF(AND(D3048=1,A3048&gt;=$R$2),F3048,"")</f>
        <v>-0.00128502083023586</v>
      </c>
      <c r="H3048" s="27" t="n">
        <f aca="false">IF(G3048="","",G3048^2)</f>
        <v>1.65127853414006E-006</v>
      </c>
      <c r="I3048" s="25" t="n">
        <f aca="false">IF(G3048="","",C3048/C3047-1)</f>
        <v>-0.00128419554450976</v>
      </c>
      <c r="J3048" s="17" t="n">
        <f aca="false">AVERAGE(C2849:C3048)</f>
        <v>22179.03785</v>
      </c>
      <c r="K3048" s="17" t="n">
        <f aca="false">MAX(K3047,C3048)</f>
        <v>67510.06</v>
      </c>
      <c r="L3048" s="25" t="n">
        <f aca="false">C3048/K3048-1</f>
        <v>-0.590473627189785</v>
      </c>
      <c r="M3048" s="25" t="n">
        <f aca="false">IF(COUNT(G3019:G3048)&lt;20,"",_xlfn.STDEV.S(G3019:G3048)*SQRT($R$3))</f>
        <v>0.454266100406463</v>
      </c>
      <c r="N3048" s="25" t="n">
        <f aca="false">IF(A3048-7&lt;$R$2,"",C3048/INDEX(Clean_Data!$C$2:$C$4314,MATCH(A3048-7,Clean_Data!$A$2:$A$4314,1))-1)</f>
        <v>-0.0361063327892205</v>
      </c>
      <c r="O3048" s="25" t="n">
        <f aca="false">IF(A3048-30&lt;$R$2,"",C3048/INDEX(Clean_Data!$C$2:$C$4314,MATCH(A3048-30,Clean_Data!$A$2:$A$4314,1))-1)</f>
        <v>-0.0243458738103909</v>
      </c>
    </row>
    <row r="3049" customFormat="false" ht="15" hidden="false" customHeight="false" outlineLevel="0" collapsed="false">
      <c r="A3049" s="16" t="n">
        <v>45056</v>
      </c>
      <c r="B3049" s="23" t="n">
        <f aca="false">YEAR(A3049)</f>
        <v>2023</v>
      </c>
      <c r="C3049" s="17" t="n">
        <v>27620.2</v>
      </c>
      <c r="D3049" s="23" t="n">
        <f aca="false">A3049-A3048</f>
        <v>1</v>
      </c>
      <c r="E3049" s="24" t="n">
        <f aca="false">LN(C3049)</f>
        <v>10.2263026680667</v>
      </c>
      <c r="F3049" s="25" t="n">
        <f aca="false">LN(C3049/C3048)</f>
        <v>-0.0009752594302453</v>
      </c>
      <c r="G3049" s="25" t="n">
        <f aca="false">IF(AND(D3049=1,A3049&gt;=$R$2),F3049,"")</f>
        <v>-0.0009752594302453</v>
      </c>
      <c r="H3049" s="27" t="n">
        <f aca="false">IF(G3049="","",G3049^2)</f>
        <v>9.51130956282386E-007</v>
      </c>
      <c r="I3049" s="25" t="n">
        <f aca="false">IF(G3049="","",C3049/C3048-1)</f>
        <v>-0.000974784019329378</v>
      </c>
      <c r="J3049" s="17" t="n">
        <f aca="false">AVERAGE(C2850:C3049)</f>
        <v>22221.08575</v>
      </c>
      <c r="K3049" s="17" t="n">
        <f aca="false">MAX(K3048,C3049)</f>
        <v>67510.06</v>
      </c>
      <c r="L3049" s="25" t="n">
        <f aca="false">C3049/K3049-1</f>
        <v>-0.590872826953494</v>
      </c>
      <c r="M3049" s="25" t="n">
        <f aca="false">IF(COUNT(G3020:G3049)&lt;20,"",_xlfn.STDEV.S(G3020:G3049)*SQRT($R$3))</f>
        <v>0.421335292359624</v>
      </c>
      <c r="N3049" s="25" t="n">
        <f aca="false">IF(A3049-7&lt;$R$2,"",C3049/INDEX(Clean_Data!$C$2:$C$4314,MATCH(A3049-7,Clean_Data!$A$2:$A$4314,1))-1)</f>
        <v>-0.0491347946669311</v>
      </c>
      <c r="O3049" s="25" t="n">
        <f aca="false">IF(A3049-30&lt;$R$2,"",C3049/INDEX(Clean_Data!$C$2:$C$4314,MATCH(A3049-30,Clean_Data!$A$2:$A$4314,1))-1)</f>
        <v>-0.069358879842365</v>
      </c>
    </row>
    <row r="3050" customFormat="false" ht="15" hidden="false" customHeight="false" outlineLevel="0" collapsed="false">
      <c r="A3050" s="16" t="n">
        <v>45057</v>
      </c>
      <c r="B3050" s="23" t="n">
        <f aca="false">YEAR(A3050)</f>
        <v>2023</v>
      </c>
      <c r="C3050" s="17" t="n">
        <v>27007.95</v>
      </c>
      <c r="D3050" s="23" t="n">
        <f aca="false">A3050-A3049</f>
        <v>1</v>
      </c>
      <c r="E3050" s="24" t="n">
        <f aca="false">LN(C3050)</f>
        <v>10.2038865460907</v>
      </c>
      <c r="F3050" s="25" t="n">
        <f aca="false">LN(C3050/C3049)</f>
        <v>-0.02241612197603</v>
      </c>
      <c r="G3050" s="25" t="n">
        <f aca="false">IF(AND(D3050=1,A3050&gt;=$R$2),F3050,"")</f>
        <v>-0.02241612197603</v>
      </c>
      <c r="H3050" s="27" t="n">
        <f aca="false">IF(G3050="","",G3050^2)</f>
        <v>0.000502482524444255</v>
      </c>
      <c r="I3050" s="25" t="n">
        <f aca="false">IF(G3050="","",C3050/C3049-1)</f>
        <v>-0.0221667475253619</v>
      </c>
      <c r="J3050" s="17" t="n">
        <f aca="false">AVERAGE(C2851:C3050)</f>
        <v>22258.308</v>
      </c>
      <c r="K3050" s="17" t="n">
        <f aca="false">MAX(K3049,C3050)</f>
        <v>67510.06</v>
      </c>
      <c r="L3050" s="25" t="n">
        <f aca="false">C3050/K3050-1</f>
        <v>-0.599941845704181</v>
      </c>
      <c r="M3050" s="25" t="n">
        <f aca="false">IF(COUNT(G3021:G3050)&lt;20,"",_xlfn.STDEV.S(G3021:G3050)*SQRT($R$3))</f>
        <v>0.419717533257879</v>
      </c>
      <c r="N3050" s="25" t="n">
        <f aca="false">IF(A3050-7&lt;$R$2,"",C3050/INDEX(Clean_Data!$C$2:$C$4314,MATCH(A3050-7,Clean_Data!$A$2:$A$4314,1))-1)</f>
        <v>-0.0642241791503994</v>
      </c>
      <c r="O3050" s="25" t="n">
        <f aca="false">IF(A3050-30&lt;$R$2,"",C3050/INDEX(Clean_Data!$C$2:$C$4314,MATCH(A3050-30,Clean_Data!$A$2:$A$4314,1))-1)</f>
        <v>-0.106996015398792</v>
      </c>
    </row>
    <row r="3051" customFormat="false" ht="15" hidden="false" customHeight="false" outlineLevel="0" collapsed="false">
      <c r="A3051" s="16" t="n">
        <v>45058</v>
      </c>
      <c r="B3051" s="23" t="n">
        <f aca="false">YEAR(A3051)</f>
        <v>2023</v>
      </c>
      <c r="C3051" s="17" t="n">
        <v>26811.54</v>
      </c>
      <c r="D3051" s="23" t="n">
        <f aca="false">A3051-A3050</f>
        <v>1</v>
      </c>
      <c r="E3051" s="24" t="n">
        <f aca="false">LN(C3051)</f>
        <v>10.1965876708336</v>
      </c>
      <c r="F3051" s="25" t="n">
        <f aca="false">LN(C3051/C3050)</f>
        <v>-0.00729887525706943</v>
      </c>
      <c r="G3051" s="25" t="n">
        <f aca="false">IF(AND(D3051=1,A3051&gt;=$R$2),F3051,"")</f>
        <v>-0.00729887525706943</v>
      </c>
      <c r="H3051" s="27" t="n">
        <f aca="false">IF(G3051="","",G3051^2)</f>
        <v>5.32735800182603E-005</v>
      </c>
      <c r="I3051" s="25" t="n">
        <f aca="false">IF(G3051="","",C3051/C3050-1)</f>
        <v>-0.00727230315518213</v>
      </c>
      <c r="J3051" s="17" t="n">
        <f aca="false">AVERAGE(C2852:C3051)</f>
        <v>22295.70345</v>
      </c>
      <c r="K3051" s="17" t="n">
        <f aca="false">MAX(K3050,C3051)</f>
        <v>67510.06</v>
      </c>
      <c r="L3051" s="25" t="n">
        <f aca="false">C3051/K3051-1</f>
        <v>-0.602851189881923</v>
      </c>
      <c r="M3051" s="25" t="n">
        <f aca="false">IF(COUNT(G3022:G3051)&lt;20,"",_xlfn.STDEV.S(G3022:G3051)*SQRT($R$3))</f>
        <v>0.419113370536104</v>
      </c>
      <c r="N3051" s="25" t="n">
        <f aca="false">IF(A3051-7&lt;$R$2,"",C3051/INDEX(Clean_Data!$C$2:$C$4314,MATCH(A3051-7,Clean_Data!$A$2:$A$4314,1))-1)</f>
        <v>-0.0915945986694878</v>
      </c>
      <c r="O3051" s="25" t="n">
        <f aca="false">IF(A3051-30&lt;$R$2,"",C3051/INDEX(Clean_Data!$C$2:$C$4314,MATCH(A3051-30,Clean_Data!$A$2:$A$4314,1))-1)</f>
        <v>-0.103684477616132</v>
      </c>
    </row>
    <row r="3052" customFormat="false" ht="15" hidden="false" customHeight="false" outlineLevel="0" collapsed="false">
      <c r="A3052" s="16" t="n">
        <v>45059</v>
      </c>
      <c r="B3052" s="23" t="n">
        <f aca="false">YEAR(A3052)</f>
        <v>2023</v>
      </c>
      <c r="C3052" s="17" t="n">
        <v>26790.49</v>
      </c>
      <c r="D3052" s="23" t="n">
        <f aca="false">A3052-A3051</f>
        <v>1</v>
      </c>
      <c r="E3052" s="24" t="n">
        <f aca="false">LN(C3052)</f>
        <v>10.1958022527783</v>
      </c>
      <c r="F3052" s="25" t="n">
        <f aca="false">LN(C3052/C3051)</f>
        <v>-0.000785418055327789</v>
      </c>
      <c r="G3052" s="25" t="n">
        <f aca="false">IF(AND(D3052=1,A3052&gt;=$R$2),F3052,"")</f>
        <v>-0.000785418055327789</v>
      </c>
      <c r="H3052" s="27" t="n">
        <f aca="false">IF(G3052="","",G3052^2)</f>
        <v>6.16881521634886E-007</v>
      </c>
      <c r="I3052" s="25" t="n">
        <f aca="false">IF(G3052="","",C3052/C3051-1)</f>
        <v>-0.000785109695302766</v>
      </c>
      <c r="J3052" s="17" t="n">
        <f aca="false">AVERAGE(C2853:C3052)</f>
        <v>22329.0872</v>
      </c>
      <c r="K3052" s="17" t="n">
        <f aca="false">MAX(K3051,C3052)</f>
        <v>67510.06</v>
      </c>
      <c r="L3052" s="25" t="n">
        <f aca="false">C3052/K3052-1</f>
        <v>-0.603162995263225</v>
      </c>
      <c r="M3052" s="25" t="n">
        <f aca="false">IF(COUNT(G3023:G3052)&lt;20,"",_xlfn.STDEV.S(G3023:G3052)*SQRT($R$3))</f>
        <v>0.412903938605307</v>
      </c>
      <c r="N3052" s="25" t="n">
        <f aca="false">IF(A3052-7&lt;$R$2,"",C3052/INDEX(Clean_Data!$C$2:$C$4314,MATCH(A3052-7,Clean_Data!$A$2:$A$4314,1))-1)</f>
        <v>-0.0732390653549958</v>
      </c>
      <c r="O3052" s="25" t="n">
        <f aca="false">IF(A3052-30&lt;$R$2,"",C3052/INDEX(Clean_Data!$C$2:$C$4314,MATCH(A3052-30,Clean_Data!$A$2:$A$4314,1))-1)</f>
        <v>-0.119102757299328</v>
      </c>
    </row>
    <row r="3053" customFormat="false" ht="15" hidden="false" customHeight="false" outlineLevel="0" collapsed="false">
      <c r="A3053" s="16" t="n">
        <v>45060</v>
      </c>
      <c r="B3053" s="23" t="n">
        <f aca="false">YEAR(A3053)</f>
        <v>2023</v>
      </c>
      <c r="C3053" s="17" t="n">
        <v>26931.38</v>
      </c>
      <c r="D3053" s="23" t="n">
        <f aca="false">A3053-A3052</f>
        <v>1</v>
      </c>
      <c r="E3053" s="24" t="n">
        <f aca="false">LN(C3053)</f>
        <v>10.2010474284586</v>
      </c>
      <c r="F3053" s="25" t="n">
        <f aca="false">LN(C3053/C3052)</f>
        <v>0.00524517568029954</v>
      </c>
      <c r="G3053" s="25" t="n">
        <f aca="false">IF(AND(D3053=1,A3053&gt;=$R$2),F3053,"")</f>
        <v>0.00524517568029954</v>
      </c>
      <c r="H3053" s="27" t="n">
        <f aca="false">IF(G3053="","",G3053^2)</f>
        <v>2.75118679172057E-005</v>
      </c>
      <c r="I3053" s="25" t="n">
        <f aca="false">IF(G3053="","",C3053/C3052-1)</f>
        <v>0.00525895569659229</v>
      </c>
      <c r="J3053" s="17" t="n">
        <f aca="false">AVERAGE(C2854:C3053)</f>
        <v>22359.9413</v>
      </c>
      <c r="K3053" s="17" t="n">
        <f aca="false">MAX(K3052,C3053)</f>
        <v>67510.06</v>
      </c>
      <c r="L3053" s="25" t="n">
        <f aca="false">C3053/K3053-1</f>
        <v>-0.601076047036545</v>
      </c>
      <c r="M3053" s="25" t="n">
        <f aca="false">IF(COUNT(G3024:G3053)&lt;20,"",_xlfn.STDEV.S(G3024:G3053)*SQRT($R$3))</f>
        <v>0.413544729010823</v>
      </c>
      <c r="N3053" s="25" t="n">
        <f aca="false">IF(A3053-7&lt;$R$2,"",C3053/INDEX(Clean_Data!$C$2:$C$4314,MATCH(A3053-7,Clean_Data!$A$2:$A$4314,1))-1)</f>
        <v>-0.0525459982409851</v>
      </c>
      <c r="O3053" s="25" t="n">
        <f aca="false">IF(A3053-30&lt;$R$2,"",C3053/INDEX(Clean_Data!$C$2:$C$4314,MATCH(A3053-30,Clean_Data!$A$2:$A$4314,1))-1)</f>
        <v>-0.116822086646037</v>
      </c>
    </row>
    <row r="3054" customFormat="false" ht="15" hidden="false" customHeight="false" outlineLevel="0" collapsed="false">
      <c r="A3054" s="16" t="n">
        <v>45061</v>
      </c>
      <c r="B3054" s="23" t="n">
        <f aca="false">YEAR(A3054)</f>
        <v>2023</v>
      </c>
      <c r="C3054" s="17" t="n">
        <v>27178.3</v>
      </c>
      <c r="D3054" s="23" t="n">
        <f aca="false">A3054-A3053</f>
        <v>1</v>
      </c>
      <c r="E3054" s="24" t="n">
        <f aca="false">LN(C3054)</f>
        <v>10.2101741397594</v>
      </c>
      <c r="F3054" s="25" t="n">
        <f aca="false">LN(C3054/C3053)</f>
        <v>0.00912671130079956</v>
      </c>
      <c r="G3054" s="25" t="n">
        <f aca="false">IF(AND(D3054=1,A3054&gt;=$R$2),F3054,"")</f>
        <v>0.00912671130079956</v>
      </c>
      <c r="H3054" s="27" t="n">
        <f aca="false">IF(G3054="","",G3054^2)</f>
        <v>8.32968591681423E-005</v>
      </c>
      <c r="I3054" s="25" t="n">
        <f aca="false">IF(G3054="","",C3054/C3053-1)</f>
        <v>0.0091684867244084</v>
      </c>
      <c r="J3054" s="17" t="n">
        <f aca="false">AVERAGE(C2855:C3054)</f>
        <v>22394.39695</v>
      </c>
      <c r="K3054" s="17" t="n">
        <f aca="false">MAX(K3053,C3054)</f>
        <v>67510.06</v>
      </c>
      <c r="L3054" s="25" t="n">
        <f aca="false">C3054/K3054-1</f>
        <v>-0.597418518069751</v>
      </c>
      <c r="M3054" s="25" t="n">
        <f aca="false">IF(COUNT(G3025:G3054)&lt;20,"",_xlfn.STDEV.S(G3025:G3054)*SQRT($R$3))</f>
        <v>0.416065881914383</v>
      </c>
      <c r="N3054" s="25" t="n">
        <f aca="false">IF(A3054-7&lt;$R$2,"",C3054/INDEX(Clean_Data!$C$2:$C$4314,MATCH(A3054-7,Clean_Data!$A$2:$A$4314,1))-1)</f>
        <v>-0.0182207660379949</v>
      </c>
      <c r="O3054" s="25" t="n">
        <f aca="false">IF(A3054-30&lt;$R$2,"",C3054/INDEX(Clean_Data!$C$2:$C$4314,MATCH(A3054-30,Clean_Data!$A$2:$A$4314,1))-1)</f>
        <v>-0.103609795868827</v>
      </c>
    </row>
    <row r="3055" customFormat="false" ht="15" hidden="false" customHeight="false" outlineLevel="0" collapsed="false">
      <c r="A3055" s="16" t="n">
        <v>45062</v>
      </c>
      <c r="B3055" s="23" t="n">
        <f aca="false">YEAR(A3055)</f>
        <v>2023</v>
      </c>
      <c r="C3055" s="17" t="n">
        <v>27041.08</v>
      </c>
      <c r="D3055" s="23" t="n">
        <f aca="false">A3055-A3054</f>
        <v>1</v>
      </c>
      <c r="E3055" s="24" t="n">
        <f aca="false">LN(C3055)</f>
        <v>10.2051124701877</v>
      </c>
      <c r="F3055" s="25" t="n">
        <f aca="false">LN(C3055/C3054)</f>
        <v>-0.00506166957166527</v>
      </c>
      <c r="G3055" s="25" t="n">
        <f aca="false">IF(AND(D3055=1,A3055&gt;=$R$2),F3055,"")</f>
        <v>-0.00506166957166527</v>
      </c>
      <c r="H3055" s="27" t="n">
        <f aca="false">IF(G3055="","",G3055^2)</f>
        <v>2.56204988527221E-005</v>
      </c>
      <c r="I3055" s="25" t="n">
        <f aca="false">IF(G3055="","",C3055/C3054-1)</f>
        <v>-0.00504888090866607</v>
      </c>
      <c r="J3055" s="17" t="n">
        <f aca="false">AVERAGE(C2856:C3055)</f>
        <v>22426.6323</v>
      </c>
      <c r="K3055" s="17" t="n">
        <f aca="false">MAX(K3054,C3055)</f>
        <v>67510.06</v>
      </c>
      <c r="L3055" s="25" t="n">
        <f aca="false">C3055/K3055-1</f>
        <v>-0.599451104028052</v>
      </c>
      <c r="M3055" s="25" t="n">
        <f aca="false">IF(COUNT(G3026:G3055)&lt;20,"",_xlfn.STDEV.S(G3026:G3055)*SQRT($R$3))</f>
        <v>0.415849402736471</v>
      </c>
      <c r="N3055" s="25" t="n">
        <f aca="false">IF(A3055-7&lt;$R$2,"",C3055/INDEX(Clean_Data!$C$2:$C$4314,MATCH(A3055-7,Clean_Data!$A$2:$A$4314,1))-1)</f>
        <v>-0.0219216085563974</v>
      </c>
      <c r="O3055" s="25" t="n">
        <f aca="false">IF(A3055-30&lt;$R$2,"",C3055/INDEX(Clean_Data!$C$2:$C$4314,MATCH(A3055-30,Clean_Data!$A$2:$A$4314,1))-1)</f>
        <v>-0.108379643643073</v>
      </c>
    </row>
    <row r="3056" customFormat="false" ht="15" hidden="false" customHeight="false" outlineLevel="0" collapsed="false">
      <c r="A3056" s="16" t="n">
        <v>45063</v>
      </c>
      <c r="B3056" s="23" t="n">
        <f aca="false">YEAR(A3056)</f>
        <v>2023</v>
      </c>
      <c r="C3056" s="17" t="n">
        <v>27417.13</v>
      </c>
      <c r="D3056" s="23" t="n">
        <f aca="false">A3056-A3055</f>
        <v>1</v>
      </c>
      <c r="E3056" s="24" t="n">
        <f aca="false">LN(C3056)</f>
        <v>10.2189232795128</v>
      </c>
      <c r="F3056" s="25" t="n">
        <f aca="false">LN(C3056/C3055)</f>
        <v>0.0138108093250699</v>
      </c>
      <c r="G3056" s="25" t="n">
        <f aca="false">IF(AND(D3056=1,A3056&gt;=$R$2),F3056,"")</f>
        <v>0.0138108093250699</v>
      </c>
      <c r="H3056" s="27" t="n">
        <f aca="false">IF(G3056="","",G3056^2)</f>
        <v>0.000190738454213438</v>
      </c>
      <c r="I3056" s="25" t="n">
        <f aca="false">IF(G3056="","",C3056/C3055-1)</f>
        <v>0.0139066191143253</v>
      </c>
      <c r="J3056" s="17" t="n">
        <f aca="false">AVERAGE(C2857:C3056)</f>
        <v>22459.562</v>
      </c>
      <c r="K3056" s="17" t="n">
        <f aca="false">MAX(K3055,C3056)</f>
        <v>67510.06</v>
      </c>
      <c r="L3056" s="25" t="n">
        <f aca="false">C3056/K3056-1</f>
        <v>-0.593880823095106</v>
      </c>
      <c r="M3056" s="25" t="n">
        <f aca="false">IF(COUNT(G3027:G3056)&lt;20,"",_xlfn.STDEV.S(G3027:G3056)*SQRT($R$3))</f>
        <v>0.409686091973143</v>
      </c>
      <c r="N3056" s="25" t="n">
        <f aca="false">IF(A3056-7&lt;$R$2,"",C3056/INDEX(Clean_Data!$C$2:$C$4314,MATCH(A3056-7,Clean_Data!$A$2:$A$4314,1))-1)</f>
        <v>-0.00735222771739519</v>
      </c>
      <c r="O3056" s="25" t="n">
        <f aca="false">IF(A3056-30&lt;$R$2,"",C3056/INDEX(Clean_Data!$C$2:$C$4314,MATCH(A3056-30,Clean_Data!$A$2:$A$4314,1))-1)</f>
        <v>-0.0690272115634713</v>
      </c>
    </row>
    <row r="3057" customFormat="false" ht="15" hidden="false" customHeight="false" outlineLevel="0" collapsed="false">
      <c r="A3057" s="16" t="n">
        <v>45064</v>
      </c>
      <c r="B3057" s="23" t="n">
        <f aca="false">YEAR(A3057)</f>
        <v>2023</v>
      </c>
      <c r="C3057" s="17" t="n">
        <v>26829.49</v>
      </c>
      <c r="D3057" s="23" t="n">
        <f aca="false">A3057-A3056</f>
        <v>1</v>
      </c>
      <c r="E3057" s="24" t="n">
        <f aca="false">LN(C3057)</f>
        <v>10.1972569346665</v>
      </c>
      <c r="F3057" s="25" t="n">
        <f aca="false">LN(C3057/C3056)</f>
        <v>-0.0216663448462478</v>
      </c>
      <c r="G3057" s="25" t="n">
        <f aca="false">IF(AND(D3057=1,A3057&gt;=$R$2),F3057,"")</f>
        <v>-0.0216663448462478</v>
      </c>
      <c r="H3057" s="27" t="n">
        <f aca="false">IF(G3057="","",G3057^2)</f>
        <v>0.00046943049899653</v>
      </c>
      <c r="I3057" s="25" t="n">
        <f aca="false">IF(G3057="","",C3057/C3056-1)</f>
        <v>-0.0214333155950313</v>
      </c>
      <c r="J3057" s="17" t="n">
        <f aca="false">AVERAGE(C2858:C3057)</f>
        <v>22490.5347</v>
      </c>
      <c r="K3057" s="17" t="n">
        <f aca="false">MAX(K3056,C3057)</f>
        <v>67510.06</v>
      </c>
      <c r="L3057" s="25" t="n">
        <f aca="false">C3057/K3057-1</f>
        <v>-0.602585303582903</v>
      </c>
      <c r="M3057" s="25" t="n">
        <f aca="false">IF(COUNT(G3028:G3057)&lt;20,"",_xlfn.STDEV.S(G3028:G3057)*SQRT($R$3))</f>
        <v>0.396460720960647</v>
      </c>
      <c r="N3057" s="25" t="n">
        <f aca="false">IF(A3057-7&lt;$R$2,"",C3057/INDEX(Clean_Data!$C$2:$C$4314,MATCH(A3057-7,Clean_Data!$A$2:$A$4314,1))-1)</f>
        <v>-0.00660768403377521</v>
      </c>
      <c r="O3057" s="25" t="n">
        <f aca="false">IF(A3057-30&lt;$R$2,"",C3057/INDEX(Clean_Data!$C$2:$C$4314,MATCH(A3057-30,Clean_Data!$A$2:$A$4314,1))-1)</f>
        <v>-0.116938869482532</v>
      </c>
    </row>
    <row r="3058" customFormat="false" ht="15" hidden="false" customHeight="false" outlineLevel="0" collapsed="false">
      <c r="A3058" s="16" t="n">
        <v>45065</v>
      </c>
      <c r="B3058" s="23" t="n">
        <f aca="false">YEAR(A3058)</f>
        <v>2023</v>
      </c>
      <c r="C3058" s="17" t="n">
        <v>26877.99</v>
      </c>
      <c r="D3058" s="23" t="n">
        <f aca="false">A3058-A3057</f>
        <v>1</v>
      </c>
      <c r="E3058" s="24" t="n">
        <f aca="false">LN(C3058)</f>
        <v>10.1990630150554</v>
      </c>
      <c r="F3058" s="25" t="n">
        <f aca="false">LN(C3058/C3057)</f>
        <v>0.00180608038893729</v>
      </c>
      <c r="G3058" s="25" t="n">
        <f aca="false">IF(AND(D3058=1,A3058&gt;=$R$2),F3058,"")</f>
        <v>0.00180608038893729</v>
      </c>
      <c r="H3058" s="27" t="n">
        <f aca="false">IF(G3058="","",G3058^2)</f>
        <v>3.26192637130388E-006</v>
      </c>
      <c r="I3058" s="25" t="n">
        <f aca="false">IF(G3058="","",C3058/C3057-1)</f>
        <v>0.00180771233444998</v>
      </c>
      <c r="J3058" s="17" t="n">
        <f aca="false">AVERAGE(C2859:C3058)</f>
        <v>22522.5607</v>
      </c>
      <c r="K3058" s="17" t="n">
        <f aca="false">MAX(K3057,C3058)</f>
        <v>67510.06</v>
      </c>
      <c r="L3058" s="25" t="n">
        <f aca="false">C3058/K3058-1</f>
        <v>-0.601866892134298</v>
      </c>
      <c r="M3058" s="25" t="n">
        <f aca="false">IF(COUNT(G3029:G3058)&lt;20,"",_xlfn.STDEV.S(G3029:G3058)*SQRT($R$3))</f>
        <v>0.355453815535619</v>
      </c>
      <c r="N3058" s="25" t="n">
        <f aca="false">IF(A3058-7&lt;$R$2,"",C3058/INDEX(Clean_Data!$C$2:$C$4314,MATCH(A3058-7,Clean_Data!$A$2:$A$4314,1))-1)</f>
        <v>0.00247841041581354</v>
      </c>
      <c r="O3058" s="25" t="n">
        <f aca="false">IF(A3058-30&lt;$R$2,"",C3058/INDEX(Clean_Data!$C$2:$C$4314,MATCH(A3058-30,Clean_Data!$A$2:$A$4314,1))-1)</f>
        <v>-0.0672064178776595</v>
      </c>
    </row>
    <row r="3059" customFormat="false" ht="15" hidden="false" customHeight="false" outlineLevel="0" collapsed="false">
      <c r="A3059" s="16" t="n">
        <v>45066</v>
      </c>
      <c r="B3059" s="23" t="n">
        <f aca="false">YEAR(A3059)</f>
        <v>2023</v>
      </c>
      <c r="C3059" s="17" t="n">
        <v>27116.58</v>
      </c>
      <c r="D3059" s="23" t="n">
        <f aca="false">A3059-A3058</f>
        <v>1</v>
      </c>
      <c r="E3059" s="24" t="n">
        <f aca="false">LN(C3059)</f>
        <v>10.2079006279076</v>
      </c>
      <c r="F3059" s="25" t="n">
        <f aca="false">LN(C3059/C3058)</f>
        <v>0.00883761285213864</v>
      </c>
      <c r="G3059" s="25" t="n">
        <f aca="false">IF(AND(D3059=1,A3059&gt;=$R$2),F3059,"")</f>
        <v>0.00883761285213864</v>
      </c>
      <c r="H3059" s="27" t="n">
        <f aca="false">IF(G3059="","",G3059^2)</f>
        <v>7.81034009242861E-005</v>
      </c>
      <c r="I3059" s="25" t="n">
        <f aca="false">IF(G3059="","",C3059/C3058-1)</f>
        <v>0.00887677984849322</v>
      </c>
      <c r="J3059" s="17" t="n">
        <f aca="false">AVERAGE(C2860:C3059)</f>
        <v>22555.74615</v>
      </c>
      <c r="K3059" s="17" t="n">
        <f aca="false">MAX(K3058,C3059)</f>
        <v>67510.06</v>
      </c>
      <c r="L3059" s="25" t="n">
        <f aca="false">C3059/K3059-1</f>
        <v>-0.598332752185378</v>
      </c>
      <c r="M3059" s="25" t="n">
        <f aca="false">IF(COUNT(G3030:G3059)&lt;20,"",_xlfn.STDEV.S(G3030:G3059)*SQRT($R$3))</f>
        <v>0.351403765420894</v>
      </c>
      <c r="N3059" s="25" t="n">
        <f aca="false">IF(A3059-7&lt;$R$2,"",C3059/INDEX(Clean_Data!$C$2:$C$4314,MATCH(A3059-7,Clean_Data!$A$2:$A$4314,1))-1)</f>
        <v>0.0121718565057973</v>
      </c>
      <c r="O3059" s="25" t="n">
        <f aca="false">IF(A3059-30&lt;$R$2,"",C3059/INDEX(Clean_Data!$C$2:$C$4314,MATCH(A3059-30,Clean_Data!$A$2:$A$4314,1))-1)</f>
        <v>-0.0396192842702948</v>
      </c>
    </row>
    <row r="3060" customFormat="false" ht="15" hidden="false" customHeight="false" outlineLevel="0" collapsed="false">
      <c r="A3060" s="16" t="n">
        <v>45067</v>
      </c>
      <c r="B3060" s="23" t="n">
        <f aca="false">YEAR(A3060)</f>
        <v>2023</v>
      </c>
      <c r="C3060" s="17" t="n">
        <v>26749.85</v>
      </c>
      <c r="D3060" s="23" t="n">
        <f aca="false">A3060-A3059</f>
        <v>1</v>
      </c>
      <c r="E3060" s="24" t="n">
        <f aca="false">LN(C3060)</f>
        <v>10.1942841448318</v>
      </c>
      <c r="F3060" s="25" t="n">
        <f aca="false">LN(C3060/C3059)</f>
        <v>-0.0136164830757919</v>
      </c>
      <c r="G3060" s="25" t="n">
        <f aca="false">IF(AND(D3060=1,A3060&gt;=$R$2),F3060,"")</f>
        <v>-0.0136164830757919</v>
      </c>
      <c r="H3060" s="27" t="n">
        <f aca="false">IF(G3060="","",G3060^2)</f>
        <v>0.000185408611353328</v>
      </c>
      <c r="I3060" s="25" t="n">
        <f aca="false">IF(G3060="","",C3060/C3059-1)</f>
        <v>-0.0135241981105289</v>
      </c>
      <c r="J3060" s="17" t="n">
        <f aca="false">AVERAGE(C2861:C3060)</f>
        <v>22588.7526</v>
      </c>
      <c r="K3060" s="17" t="n">
        <f aca="false">MAX(K3059,C3060)</f>
        <v>67510.06</v>
      </c>
      <c r="L3060" s="25" t="n">
        <f aca="false">C3060/K3060-1</f>
        <v>-0.603764979619334</v>
      </c>
      <c r="M3060" s="25" t="n">
        <f aca="false">IF(COUNT(G3031:G3060)&lt;20,"",_xlfn.STDEV.S(G3031:G3060)*SQRT($R$3))</f>
        <v>0.332823200439987</v>
      </c>
      <c r="N3060" s="25" t="n">
        <f aca="false">IF(A3060-7&lt;$R$2,"",C3060/INDEX(Clean_Data!$C$2:$C$4314,MATCH(A3060-7,Clean_Data!$A$2:$A$4314,1))-1)</f>
        <v>-0.0067404640980151</v>
      </c>
      <c r="O3060" s="25" t="n">
        <f aca="false">IF(A3060-30&lt;$R$2,"",C3060/INDEX(Clean_Data!$C$2:$C$4314,MATCH(A3060-30,Clean_Data!$A$2:$A$4314,1))-1)</f>
        <v>-0.0186782347114715</v>
      </c>
    </row>
    <row r="3061" customFormat="false" ht="15" hidden="false" customHeight="false" outlineLevel="0" collapsed="false">
      <c r="A3061" s="16" t="n">
        <v>45068</v>
      </c>
      <c r="B3061" s="23" t="n">
        <f aca="false">YEAR(A3061)</f>
        <v>2023</v>
      </c>
      <c r="C3061" s="17" t="n">
        <v>26854.54</v>
      </c>
      <c r="D3061" s="23" t="n">
        <f aca="false">A3061-A3060</f>
        <v>1</v>
      </c>
      <c r="E3061" s="24" t="n">
        <f aca="false">LN(C3061)</f>
        <v>10.1981901731666</v>
      </c>
      <c r="F3061" s="25" t="n">
        <f aca="false">LN(C3061/C3060)</f>
        <v>0.00390602833480913</v>
      </c>
      <c r="G3061" s="25" t="n">
        <f aca="false">IF(AND(D3061=1,A3061&gt;=$R$2),F3061,"")</f>
        <v>0.00390602833480913</v>
      </c>
      <c r="H3061" s="27" t="n">
        <f aca="false">IF(G3061="","",G3061^2)</f>
        <v>1.52570573523318E-005</v>
      </c>
      <c r="I3061" s="25" t="n">
        <f aca="false">IF(G3061="","",C3061/C3060-1)</f>
        <v>0.00391366680560834</v>
      </c>
      <c r="J3061" s="17" t="n">
        <f aca="false">AVERAGE(C2862:C3061)</f>
        <v>22621.9987</v>
      </c>
      <c r="K3061" s="17" t="n">
        <f aca="false">MAX(K3060,C3061)</f>
        <v>67510.06</v>
      </c>
      <c r="L3061" s="25" t="n">
        <f aca="false">C3061/K3061-1</f>
        <v>-0.602214247772851</v>
      </c>
      <c r="M3061" s="25" t="n">
        <f aca="false">IF(COUNT(G3032:G3061)&lt;20,"",_xlfn.STDEV.S(G3032:G3061)*SQRT($R$3))</f>
        <v>0.32483399993563</v>
      </c>
      <c r="N3061" s="25" t="n">
        <f aca="false">IF(A3061-7&lt;$R$2,"",C3061/INDEX(Clean_Data!$C$2:$C$4314,MATCH(A3061-7,Clean_Data!$A$2:$A$4314,1))-1)</f>
        <v>-0.0119124448549026</v>
      </c>
      <c r="O3061" s="25" t="n">
        <f aca="false">IF(A3061-30&lt;$R$2,"",C3061/INDEX(Clean_Data!$C$2:$C$4314,MATCH(A3061-30,Clean_Data!$A$2:$A$4314,1))-1)</f>
        <v>-0.0344327433402403</v>
      </c>
    </row>
    <row r="3062" customFormat="false" ht="15" hidden="false" customHeight="false" outlineLevel="0" collapsed="false">
      <c r="A3062" s="16" t="n">
        <v>45069</v>
      </c>
      <c r="B3062" s="23" t="n">
        <f aca="false">YEAR(A3062)</f>
        <v>2023</v>
      </c>
      <c r="C3062" s="17" t="n">
        <v>27223.75</v>
      </c>
      <c r="D3062" s="23" t="n">
        <f aca="false">A3062-A3061</f>
        <v>1</v>
      </c>
      <c r="E3062" s="24" t="n">
        <f aca="false">LN(C3062)</f>
        <v>10.2118450330648</v>
      </c>
      <c r="F3062" s="25" t="n">
        <f aca="false">LN(C3062/C3061)</f>
        <v>0.0136548598982142</v>
      </c>
      <c r="G3062" s="25" t="n">
        <f aca="false">IF(AND(D3062=1,A3062&gt;=$R$2),F3062,"")</f>
        <v>0.0136548598982142</v>
      </c>
      <c r="H3062" s="27" t="n">
        <f aca="false">IF(G3062="","",G3062^2)</f>
        <v>0.000186455198839859</v>
      </c>
      <c r="I3062" s="25" t="n">
        <f aca="false">IF(G3062="","",C3062/C3061-1)</f>
        <v>0.0137485132867663</v>
      </c>
      <c r="J3062" s="17" t="n">
        <f aca="false">AVERAGE(C2863:C3062)</f>
        <v>22652.32765</v>
      </c>
      <c r="K3062" s="17" t="n">
        <f aca="false">MAX(K3061,C3062)</f>
        <v>67510.06</v>
      </c>
      <c r="L3062" s="25" t="n">
        <f aca="false">C3062/K3062-1</f>
        <v>-0.596745285073069</v>
      </c>
      <c r="M3062" s="25" t="n">
        <f aca="false">IF(COUNT(G3033:G3062)&lt;20,"",_xlfn.STDEV.S(G3033:G3062)*SQRT($R$3))</f>
        <v>0.327780625635448</v>
      </c>
      <c r="N3062" s="25" t="n">
        <f aca="false">IF(A3062-7&lt;$R$2,"",C3062/INDEX(Clean_Data!$C$2:$C$4314,MATCH(A3062-7,Clean_Data!$A$2:$A$4314,1))-1)</f>
        <v>0.00675527752589766</v>
      </c>
      <c r="O3062" s="25" t="n">
        <f aca="false">IF(A3062-30&lt;$R$2,"",C3062/INDEX(Clean_Data!$C$2:$C$4314,MATCH(A3062-30,Clean_Data!$A$2:$A$4314,1))-1)</f>
        <v>-0.0129996363611316</v>
      </c>
    </row>
    <row r="3063" customFormat="false" ht="15" hidden="false" customHeight="false" outlineLevel="0" collapsed="false">
      <c r="A3063" s="16" t="n">
        <v>45070</v>
      </c>
      <c r="B3063" s="23" t="n">
        <f aca="false">YEAR(A3063)</f>
        <v>2023</v>
      </c>
      <c r="C3063" s="17" t="n">
        <v>26321.63</v>
      </c>
      <c r="D3063" s="23" t="n">
        <f aca="false">A3063-A3062</f>
        <v>1</v>
      </c>
      <c r="E3063" s="24" t="n">
        <f aca="false">LN(C3063)</f>
        <v>10.1781463136129</v>
      </c>
      <c r="F3063" s="25" t="n">
        <f aca="false">LN(C3063/C3062)</f>
        <v>-0.0336987194519685</v>
      </c>
      <c r="G3063" s="25" t="n">
        <f aca="false">IF(AND(D3063=1,A3063&gt;=$R$2),F3063,"")</f>
        <v>-0.0336987194519685</v>
      </c>
      <c r="H3063" s="27" t="n">
        <f aca="false">IF(G3063="","",G3063^2)</f>
        <v>0.00113560369270248</v>
      </c>
      <c r="I3063" s="25" t="n">
        <f aca="false">IF(G3063="","",C3063/C3062-1)</f>
        <v>-0.0331372422976262</v>
      </c>
      <c r="J3063" s="17" t="n">
        <f aca="false">AVERAGE(C2864:C3063)</f>
        <v>22677.4122</v>
      </c>
      <c r="K3063" s="17" t="n">
        <f aca="false">MAX(K3062,C3063)</f>
        <v>67510.06</v>
      </c>
      <c r="L3063" s="25" t="n">
        <f aca="false">C3063/K3063-1</f>
        <v>-0.610108034269263</v>
      </c>
      <c r="M3063" s="25" t="n">
        <f aca="false">IF(COUNT(G3034:G3063)&lt;20,"",_xlfn.STDEV.S(G3034:G3063)*SQRT($R$3))</f>
        <v>0.347718347989404</v>
      </c>
      <c r="N3063" s="25" t="n">
        <f aca="false">IF(A3063-7&lt;$R$2,"",C3063/INDEX(Clean_Data!$C$2:$C$4314,MATCH(A3063-7,Clean_Data!$A$2:$A$4314,1))-1)</f>
        <v>-0.0399567715512164</v>
      </c>
      <c r="O3063" s="25" t="n">
        <f aca="false">IF(A3063-30&lt;$R$2,"",C3063/INDEX(Clean_Data!$C$2:$C$4314,MATCH(A3063-30,Clean_Data!$A$2:$A$4314,1))-1)</f>
        <v>-0.043504061403818</v>
      </c>
    </row>
    <row r="3064" customFormat="false" ht="15" hidden="false" customHeight="false" outlineLevel="0" collapsed="false">
      <c r="A3064" s="16" t="n">
        <v>45071</v>
      </c>
      <c r="B3064" s="23" t="n">
        <f aca="false">YEAR(A3064)</f>
        <v>2023</v>
      </c>
      <c r="C3064" s="17" t="n">
        <v>26488.5</v>
      </c>
      <c r="D3064" s="23" t="n">
        <f aca="false">A3064-A3063</f>
        <v>1</v>
      </c>
      <c r="E3064" s="24" t="n">
        <f aca="false">LN(C3064)</f>
        <v>10.1844659555213</v>
      </c>
      <c r="F3064" s="25" t="n">
        <f aca="false">LN(C3064/C3063)</f>
        <v>0.00631964190843873</v>
      </c>
      <c r="G3064" s="25" t="n">
        <f aca="false">IF(AND(D3064=1,A3064&gt;=$R$2),F3064,"")</f>
        <v>0.00631964190843873</v>
      </c>
      <c r="H3064" s="27" t="n">
        <f aca="false">IF(G3064="","",G3064^2)</f>
        <v>3.99378738508952E-005</v>
      </c>
      <c r="I3064" s="25" t="n">
        <f aca="false">IF(G3064="","",C3064/C3063-1)</f>
        <v>0.00633965297741823</v>
      </c>
      <c r="J3064" s="17" t="n">
        <f aca="false">AVERAGE(C2865:C3064)</f>
        <v>22705.293</v>
      </c>
      <c r="K3064" s="17" t="n">
        <f aca="false">MAX(K3063,C3064)</f>
        <v>67510.06</v>
      </c>
      <c r="L3064" s="25" t="n">
        <f aca="false">C3064/K3064-1</f>
        <v>-0.607636254507847</v>
      </c>
      <c r="M3064" s="25" t="n">
        <f aca="false">IF(COUNT(G3035:G3064)&lt;20,"",_xlfn.STDEV.S(G3035:G3064)*SQRT($R$3))</f>
        <v>0.331595124306995</v>
      </c>
      <c r="N3064" s="25" t="n">
        <f aca="false">IF(A3064-7&lt;$R$2,"",C3064/INDEX(Clean_Data!$C$2:$C$4314,MATCH(A3064-7,Clean_Data!$A$2:$A$4314,1))-1)</f>
        <v>-0.0127095222458571</v>
      </c>
      <c r="O3064" s="25" t="n">
        <f aca="false">IF(A3064-30&lt;$R$2,"",C3064/INDEX(Clean_Data!$C$2:$C$4314,MATCH(A3064-30,Clean_Data!$A$2:$A$4314,1))-1)</f>
        <v>-0.0647244505960115</v>
      </c>
    </row>
    <row r="3065" customFormat="false" ht="15" hidden="false" customHeight="false" outlineLevel="0" collapsed="false">
      <c r="A3065" s="16" t="n">
        <v>45072</v>
      </c>
      <c r="B3065" s="23" t="n">
        <f aca="false">YEAR(A3065)</f>
        <v>2023</v>
      </c>
      <c r="C3065" s="17" t="n">
        <v>26728.06</v>
      </c>
      <c r="D3065" s="23" t="n">
        <f aca="false">A3065-A3064</f>
        <v>1</v>
      </c>
      <c r="E3065" s="24" t="n">
        <f aca="false">LN(C3065)</f>
        <v>10.1934692288709</v>
      </c>
      <c r="F3065" s="25" t="n">
        <f aca="false">LN(C3065/C3064)</f>
        <v>0.00900327334965942</v>
      </c>
      <c r="G3065" s="25" t="n">
        <f aca="false">IF(AND(D3065=1,A3065&gt;=$R$2),F3065,"")</f>
        <v>0.00900327334965942</v>
      </c>
      <c r="H3065" s="27" t="n">
        <f aca="false">IF(G3065="","",G3065^2)</f>
        <v>8.10589310086876E-005</v>
      </c>
      <c r="I3065" s="25" t="n">
        <f aca="false">IF(G3065="","",C3065/C3064-1)</f>
        <v>0.00904392472204929</v>
      </c>
      <c r="J3065" s="17" t="n">
        <f aca="false">AVERAGE(C2866:C3065)</f>
        <v>22736.03945</v>
      </c>
      <c r="K3065" s="17" t="n">
        <f aca="false">MAX(K3064,C3065)</f>
        <v>67510.06</v>
      </c>
      <c r="L3065" s="25" t="n">
        <f aca="false">C3065/K3065-1</f>
        <v>-0.604087746329954</v>
      </c>
      <c r="M3065" s="25" t="n">
        <f aca="false">IF(COUNT(G3036:G3065)&lt;20,"",_xlfn.STDEV.S(G3036:G3065)*SQRT($R$3))</f>
        <v>0.333447324128696</v>
      </c>
      <c r="N3065" s="25" t="n">
        <f aca="false">IF(A3065-7&lt;$R$2,"",C3065/INDEX(Clean_Data!$C$2:$C$4314,MATCH(A3065-7,Clean_Data!$A$2:$A$4314,1))-1)</f>
        <v>-0.00557817009382022</v>
      </c>
      <c r="O3065" s="25" t="n">
        <f aca="false">IF(A3065-30&lt;$R$2,"",C3065/INDEX(Clean_Data!$C$2:$C$4314,MATCH(A3065-30,Clean_Data!$A$2:$A$4314,1))-1)</f>
        <v>-0.0590712397785823</v>
      </c>
    </row>
    <row r="3066" customFormat="false" ht="15" hidden="false" customHeight="false" outlineLevel="0" collapsed="false">
      <c r="A3066" s="16" t="n">
        <v>45073</v>
      </c>
      <c r="B3066" s="23" t="n">
        <f aca="false">YEAR(A3066)</f>
        <v>2023</v>
      </c>
      <c r="C3066" s="17" t="n">
        <v>26883.76</v>
      </c>
      <c r="D3066" s="23" t="n">
        <f aca="false">A3066-A3065</f>
        <v>1</v>
      </c>
      <c r="E3066" s="24" t="n">
        <f aca="false">LN(C3066)</f>
        <v>10.199277665807</v>
      </c>
      <c r="F3066" s="25" t="n">
        <f aca="false">LN(C3066/C3065)</f>
        <v>0.00580843693609043</v>
      </c>
      <c r="G3066" s="25" t="n">
        <f aca="false">IF(AND(D3066=1,A3066&gt;=$R$2),F3066,"")</f>
        <v>0.00580843693609043</v>
      </c>
      <c r="H3066" s="27" t="n">
        <f aca="false">IF(G3066="","",G3066^2)</f>
        <v>3.37379396405396E-005</v>
      </c>
      <c r="I3066" s="25" t="n">
        <f aca="false">IF(G3066="","",C3066/C3065-1)</f>
        <v>0.00582533861417534</v>
      </c>
      <c r="J3066" s="17" t="n">
        <f aca="false">AVERAGE(C2867:C3066)</f>
        <v>22777.65025</v>
      </c>
      <c r="K3066" s="17" t="n">
        <f aca="false">MAX(K3065,C3066)</f>
        <v>67510.06</v>
      </c>
      <c r="L3066" s="25" t="n">
        <f aca="false">C3066/K3066-1</f>
        <v>-0.601781423390825</v>
      </c>
      <c r="M3066" s="25" t="n">
        <f aca="false">IF(COUNT(G3037:G3066)&lt;20,"",_xlfn.STDEV.S(G3037:G3066)*SQRT($R$3))</f>
        <v>0.302453844527921</v>
      </c>
      <c r="N3066" s="25" t="n">
        <f aca="false">IF(A3066-7&lt;$R$2,"",C3066/INDEX(Clean_Data!$C$2:$C$4314,MATCH(A3066-7,Clean_Data!$A$2:$A$4314,1))-1)</f>
        <v>-0.00858589099362839</v>
      </c>
      <c r="O3066" s="25" t="n">
        <f aca="false">IF(A3066-30&lt;$R$2,"",C3066/INDEX(Clean_Data!$C$2:$C$4314,MATCH(A3066-30,Clean_Data!$A$2:$A$4314,1))-1)</f>
        <v>-0.0887725910761013</v>
      </c>
    </row>
    <row r="3067" customFormat="false" ht="15" hidden="false" customHeight="false" outlineLevel="0" collapsed="false">
      <c r="A3067" s="16" t="n">
        <v>45074</v>
      </c>
      <c r="B3067" s="23" t="n">
        <f aca="false">YEAR(A3067)</f>
        <v>2023</v>
      </c>
      <c r="C3067" s="17" t="n">
        <v>28099.42</v>
      </c>
      <c r="D3067" s="23" t="n">
        <f aca="false">A3067-A3066</f>
        <v>1</v>
      </c>
      <c r="E3067" s="24" t="n">
        <f aca="false">LN(C3067)</f>
        <v>10.2435042145394</v>
      </c>
      <c r="F3067" s="25" t="n">
        <f aca="false">LN(C3067/C3066)</f>
        <v>0.0442265487323839</v>
      </c>
      <c r="G3067" s="25" t="n">
        <f aca="false">IF(AND(D3067=1,A3067&gt;=$R$2),F3067,"")</f>
        <v>0.0442265487323839</v>
      </c>
      <c r="H3067" s="27" t="n">
        <f aca="false">IF(G3067="","",G3067^2)</f>
        <v>0.00195598761277793</v>
      </c>
      <c r="I3067" s="25" t="n">
        <f aca="false">IF(G3067="","",C3067/C3066-1)</f>
        <v>0.0452191211348412</v>
      </c>
      <c r="J3067" s="17" t="n">
        <f aca="false">AVERAGE(C2868:C3067)</f>
        <v>22838.89425</v>
      </c>
      <c r="K3067" s="17" t="n">
        <f aca="false">MAX(K3066,C3067)</f>
        <v>67510.06</v>
      </c>
      <c r="L3067" s="25" t="n">
        <f aca="false">C3067/K3067-1</f>
        <v>-0.583774329336991</v>
      </c>
      <c r="M3067" s="25" t="n">
        <f aca="false">IF(COUNT(G3038:G3067)&lt;20,"",_xlfn.STDEV.S(G3038:G3067)*SQRT($R$3))</f>
        <v>0.344338611999923</v>
      </c>
      <c r="N3067" s="25" t="n">
        <f aca="false">IF(A3067-7&lt;$R$2,"",C3067/INDEX(Clean_Data!$C$2:$C$4314,MATCH(A3067-7,Clean_Data!$A$2:$A$4314,1))-1)</f>
        <v>0.0504514978588666</v>
      </c>
      <c r="O3067" s="25" t="n">
        <f aca="false">IF(A3067-30&lt;$R$2,"",C3067/INDEX(Clean_Data!$C$2:$C$4314,MATCH(A3067-30,Clean_Data!$A$2:$A$4314,1))-1)</f>
        <v>-0.0424251883496523</v>
      </c>
    </row>
    <row r="3068" customFormat="false" ht="15" hidden="false" customHeight="false" outlineLevel="0" collapsed="false">
      <c r="A3068" s="16" t="n">
        <v>45075</v>
      </c>
      <c r="B3068" s="23" t="n">
        <f aca="false">YEAR(A3068)</f>
        <v>2023</v>
      </c>
      <c r="C3068" s="17" t="n">
        <v>27755.32</v>
      </c>
      <c r="D3068" s="23" t="n">
        <f aca="false">A3068-A3067</f>
        <v>1</v>
      </c>
      <c r="E3068" s="24" t="n">
        <f aca="false">LN(C3068)</f>
        <v>10.231182812512</v>
      </c>
      <c r="F3068" s="25" t="n">
        <f aca="false">LN(C3068/C3067)</f>
        <v>-0.0123214020274721</v>
      </c>
      <c r="G3068" s="25" t="n">
        <f aca="false">IF(AND(D3068=1,A3068&gt;=$R$2),F3068,"")</f>
        <v>-0.0123214020274721</v>
      </c>
      <c r="H3068" s="27" t="n">
        <f aca="false">IF(G3068="","",G3068^2)</f>
        <v>0.000151816947922594</v>
      </c>
      <c r="I3068" s="25" t="n">
        <f aca="false">IF(G3068="","",C3068/C3067-1)</f>
        <v>-0.0122458043617981</v>
      </c>
      <c r="J3068" s="17" t="n">
        <f aca="false">AVERAGE(C2869:C3068)</f>
        <v>22889.8051</v>
      </c>
      <c r="K3068" s="17" t="n">
        <f aca="false">MAX(K3067,C3068)</f>
        <v>67510.06</v>
      </c>
      <c r="L3068" s="25" t="n">
        <f aca="false">C3068/K3068-1</f>
        <v>-0.588871347470288</v>
      </c>
      <c r="M3068" s="25" t="n">
        <f aca="false">IF(COUNT(G3039:G3068)&lt;20,"",_xlfn.STDEV.S(G3039:G3068)*SQRT($R$3))</f>
        <v>0.346385766348696</v>
      </c>
      <c r="N3068" s="25" t="n">
        <f aca="false">IF(A3068-7&lt;$R$2,"",C3068/INDEX(Clean_Data!$C$2:$C$4314,MATCH(A3068-7,Clean_Data!$A$2:$A$4314,1))-1)</f>
        <v>0.0335429316607172</v>
      </c>
      <c r="O3068" s="25" t="n">
        <f aca="false">IF(A3068-30&lt;$R$2,"",C3068/INDEX(Clean_Data!$C$2:$C$4314,MATCH(A3068-30,Clean_Data!$A$2:$A$4314,1))-1)</f>
        <v>-0.0510891408652272</v>
      </c>
    </row>
    <row r="3069" customFormat="false" ht="15" hidden="false" customHeight="false" outlineLevel="0" collapsed="false">
      <c r="A3069" s="16" t="n">
        <v>45076</v>
      </c>
      <c r="B3069" s="23" t="n">
        <f aca="false">YEAR(A3069)</f>
        <v>2023</v>
      </c>
      <c r="C3069" s="17" t="n">
        <v>27696.65</v>
      </c>
      <c r="D3069" s="23" t="n">
        <f aca="false">A3069-A3068</f>
        <v>1</v>
      </c>
      <c r="E3069" s="24" t="n">
        <f aca="false">LN(C3069)</f>
        <v>10.2290667462336</v>
      </c>
      <c r="F3069" s="25" t="n">
        <f aca="false">LN(C3069/C3068)</f>
        <v>-0.00211606627834495</v>
      </c>
      <c r="G3069" s="25" t="n">
        <f aca="false">IF(AND(D3069=1,A3069&gt;=$R$2),F3069,"")</f>
        <v>-0.00211606627834495</v>
      </c>
      <c r="H3069" s="27" t="n">
        <f aca="false">IF(G3069="","",G3069^2)</f>
        <v>4.47773649434865E-006</v>
      </c>
      <c r="I3069" s="25" t="n">
        <f aca="false">IF(G3069="","",C3069/C3068-1)</f>
        <v>-0.00211382898846058</v>
      </c>
      <c r="J3069" s="17" t="n">
        <f aca="false">AVERAGE(C2870:C3069)</f>
        <v>22943.30265</v>
      </c>
      <c r="K3069" s="17" t="n">
        <f aca="false">MAX(K3068,C3069)</f>
        <v>67510.06</v>
      </c>
      <c r="L3069" s="25" t="n">
        <f aca="false">C3069/K3069-1</f>
        <v>-0.589740403133992</v>
      </c>
      <c r="M3069" s="25" t="n">
        <f aca="false">IF(COUNT(G3040:G3069)&lt;20,"",_xlfn.STDEV.S(G3040:G3069)*SQRT($R$3))</f>
        <v>0.346271294720939</v>
      </c>
      <c r="N3069" s="25" t="n">
        <f aca="false">IF(A3069-7&lt;$R$2,"",C3069/INDEX(Clean_Data!$C$2:$C$4314,MATCH(A3069-7,Clean_Data!$A$2:$A$4314,1))-1)</f>
        <v>0.0173708618393866</v>
      </c>
      <c r="O3069" s="25" t="n">
        <f aca="false">IF(A3069-30&lt;$R$2,"",C3069/INDEX(Clean_Data!$C$2:$C$4314,MATCH(A3069-30,Clean_Data!$A$2:$A$4314,1))-1)</f>
        <v>-0.053790488658461</v>
      </c>
    </row>
    <row r="3070" customFormat="false" ht="15" hidden="false" customHeight="false" outlineLevel="0" collapsed="false">
      <c r="A3070" s="16" t="n">
        <v>45077</v>
      </c>
      <c r="B3070" s="23" t="n">
        <f aca="false">YEAR(A3070)</f>
        <v>2023</v>
      </c>
      <c r="C3070" s="17" t="n">
        <v>27222.9</v>
      </c>
      <c r="D3070" s="23" t="n">
        <f aca="false">A3070-A3069</f>
        <v>1</v>
      </c>
      <c r="E3070" s="24" t="n">
        <f aca="false">LN(C3070)</f>
        <v>10.2118138098399</v>
      </c>
      <c r="F3070" s="25" t="n">
        <f aca="false">LN(C3070/C3069)</f>
        <v>-0.0172529363937262</v>
      </c>
      <c r="G3070" s="25" t="n">
        <f aca="false">IF(AND(D3070=1,A3070&gt;=$R$2),F3070,"")</f>
        <v>-0.0172529363937262</v>
      </c>
      <c r="H3070" s="27" t="n">
        <f aca="false">IF(G3070="","",G3070^2)</f>
        <v>0.00029766381420596</v>
      </c>
      <c r="I3070" s="25" t="n">
        <f aca="false">IF(G3070="","",C3070/C3069-1)</f>
        <v>-0.017104956736645</v>
      </c>
      <c r="J3070" s="17" t="n">
        <f aca="false">AVERAGE(C2871:C3070)</f>
        <v>22995.5285</v>
      </c>
      <c r="K3070" s="17" t="n">
        <f aca="false">MAX(K3069,C3070)</f>
        <v>67510.06</v>
      </c>
      <c r="L3070" s="25" t="n">
        <f aca="false">C3070/K3070-1</f>
        <v>-0.596757875789179</v>
      </c>
      <c r="M3070" s="25" t="n">
        <f aca="false">IF(COUNT(G3041:G3070)&lt;20,"",_xlfn.STDEV.S(G3041:G3070)*SQRT($R$3))</f>
        <v>0.319281633665204</v>
      </c>
      <c r="N3070" s="25" t="n">
        <f aca="false">IF(A3070-7&lt;$R$2,"",C3070/INDEX(Clean_Data!$C$2:$C$4314,MATCH(A3070-7,Clean_Data!$A$2:$A$4314,1))-1)</f>
        <v>0.0342406606277803</v>
      </c>
      <c r="O3070" s="25" t="n">
        <f aca="false">IF(A3070-30&lt;$R$2,"",C3070/INDEX(Clean_Data!$C$2:$C$4314,MATCH(A3070-30,Clean_Data!$A$2:$A$4314,1))-1)</f>
        <v>-0.0297094000521805</v>
      </c>
    </row>
    <row r="3071" customFormat="false" ht="15" hidden="false" customHeight="false" outlineLevel="0" collapsed="false">
      <c r="A3071" s="16" t="n">
        <v>45078</v>
      </c>
      <c r="B3071" s="23" t="n">
        <f aca="false">YEAR(A3071)</f>
        <v>2023</v>
      </c>
      <c r="C3071" s="17" t="n">
        <v>26837.1</v>
      </c>
      <c r="D3071" s="23" t="n">
        <f aca="false">A3071-A3070</f>
        <v>1</v>
      </c>
      <c r="E3071" s="24" t="n">
        <f aca="false">LN(C3071)</f>
        <v>10.197540537558</v>
      </c>
      <c r="F3071" s="25" t="n">
        <f aca="false">LN(C3071/C3070)</f>
        <v>-0.0142732722818484</v>
      </c>
      <c r="G3071" s="25" t="n">
        <f aca="false">IF(AND(D3071=1,A3071&gt;=$R$2),F3071,"")</f>
        <v>-0.0142732722818484</v>
      </c>
      <c r="H3071" s="27" t="n">
        <f aca="false">IF(G3071="","",G3071^2)</f>
        <v>0.000203726301631782</v>
      </c>
      <c r="I3071" s="25" t="n">
        <f aca="false">IF(G3071="","",C3071/C3070-1)</f>
        <v>-0.0141718920467696</v>
      </c>
      <c r="J3071" s="17" t="n">
        <f aca="false">AVERAGE(C2872:C3071)</f>
        <v>23048.2609</v>
      </c>
      <c r="K3071" s="17" t="n">
        <f aca="false">MAX(K3070,C3071)</f>
        <v>67510.06</v>
      </c>
      <c r="L3071" s="25" t="n">
        <f aca="false">C3071/K3071-1</f>
        <v>-0.602472579642205</v>
      </c>
      <c r="M3071" s="25" t="n">
        <f aca="false">IF(COUNT(G3042:G3071)&lt;20,"",_xlfn.STDEV.S(G3042:G3071)*SQRT($R$3))</f>
        <v>0.31127984750864</v>
      </c>
      <c r="N3071" s="25" t="n">
        <f aca="false">IF(A3071-7&lt;$R$2,"",C3071/INDEX(Clean_Data!$C$2:$C$4314,MATCH(A3071-7,Clean_Data!$A$2:$A$4314,1))-1)</f>
        <v>0.0131604281103119</v>
      </c>
      <c r="O3071" s="25" t="n">
        <f aca="false">IF(A3071-30&lt;$R$2,"",C3071/INDEX(Clean_Data!$C$2:$C$4314,MATCH(A3071-30,Clean_Data!$A$2:$A$4314,1))-1)</f>
        <v>-0.0643480164753905</v>
      </c>
    </row>
    <row r="3072" customFormat="false" ht="15" hidden="false" customHeight="false" outlineLevel="0" collapsed="false">
      <c r="A3072" s="16" t="n">
        <v>45079</v>
      </c>
      <c r="B3072" s="23" t="n">
        <f aca="false">YEAR(A3072)</f>
        <v>2023</v>
      </c>
      <c r="C3072" s="17" t="n">
        <v>27250.49</v>
      </c>
      <c r="D3072" s="23" t="n">
        <f aca="false">A3072-A3071</f>
        <v>1</v>
      </c>
      <c r="E3072" s="24" t="n">
        <f aca="false">LN(C3072)</f>
        <v>10.2128267815811</v>
      </c>
      <c r="F3072" s="25" t="n">
        <f aca="false">LN(C3072/C3071)</f>
        <v>0.0152862440230673</v>
      </c>
      <c r="G3072" s="25" t="n">
        <f aca="false">IF(AND(D3072=1,A3072&gt;=$R$2),F3072,"")</f>
        <v>0.0152862440230673</v>
      </c>
      <c r="H3072" s="27" t="n">
        <f aca="false">IF(G3072="","",G3072^2)</f>
        <v>0.000233669256332761</v>
      </c>
      <c r="I3072" s="25" t="n">
        <f aca="false">IF(G3072="","",C3072/C3071-1)</f>
        <v>0.0154036762541407</v>
      </c>
      <c r="J3072" s="17" t="n">
        <f aca="false">AVERAGE(C2873:C3072)</f>
        <v>23101.6309</v>
      </c>
      <c r="K3072" s="17" t="n">
        <f aca="false">MAX(K3071,C3072)</f>
        <v>67510.06</v>
      </c>
      <c r="L3072" s="25" t="n">
        <f aca="false">C3072/K3072-1</f>
        <v>-0.596349195956869</v>
      </c>
      <c r="M3072" s="25" t="n">
        <f aca="false">IF(COUNT(G3043:G3072)&lt;20,"",_xlfn.STDEV.S(G3043:G3072)*SQRT($R$3))</f>
        <v>0.313005516909936</v>
      </c>
      <c r="N3072" s="25" t="n">
        <f aca="false">IF(A3072-7&lt;$R$2,"",C3072/INDEX(Clean_Data!$C$2:$C$4314,MATCH(A3072-7,Clean_Data!$A$2:$A$4314,1))-1)</f>
        <v>0.0195461249338711</v>
      </c>
      <c r="O3072" s="25" t="n">
        <f aca="false">IF(A3072-30&lt;$R$2,"",C3072/INDEX(Clean_Data!$C$2:$C$4314,MATCH(A3072-30,Clean_Data!$A$2:$A$4314,1))-1)</f>
        <v>-0.0618625944317295</v>
      </c>
    </row>
    <row r="3073" customFormat="false" ht="15" hidden="false" customHeight="false" outlineLevel="0" collapsed="false">
      <c r="A3073" s="16" t="n">
        <v>45080</v>
      </c>
      <c r="B3073" s="23" t="n">
        <f aca="false">YEAR(A3073)</f>
        <v>2023</v>
      </c>
      <c r="C3073" s="17" t="n">
        <v>27073.69</v>
      </c>
      <c r="D3073" s="23" t="n">
        <f aca="false">A3073-A3072</f>
        <v>1</v>
      </c>
      <c r="E3073" s="24" t="n">
        <f aca="false">LN(C3073)</f>
        <v>10.2063176865805</v>
      </c>
      <c r="F3073" s="25" t="n">
        <f aca="false">LN(C3073/C3072)</f>
        <v>-0.00650909500064647</v>
      </c>
      <c r="G3073" s="25" t="n">
        <f aca="false">IF(AND(D3073=1,A3073&gt;=$R$2),F3073,"")</f>
        <v>-0.00650909500064647</v>
      </c>
      <c r="H3073" s="27" t="n">
        <f aca="false">IF(G3073="","",G3073^2)</f>
        <v>4.23683177274409E-005</v>
      </c>
      <c r="I3073" s="25" t="n">
        <f aca="false">IF(G3073="","",C3073/C3072-1)</f>
        <v>-0.00648795673031943</v>
      </c>
      <c r="J3073" s="17" t="n">
        <f aca="false">AVERAGE(C2874:C3073)</f>
        <v>23152.65365</v>
      </c>
      <c r="K3073" s="17" t="n">
        <f aca="false">MAX(K3072,C3073)</f>
        <v>67510.06</v>
      </c>
      <c r="L3073" s="25" t="n">
        <f aca="false">C3073/K3073-1</f>
        <v>-0.59896806490766</v>
      </c>
      <c r="M3073" s="25" t="n">
        <f aca="false">IF(COUNT(G3044:G3073)&lt;20,"",_xlfn.STDEV.S(G3044:G3073)*SQRT($R$3))</f>
        <v>0.313021088176954</v>
      </c>
      <c r="N3073" s="25" t="n">
        <f aca="false">IF(A3073-7&lt;$R$2,"",C3073/INDEX(Clean_Data!$C$2:$C$4314,MATCH(A3073-7,Clean_Data!$A$2:$A$4314,1))-1)</f>
        <v>0.00706485997494388</v>
      </c>
      <c r="O3073" s="25" t="n">
        <f aca="false">IF(A3073-30&lt;$R$2,"",C3073/INDEX(Clean_Data!$C$2:$C$4314,MATCH(A3073-30,Clean_Data!$A$2:$A$4314,1))-1)</f>
        <v>-0.0619464089952173</v>
      </c>
    </row>
    <row r="3074" customFormat="false" ht="15" hidden="false" customHeight="false" outlineLevel="0" collapsed="false">
      <c r="A3074" s="16" t="n">
        <v>45081</v>
      </c>
      <c r="B3074" s="23" t="n">
        <f aca="false">YEAR(A3074)</f>
        <v>2023</v>
      </c>
      <c r="C3074" s="17" t="n">
        <v>27107.67</v>
      </c>
      <c r="D3074" s="23" t="n">
        <f aca="false">A3074-A3073</f>
        <v>1</v>
      </c>
      <c r="E3074" s="24" t="n">
        <f aca="false">LN(C3074)</f>
        <v>10.2075719926538</v>
      </c>
      <c r="F3074" s="25" t="n">
        <f aca="false">LN(C3074/C3073)</f>
        <v>0.00125430607334382</v>
      </c>
      <c r="G3074" s="25" t="n">
        <f aca="false">IF(AND(D3074=1,A3074&gt;=$R$2),F3074,"")</f>
        <v>0.00125430607334382</v>
      </c>
      <c r="H3074" s="27" t="n">
        <f aca="false">IF(G3074="","",G3074^2)</f>
        <v>1.57328372562718E-006</v>
      </c>
      <c r="I3074" s="25" t="n">
        <f aca="false">IF(G3074="","",C3074/C3073-1)</f>
        <v>0.00125509304420635</v>
      </c>
      <c r="J3074" s="17" t="n">
        <f aca="false">AVERAGE(C2875:C3074)</f>
        <v>23204.8896</v>
      </c>
      <c r="K3074" s="17" t="n">
        <f aca="false">MAX(K3073,C3074)</f>
        <v>67510.06</v>
      </c>
      <c r="L3074" s="25" t="n">
        <f aca="false">C3074/K3074-1</f>
        <v>-0.598464732515421</v>
      </c>
      <c r="M3074" s="25" t="n">
        <f aca="false">IF(COUNT(G3045:G3074)&lt;20,"",_xlfn.STDEV.S(G3045:G3074)*SQRT($R$3))</f>
        <v>0.300621391372558</v>
      </c>
      <c r="N3074" s="25" t="n">
        <f aca="false">IF(A3074-7&lt;$R$2,"",C3074/INDEX(Clean_Data!$C$2:$C$4314,MATCH(A3074-7,Clean_Data!$A$2:$A$4314,1))-1)</f>
        <v>-0.0352943228009689</v>
      </c>
      <c r="O3074" s="25" t="n">
        <f aca="false">IF(A3074-30&lt;$R$2,"",C3074/INDEX(Clean_Data!$C$2:$C$4314,MATCH(A3074-30,Clean_Data!$A$2:$A$4314,1))-1)</f>
        <v>-0.0815613782168021</v>
      </c>
    </row>
    <row r="3075" customFormat="false" ht="15" hidden="false" customHeight="false" outlineLevel="0" collapsed="false">
      <c r="A3075" s="16" t="n">
        <v>45082</v>
      </c>
      <c r="B3075" s="23" t="n">
        <f aca="false">YEAR(A3075)</f>
        <v>2023</v>
      </c>
      <c r="C3075" s="17" t="n">
        <v>25751.24</v>
      </c>
      <c r="D3075" s="23" t="n">
        <f aca="false">A3075-A3074</f>
        <v>1</v>
      </c>
      <c r="E3075" s="24" t="n">
        <f aca="false">LN(C3075)</f>
        <v>10.1562380602723</v>
      </c>
      <c r="F3075" s="25" t="n">
        <f aca="false">LN(C3075/C3074)</f>
        <v>-0.0513339323815388</v>
      </c>
      <c r="G3075" s="25" t="n">
        <f aca="false">IF(AND(D3075=1,A3075&gt;=$R$2),F3075,"")</f>
        <v>-0.0513339323815388</v>
      </c>
      <c r="H3075" s="27" t="n">
        <f aca="false">IF(G3075="","",G3075^2)</f>
        <v>0.0026351726137524</v>
      </c>
      <c r="I3075" s="25" t="n">
        <f aca="false">IF(G3075="","",C3075/C3074-1)</f>
        <v>-0.0500386053098624</v>
      </c>
      <c r="J3075" s="17" t="n">
        <f aca="false">AVERAGE(C2876:C3075)</f>
        <v>23250.259</v>
      </c>
      <c r="K3075" s="17" t="n">
        <f aca="false">MAX(K3074,C3075)</f>
        <v>67510.06</v>
      </c>
      <c r="L3075" s="25" t="n">
        <f aca="false">C3075/K3075-1</f>
        <v>-0.618556997283072</v>
      </c>
      <c r="M3075" s="25" t="n">
        <f aca="false">IF(COUNT(G3046:G3075)&lt;20,"",_xlfn.STDEV.S(G3046:G3075)*SQRT($R$3))</f>
        <v>0.339894028124455</v>
      </c>
      <c r="N3075" s="25" t="n">
        <f aca="false">IF(A3075-7&lt;$R$2,"",C3075/INDEX(Clean_Data!$C$2:$C$4314,MATCH(A3075-7,Clean_Data!$A$2:$A$4314,1))-1)</f>
        <v>-0.0722052565057797</v>
      </c>
      <c r="O3075" s="25" t="n">
        <f aca="false">IF(A3075-30&lt;$R$2,"",C3075/INDEX(Clean_Data!$C$2:$C$4314,MATCH(A3075-30,Clean_Data!$A$2:$A$4314,1))-1)</f>
        <v>-0.109189744171614</v>
      </c>
    </row>
    <row r="3076" customFormat="false" ht="15" hidden="false" customHeight="false" outlineLevel="0" collapsed="false">
      <c r="A3076" s="16" t="n">
        <v>45083</v>
      </c>
      <c r="B3076" s="23" t="n">
        <f aca="false">YEAR(A3076)</f>
        <v>2023</v>
      </c>
      <c r="C3076" s="17" t="n">
        <v>27245.8</v>
      </c>
      <c r="D3076" s="23" t="n">
        <f aca="false">A3076-A3075</f>
        <v>1</v>
      </c>
      <c r="E3076" s="24" t="n">
        <f aca="false">LN(C3076)</f>
        <v>10.212654659772</v>
      </c>
      <c r="F3076" s="25" t="n">
        <f aca="false">LN(C3076/C3075)</f>
        <v>0.0564165994997576</v>
      </c>
      <c r="G3076" s="25" t="n">
        <f aca="false">IF(AND(D3076=1,A3076&gt;=$R$2),F3076,"")</f>
        <v>0.0564165994997576</v>
      </c>
      <c r="H3076" s="27" t="n">
        <f aca="false">IF(G3076="","",G3076^2)</f>
        <v>0.00318283269911605</v>
      </c>
      <c r="I3076" s="25" t="n">
        <f aca="false">IF(G3076="","",C3076/C3075-1)</f>
        <v>0.0580383701911054</v>
      </c>
      <c r="J3076" s="17" t="n">
        <f aca="false">AVERAGE(C2877:C3076)</f>
        <v>23303.12265</v>
      </c>
      <c r="K3076" s="17" t="n">
        <f aca="false">MAX(K3075,C3076)</f>
        <v>67510.06</v>
      </c>
      <c r="L3076" s="25" t="n">
        <f aca="false">C3076/K3076-1</f>
        <v>-0.59641866708458</v>
      </c>
      <c r="M3076" s="25" t="n">
        <f aca="false">IF(COUNT(G3047:G3076)&lt;20,"",_xlfn.STDEV.S(G3047:G3076)*SQRT($R$3))</f>
        <v>0.396074650206696</v>
      </c>
      <c r="N3076" s="25" t="n">
        <f aca="false">IF(A3076-7&lt;$R$2,"",C3076/INDEX(Clean_Data!$C$2:$C$4314,MATCH(A3076-7,Clean_Data!$A$2:$A$4314,1))-1)</f>
        <v>-0.016278141941354</v>
      </c>
      <c r="O3076" s="25" t="n">
        <f aca="false">IF(A3076-30&lt;$R$2,"",C3076/INDEX(Clean_Data!$C$2:$C$4314,MATCH(A3076-30,Clean_Data!$A$2:$A$4314,1))-1)</f>
        <v>-0.0414846086191733</v>
      </c>
    </row>
    <row r="3077" customFormat="false" ht="15" hidden="false" customHeight="false" outlineLevel="0" collapsed="false">
      <c r="A3077" s="16" t="n">
        <v>45084</v>
      </c>
      <c r="B3077" s="23" t="n">
        <f aca="false">YEAR(A3077)</f>
        <v>2023</v>
      </c>
      <c r="C3077" s="17" t="n">
        <v>26347.69</v>
      </c>
      <c r="D3077" s="23" t="n">
        <f aca="false">A3077-A3076</f>
        <v>1</v>
      </c>
      <c r="E3077" s="24" t="n">
        <f aca="false">LN(C3077)</f>
        <v>10.1791358840925</v>
      </c>
      <c r="F3077" s="25" t="n">
        <f aca="false">LN(C3077/C3076)</f>
        <v>-0.0335187756795531</v>
      </c>
      <c r="G3077" s="25" t="n">
        <f aca="false">IF(AND(D3077=1,A3077&gt;=$R$2),F3077,"")</f>
        <v>-0.0335187756795531</v>
      </c>
      <c r="H3077" s="27" t="n">
        <f aca="false">IF(G3077="","",G3077^2)</f>
        <v>0.0011235083230562</v>
      </c>
      <c r="I3077" s="25" t="n">
        <f aca="false">IF(G3077="","",C3077/C3076-1)</f>
        <v>-0.0329632457112656</v>
      </c>
      <c r="J3077" s="17" t="n">
        <f aca="false">AVERAGE(C2878:C3077)</f>
        <v>23351.5224</v>
      </c>
      <c r="K3077" s="17" t="n">
        <f aca="false">MAX(K3076,C3077)</f>
        <v>67510.06</v>
      </c>
      <c r="L3077" s="25" t="n">
        <f aca="false">C3077/K3077-1</f>
        <v>-0.609722017725951</v>
      </c>
      <c r="M3077" s="25" t="n">
        <f aca="false">IF(COUNT(G3048:G3077)&lt;20,"",_xlfn.STDEV.S(G3048:G3077)*SQRT($R$3))</f>
        <v>0.402406666317306</v>
      </c>
      <c r="N3077" s="25" t="n">
        <f aca="false">IF(A3077-7&lt;$R$2,"",C3077/INDEX(Clean_Data!$C$2:$C$4314,MATCH(A3077-7,Clean_Data!$A$2:$A$4314,1))-1)</f>
        <v>-0.0321497709648863</v>
      </c>
      <c r="O3077" s="25" t="n">
        <f aca="false">IF(A3077-30&lt;$R$2,"",C3077/INDEX(Clean_Data!$C$2:$C$4314,MATCH(A3077-30,Clean_Data!$A$2:$A$4314,1))-1)</f>
        <v>-0.048225425988072</v>
      </c>
    </row>
    <row r="3078" customFormat="false" ht="15" hidden="false" customHeight="false" outlineLevel="0" collapsed="false">
      <c r="A3078" s="16" t="n">
        <v>45085</v>
      </c>
      <c r="B3078" s="23" t="n">
        <f aca="false">YEAR(A3078)</f>
        <v>2023</v>
      </c>
      <c r="C3078" s="17" t="n">
        <v>26504.81</v>
      </c>
      <c r="D3078" s="23" t="n">
        <f aca="false">A3078-A3077</f>
        <v>1</v>
      </c>
      <c r="E3078" s="24" t="n">
        <f aca="false">LN(C3078)</f>
        <v>10.1850815049374</v>
      </c>
      <c r="F3078" s="25" t="n">
        <f aca="false">LN(C3078/C3077)</f>
        <v>0.00594562084497023</v>
      </c>
      <c r="G3078" s="25" t="n">
        <f aca="false">IF(AND(D3078=1,A3078&gt;=$R$2),F3078,"")</f>
        <v>0.00594562084497023</v>
      </c>
      <c r="H3078" s="27" t="n">
        <f aca="false">IF(G3078="","",G3078^2)</f>
        <v>3.53504072321445E-005</v>
      </c>
      <c r="I3078" s="25" t="n">
        <f aca="false">IF(G3078="","",C3078/C3077-1)</f>
        <v>0.00596333113073677</v>
      </c>
      <c r="J3078" s="17" t="n">
        <f aca="false">AVERAGE(C2879:C3078)</f>
        <v>23402.74035</v>
      </c>
      <c r="K3078" s="17" t="n">
        <f aca="false">MAX(K3077,C3078)</f>
        <v>67510.06</v>
      </c>
      <c r="L3078" s="25" t="n">
        <f aca="false">C3078/K3078-1</f>
        <v>-0.607394660884615</v>
      </c>
      <c r="M3078" s="25" t="n">
        <f aca="false">IF(COUNT(G3049:G3078)&lt;20,"",_xlfn.STDEV.S(G3049:G3078)*SQRT($R$3))</f>
        <v>0.403278084303317</v>
      </c>
      <c r="N3078" s="25" t="n">
        <f aca="false">IF(A3078-7&lt;$R$2,"",C3078/INDEX(Clean_Data!$C$2:$C$4314,MATCH(A3078-7,Clean_Data!$A$2:$A$4314,1))-1)</f>
        <v>-0.0123817402029279</v>
      </c>
      <c r="O3078" s="25" t="n">
        <f aca="false">IF(A3078-30&lt;$R$2,"",C3078/INDEX(Clean_Data!$C$2:$C$4314,MATCH(A3078-30,Clean_Data!$A$2:$A$4314,1))-1)</f>
        <v>-0.0413185445877785</v>
      </c>
    </row>
    <row r="3079" customFormat="false" ht="15" hidden="false" customHeight="false" outlineLevel="0" collapsed="false">
      <c r="A3079" s="16" t="n">
        <v>45086</v>
      </c>
      <c r="B3079" s="23" t="n">
        <f aca="false">YEAR(A3079)</f>
        <v>2023</v>
      </c>
      <c r="C3079" s="17" t="n">
        <v>26483.2</v>
      </c>
      <c r="D3079" s="23" t="n">
        <f aca="false">A3079-A3078</f>
        <v>1</v>
      </c>
      <c r="E3079" s="24" t="n">
        <f aca="false">LN(C3079)</f>
        <v>10.1842658486711</v>
      </c>
      <c r="F3079" s="25" t="n">
        <f aca="false">LN(C3079/C3078)</f>
        <v>-0.000815656266317064</v>
      </c>
      <c r="G3079" s="25" t="n">
        <f aca="false">IF(AND(D3079=1,A3079&gt;=$R$2),F3079,"")</f>
        <v>-0.000815656266317064</v>
      </c>
      <c r="H3079" s="27" t="n">
        <f aca="false">IF(G3079="","",G3079^2)</f>
        <v>6.65295144782292E-007</v>
      </c>
      <c r="I3079" s="25" t="n">
        <f aca="false">IF(G3079="","",C3079/C3078-1)</f>
        <v>-0.000815323709168259</v>
      </c>
      <c r="J3079" s="17" t="n">
        <f aca="false">AVERAGE(C2880:C3079)</f>
        <v>23456.3776</v>
      </c>
      <c r="K3079" s="17" t="n">
        <f aca="false">MAX(K3078,C3079)</f>
        <v>67510.06</v>
      </c>
      <c r="L3079" s="25" t="n">
        <f aca="false">C3079/K3079-1</f>
        <v>-0.607714761325942</v>
      </c>
      <c r="M3079" s="25" t="n">
        <f aca="false">IF(COUNT(G3050:G3079)&lt;20,"",_xlfn.STDEV.S(G3050:G3079)*SQRT($R$3))</f>
        <v>0.403280616871428</v>
      </c>
      <c r="N3079" s="25" t="n">
        <f aca="false">IF(A3079-7&lt;$R$2,"",C3079/INDEX(Clean_Data!$C$2:$C$4314,MATCH(A3079-7,Clean_Data!$A$2:$A$4314,1))-1)</f>
        <v>-0.0281569248846535</v>
      </c>
      <c r="O3079" s="25" t="n">
        <f aca="false">IF(A3079-30&lt;$R$2,"",C3079/INDEX(Clean_Data!$C$2:$C$4314,MATCH(A3079-30,Clean_Data!$A$2:$A$4314,1))-1)</f>
        <v>-0.0411655237833181</v>
      </c>
    </row>
    <row r="3080" customFormat="false" ht="15" hidden="false" customHeight="false" outlineLevel="0" collapsed="false">
      <c r="A3080" s="16" t="n">
        <v>45087</v>
      </c>
      <c r="B3080" s="23" t="n">
        <f aca="false">YEAR(A3080)</f>
        <v>2023</v>
      </c>
      <c r="C3080" s="17" t="n">
        <v>25831.06</v>
      </c>
      <c r="D3080" s="23" t="n">
        <f aca="false">A3080-A3079</f>
        <v>1</v>
      </c>
      <c r="E3080" s="24" t="n">
        <f aca="false">LN(C3080)</f>
        <v>10.1593329228011</v>
      </c>
      <c r="F3080" s="25" t="n">
        <f aca="false">LN(C3080/C3079)</f>
        <v>-0.024932925870013</v>
      </c>
      <c r="G3080" s="25" t="n">
        <f aca="false">IF(AND(D3080=1,A3080&gt;=$R$2),F3080,"")</f>
        <v>-0.024932925870013</v>
      </c>
      <c r="H3080" s="27" t="n">
        <f aca="false">IF(G3080="","",G3080^2)</f>
        <v>0.000621650792439562</v>
      </c>
      <c r="I3080" s="25" t="n">
        <f aca="false">IF(G3080="","",C3080/C3079-1)</f>
        <v>-0.0246246677138714</v>
      </c>
      <c r="J3080" s="17" t="n">
        <f aca="false">AVERAGE(C2881:C3080)</f>
        <v>23504.5013</v>
      </c>
      <c r="K3080" s="17" t="n">
        <f aca="false">MAX(K3079,C3080)</f>
        <v>67510.06</v>
      </c>
      <c r="L3080" s="25" t="n">
        <f aca="false">C3080/K3080-1</f>
        <v>-0.617374654977347</v>
      </c>
      <c r="M3080" s="25" t="n">
        <f aca="false">IF(COUNT(G3051:G3080)&lt;20,"",_xlfn.STDEV.S(G3051:G3080)*SQRT($R$3))</f>
        <v>0.405023087650974</v>
      </c>
      <c r="N3080" s="25" t="n">
        <f aca="false">IF(A3080-7&lt;$R$2,"",C3080/INDEX(Clean_Data!$C$2:$C$4314,MATCH(A3080-7,Clean_Data!$A$2:$A$4314,1))-1)</f>
        <v>-0.0458980656127774</v>
      </c>
      <c r="O3080" s="25" t="n">
        <f aca="false">IF(A3080-30&lt;$R$2,"",C3080/INDEX(Clean_Data!$C$2:$C$4314,MATCH(A3080-30,Clean_Data!$A$2:$A$4314,1))-1)</f>
        <v>-0.0435756878993037</v>
      </c>
    </row>
    <row r="3081" customFormat="false" ht="15" hidden="false" customHeight="false" outlineLevel="0" collapsed="false">
      <c r="A3081" s="16" t="n">
        <v>45088</v>
      </c>
      <c r="B3081" s="23" t="n">
        <f aca="false">YEAR(A3081)</f>
        <v>2023</v>
      </c>
      <c r="C3081" s="17" t="n">
        <v>25946.74</v>
      </c>
      <c r="D3081" s="23" t="n">
        <f aca="false">A3081-A3080</f>
        <v>1</v>
      </c>
      <c r="E3081" s="24" t="n">
        <f aca="false">LN(C3081)</f>
        <v>10.1638012544982</v>
      </c>
      <c r="F3081" s="25" t="n">
        <f aca="false">LN(C3081/C3080)</f>
        <v>0.00446833169706179</v>
      </c>
      <c r="G3081" s="25" t="n">
        <f aca="false">IF(AND(D3081=1,A3081&gt;=$R$2),F3081,"")</f>
        <v>0.00446833169706179</v>
      </c>
      <c r="H3081" s="27" t="n">
        <f aca="false">IF(G3081="","",G3081^2)</f>
        <v>1.99659881549671E-005</v>
      </c>
      <c r="I3081" s="25" t="n">
        <f aca="false">IF(G3081="","",C3081/C3080-1)</f>
        <v>0.00447832957687377</v>
      </c>
      <c r="J3081" s="17" t="n">
        <f aca="false">AVERAGE(C2882:C3081)</f>
        <v>23551.2477</v>
      </c>
      <c r="K3081" s="17" t="n">
        <f aca="false">MAX(K3080,C3081)</f>
        <v>67510.06</v>
      </c>
      <c r="L3081" s="25" t="n">
        <f aca="false">C3081/K3081-1</f>
        <v>-0.615661132577871</v>
      </c>
      <c r="M3081" s="25" t="n">
        <f aca="false">IF(COUNT(G3052:G3081)&lt;20,"",_xlfn.STDEV.S(G3052:G3081)*SQRT($R$3))</f>
        <v>0.404976911549206</v>
      </c>
      <c r="N3081" s="25" t="n">
        <f aca="false">IF(A3081-7&lt;$R$2,"",C3081/INDEX(Clean_Data!$C$2:$C$4314,MATCH(A3081-7,Clean_Data!$A$2:$A$4314,1))-1)</f>
        <v>-0.0428266243465409</v>
      </c>
      <c r="O3081" s="25" t="n">
        <f aca="false">IF(A3081-30&lt;$R$2,"",C3081/INDEX(Clean_Data!$C$2:$C$4314,MATCH(A3081-30,Clean_Data!$A$2:$A$4314,1))-1)</f>
        <v>-0.0322547679096389</v>
      </c>
    </row>
    <row r="3082" customFormat="false" ht="15" hidden="false" customHeight="false" outlineLevel="0" collapsed="false">
      <c r="A3082" s="16" t="n">
        <v>45089</v>
      </c>
      <c r="B3082" s="23" t="n">
        <f aca="false">YEAR(A3082)</f>
        <v>2023</v>
      </c>
      <c r="C3082" s="17" t="n">
        <v>25906.91</v>
      </c>
      <c r="D3082" s="23" t="n">
        <f aca="false">A3082-A3081</f>
        <v>1</v>
      </c>
      <c r="E3082" s="24" t="n">
        <f aca="false">LN(C3082)</f>
        <v>10.1622650074709</v>
      </c>
      <c r="F3082" s="25" t="n">
        <f aca="false">LN(C3082/C3081)</f>
        <v>-0.00153624702729378</v>
      </c>
      <c r="G3082" s="25" t="n">
        <f aca="false">IF(AND(D3082=1,A3082&gt;=$R$2),F3082,"")</f>
        <v>-0.00153624702729378</v>
      </c>
      <c r="H3082" s="27" t="n">
        <f aca="false">IF(G3082="","",G3082^2)</f>
        <v>2.36005492886898E-006</v>
      </c>
      <c r="I3082" s="25" t="n">
        <f aca="false">IF(G3082="","",C3082/C3081-1)</f>
        <v>-0.00153506760386857</v>
      </c>
      <c r="J3082" s="17" t="n">
        <f aca="false">AVERAGE(C2883:C3082)</f>
        <v>23597.88575</v>
      </c>
      <c r="K3082" s="17" t="n">
        <f aca="false">MAX(K3081,C3082)</f>
        <v>67510.06</v>
      </c>
      <c r="L3082" s="25" t="n">
        <f aca="false">C3082/K3082-1</f>
        <v>-0.616251118722158</v>
      </c>
      <c r="M3082" s="25" t="n">
        <f aca="false">IF(COUNT(G3053:G3082)&lt;20,"",_xlfn.STDEV.S(G3053:G3082)*SQRT($R$3))</f>
        <v>0.404978205190589</v>
      </c>
      <c r="N3082" s="25" t="n">
        <f aca="false">IF(A3082-7&lt;$R$2,"",C3082/INDEX(Clean_Data!$C$2:$C$4314,MATCH(A3082-7,Clean_Data!$A$2:$A$4314,1))-1)</f>
        <v>0.00604514578715421</v>
      </c>
      <c r="O3082" s="25" t="n">
        <f aca="false">IF(A3082-30&lt;$R$2,"",C3082/INDEX(Clean_Data!$C$2:$C$4314,MATCH(A3082-30,Clean_Data!$A$2:$A$4314,1))-1)</f>
        <v>-0.0329811063552776</v>
      </c>
    </row>
    <row r="3083" customFormat="false" ht="15" hidden="false" customHeight="false" outlineLevel="0" collapsed="false">
      <c r="A3083" s="16" t="n">
        <v>45090</v>
      </c>
      <c r="B3083" s="23" t="n">
        <f aca="false">YEAR(A3083)</f>
        <v>2023</v>
      </c>
      <c r="C3083" s="17" t="n">
        <v>25933.04</v>
      </c>
      <c r="D3083" s="23" t="n">
        <f aca="false">A3083-A3082</f>
        <v>1</v>
      </c>
      <c r="E3083" s="24" t="n">
        <f aca="false">LN(C3083)</f>
        <v>10.1632731103804</v>
      </c>
      <c r="F3083" s="25" t="n">
        <f aca="false">LN(C3083/C3082)</f>
        <v>0.00100810290954878</v>
      </c>
      <c r="G3083" s="25" t="n">
        <f aca="false">IF(AND(D3083=1,A3083&gt;=$R$2),F3083,"")</f>
        <v>0.00100810290954878</v>
      </c>
      <c r="H3083" s="27" t="n">
        <f aca="false">IF(G3083="","",G3083^2)</f>
        <v>1.01627147624071E-006</v>
      </c>
      <c r="I3083" s="25" t="n">
        <f aca="false">IF(G3083="","",C3083/C3082-1)</f>
        <v>0.00100861121608098</v>
      </c>
      <c r="J3083" s="17" t="n">
        <f aca="false">AVERAGE(C2884:C3083)</f>
        <v>23645.0085</v>
      </c>
      <c r="K3083" s="17" t="n">
        <f aca="false">MAX(K3082,C3083)</f>
        <v>67510.06</v>
      </c>
      <c r="L3083" s="25" t="n">
        <f aca="false">C3083/K3083-1</f>
        <v>-0.615864065296343</v>
      </c>
      <c r="M3083" s="25" t="n">
        <f aca="false">IF(COUNT(G3054:G3083)&lt;20,"",_xlfn.STDEV.S(G3054:G3083)*SQRT($R$3))</f>
        <v>0.404409572812358</v>
      </c>
      <c r="N3083" s="25" t="n">
        <f aca="false">IF(A3083-7&lt;$R$2,"",C3083/INDEX(Clean_Data!$C$2:$C$4314,MATCH(A3083-7,Clean_Data!$A$2:$A$4314,1))-1)</f>
        <v>-0.0481821051318001</v>
      </c>
      <c r="O3083" s="25" t="n">
        <f aca="false">IF(A3083-30&lt;$R$2,"",C3083/INDEX(Clean_Data!$C$2:$C$4314,MATCH(A3083-30,Clean_Data!$A$2:$A$4314,1))-1)</f>
        <v>-0.0370697676836463</v>
      </c>
    </row>
    <row r="3084" customFormat="false" ht="15" hidden="false" customHeight="false" outlineLevel="0" collapsed="false">
      <c r="A3084" s="16" t="n">
        <v>45091</v>
      </c>
      <c r="B3084" s="23" t="n">
        <f aca="false">YEAR(A3084)</f>
        <v>2023</v>
      </c>
      <c r="C3084" s="17" t="n">
        <v>25103.81</v>
      </c>
      <c r="D3084" s="23" t="n">
        <f aca="false">A3084-A3083</f>
        <v>1</v>
      </c>
      <c r="E3084" s="24" t="n">
        <f aca="false">LN(C3084)</f>
        <v>10.1307749064292</v>
      </c>
      <c r="F3084" s="25" t="n">
        <f aca="false">LN(C3084/C3083)</f>
        <v>-0.0324982039512234</v>
      </c>
      <c r="G3084" s="25" t="n">
        <f aca="false">IF(AND(D3084=1,A3084&gt;=$R$2),F3084,"")</f>
        <v>-0.0324982039512234</v>
      </c>
      <c r="H3084" s="27" t="n">
        <f aca="false">IF(G3084="","",G3084^2)</f>
        <v>0.00105613326005531</v>
      </c>
      <c r="I3084" s="25" t="n">
        <f aca="false">IF(G3084="","",C3084/C3083-1)</f>
        <v>-0.0319758115515959</v>
      </c>
      <c r="J3084" s="17" t="n">
        <f aca="false">AVERAGE(C2885:C3084)</f>
        <v>23688.2656</v>
      </c>
      <c r="K3084" s="17" t="n">
        <f aca="false">MAX(K3083,C3084)</f>
        <v>67510.06</v>
      </c>
      <c r="L3084" s="25" t="n">
        <f aca="false">C3084/K3084-1</f>
        <v>-0.628147123554623</v>
      </c>
      <c r="M3084" s="25" t="n">
        <f aca="false">IF(COUNT(G3055:G3084)&lt;20,"",_xlfn.STDEV.S(G3055:G3084)*SQRT($R$3))</f>
        <v>0.416827521660116</v>
      </c>
      <c r="N3084" s="25" t="n">
        <f aca="false">IF(A3084-7&lt;$R$2,"",C3084/INDEX(Clean_Data!$C$2:$C$4314,MATCH(A3084-7,Clean_Data!$A$2:$A$4314,1))-1)</f>
        <v>-0.0472102108382176</v>
      </c>
      <c r="O3084" s="25" t="n">
        <f aca="false">IF(A3084-30&lt;$R$2,"",C3084/INDEX(Clean_Data!$C$2:$C$4314,MATCH(A3084-30,Clean_Data!$A$2:$A$4314,1))-1)</f>
        <v>-0.0763289094608566</v>
      </c>
    </row>
    <row r="3085" customFormat="false" ht="15" hidden="false" customHeight="false" outlineLevel="0" collapsed="false">
      <c r="A3085" s="16" t="n">
        <v>45092</v>
      </c>
      <c r="B3085" s="23" t="n">
        <f aca="false">YEAR(A3085)</f>
        <v>2023</v>
      </c>
      <c r="C3085" s="17" t="n">
        <v>25542.36</v>
      </c>
      <c r="D3085" s="23" t="n">
        <f aca="false">A3085-A3084</f>
        <v>1</v>
      </c>
      <c r="E3085" s="24" t="n">
        <f aca="false">LN(C3085)</f>
        <v>10.1480935293896</v>
      </c>
      <c r="F3085" s="25" t="n">
        <f aca="false">LN(C3085/C3084)</f>
        <v>0.0173186229603861</v>
      </c>
      <c r="G3085" s="25" t="n">
        <f aca="false">IF(AND(D3085=1,A3085&gt;=$R$2),F3085,"")</f>
        <v>0.0173186229603861</v>
      </c>
      <c r="H3085" s="27" t="n">
        <f aca="false">IF(G3085="","",G3085^2)</f>
        <v>0.000299934701244013</v>
      </c>
      <c r="I3085" s="25" t="n">
        <f aca="false">IF(G3085="","",C3085/C3084-1)</f>
        <v>0.017469459815064</v>
      </c>
      <c r="J3085" s="17" t="n">
        <f aca="false">AVERAGE(C2886:C3085)</f>
        <v>23733.83355</v>
      </c>
      <c r="K3085" s="17" t="n">
        <f aca="false">MAX(K3084,C3085)</f>
        <v>67510.06</v>
      </c>
      <c r="L3085" s="25" t="n">
        <f aca="false">C3085/K3085-1</f>
        <v>-0.621651054672444</v>
      </c>
      <c r="M3085" s="25" t="n">
        <f aca="false">IF(COUNT(G3056:G3085)&lt;20,"",_xlfn.STDEV.S(G3056:G3085)*SQRT($R$3))</f>
        <v>0.422467332980078</v>
      </c>
      <c r="N3085" s="25" t="n">
        <f aca="false">IF(A3085-7&lt;$R$2,"",C3085/INDEX(Clean_Data!$C$2:$C$4314,MATCH(A3085-7,Clean_Data!$A$2:$A$4314,1))-1)</f>
        <v>-0.0363122769037016</v>
      </c>
      <c r="O3085" s="25" t="n">
        <f aca="false">IF(A3085-30&lt;$R$2,"",C3085/INDEX(Clean_Data!$C$2:$C$4314,MATCH(A3085-30,Clean_Data!$A$2:$A$4314,1))-1)</f>
        <v>-0.0554238218296015</v>
      </c>
    </row>
    <row r="3086" customFormat="false" ht="15" hidden="false" customHeight="false" outlineLevel="0" collapsed="false">
      <c r="A3086" s="16" t="n">
        <v>45093</v>
      </c>
      <c r="B3086" s="23" t="n">
        <f aca="false">YEAR(A3086)</f>
        <v>2023</v>
      </c>
      <c r="C3086" s="17" t="n">
        <v>26341.33</v>
      </c>
      <c r="D3086" s="23" t="n">
        <f aca="false">A3086-A3085</f>
        <v>1</v>
      </c>
      <c r="E3086" s="24" t="n">
        <f aca="false">LN(C3086)</f>
        <v>10.1788944675685</v>
      </c>
      <c r="F3086" s="25" t="n">
        <f aca="false">LN(C3086/C3085)</f>
        <v>0.0308009381788728</v>
      </c>
      <c r="G3086" s="25" t="n">
        <f aca="false">IF(AND(D3086=1,A3086&gt;=$R$2),F3086,"")</f>
        <v>0.0308009381788728</v>
      </c>
      <c r="H3086" s="27" t="n">
        <f aca="false">IF(G3086="","",G3086^2)</f>
        <v>0.000948697792698743</v>
      </c>
      <c r="I3086" s="25" t="n">
        <f aca="false">IF(G3086="","",C3086/C3085-1)</f>
        <v>0.0312801949389172</v>
      </c>
      <c r="J3086" s="17" t="n">
        <f aca="false">AVERAGE(C2887:C3086)</f>
        <v>23784.57075</v>
      </c>
      <c r="K3086" s="17" t="n">
        <f aca="false">MAX(K3085,C3086)</f>
        <v>67510.06</v>
      </c>
      <c r="L3086" s="25" t="n">
        <f aca="false">C3086/K3086-1</f>
        <v>-0.609816225907665</v>
      </c>
      <c r="M3086" s="25" t="n">
        <f aca="false">IF(COUNT(G3057:G3086)&lt;20,"",_xlfn.STDEV.S(G3057:G3086)*SQRT($R$3))</f>
        <v>0.434407920048709</v>
      </c>
      <c r="N3086" s="25" t="n">
        <f aca="false">IF(A3086-7&lt;$R$2,"",C3086/INDEX(Clean_Data!$C$2:$C$4314,MATCH(A3086-7,Clean_Data!$A$2:$A$4314,1))-1)</f>
        <v>-0.00535698102948279</v>
      </c>
      <c r="O3086" s="25" t="n">
        <f aca="false">IF(A3086-30&lt;$R$2,"",C3086/INDEX(Clean_Data!$C$2:$C$4314,MATCH(A3086-30,Clean_Data!$A$2:$A$4314,1))-1)</f>
        <v>-0.0392382426607015</v>
      </c>
    </row>
    <row r="3087" customFormat="false" ht="15" hidden="false" customHeight="false" outlineLevel="0" collapsed="false">
      <c r="A3087" s="16" t="n">
        <v>45094</v>
      </c>
      <c r="B3087" s="23" t="n">
        <f aca="false">YEAR(A3087)</f>
        <v>2023</v>
      </c>
      <c r="C3087" s="17" t="n">
        <v>26511.06</v>
      </c>
      <c r="D3087" s="23" t="n">
        <f aca="false">A3087-A3086</f>
        <v>1</v>
      </c>
      <c r="E3087" s="24" t="n">
        <f aca="false">LN(C3087)</f>
        <v>10.1853172833951</v>
      </c>
      <c r="F3087" s="25" t="n">
        <f aca="false">LN(C3087/C3086)</f>
        <v>0.0064228158265966</v>
      </c>
      <c r="G3087" s="25" t="n">
        <f aca="false">IF(AND(D3087=1,A3087&gt;=$R$2),F3087,"")</f>
        <v>0.0064228158265966</v>
      </c>
      <c r="H3087" s="27" t="n">
        <f aca="false">IF(G3087="","",G3087^2)</f>
        <v>4.12525631423797E-005</v>
      </c>
      <c r="I3087" s="25" t="n">
        <f aca="false">IF(G3087="","",C3087/C3086-1)</f>
        <v>0.00644348633876879</v>
      </c>
      <c r="J3087" s="17" t="n">
        <f aca="false">AVERAGE(C2888:C3087)</f>
        <v>23834.9179</v>
      </c>
      <c r="K3087" s="17" t="n">
        <f aca="false">MAX(K3086,C3087)</f>
        <v>67510.06</v>
      </c>
      <c r="L3087" s="25" t="n">
        <f aca="false">C3087/K3087-1</f>
        <v>-0.607302082089692</v>
      </c>
      <c r="M3087" s="25" t="n">
        <f aca="false">IF(COUNT(G3058:G3087)&lt;20,"",_xlfn.STDEV.S(G3058:G3087)*SQRT($R$3))</f>
        <v>0.428874724106847</v>
      </c>
      <c r="N3087" s="25" t="n">
        <f aca="false">IF(A3087-7&lt;$R$2,"",C3087/INDEX(Clean_Data!$C$2:$C$4314,MATCH(A3087-7,Clean_Data!$A$2:$A$4314,1))-1)</f>
        <v>0.0263248972361181</v>
      </c>
      <c r="O3087" s="25" t="n">
        <f aca="false">IF(A3087-30&lt;$R$2,"",C3087/INDEX(Clean_Data!$C$2:$C$4314,MATCH(A3087-30,Clean_Data!$A$2:$A$4314,1))-1)</f>
        <v>-0.0118686564671934</v>
      </c>
    </row>
    <row r="3088" customFormat="false" ht="15" hidden="false" customHeight="false" outlineLevel="0" collapsed="false">
      <c r="A3088" s="16" t="n">
        <v>45095</v>
      </c>
      <c r="B3088" s="23" t="n">
        <f aca="false">YEAR(A3088)</f>
        <v>2023</v>
      </c>
      <c r="C3088" s="17" t="n">
        <v>26326.27</v>
      </c>
      <c r="D3088" s="23" t="n">
        <f aca="false">A3088-A3087</f>
        <v>1</v>
      </c>
      <c r="E3088" s="24" t="n">
        <f aca="false">LN(C3088)</f>
        <v>10.1783225789534</v>
      </c>
      <c r="F3088" s="25" t="n">
        <f aca="false">LN(C3088/C3087)</f>
        <v>-0.00699470444162586</v>
      </c>
      <c r="G3088" s="25" t="n">
        <f aca="false">IF(AND(D3088=1,A3088&gt;=$R$2),F3088,"")</f>
        <v>-0.00699470444162586</v>
      </c>
      <c r="H3088" s="27" t="n">
        <f aca="false">IF(G3088="","",G3088^2)</f>
        <v>4.89258902257005E-005</v>
      </c>
      <c r="I3088" s="25" t="n">
        <f aca="false">IF(G3088="","",C3088/C3087-1)</f>
        <v>-0.00697029843393671</v>
      </c>
      <c r="J3088" s="17" t="n">
        <f aca="false">AVERAGE(C2889:C3088)</f>
        <v>23880.65035</v>
      </c>
      <c r="K3088" s="17" t="n">
        <f aca="false">MAX(K3087,C3088)</f>
        <v>67510.06</v>
      </c>
      <c r="L3088" s="25" t="n">
        <f aca="false">C3088/K3088-1</f>
        <v>-0.610039303771912</v>
      </c>
      <c r="M3088" s="25" t="n">
        <f aca="false">IF(COUNT(G3059:G3088)&lt;20,"",_xlfn.STDEV.S(G3059:G3088)*SQRT($R$3))</f>
        <v>0.429403773777031</v>
      </c>
      <c r="N3088" s="25" t="n">
        <f aca="false">IF(A3088-7&lt;$R$2,"",C3088/INDEX(Clean_Data!$C$2:$C$4314,MATCH(A3088-7,Clean_Data!$A$2:$A$4314,1))-1)</f>
        <v>0.0146272710945574</v>
      </c>
      <c r="O3088" s="25" t="n">
        <f aca="false">IF(A3088-30&lt;$R$2,"",C3088/INDEX(Clean_Data!$C$2:$C$4314,MATCH(A3088-30,Clean_Data!$A$2:$A$4314,1))-1)</f>
        <v>-0.0205268325496066</v>
      </c>
    </row>
    <row r="3089" customFormat="false" ht="15" hidden="false" customHeight="false" outlineLevel="0" collapsed="false">
      <c r="A3089" s="16" t="n">
        <v>45096</v>
      </c>
      <c r="B3089" s="23" t="n">
        <f aca="false">YEAR(A3089)</f>
        <v>2023</v>
      </c>
      <c r="C3089" s="17" t="n">
        <v>26822.19</v>
      </c>
      <c r="D3089" s="23" t="n">
        <f aca="false">A3089-A3088</f>
        <v>1</v>
      </c>
      <c r="E3089" s="24" t="n">
        <f aca="false">LN(C3089)</f>
        <v>10.196984808983</v>
      </c>
      <c r="F3089" s="25" t="n">
        <f aca="false">LN(C3089/C3088)</f>
        <v>0.0186622300296021</v>
      </c>
      <c r="G3089" s="25" t="n">
        <f aca="false">IF(AND(D3089=1,A3089&gt;=$R$2),F3089,"")</f>
        <v>0.0186622300296021</v>
      </c>
      <c r="H3089" s="27" t="n">
        <f aca="false">IF(G3089="","",G3089^2)</f>
        <v>0.000348278829677782</v>
      </c>
      <c r="I3089" s="25" t="n">
        <f aca="false">IF(G3089="","",C3089/C3088-1)</f>
        <v>0.0188374577940589</v>
      </c>
      <c r="J3089" s="17" t="n">
        <f aca="false">AVERAGE(C2890:C3089)</f>
        <v>23929.85855</v>
      </c>
      <c r="K3089" s="17" t="n">
        <f aca="false">MAX(K3088,C3089)</f>
        <v>67510.06</v>
      </c>
      <c r="L3089" s="25" t="n">
        <f aca="false">C3089/K3089-1</f>
        <v>-0.602693435615374</v>
      </c>
      <c r="M3089" s="25" t="n">
        <f aca="false">IF(COUNT(G3060:G3089)&lt;20,"",_xlfn.STDEV.S(G3060:G3089)*SQRT($R$3))</f>
        <v>0.433495751111519</v>
      </c>
      <c r="N3089" s="25" t="n">
        <f aca="false">IF(A3089-7&lt;$R$2,"",C3089/INDEX(Clean_Data!$C$2:$C$4314,MATCH(A3089-7,Clean_Data!$A$2:$A$4314,1))-1)</f>
        <v>0.0353295703733096</v>
      </c>
      <c r="O3089" s="25" t="n">
        <f aca="false">IF(A3089-30&lt;$R$2,"",C3089/INDEX(Clean_Data!$C$2:$C$4314,MATCH(A3089-30,Clean_Data!$A$2:$A$4314,1))-1)</f>
        <v>-0.0108564575621263</v>
      </c>
    </row>
    <row r="3090" customFormat="false" ht="15" hidden="false" customHeight="false" outlineLevel="0" collapsed="false">
      <c r="A3090" s="16" t="n">
        <v>45097</v>
      </c>
      <c r="B3090" s="23" t="n">
        <f aca="false">YEAR(A3090)</f>
        <v>2023</v>
      </c>
      <c r="C3090" s="17" t="n">
        <v>28315.01</v>
      </c>
      <c r="D3090" s="23" t="n">
        <f aca="false">A3090-A3089</f>
        <v>1</v>
      </c>
      <c r="E3090" s="24" t="n">
        <f aca="false">LN(C3090)</f>
        <v>10.2511473317175</v>
      </c>
      <c r="F3090" s="25" t="n">
        <f aca="false">LN(C3090/C3089)</f>
        <v>0.0541625227345145</v>
      </c>
      <c r="G3090" s="25" t="n">
        <f aca="false">IF(AND(D3090=1,A3090&gt;=$R$2),F3090,"")</f>
        <v>0.0541625227345145</v>
      </c>
      <c r="H3090" s="27" t="n">
        <f aca="false">IF(G3090="","",G3090^2)</f>
        <v>0.0029335788689668</v>
      </c>
      <c r="I3090" s="25" t="n">
        <f aca="false">IF(G3090="","",C3090/C3089-1)</f>
        <v>0.0556561563392102</v>
      </c>
      <c r="J3090" s="17" t="n">
        <f aca="false">AVERAGE(C2891:C3090)</f>
        <v>23985.93725</v>
      </c>
      <c r="K3090" s="17" t="n">
        <f aca="false">MAX(K3089,C3090)</f>
        <v>67510.06</v>
      </c>
      <c r="L3090" s="25" t="n">
        <f aca="false">C3090/K3090-1</f>
        <v>-0.580580879353388</v>
      </c>
      <c r="M3090" s="25" t="n">
        <f aca="false">IF(COUNT(G3061:G3090)&lt;20,"",_xlfn.STDEV.S(G3061:G3090)*SQRT($R$3))</f>
        <v>0.470320152046953</v>
      </c>
      <c r="N3090" s="25" t="n">
        <f aca="false">IF(A3090-7&lt;$R$2,"",C3090/INDEX(Clean_Data!$C$2:$C$4314,MATCH(A3090-7,Clean_Data!$A$2:$A$4314,1))-1)</f>
        <v>0.0918507818597434</v>
      </c>
      <c r="O3090" s="25" t="n">
        <f aca="false">IF(A3090-30&lt;$R$2,"",C3090/INDEX(Clean_Data!$C$2:$C$4314,MATCH(A3090-30,Clean_Data!$A$2:$A$4314,1))-1)</f>
        <v>0.0585109823045737</v>
      </c>
    </row>
    <row r="3091" customFormat="false" ht="15" hidden="false" customHeight="false" outlineLevel="0" collapsed="false">
      <c r="A3091" s="16" t="n">
        <v>45098</v>
      </c>
      <c r="B3091" s="23" t="n">
        <f aca="false">YEAR(A3091)</f>
        <v>2023</v>
      </c>
      <c r="C3091" s="17" t="n">
        <v>29998.22</v>
      </c>
      <c r="D3091" s="23" t="n">
        <f aca="false">A3091-A3090</f>
        <v>1</v>
      </c>
      <c r="E3091" s="24" t="n">
        <f aca="false">LN(C3091)</f>
        <v>10.3088933255507</v>
      </c>
      <c r="F3091" s="25" t="n">
        <f aca="false">LN(C3091/C3090)</f>
        <v>0.0577459938331262</v>
      </c>
      <c r="G3091" s="25" t="n">
        <f aca="false">IF(AND(D3091=1,A3091&gt;=$R$2),F3091,"")</f>
        <v>0.0577459938331262</v>
      </c>
      <c r="H3091" s="27" t="n">
        <f aca="false">IF(G3091="","",G3091^2)</f>
        <v>0.00333459980377545</v>
      </c>
      <c r="I3091" s="25" t="n">
        <f aca="false">IF(G3091="","",C3091/C3090-1)</f>
        <v>0.0594458557493005</v>
      </c>
      <c r="J3091" s="17" t="n">
        <f aca="false">AVERAGE(C2892:C3091)</f>
        <v>24051.50995</v>
      </c>
      <c r="K3091" s="17" t="n">
        <f aca="false">MAX(K3090,C3091)</f>
        <v>67510.06</v>
      </c>
      <c r="L3091" s="25" t="n">
        <f aca="false">C3091/K3091-1</f>
        <v>-0.555648150808931</v>
      </c>
      <c r="M3091" s="25" t="n">
        <f aca="false">IF(COUNT(G3062:G3091)&lt;20,"",_xlfn.STDEV.S(G3062:G3091)*SQRT($R$3))</f>
        <v>0.509110976348368</v>
      </c>
      <c r="N3091" s="25" t="n">
        <f aca="false">IF(A3091-7&lt;$R$2,"",C3091/INDEX(Clean_Data!$C$2:$C$4314,MATCH(A3091-7,Clean_Data!$A$2:$A$4314,1))-1)</f>
        <v>0.194966819777556</v>
      </c>
      <c r="O3091" s="25" t="n">
        <f aca="false">IF(A3091-30&lt;$R$2,"",C3091/INDEX(Clean_Data!$C$2:$C$4314,MATCH(A3091-30,Clean_Data!$A$2:$A$4314,1))-1)</f>
        <v>0.117063260067013</v>
      </c>
    </row>
    <row r="3092" customFormat="false" ht="15" hidden="false" customHeight="false" outlineLevel="0" collapsed="false">
      <c r="A3092" s="16" t="n">
        <v>45099</v>
      </c>
      <c r="B3092" s="23" t="n">
        <f aca="false">YEAR(A3092)</f>
        <v>2023</v>
      </c>
      <c r="C3092" s="17" t="n">
        <v>29885.29</v>
      </c>
      <c r="D3092" s="23" t="n">
        <f aca="false">A3092-A3091</f>
        <v>1</v>
      </c>
      <c r="E3092" s="24" t="n">
        <f aca="false">LN(C3092)</f>
        <v>10.3051216650761</v>
      </c>
      <c r="F3092" s="25" t="n">
        <f aca="false">LN(C3092/C3091)</f>
        <v>-0.00377166047457975</v>
      </c>
      <c r="G3092" s="25" t="n">
        <f aca="false">IF(AND(D3092=1,A3092&gt;=$R$2),F3092,"")</f>
        <v>-0.00377166047457975</v>
      </c>
      <c r="H3092" s="27" t="n">
        <f aca="false">IF(G3092="","",G3092^2)</f>
        <v>1.42254227355071E-005</v>
      </c>
      <c r="I3092" s="25" t="n">
        <f aca="false">IF(G3092="","",C3092/C3091-1)</f>
        <v>-0.00376455669703069</v>
      </c>
      <c r="J3092" s="17" t="n">
        <f aca="false">AVERAGE(C2893:C3092)</f>
        <v>24115.42465</v>
      </c>
      <c r="K3092" s="17" t="n">
        <f aca="false">MAX(K3091,C3092)</f>
        <v>67510.06</v>
      </c>
      <c r="L3092" s="25" t="n">
        <f aca="false">C3092/K3092-1</f>
        <v>-0.557320938538642</v>
      </c>
      <c r="M3092" s="25" t="n">
        <f aca="false">IF(COUNT(G3063:G3092)&lt;20,"",_xlfn.STDEV.S(G3063:G3092)*SQRT($R$3))</f>
        <v>0.508446249491395</v>
      </c>
      <c r="N3092" s="25" t="n">
        <f aca="false">IF(A3092-7&lt;$R$2,"",C3092/INDEX(Clean_Data!$C$2:$C$4314,MATCH(A3092-7,Clean_Data!$A$2:$A$4314,1))-1)</f>
        <v>0.170028532993819</v>
      </c>
      <c r="O3092" s="25" t="n">
        <f aca="false">IF(A3092-30&lt;$R$2,"",C3092/INDEX(Clean_Data!$C$2:$C$4314,MATCH(A3092-30,Clean_Data!$A$2:$A$4314,1))-1)</f>
        <v>0.0977653703108499</v>
      </c>
    </row>
    <row r="3093" customFormat="false" ht="15" hidden="false" customHeight="false" outlineLevel="0" collapsed="false">
      <c r="A3093" s="16" t="n">
        <v>45100</v>
      </c>
      <c r="B3093" s="23" t="n">
        <f aca="false">YEAR(A3093)</f>
        <v>2023</v>
      </c>
      <c r="C3093" s="17" t="n">
        <v>30692.18</v>
      </c>
      <c r="D3093" s="23" t="n">
        <f aca="false">A3093-A3092</f>
        <v>1</v>
      </c>
      <c r="E3093" s="24" t="n">
        <f aca="false">LN(C3093)</f>
        <v>10.3317631780008</v>
      </c>
      <c r="F3093" s="25" t="n">
        <f aca="false">LN(C3093/C3092)</f>
        <v>0.0266415129247192</v>
      </c>
      <c r="G3093" s="25" t="n">
        <f aca="false">IF(AND(D3093=1,A3093&gt;=$R$2),F3093,"")</f>
        <v>0.0266415129247192</v>
      </c>
      <c r="H3093" s="27" t="n">
        <f aca="false">IF(G3093="","",G3093^2)</f>
        <v>0.000709770210917981</v>
      </c>
      <c r="I3093" s="25" t="n">
        <f aca="false">IF(G3093="","",C3093/C3092-1)</f>
        <v>0.0269995706918018</v>
      </c>
      <c r="J3093" s="17" t="n">
        <f aca="false">AVERAGE(C2894:C3093)</f>
        <v>24184.0316</v>
      </c>
      <c r="K3093" s="17" t="n">
        <f aca="false">MAX(K3092,C3093)</f>
        <v>67510.06</v>
      </c>
      <c r="L3093" s="25" t="n">
        <f aca="false">C3093/K3093-1</f>
        <v>-0.545368793924935</v>
      </c>
      <c r="M3093" s="25" t="n">
        <f aca="false">IF(COUNT(G3064:G3093)&lt;20,"",_xlfn.STDEV.S(G3064:G3093)*SQRT($R$3))</f>
        <v>0.49689819198306</v>
      </c>
      <c r="N3093" s="25" t="n">
        <f aca="false">IF(A3093-7&lt;$R$2,"",C3093/INDEX(Clean_Data!$C$2:$C$4314,MATCH(A3093-7,Clean_Data!$A$2:$A$4314,1))-1)</f>
        <v>0.165171993972969</v>
      </c>
      <c r="O3093" s="25" t="n">
        <f aca="false">IF(A3093-30&lt;$R$2,"",C3093/INDEX(Clean_Data!$C$2:$C$4314,MATCH(A3093-30,Clean_Data!$A$2:$A$4314,1))-1)</f>
        <v>0.166044048183946</v>
      </c>
    </row>
    <row r="3094" customFormat="false" ht="15" hidden="false" customHeight="false" outlineLevel="0" collapsed="false">
      <c r="A3094" s="16" t="n">
        <v>45101</v>
      </c>
      <c r="B3094" s="23" t="n">
        <f aca="false">YEAR(A3094)</f>
        <v>2023</v>
      </c>
      <c r="C3094" s="17" t="n">
        <v>30556.69</v>
      </c>
      <c r="D3094" s="23" t="n">
        <f aca="false">A3094-A3093</f>
        <v>1</v>
      </c>
      <c r="E3094" s="24" t="n">
        <f aca="false">LN(C3094)</f>
        <v>10.327338925896</v>
      </c>
      <c r="F3094" s="25" t="n">
        <f aca="false">LN(C3094/C3093)</f>
        <v>-0.00442425210479074</v>
      </c>
      <c r="G3094" s="25" t="n">
        <f aca="false">IF(AND(D3094=1,A3094&gt;=$R$2),F3094,"")</f>
        <v>-0.00442425210479074</v>
      </c>
      <c r="H3094" s="27" t="n">
        <f aca="false">IF(G3094="","",G3094^2)</f>
        <v>1.95740066867453E-005</v>
      </c>
      <c r="I3094" s="25" t="n">
        <f aca="false">IF(G3094="","",C3094/C3093-1)</f>
        <v>-0.00441447951888729</v>
      </c>
      <c r="J3094" s="17" t="n">
        <f aca="false">AVERAGE(C2895:C3094)</f>
        <v>24251.3653</v>
      </c>
      <c r="K3094" s="17" t="n">
        <f aca="false">MAX(K3093,C3094)</f>
        <v>67510.06</v>
      </c>
      <c r="L3094" s="25" t="n">
        <f aca="false">C3094/K3094-1</f>
        <v>-0.5473757540728</v>
      </c>
      <c r="M3094" s="25" t="n">
        <f aca="false">IF(COUNT(G3065:G3094)&lt;20,"",_xlfn.STDEV.S(G3065:G3094)*SQRT($R$3))</f>
        <v>0.497983871249868</v>
      </c>
      <c r="N3094" s="25" t="n">
        <f aca="false">IF(A3094-7&lt;$R$2,"",C3094/INDEX(Clean_Data!$C$2:$C$4314,MATCH(A3094-7,Clean_Data!$A$2:$A$4314,1))-1)</f>
        <v>0.152601593448168</v>
      </c>
      <c r="O3094" s="25" t="n">
        <f aca="false">IF(A3094-30&lt;$R$2,"",C3094/INDEX(Clean_Data!$C$2:$C$4314,MATCH(A3094-30,Clean_Data!$A$2:$A$4314,1))-1)</f>
        <v>0.15358325310984</v>
      </c>
    </row>
    <row r="3095" customFormat="false" ht="15" hidden="false" customHeight="false" outlineLevel="0" collapsed="false">
      <c r="A3095" s="16" t="n">
        <v>45102</v>
      </c>
      <c r="B3095" s="23" t="n">
        <f aca="false">YEAR(A3095)</f>
        <v>2023</v>
      </c>
      <c r="C3095" s="17" t="n">
        <v>30488.37</v>
      </c>
      <c r="D3095" s="23" t="n">
        <f aca="false">A3095-A3094</f>
        <v>1</v>
      </c>
      <c r="E3095" s="24" t="n">
        <f aca="false">LN(C3095)</f>
        <v>10.3251005784024</v>
      </c>
      <c r="F3095" s="25" t="n">
        <f aca="false">LN(C3095/C3094)</f>
        <v>-0.00223834749362957</v>
      </c>
      <c r="G3095" s="25" t="n">
        <f aca="false">IF(AND(D3095=1,A3095&gt;=$R$2),F3095,"")</f>
        <v>-0.00223834749362957</v>
      </c>
      <c r="H3095" s="27" t="n">
        <f aca="false">IF(G3095="","",G3095^2)</f>
        <v>5.01019950223776E-006</v>
      </c>
      <c r="I3095" s="25" t="n">
        <f aca="false">IF(G3095="","",C3095/C3094-1)</f>
        <v>-0.00223584426192758</v>
      </c>
      <c r="J3095" s="17" t="n">
        <f aca="false">AVERAGE(C2896:C3095)</f>
        <v>24319.5869</v>
      </c>
      <c r="K3095" s="17" t="n">
        <f aca="false">MAX(K3094,C3095)</f>
        <v>67510.06</v>
      </c>
      <c r="L3095" s="25" t="n">
        <f aca="false">C3095/K3095-1</f>
        <v>-0.548387751395866</v>
      </c>
      <c r="M3095" s="25" t="n">
        <f aca="false">IF(COUNT(G3066:G3095)&lt;20,"",_xlfn.STDEV.S(G3066:G3095)*SQRT($R$3))</f>
        <v>0.498322605374284</v>
      </c>
      <c r="N3095" s="25" t="n">
        <f aca="false">IF(A3095-7&lt;$R$2,"",C3095/INDEX(Clean_Data!$C$2:$C$4314,MATCH(A3095-7,Clean_Data!$A$2:$A$4314,1))-1)</f>
        <v>0.158096836353954</v>
      </c>
      <c r="O3095" s="25" t="n">
        <f aca="false">IF(A3095-30&lt;$R$2,"",C3095/INDEX(Clean_Data!$C$2:$C$4314,MATCH(A3095-30,Clean_Data!$A$2:$A$4314,1))-1)</f>
        <v>0.140687726681248</v>
      </c>
    </row>
    <row r="3096" customFormat="false" ht="15" hidden="false" customHeight="false" outlineLevel="0" collapsed="false">
      <c r="A3096" s="16" t="n">
        <v>45103</v>
      </c>
      <c r="B3096" s="23" t="n">
        <f aca="false">YEAR(A3096)</f>
        <v>2023</v>
      </c>
      <c r="C3096" s="17" t="n">
        <v>30279.98</v>
      </c>
      <c r="D3096" s="23" t="n">
        <f aca="false">A3096-A3095</f>
        <v>1</v>
      </c>
      <c r="E3096" s="24" t="n">
        <f aca="false">LN(C3096)</f>
        <v>10.3182420470492</v>
      </c>
      <c r="F3096" s="25" t="n">
        <f aca="false">LN(C3096/C3095)</f>
        <v>-0.00685853135320107</v>
      </c>
      <c r="G3096" s="25" t="n">
        <f aca="false">IF(AND(D3096=1,A3096&gt;=$R$2),F3096,"")</f>
        <v>-0.00685853135320107</v>
      </c>
      <c r="H3096" s="27" t="n">
        <f aca="false">IF(G3096="","",G3096^2)</f>
        <v>4.70394523228421E-005</v>
      </c>
      <c r="I3096" s="25" t="n">
        <f aca="false">IF(G3096="","",C3096/C3095-1)</f>
        <v>-0.00683506530522948</v>
      </c>
      <c r="J3096" s="17" t="n">
        <f aca="false">AVERAGE(C2897:C3096)</f>
        <v>24384.84565</v>
      </c>
      <c r="K3096" s="17" t="n">
        <f aca="false">MAX(K3095,C3096)</f>
        <v>67510.06</v>
      </c>
      <c r="L3096" s="25" t="n">
        <f aca="false">C3096/K3096-1</f>
        <v>-0.551474550607717</v>
      </c>
      <c r="M3096" s="25" t="n">
        <f aca="false">IF(COUNT(G3067:G3096)&lt;20,"",_xlfn.STDEV.S(G3067:G3096)*SQRT($R$3))</f>
        <v>0.499824545424082</v>
      </c>
      <c r="N3096" s="25" t="n">
        <f aca="false">IF(A3096-7&lt;$R$2,"",C3096/INDEX(Clean_Data!$C$2:$C$4314,MATCH(A3096-7,Clean_Data!$A$2:$A$4314,1))-1)</f>
        <v>0.12891527500178</v>
      </c>
      <c r="O3096" s="25" t="n">
        <f aca="false">IF(A3096-30&lt;$R$2,"",C3096/INDEX(Clean_Data!$C$2:$C$4314,MATCH(A3096-30,Clean_Data!$A$2:$A$4314,1))-1)</f>
        <v>0.126329799105482</v>
      </c>
    </row>
    <row r="3097" customFormat="false" ht="15" hidden="false" customHeight="false" outlineLevel="0" collapsed="false">
      <c r="A3097" s="16" t="n">
        <v>45104</v>
      </c>
      <c r="B3097" s="23" t="n">
        <f aca="false">YEAR(A3097)</f>
        <v>2023</v>
      </c>
      <c r="C3097" s="17" t="n">
        <v>30702.1</v>
      </c>
      <c r="D3097" s="23" t="n">
        <f aca="false">A3097-A3096</f>
        <v>1</v>
      </c>
      <c r="E3097" s="24" t="n">
        <f aca="false">LN(C3097)</f>
        <v>10.3320863351446</v>
      </c>
      <c r="F3097" s="25" t="n">
        <f aca="false">LN(C3097/C3096)</f>
        <v>0.0138442880954571</v>
      </c>
      <c r="G3097" s="25" t="n">
        <f aca="false">IF(AND(D3097=1,A3097&gt;=$R$2),F3097,"")</f>
        <v>0.0138442880954571</v>
      </c>
      <c r="H3097" s="27" t="n">
        <f aca="false">IF(G3097="","",G3097^2)</f>
        <v>0.000191664312870015</v>
      </c>
      <c r="I3097" s="25" t="n">
        <f aca="false">IF(G3097="","",C3097/C3096-1)</f>
        <v>0.0139405640294346</v>
      </c>
      <c r="J3097" s="17" t="n">
        <f aca="false">AVERAGE(C2898:C3097)</f>
        <v>24452.7111</v>
      </c>
      <c r="K3097" s="17" t="n">
        <f aca="false">MAX(K3096,C3097)</f>
        <v>67510.06</v>
      </c>
      <c r="L3097" s="25" t="n">
        <f aca="false">C3097/K3097-1</f>
        <v>-0.545221852861633</v>
      </c>
      <c r="M3097" s="25" t="n">
        <f aca="false">IF(COUNT(G3068:G3097)&lt;20,"",_xlfn.STDEV.S(G3068:G3097)*SQRT($R$3))</f>
        <v>0.479858256509032</v>
      </c>
      <c r="N3097" s="25" t="n">
        <f aca="false">IF(A3097-7&lt;$R$2,"",C3097/INDEX(Clean_Data!$C$2:$C$4314,MATCH(A3097-7,Clean_Data!$A$2:$A$4314,1))-1)</f>
        <v>0.0843047556755234</v>
      </c>
      <c r="O3097" s="25" t="n">
        <f aca="false">IF(A3097-30&lt;$R$2,"",C3097/INDEX(Clean_Data!$C$2:$C$4314,MATCH(A3097-30,Clean_Data!$A$2:$A$4314,1))-1)</f>
        <v>0.092623975868541</v>
      </c>
    </row>
    <row r="3098" customFormat="false" ht="15" hidden="false" customHeight="false" outlineLevel="0" collapsed="false">
      <c r="A3098" s="16" t="n">
        <v>45105</v>
      </c>
      <c r="B3098" s="23" t="n">
        <f aca="false">YEAR(A3098)</f>
        <v>2023</v>
      </c>
      <c r="C3098" s="17" t="n">
        <v>30102.6</v>
      </c>
      <c r="D3098" s="23" t="n">
        <f aca="false">A3098-A3097</f>
        <v>1</v>
      </c>
      <c r="E3098" s="24" t="n">
        <f aca="false">LN(C3098)</f>
        <v>10.3123668257441</v>
      </c>
      <c r="F3098" s="25" t="n">
        <f aca="false">LN(C3098/C3097)</f>
        <v>-0.0197195094005624</v>
      </c>
      <c r="G3098" s="25" t="n">
        <f aca="false">IF(AND(D3098=1,A3098&gt;=$R$2),F3098,"")</f>
        <v>-0.0197195094005624</v>
      </c>
      <c r="H3098" s="27" t="n">
        <f aca="false">IF(G3098="","",G3098^2)</f>
        <v>0.000388859050998867</v>
      </c>
      <c r="I3098" s="25" t="n">
        <f aca="false">IF(G3098="","",C3098/C3097-1)</f>
        <v>-0.0195263516176418</v>
      </c>
      <c r="J3098" s="17" t="n">
        <f aca="false">AVERAGE(C2899:C3098)</f>
        <v>24517.56895</v>
      </c>
      <c r="K3098" s="17" t="n">
        <f aca="false">MAX(K3097,C3098)</f>
        <v>67510.06</v>
      </c>
      <c r="L3098" s="25" t="n">
        <f aca="false">C3098/K3098-1</f>
        <v>-0.554102010870676</v>
      </c>
      <c r="M3098" s="25" t="n">
        <f aca="false">IF(COUNT(G3069:G3098)&lt;20,"",_xlfn.STDEV.S(G3069:G3098)*SQRT($R$3))</f>
        <v>0.483502148952111</v>
      </c>
      <c r="N3098" s="25" t="n">
        <f aca="false">IF(A3098-7&lt;$R$2,"",C3098/INDEX(Clean_Data!$C$2:$C$4314,MATCH(A3098-7,Clean_Data!$A$2:$A$4314,1))-1)</f>
        <v>0.00347953978602722</v>
      </c>
      <c r="O3098" s="25" t="n">
        <f aca="false">IF(A3098-30&lt;$R$2,"",C3098/INDEX(Clean_Data!$C$2:$C$4314,MATCH(A3098-30,Clean_Data!$A$2:$A$4314,1))-1)</f>
        <v>0.0845704535202621</v>
      </c>
    </row>
    <row r="3099" customFormat="false" ht="15" hidden="false" customHeight="false" outlineLevel="0" collapsed="false">
      <c r="A3099" s="16" t="n">
        <v>45106</v>
      </c>
      <c r="B3099" s="23" t="n">
        <f aca="false">YEAR(A3099)</f>
        <v>2023</v>
      </c>
      <c r="C3099" s="17" t="n">
        <v>30441.4</v>
      </c>
      <c r="D3099" s="23" t="n">
        <f aca="false">A3099-A3098</f>
        <v>1</v>
      </c>
      <c r="E3099" s="24" t="n">
        <f aca="false">LN(C3099)</f>
        <v>10.3235588030337</v>
      </c>
      <c r="F3099" s="25" t="n">
        <f aca="false">LN(C3099/C3098)</f>
        <v>0.0111919772895743</v>
      </c>
      <c r="G3099" s="25" t="n">
        <f aca="false">IF(AND(D3099=1,A3099&gt;=$R$2),F3099,"")</f>
        <v>0.0111919772895743</v>
      </c>
      <c r="H3099" s="27" t="n">
        <f aca="false">IF(G3099="","",G3099^2)</f>
        <v>0.000125260355650346</v>
      </c>
      <c r="I3099" s="25" t="n">
        <f aca="false">IF(G3099="","",C3099/C3098-1)</f>
        <v>0.0112548417744647</v>
      </c>
      <c r="J3099" s="17" t="n">
        <f aca="false">AVERAGE(C2900:C3099)</f>
        <v>24584.33885</v>
      </c>
      <c r="K3099" s="17" t="n">
        <f aca="false">MAX(K3098,C3099)</f>
        <v>67510.06</v>
      </c>
      <c r="L3099" s="25" t="n">
        <f aca="false">C3099/K3099-1</f>
        <v>-0.549083499555474</v>
      </c>
      <c r="M3099" s="25" t="n">
        <f aca="false">IF(COUNT(G3070:G3099)&lt;20,"",_xlfn.STDEV.S(G3070:G3099)*SQRT($R$3))</f>
        <v>0.484059581003064</v>
      </c>
      <c r="N3099" s="25" t="n">
        <f aca="false">IF(A3099-7&lt;$R$2,"",C3099/INDEX(Clean_Data!$C$2:$C$4314,MATCH(A3099-7,Clean_Data!$A$2:$A$4314,1))-1)</f>
        <v>0.0186081513681147</v>
      </c>
      <c r="O3099" s="25" t="n">
        <f aca="false">IF(A3099-30&lt;$R$2,"",C3099/INDEX(Clean_Data!$C$2:$C$4314,MATCH(A3099-30,Clean_Data!$A$2:$A$4314,1))-1)</f>
        <v>0.0991004327238132</v>
      </c>
    </row>
    <row r="3100" customFormat="false" ht="15" hidden="false" customHeight="false" outlineLevel="0" collapsed="false">
      <c r="A3100" s="16" t="n">
        <v>45107</v>
      </c>
      <c r="B3100" s="23" t="n">
        <f aca="false">YEAR(A3100)</f>
        <v>2023</v>
      </c>
      <c r="C3100" s="17" t="n">
        <v>30475.82</v>
      </c>
      <c r="D3100" s="23" t="n">
        <f aca="false">A3100-A3099</f>
        <v>1</v>
      </c>
      <c r="E3100" s="24" t="n">
        <f aca="false">LN(C3100)</f>
        <v>10.3246888612885</v>
      </c>
      <c r="F3100" s="25" t="n">
        <f aca="false">LN(C3100/C3099)</f>
        <v>0.00113005825488925</v>
      </c>
      <c r="G3100" s="25" t="n">
        <f aca="false">IF(AND(D3100=1,A3100&gt;=$R$2),F3100,"")</f>
        <v>0.00113005825488925</v>
      </c>
      <c r="H3100" s="27" t="n">
        <f aca="false">IF(G3100="","",G3100^2)</f>
        <v>1.27703165944335E-006</v>
      </c>
      <c r="I3100" s="25" t="n">
        <f aca="false">IF(G3100="","",C3100/C3099-1)</f>
        <v>0.00113069701130697</v>
      </c>
      <c r="J3100" s="17" t="n">
        <f aca="false">AVERAGE(C2901:C3100)</f>
        <v>24650.66985</v>
      </c>
      <c r="K3100" s="17" t="n">
        <f aca="false">MAX(K3099,C3100)</f>
        <v>67510.06</v>
      </c>
      <c r="L3100" s="25" t="n">
        <f aca="false">C3100/K3100-1</f>
        <v>-0.548573649616072</v>
      </c>
      <c r="M3100" s="25" t="n">
        <f aca="false">IF(COUNT(G3071:G3100)&lt;20,"",_xlfn.STDEV.S(G3071:G3100)*SQRT($R$3))</f>
        <v>0.478522719738326</v>
      </c>
      <c r="N3100" s="25" t="n">
        <f aca="false">IF(A3100-7&lt;$R$2,"",C3100/INDEX(Clean_Data!$C$2:$C$4314,MATCH(A3100-7,Clean_Data!$A$2:$A$4314,1))-1)</f>
        <v>-0.00704935263640449</v>
      </c>
      <c r="O3100" s="25" t="n">
        <f aca="false">IF(A3100-30&lt;$R$2,"",C3100/INDEX(Clean_Data!$C$2:$C$4314,MATCH(A3100-30,Clean_Data!$A$2:$A$4314,1))-1)</f>
        <v>0.119492045300097</v>
      </c>
    </row>
    <row r="3101" customFormat="false" ht="15" hidden="false" customHeight="false" outlineLevel="0" collapsed="false">
      <c r="A3101" s="16" t="n">
        <v>45108</v>
      </c>
      <c r="B3101" s="23" t="n">
        <f aca="false">YEAR(A3101)</f>
        <v>2023</v>
      </c>
      <c r="C3101" s="17" t="n">
        <v>30585</v>
      </c>
      <c r="D3101" s="23" t="n">
        <f aca="false">A3101-A3100</f>
        <v>1</v>
      </c>
      <c r="E3101" s="24" t="n">
        <f aca="false">LN(C3101)</f>
        <v>10.3282649716767</v>
      </c>
      <c r="F3101" s="25" t="n">
        <f aca="false">LN(C3101/C3100)</f>
        <v>0.00357611038812144</v>
      </c>
      <c r="G3101" s="25" t="n">
        <f aca="false">IF(AND(D3101=1,A3101&gt;=$R$2),F3101,"")</f>
        <v>0.00357611038812144</v>
      </c>
      <c r="H3101" s="27" t="n">
        <f aca="false">IF(G3101="","",G3101^2)</f>
        <v>1.27885655080301E-005</v>
      </c>
      <c r="I3101" s="25" t="n">
        <f aca="false">IF(G3101="","",C3101/C3100-1)</f>
        <v>0.00358251229991513</v>
      </c>
      <c r="J3101" s="17" t="n">
        <f aca="false">AVERAGE(C2902:C3101)</f>
        <v>24714.7766</v>
      </c>
      <c r="K3101" s="17" t="n">
        <f aca="false">MAX(K3100,C3101)</f>
        <v>67510.06</v>
      </c>
      <c r="L3101" s="25" t="n">
        <f aca="false">C3101/K3101-1</f>
        <v>-0.546956409163316</v>
      </c>
      <c r="M3101" s="25" t="n">
        <f aca="false">IF(COUNT(G3072:G3101)&lt;20,"",_xlfn.STDEV.S(G3072:G3101)*SQRT($R$3))</f>
        <v>0.474085022330412</v>
      </c>
      <c r="N3101" s="25" t="n">
        <f aca="false">IF(A3101-7&lt;$R$2,"",C3101/INDEX(Clean_Data!$C$2:$C$4314,MATCH(A3101-7,Clean_Data!$A$2:$A$4314,1))-1)</f>
        <v>0.000926474693430546</v>
      </c>
      <c r="O3101" s="25" t="n">
        <f aca="false">IF(A3101-30&lt;$R$2,"",C3101/INDEX(Clean_Data!$C$2:$C$4314,MATCH(A3101-30,Clean_Data!$A$2:$A$4314,1))-1)</f>
        <v>0.139653688364242</v>
      </c>
    </row>
    <row r="3102" customFormat="false" ht="15" hidden="false" customHeight="false" outlineLevel="0" collapsed="false">
      <c r="A3102" s="16" t="n">
        <v>45109</v>
      </c>
      <c r="B3102" s="23" t="n">
        <f aca="false">YEAR(A3102)</f>
        <v>2023</v>
      </c>
      <c r="C3102" s="17" t="n">
        <v>30616.01</v>
      </c>
      <c r="D3102" s="23" t="n">
        <f aca="false">A3102-A3101</f>
        <v>1</v>
      </c>
      <c r="E3102" s="24" t="n">
        <f aca="false">LN(C3102)</f>
        <v>10.3292783537321</v>
      </c>
      <c r="F3102" s="25" t="n">
        <f aca="false">LN(C3102/C3101)</f>
        <v>0.0010133820554201</v>
      </c>
      <c r="G3102" s="25" t="n">
        <f aca="false">IF(AND(D3102=1,A3102&gt;=$R$2),F3102,"")</f>
        <v>0.0010133820554201</v>
      </c>
      <c r="H3102" s="27" t="n">
        <f aca="false">IF(G3102="","",G3102^2)</f>
        <v>1.02694319024746E-006</v>
      </c>
      <c r="I3102" s="25" t="n">
        <f aca="false">IF(G3102="","",C3102/C3101-1)</f>
        <v>0.00101389570050681</v>
      </c>
      <c r="J3102" s="17" t="n">
        <f aca="false">AVERAGE(C2903:C3102)</f>
        <v>24778.7777</v>
      </c>
      <c r="K3102" s="17" t="n">
        <f aca="false">MAX(K3101,C3102)</f>
        <v>67510.06</v>
      </c>
      <c r="L3102" s="25" t="n">
        <f aca="false">C3102/K3102-1</f>
        <v>-0.546497070214424</v>
      </c>
      <c r="M3102" s="25" t="n">
        <f aca="false">IF(COUNT(G3073:G3102)&lt;20,"",_xlfn.STDEV.S(G3073:G3102)*SQRT($R$3))</f>
        <v>0.472555418837677</v>
      </c>
      <c r="N3102" s="25" t="n">
        <f aca="false">IF(A3102-7&lt;$R$2,"",C3102/INDEX(Clean_Data!$C$2:$C$4314,MATCH(A3102-7,Clean_Data!$A$2:$A$4314,1))-1)</f>
        <v>0.00418651439876916</v>
      </c>
      <c r="O3102" s="25" t="n">
        <f aca="false">IF(A3102-30&lt;$R$2,"",C3102/INDEX(Clean_Data!$C$2:$C$4314,MATCH(A3102-30,Clean_Data!$A$2:$A$4314,1))-1)</f>
        <v>0.123503100311224</v>
      </c>
    </row>
    <row r="3103" customFormat="false" ht="15" hidden="false" customHeight="false" outlineLevel="0" collapsed="false">
      <c r="A3103" s="16" t="n">
        <v>45110</v>
      </c>
      <c r="B3103" s="23" t="n">
        <f aca="false">YEAR(A3103)</f>
        <v>2023</v>
      </c>
      <c r="C3103" s="17" t="n">
        <v>31163.19</v>
      </c>
      <c r="D3103" s="23" t="n">
        <f aca="false">A3103-A3102</f>
        <v>1</v>
      </c>
      <c r="E3103" s="24" t="n">
        <f aca="false">LN(C3103)</f>
        <v>10.3469928695843</v>
      </c>
      <c r="F3103" s="25" t="n">
        <f aca="false">LN(C3103/C3102)</f>
        <v>0.0177145158521909</v>
      </c>
      <c r="G3103" s="25" t="n">
        <f aca="false">IF(AND(D3103=1,A3103&gt;=$R$2),F3103,"")</f>
        <v>0.0177145158521909</v>
      </c>
      <c r="H3103" s="27" t="n">
        <f aca="false">IF(G3103="","",G3103^2)</f>
        <v>0.000313804071877524</v>
      </c>
      <c r="I3103" s="25" t="n">
        <f aca="false">IF(G3103="","",C3103/C3102-1)</f>
        <v>0.0178723484869519</v>
      </c>
      <c r="J3103" s="17" t="n">
        <f aca="false">AVERAGE(C2904:C3103)</f>
        <v>24847.80365</v>
      </c>
      <c r="K3103" s="17" t="n">
        <f aca="false">MAX(K3102,C3103)</f>
        <v>67510.06</v>
      </c>
      <c r="L3103" s="25" t="n">
        <f aca="false">C3103/K3103-1</f>
        <v>-0.538391907813443</v>
      </c>
      <c r="M3103" s="25" t="n">
        <f aca="false">IF(COUNT(G3074:G3103)&lt;20,"",_xlfn.STDEV.S(G3074:G3103)*SQRT($R$3))</f>
        <v>0.473404528894396</v>
      </c>
      <c r="N3103" s="25" t="n">
        <f aca="false">IF(A3103-7&lt;$R$2,"",C3103/INDEX(Clean_Data!$C$2:$C$4314,MATCH(A3103-7,Clean_Data!$A$2:$A$4314,1))-1)</f>
        <v>0.0291681170198923</v>
      </c>
      <c r="O3103" s="25" t="n">
        <f aca="false">IF(A3103-30&lt;$R$2,"",C3103/INDEX(Clean_Data!$C$2:$C$4314,MATCH(A3103-30,Clean_Data!$A$2:$A$4314,1))-1)</f>
        <v>0.151050706423838</v>
      </c>
    </row>
    <row r="3104" customFormat="false" ht="15" hidden="false" customHeight="false" outlineLevel="0" collapsed="false">
      <c r="A3104" s="16" t="n">
        <v>45111</v>
      </c>
      <c r="B3104" s="23" t="n">
        <f aca="false">YEAR(A3104)</f>
        <v>2023</v>
      </c>
      <c r="C3104" s="17" t="n">
        <v>30766.91</v>
      </c>
      <c r="D3104" s="23" t="n">
        <f aca="false">A3104-A3103</f>
        <v>1</v>
      </c>
      <c r="E3104" s="24" t="n">
        <f aca="false">LN(C3104)</f>
        <v>10.334195040784</v>
      </c>
      <c r="F3104" s="25" t="n">
        <f aca="false">LN(C3104/C3103)</f>
        <v>-0.0127978288003022</v>
      </c>
      <c r="G3104" s="25" t="n">
        <f aca="false">IF(AND(D3104=1,A3104&gt;=$R$2),F3104,"")</f>
        <v>-0.0127978288003022</v>
      </c>
      <c r="H3104" s="27" t="n">
        <f aca="false">IF(G3104="","",G3104^2)</f>
        <v>0.000163784422001845</v>
      </c>
      <c r="I3104" s="25" t="n">
        <f aca="false">IF(G3104="","",C3104/C3103-1)</f>
        <v>-0.0127162848219325</v>
      </c>
      <c r="J3104" s="17" t="n">
        <f aca="false">AVERAGE(C2905:C3104)</f>
        <v>24918.50155</v>
      </c>
      <c r="K3104" s="17" t="n">
        <f aca="false">MAX(K3103,C3104)</f>
        <v>67510.06</v>
      </c>
      <c r="L3104" s="25" t="n">
        <f aca="false">C3104/K3104-1</f>
        <v>-0.544261847789796</v>
      </c>
      <c r="M3104" s="25" t="n">
        <f aca="false">IF(COUNT(G3075:G3104)&lt;20,"",_xlfn.STDEV.S(G3075:G3104)*SQRT($R$3))</f>
        <v>0.477209922897212</v>
      </c>
      <c r="N3104" s="25" t="n">
        <f aca="false">IF(A3104-7&lt;$R$2,"",C3104/INDEX(Clean_Data!$C$2:$C$4314,MATCH(A3104-7,Clean_Data!$A$2:$A$4314,1))-1)</f>
        <v>0.00211093052266786</v>
      </c>
      <c r="O3104" s="25" t="n">
        <f aca="false">IF(A3104-30&lt;$R$2,"",C3104/INDEX(Clean_Data!$C$2:$C$4314,MATCH(A3104-30,Clean_Data!$A$2:$A$4314,1))-1)</f>
        <v>0.134989100870713</v>
      </c>
    </row>
    <row r="3105" customFormat="false" ht="15" hidden="false" customHeight="false" outlineLevel="0" collapsed="false">
      <c r="A3105" s="16" t="n">
        <v>45112</v>
      </c>
      <c r="B3105" s="23" t="n">
        <f aca="false">YEAR(A3105)</f>
        <v>2023</v>
      </c>
      <c r="C3105" s="17" t="n">
        <v>30492.71</v>
      </c>
      <c r="D3105" s="23" t="n">
        <f aca="false">A3105-A3104</f>
        <v>1</v>
      </c>
      <c r="E3105" s="24" t="n">
        <f aca="false">LN(C3105)</f>
        <v>10.3252429176331</v>
      </c>
      <c r="F3105" s="25" t="n">
        <f aca="false">LN(C3105/C3104)</f>
        <v>-0.00895212315088418</v>
      </c>
      <c r="G3105" s="25" t="n">
        <f aca="false">IF(AND(D3105=1,A3105&gt;=$R$2),F3105,"")</f>
        <v>-0.00895212315088418</v>
      </c>
      <c r="H3105" s="27" t="n">
        <f aca="false">IF(G3105="","",G3105^2)</f>
        <v>8.01405089085965E-005</v>
      </c>
      <c r="I3105" s="25" t="n">
        <f aca="false">IF(G3105="","",C3105/C3104-1)</f>
        <v>-0.00891217220058826</v>
      </c>
      <c r="J3105" s="17" t="n">
        <f aca="false">AVERAGE(C2906:C3105)</f>
        <v>24987.03575</v>
      </c>
      <c r="K3105" s="17" t="n">
        <f aca="false">MAX(K3104,C3105)</f>
        <v>67510.06</v>
      </c>
      <c r="L3105" s="25" t="n">
        <f aca="false">C3105/K3105-1</f>
        <v>-0.548323464680671</v>
      </c>
      <c r="M3105" s="25" t="n">
        <f aca="false">IF(COUNT(G3076:G3105)&lt;20,"",_xlfn.STDEV.S(G3076:G3105)*SQRT($R$3))</f>
        <v>0.436250645017198</v>
      </c>
      <c r="N3105" s="25" t="n">
        <f aca="false">IF(A3105-7&lt;$R$2,"",C3105/INDEX(Clean_Data!$C$2:$C$4314,MATCH(A3105-7,Clean_Data!$A$2:$A$4314,1))-1)</f>
        <v>0.0129593457043578</v>
      </c>
      <c r="O3105" s="25" t="n">
        <f aca="false">IF(A3105-30&lt;$R$2,"",C3105/INDEX(Clean_Data!$C$2:$C$4314,MATCH(A3105-30,Clean_Data!$A$2:$A$4314,1))-1)</f>
        <v>0.184125890636723</v>
      </c>
    </row>
    <row r="3106" customFormat="false" ht="15" hidden="false" customHeight="false" outlineLevel="0" collapsed="false">
      <c r="A3106" s="16" t="n">
        <v>45113</v>
      </c>
      <c r="B3106" s="23" t="n">
        <f aca="false">YEAR(A3106)</f>
        <v>2023</v>
      </c>
      <c r="C3106" s="17" t="n">
        <v>29910.89</v>
      </c>
      <c r="D3106" s="23" t="n">
        <f aca="false">A3106-A3105</f>
        <v>1</v>
      </c>
      <c r="E3106" s="24" t="n">
        <f aca="false">LN(C3106)</f>
        <v>10.3059779071158</v>
      </c>
      <c r="F3106" s="25" t="n">
        <f aca="false">LN(C3106/C3105)</f>
        <v>-0.0192650105173251</v>
      </c>
      <c r="G3106" s="25" t="n">
        <f aca="false">IF(AND(D3106=1,A3106&gt;=$R$2),F3106,"")</f>
        <v>-0.0192650105173251</v>
      </c>
      <c r="H3106" s="27" t="n">
        <f aca="false">IF(G3106="","",G3106^2)</f>
        <v>0.000371140630232645</v>
      </c>
      <c r="I3106" s="25" t="n">
        <f aca="false">IF(G3106="","",C3106/C3105-1)</f>
        <v>-0.019080626156219</v>
      </c>
      <c r="J3106" s="17" t="n">
        <f aca="false">AVERAGE(C2907:C3106)</f>
        <v>25052.8172</v>
      </c>
      <c r="K3106" s="17" t="n">
        <f aca="false">MAX(K3105,C3106)</f>
        <v>67510.06</v>
      </c>
      <c r="L3106" s="25" t="n">
        <f aca="false">C3106/K3106-1</f>
        <v>-0.556941735794636</v>
      </c>
      <c r="M3106" s="25" t="n">
        <f aca="false">IF(COUNT(G3077:G3106)&lt;20,"",_xlfn.STDEV.S(G3077:G3106)*SQRT($R$3))</f>
        <v>0.404048750470142</v>
      </c>
      <c r="N3106" s="25" t="n">
        <f aca="false">IF(A3106-7&lt;$R$2,"",C3106/INDEX(Clean_Data!$C$2:$C$4314,MATCH(A3106-7,Clean_Data!$A$2:$A$4314,1))-1)</f>
        <v>-0.0174272536742726</v>
      </c>
      <c r="O3106" s="25" t="n">
        <f aca="false">IF(A3106-30&lt;$R$2,"",C3106/INDEX(Clean_Data!$C$2:$C$4314,MATCH(A3106-30,Clean_Data!$A$2:$A$4314,1))-1)</f>
        <v>0.0978165442013081</v>
      </c>
    </row>
    <row r="3107" customFormat="false" ht="15" hidden="false" customHeight="false" outlineLevel="0" collapsed="false">
      <c r="A3107" s="16" t="n">
        <v>45114</v>
      </c>
      <c r="B3107" s="23" t="n">
        <f aca="false">YEAR(A3107)</f>
        <v>2023</v>
      </c>
      <c r="C3107" s="17" t="n">
        <v>30337.33</v>
      </c>
      <c r="D3107" s="23" t="n">
        <f aca="false">A3107-A3106</f>
        <v>1</v>
      </c>
      <c r="E3107" s="24" t="n">
        <f aca="false">LN(C3107)</f>
        <v>10.3201342463933</v>
      </c>
      <c r="F3107" s="25" t="n">
        <f aca="false">LN(C3107/C3106)</f>
        <v>0.0141563392775163</v>
      </c>
      <c r="G3107" s="25" t="n">
        <f aca="false">IF(AND(D3107=1,A3107&gt;=$R$2),F3107,"")</f>
        <v>0.0141563392775163</v>
      </c>
      <c r="H3107" s="27" t="n">
        <f aca="false">IF(G3107="","",G3107^2)</f>
        <v>0.00020040194174015</v>
      </c>
      <c r="I3107" s="25" t="n">
        <f aca="false">IF(G3107="","",C3107/C3106-1)</f>
        <v>0.0142570147528209</v>
      </c>
      <c r="J3107" s="17" t="n">
        <f aca="false">AVERAGE(C2908:C3107)</f>
        <v>25122.2385</v>
      </c>
      <c r="K3107" s="17" t="n">
        <f aca="false">MAX(K3106,C3107)</f>
        <v>67510.06</v>
      </c>
      <c r="L3107" s="25" t="n">
        <f aca="false">C3107/K3107-1</f>
        <v>-0.550625047585501</v>
      </c>
      <c r="M3107" s="25" t="n">
        <f aca="false">IF(COUNT(G3078:G3107)&lt;20,"",_xlfn.STDEV.S(G3078:G3107)*SQRT($R$3))</f>
        <v>0.38334080271192</v>
      </c>
      <c r="N3107" s="25" t="n">
        <f aca="false">IF(A3107-7&lt;$R$2,"",C3107/INDEX(Clean_Data!$C$2:$C$4314,MATCH(A3107-7,Clean_Data!$A$2:$A$4314,1))-1)</f>
        <v>-0.0045442583661407</v>
      </c>
      <c r="O3107" s="25" t="n">
        <f aca="false">IF(A3107-30&lt;$R$2,"",C3107/INDEX(Clean_Data!$C$2:$C$4314,MATCH(A3107-30,Clean_Data!$A$2:$A$4314,1))-1)</f>
        <v>0.151422762299086</v>
      </c>
    </row>
    <row r="3108" customFormat="false" ht="15" hidden="false" customHeight="false" outlineLevel="0" collapsed="false">
      <c r="A3108" s="16" t="n">
        <v>45115</v>
      </c>
      <c r="B3108" s="23" t="n">
        <f aca="false">YEAR(A3108)</f>
        <v>2023</v>
      </c>
      <c r="C3108" s="17" t="n">
        <v>30301.5</v>
      </c>
      <c r="D3108" s="23" t="n">
        <f aca="false">A3108-A3107</f>
        <v>1</v>
      </c>
      <c r="E3108" s="24" t="n">
        <f aca="false">LN(C3108)</f>
        <v>10.3189524952226</v>
      </c>
      <c r="F3108" s="25" t="n">
        <f aca="false">LN(C3108/C3107)</f>
        <v>-0.00118175117065505</v>
      </c>
      <c r="G3108" s="25" t="n">
        <f aca="false">IF(AND(D3108=1,A3108&gt;=$R$2),F3108,"")</f>
        <v>-0.00118175117065505</v>
      </c>
      <c r="H3108" s="27" t="n">
        <f aca="false">IF(G3108="","",G3108^2)</f>
        <v>1.39653582934457E-006</v>
      </c>
      <c r="I3108" s="25" t="n">
        <f aca="false">IF(G3108="","",C3108/C3107-1)</f>
        <v>-0.00118105317771877</v>
      </c>
      <c r="J3108" s="17" t="n">
        <f aca="false">AVERAGE(C2909:C3108)</f>
        <v>25189.2809</v>
      </c>
      <c r="K3108" s="17" t="n">
        <f aca="false">MAX(K3107,C3108)</f>
        <v>67510.06</v>
      </c>
      <c r="L3108" s="25" t="n">
        <f aca="false">C3108/K3108-1</f>
        <v>-0.551155783301037</v>
      </c>
      <c r="M3108" s="25" t="n">
        <f aca="false">IF(COUNT(G3079:G3108)&lt;20,"",_xlfn.STDEV.S(G3079:G3108)*SQRT($R$3))</f>
        <v>0.383855103150671</v>
      </c>
      <c r="N3108" s="25" t="n">
        <f aca="false">IF(A3108-7&lt;$R$2,"",C3108/INDEX(Clean_Data!$C$2:$C$4314,MATCH(A3108-7,Clean_Data!$A$2:$A$4314,1))-1)</f>
        <v>-0.00926924963217268</v>
      </c>
      <c r="O3108" s="25" t="n">
        <f aca="false">IF(A3108-30&lt;$R$2,"",C3108/INDEX(Clean_Data!$C$2:$C$4314,MATCH(A3108-30,Clean_Data!$A$2:$A$4314,1))-1)</f>
        <v>0.143245320377697</v>
      </c>
    </row>
    <row r="3109" customFormat="false" ht="15" hidden="false" customHeight="false" outlineLevel="0" collapsed="false">
      <c r="A3109" s="16" t="n">
        <v>45116</v>
      </c>
      <c r="B3109" s="23" t="n">
        <f aca="false">YEAR(A3109)</f>
        <v>2023</v>
      </c>
      <c r="C3109" s="17" t="n">
        <v>30171.1</v>
      </c>
      <c r="D3109" s="23" t="n">
        <f aca="false">A3109-A3108</f>
        <v>1</v>
      </c>
      <c r="E3109" s="24" t="n">
        <f aca="false">LN(C3109)</f>
        <v>10.3146397915481</v>
      </c>
      <c r="F3109" s="25" t="n">
        <f aca="false">LN(C3109/C3108)</f>
        <v>-0.00431270367450916</v>
      </c>
      <c r="G3109" s="25" t="n">
        <f aca="false">IF(AND(D3109=1,A3109&gt;=$R$2),F3109,"")</f>
        <v>-0.00431270367450916</v>
      </c>
      <c r="H3109" s="27" t="n">
        <f aca="false">IF(G3109="","",G3109^2)</f>
        <v>1.85994129841248E-005</v>
      </c>
      <c r="I3109" s="25" t="n">
        <f aca="false">IF(G3109="","",C3109/C3108-1)</f>
        <v>-0.00430341732257489</v>
      </c>
      <c r="J3109" s="17" t="n">
        <f aca="false">AVERAGE(C2910:C3109)</f>
        <v>25256.03125</v>
      </c>
      <c r="K3109" s="17" t="n">
        <f aca="false">MAX(K3108,C3109)</f>
        <v>67510.06</v>
      </c>
      <c r="L3109" s="25" t="n">
        <f aca="false">C3109/K3109-1</f>
        <v>-0.553087347278317</v>
      </c>
      <c r="M3109" s="25" t="n">
        <f aca="false">IF(COUNT(G3080:G3109)&lt;20,"",_xlfn.STDEV.S(G3080:G3109)*SQRT($R$3))</f>
        <v>0.384653285744526</v>
      </c>
      <c r="N3109" s="25" t="n">
        <f aca="false">IF(A3109-7&lt;$R$2,"",C3109/INDEX(Clean_Data!$C$2:$C$4314,MATCH(A3109-7,Clean_Data!$A$2:$A$4314,1))-1)</f>
        <v>-0.0145319393350081</v>
      </c>
      <c r="O3109" s="25" t="n">
        <f aca="false">IF(A3109-30&lt;$R$2,"",C3109/INDEX(Clean_Data!$C$2:$C$4314,MATCH(A3109-30,Clean_Data!$A$2:$A$4314,1))-1)</f>
        <v>0.139254319719671</v>
      </c>
    </row>
    <row r="3110" customFormat="false" ht="15" hidden="false" customHeight="false" outlineLevel="0" collapsed="false">
      <c r="A3110" s="16" t="n">
        <v>45117</v>
      </c>
      <c r="B3110" s="23" t="n">
        <f aca="false">YEAR(A3110)</f>
        <v>2023</v>
      </c>
      <c r="C3110" s="17" t="n">
        <v>30427.52</v>
      </c>
      <c r="D3110" s="23" t="n">
        <f aca="false">A3110-A3109</f>
        <v>1</v>
      </c>
      <c r="E3110" s="24" t="n">
        <f aca="false">LN(C3110)</f>
        <v>10.3231027410486</v>
      </c>
      <c r="F3110" s="25" t="n">
        <f aca="false">LN(C3110/C3109)</f>
        <v>0.00846294950051874</v>
      </c>
      <c r="G3110" s="25" t="n">
        <f aca="false">IF(AND(D3110=1,A3110&gt;=$R$2),F3110,"")</f>
        <v>0.00846294950051874</v>
      </c>
      <c r="H3110" s="27" t="n">
        <f aca="false">IF(G3110="","",G3110^2)</f>
        <v>7.16215142483303E-005</v>
      </c>
      <c r="I3110" s="25" t="n">
        <f aca="false">IF(G3110="","",C3110/C3109-1)</f>
        <v>0.00849886149328327</v>
      </c>
      <c r="J3110" s="17" t="n">
        <f aca="false">AVERAGE(C2911:C3110)</f>
        <v>25324.0728</v>
      </c>
      <c r="K3110" s="17" t="n">
        <f aca="false">MAX(K3109,C3110)</f>
        <v>67510.06</v>
      </c>
      <c r="L3110" s="25" t="n">
        <f aca="false">C3110/K3110-1</f>
        <v>-0.549289098543239</v>
      </c>
      <c r="M3110" s="25" t="n">
        <f aca="false">IF(COUNT(G3081:G3110)&lt;20,"",_xlfn.STDEV.S(G3081:G3110)*SQRT($R$3))</f>
        <v>0.370019114675545</v>
      </c>
      <c r="N3110" s="25" t="n">
        <f aca="false">IF(A3110-7&lt;$R$2,"",C3110/INDEX(Clean_Data!$C$2:$C$4314,MATCH(A3110-7,Clean_Data!$A$2:$A$4314,1))-1)</f>
        <v>-0.0236070184085775</v>
      </c>
      <c r="O3110" s="25" t="n">
        <f aca="false">IF(A3110-30&lt;$R$2,"",C3110/INDEX(Clean_Data!$C$2:$C$4314,MATCH(A3110-30,Clean_Data!$A$2:$A$4314,1))-1)</f>
        <v>0.17794314286754</v>
      </c>
    </row>
    <row r="3111" customFormat="false" ht="15" hidden="false" customHeight="false" outlineLevel="0" collapsed="false">
      <c r="A3111" s="16" t="n">
        <v>45118</v>
      </c>
      <c r="B3111" s="23" t="n">
        <f aca="false">YEAR(A3111)</f>
        <v>2023</v>
      </c>
      <c r="C3111" s="17" t="n">
        <v>30636.22</v>
      </c>
      <c r="D3111" s="23" t="n">
        <f aca="false">A3111-A3110</f>
        <v>1</v>
      </c>
      <c r="E3111" s="24" t="n">
        <f aca="false">LN(C3111)</f>
        <v>10.3299382480978</v>
      </c>
      <c r="F3111" s="25" t="n">
        <f aca="false">LN(C3111/C3110)</f>
        <v>0.0068355070492022</v>
      </c>
      <c r="G3111" s="25" t="n">
        <f aca="false">IF(AND(D3111=1,A3111&gt;=$R$2),F3111,"")</f>
        <v>0.0068355070492022</v>
      </c>
      <c r="H3111" s="27" t="n">
        <f aca="false">IF(G3111="","",G3111^2)</f>
        <v>4.67241566196929E-005</v>
      </c>
      <c r="I3111" s="25" t="n">
        <f aca="false">IF(G3111="","",C3111/C3110-1)</f>
        <v>0.00685892244915132</v>
      </c>
      <c r="J3111" s="17" t="n">
        <f aca="false">AVERAGE(C2912:C3111)</f>
        <v>25393.37005</v>
      </c>
      <c r="K3111" s="17" t="n">
        <f aca="false">MAX(K3110,C3111)</f>
        <v>67510.06</v>
      </c>
      <c r="L3111" s="25" t="n">
        <f aca="false">C3111/K3111-1</f>
        <v>-0.54619770742316</v>
      </c>
      <c r="M3111" s="25" t="n">
        <f aca="false">IF(COUNT(G3082:G3111)&lt;20,"",_xlfn.STDEV.S(G3082:G3111)*SQRT($R$3))</f>
        <v>0.370031472000813</v>
      </c>
      <c r="N3111" s="25" t="n">
        <f aca="false">IF(A3111-7&lt;$R$2,"",C3111/INDEX(Clean_Data!$C$2:$C$4314,MATCH(A3111-7,Clean_Data!$A$2:$A$4314,1))-1)</f>
        <v>-0.00424774538619566</v>
      </c>
      <c r="O3111" s="25" t="n">
        <f aca="false">IF(A3111-30&lt;$R$2,"",C3111/INDEX(Clean_Data!$C$2:$C$4314,MATCH(A3111-30,Clean_Data!$A$2:$A$4314,1))-1)</f>
        <v>0.180734843760719</v>
      </c>
    </row>
    <row r="3112" customFormat="false" ht="15" hidden="false" customHeight="false" outlineLevel="0" collapsed="false">
      <c r="A3112" s="16" t="n">
        <v>45119</v>
      </c>
      <c r="B3112" s="23" t="n">
        <f aca="false">YEAR(A3112)</f>
        <v>2023</v>
      </c>
      <c r="C3112" s="17" t="n">
        <v>30379.01</v>
      </c>
      <c r="D3112" s="23" t="n">
        <f aca="false">A3112-A3111</f>
        <v>1</v>
      </c>
      <c r="E3112" s="24" t="n">
        <f aca="false">LN(C3112)</f>
        <v>10.3215071883903</v>
      </c>
      <c r="F3112" s="25" t="n">
        <f aca="false">LN(C3112/C3111)</f>
        <v>-0.00843105970748906</v>
      </c>
      <c r="G3112" s="25" t="n">
        <f aca="false">IF(AND(D3112=1,A3112&gt;=$R$2),F3112,"")</f>
        <v>-0.00843105970748906</v>
      </c>
      <c r="H3112" s="27" t="n">
        <f aca="false">IF(G3112="","",G3112^2)</f>
        <v>7.10827677912456E-005</v>
      </c>
      <c r="I3112" s="25" t="n">
        <f aca="false">IF(G3112="","",C3112/C3111-1)</f>
        <v>-0.00839561799725952</v>
      </c>
      <c r="J3112" s="17" t="n">
        <f aca="false">AVERAGE(C2913:C3112)</f>
        <v>25461.09705</v>
      </c>
      <c r="K3112" s="17" t="n">
        <f aca="false">MAX(K3111,C3112)</f>
        <v>67510.06</v>
      </c>
      <c r="L3112" s="25" t="n">
        <f aca="false">C3112/K3112-1</f>
        <v>-0.550007658117916</v>
      </c>
      <c r="M3112" s="25" t="n">
        <f aca="false">IF(COUNT(G3083:G3112)&lt;20,"",_xlfn.STDEV.S(G3083:G3112)*SQRT($R$3))</f>
        <v>0.372464034565502</v>
      </c>
      <c r="N3112" s="25" t="n">
        <f aca="false">IF(A3112-7&lt;$R$2,"",C3112/INDEX(Clean_Data!$C$2:$C$4314,MATCH(A3112-7,Clean_Data!$A$2:$A$4314,1))-1)</f>
        <v>-0.0037287600872471</v>
      </c>
      <c r="O3112" s="25" t="n">
        <f aca="false">IF(A3112-30&lt;$R$2,"",C3112/INDEX(Clean_Data!$C$2:$C$4314,MATCH(A3112-30,Clean_Data!$A$2:$A$4314,1))-1)</f>
        <v>0.172621898945108</v>
      </c>
    </row>
    <row r="3113" customFormat="false" ht="15" hidden="false" customHeight="false" outlineLevel="0" collapsed="false">
      <c r="A3113" s="16" t="n">
        <v>45120</v>
      </c>
      <c r="B3113" s="23" t="n">
        <f aca="false">YEAR(A3113)</f>
        <v>2023</v>
      </c>
      <c r="C3113" s="17" t="n">
        <v>31471.53</v>
      </c>
      <c r="D3113" s="23" t="n">
        <f aca="false">A3113-A3112</f>
        <v>1</v>
      </c>
      <c r="E3113" s="24" t="n">
        <f aca="false">LN(C3113)</f>
        <v>10.3568386066078</v>
      </c>
      <c r="F3113" s="25" t="n">
        <f aca="false">LN(C3113/C3112)</f>
        <v>0.0353314182174728</v>
      </c>
      <c r="G3113" s="25" t="n">
        <f aca="false">IF(AND(D3113=1,A3113&gt;=$R$2),F3113,"")</f>
        <v>0.0353314182174728</v>
      </c>
      <c r="H3113" s="27" t="n">
        <f aca="false">IF(G3113="","",G3113^2)</f>
        <v>0.00124830911325797</v>
      </c>
      <c r="I3113" s="25" t="n">
        <f aca="false">IF(G3113="","",C3113/C3112-1)</f>
        <v>0.0359629889189939</v>
      </c>
      <c r="J3113" s="17" t="n">
        <f aca="false">AVERAGE(C2914:C3113)</f>
        <v>25534.29885</v>
      </c>
      <c r="K3113" s="17" t="n">
        <f aca="false">MAX(K3112,C3113)</f>
        <v>67510.06</v>
      </c>
      <c r="L3113" s="25" t="n">
        <f aca="false">C3113/K3113-1</f>
        <v>-0.533824588513179</v>
      </c>
      <c r="M3113" s="25" t="n">
        <f aca="false">IF(COUNT(G3084:G3113)&lt;20,"",_xlfn.STDEV.S(G3084:G3113)*SQRT($R$3))</f>
        <v>0.386455311996677</v>
      </c>
      <c r="N3113" s="25" t="n">
        <f aca="false">IF(A3113-7&lt;$R$2,"",C3113/INDEX(Clean_Data!$C$2:$C$4314,MATCH(A3113-7,Clean_Data!$A$2:$A$4314,1))-1)</f>
        <v>0.0521763143791443</v>
      </c>
      <c r="O3113" s="25" t="n">
        <f aca="false">IF(A3113-30&lt;$R$2,"",C3113/INDEX(Clean_Data!$C$2:$C$4314,MATCH(A3113-30,Clean_Data!$A$2:$A$4314,1))-1)</f>
        <v>0.213568868131156</v>
      </c>
    </row>
    <row r="3114" customFormat="false" ht="15" hidden="false" customHeight="false" outlineLevel="0" collapsed="false">
      <c r="A3114" s="16" t="n">
        <v>45121</v>
      </c>
      <c r="B3114" s="23" t="n">
        <f aca="false">YEAR(A3114)</f>
        <v>2023</v>
      </c>
      <c r="C3114" s="17" t="n">
        <v>30312.82</v>
      </c>
      <c r="D3114" s="23" t="n">
        <f aca="false">A3114-A3113</f>
        <v>1</v>
      </c>
      <c r="E3114" s="24" t="n">
        <f aca="false">LN(C3114)</f>
        <v>10.3193260043251</v>
      </c>
      <c r="F3114" s="25" t="n">
        <f aca="false">LN(C3114/C3113)</f>
        <v>-0.0375126022826731</v>
      </c>
      <c r="G3114" s="25" t="n">
        <f aca="false">IF(AND(D3114=1,A3114&gt;=$R$2),F3114,"")</f>
        <v>-0.0375126022826731</v>
      </c>
      <c r="H3114" s="27" t="n">
        <f aca="false">IF(G3114="","",G3114^2)</f>
        <v>0.00140719533001801</v>
      </c>
      <c r="I3114" s="25" t="n">
        <f aca="false">IF(G3114="","",C3114/C3113-1)</f>
        <v>-0.0368177206510137</v>
      </c>
      <c r="J3114" s="17" t="n">
        <f aca="false">AVERAGE(C2915:C3114)</f>
        <v>25601.15885</v>
      </c>
      <c r="K3114" s="17" t="n">
        <f aca="false">MAX(K3113,C3114)</f>
        <v>67510.06</v>
      </c>
      <c r="L3114" s="25" t="n">
        <f aca="false">C3114/K3114-1</f>
        <v>-0.550988104587672</v>
      </c>
      <c r="M3114" s="25" t="n">
        <f aca="false">IF(COUNT(G3085:G3114)&lt;20,"",_xlfn.STDEV.S(G3085:G3114)*SQRT($R$3))</f>
        <v>0.393154069900126</v>
      </c>
      <c r="N3114" s="25" t="n">
        <f aca="false">IF(A3114-7&lt;$R$2,"",C3114/INDEX(Clean_Data!$C$2:$C$4314,MATCH(A3114-7,Clean_Data!$A$2:$A$4314,1))-1)</f>
        <v>-0.000807915528492575</v>
      </c>
      <c r="O3114" s="25" t="n">
        <f aca="false">IF(A3114-30&lt;$R$2,"",C3114/INDEX(Clean_Data!$C$2:$C$4314,MATCH(A3114-30,Clean_Data!$A$2:$A$4314,1))-1)</f>
        <v>0.207498782057385</v>
      </c>
    </row>
    <row r="3115" customFormat="false" ht="15" hidden="false" customHeight="false" outlineLevel="0" collapsed="false">
      <c r="A3115" s="16" t="n">
        <v>45122</v>
      </c>
      <c r="B3115" s="23" t="n">
        <f aca="false">YEAR(A3115)</f>
        <v>2023</v>
      </c>
      <c r="C3115" s="17" t="n">
        <v>30300.67</v>
      </c>
      <c r="D3115" s="23" t="n">
        <f aca="false">A3115-A3114</f>
        <v>1</v>
      </c>
      <c r="E3115" s="24" t="n">
        <f aca="false">LN(C3115)</f>
        <v>10.3189251034642</v>
      </c>
      <c r="F3115" s="25" t="n">
        <f aca="false">LN(C3115/C3114)</f>
        <v>-0.000400900860938154</v>
      </c>
      <c r="G3115" s="25" t="n">
        <f aca="false">IF(AND(D3115=1,A3115&gt;=$R$2),F3115,"")</f>
        <v>-0.000400900860938154</v>
      </c>
      <c r="H3115" s="27" t="n">
        <f aca="false">IF(G3115="","",G3115^2)</f>
        <v>1.60721500300953E-007</v>
      </c>
      <c r="I3115" s="25" t="n">
        <f aca="false">IF(G3115="","",C3115/C3114-1)</f>
        <v>-0.000400820510925826</v>
      </c>
      <c r="J3115" s="17" t="n">
        <f aca="false">AVERAGE(C2916:C3115)</f>
        <v>25669.1953</v>
      </c>
      <c r="K3115" s="17" t="n">
        <f aca="false">MAX(K3114,C3115)</f>
        <v>67510.06</v>
      </c>
      <c r="L3115" s="25" t="n">
        <f aca="false">C3115/K3115-1</f>
        <v>-0.551168077765003</v>
      </c>
      <c r="M3115" s="25" t="n">
        <f aca="false">IF(COUNT(G3086:G3115)&lt;20,"",_xlfn.STDEV.S(G3086:G3115)*SQRT($R$3))</f>
        <v>0.391750909652434</v>
      </c>
      <c r="N3115" s="25" t="n">
        <f aca="false">IF(A3115-7&lt;$R$2,"",C3115/INDEX(Clean_Data!$C$2:$C$4314,MATCH(A3115-7,Clean_Data!$A$2:$A$4314,1))-1)</f>
        <v>-2.73913832649075E-005</v>
      </c>
      <c r="O3115" s="25" t="n">
        <f aca="false">IF(A3115-30&lt;$R$2,"",C3115/INDEX(Clean_Data!$C$2:$C$4314,MATCH(A3115-30,Clean_Data!$A$2:$A$4314,1))-1)</f>
        <v>0.186290930047184</v>
      </c>
    </row>
    <row r="3116" customFormat="false" ht="15" hidden="false" customHeight="false" outlineLevel="0" collapsed="false">
      <c r="A3116" s="16" t="n">
        <v>45123</v>
      </c>
      <c r="B3116" s="23" t="n">
        <f aca="false">YEAR(A3116)</f>
        <v>2023</v>
      </c>
      <c r="C3116" s="17" t="n">
        <v>30236.12</v>
      </c>
      <c r="D3116" s="23" t="n">
        <f aca="false">A3116-A3115</f>
        <v>1</v>
      </c>
      <c r="E3116" s="24" t="n">
        <f aca="false">LN(C3116)</f>
        <v>10.3167925151831</v>
      </c>
      <c r="F3116" s="25" t="n">
        <f aca="false">LN(C3116/C3115)</f>
        <v>-0.0021325882810795</v>
      </c>
      <c r="G3116" s="25" t="n">
        <f aca="false">IF(AND(D3116=1,A3116&gt;=$R$2),F3116,"")</f>
        <v>-0.0021325882810795</v>
      </c>
      <c r="H3116" s="27" t="n">
        <f aca="false">IF(G3116="","",G3116^2)</f>
        <v>4.54793277659761E-006</v>
      </c>
      <c r="I3116" s="25" t="n">
        <f aca="false">IF(G3116="","",C3116/C3115-1)</f>
        <v>-0.00213031593030777</v>
      </c>
      <c r="J3116" s="17" t="n">
        <f aca="false">AVERAGE(C2917:C3116)</f>
        <v>25737.6808</v>
      </c>
      <c r="K3116" s="17" t="n">
        <f aca="false">MAX(K3115,C3116)</f>
        <v>67510.06</v>
      </c>
      <c r="L3116" s="25" t="n">
        <f aca="false">C3116/K3116-1</f>
        <v>-0.552124231558971</v>
      </c>
      <c r="M3116" s="25" t="n">
        <f aca="false">IF(COUNT(G3087:G3116)&lt;20,"",_xlfn.STDEV.S(G3087:G3116)*SQRT($R$3))</f>
        <v>0.38190471084607</v>
      </c>
      <c r="N3116" s="25" t="n">
        <f aca="false">IF(A3116-7&lt;$R$2,"",C3116/INDEX(Clean_Data!$C$2:$C$4314,MATCH(A3116-7,Clean_Data!$A$2:$A$4314,1))-1)</f>
        <v>0.00215504240813225</v>
      </c>
      <c r="O3116" s="25" t="n">
        <f aca="false">IF(A3116-30&lt;$R$2,"",C3116/INDEX(Clean_Data!$C$2:$C$4314,MATCH(A3116-30,Clean_Data!$A$2:$A$4314,1))-1)</f>
        <v>0.147858517394528</v>
      </c>
    </row>
    <row r="3117" customFormat="false" ht="15" hidden="false" customHeight="false" outlineLevel="0" collapsed="false">
      <c r="A3117" s="16" t="n">
        <v>45124</v>
      </c>
      <c r="B3117" s="23" t="n">
        <f aca="false">YEAR(A3117)</f>
        <v>2023</v>
      </c>
      <c r="C3117" s="17" t="n">
        <v>30150.4</v>
      </c>
      <c r="D3117" s="23" t="n">
        <f aca="false">A3117-A3116</f>
        <v>1</v>
      </c>
      <c r="E3117" s="24" t="n">
        <f aca="false">LN(C3117)</f>
        <v>10.3139534690657</v>
      </c>
      <c r="F3117" s="25" t="n">
        <f aca="false">LN(C3117/C3116)</f>
        <v>-0.00283904611746338</v>
      </c>
      <c r="G3117" s="25" t="n">
        <f aca="false">IF(AND(D3117=1,A3117&gt;=$R$2),F3117,"")</f>
        <v>-0.00283904611746338</v>
      </c>
      <c r="H3117" s="27" t="n">
        <f aca="false">IF(G3117="","",G3117^2)</f>
        <v>8.06018285708392E-006</v>
      </c>
      <c r="I3117" s="25" t="n">
        <f aca="false">IF(G3117="","",C3117/C3116-1)</f>
        <v>-0.00283501983720125</v>
      </c>
      <c r="J3117" s="17" t="n">
        <f aca="false">AVERAGE(C2918:C3117)</f>
        <v>25805.30225</v>
      </c>
      <c r="K3117" s="17" t="n">
        <f aca="false">MAX(K3116,C3117)</f>
        <v>67510.06</v>
      </c>
      <c r="L3117" s="25" t="n">
        <f aca="false">C3117/K3117-1</f>
        <v>-0.553393968247103</v>
      </c>
      <c r="M3117" s="25" t="n">
        <f aca="false">IF(COUNT(G3088:G3117)&lt;20,"",_xlfn.STDEV.S(G3088:G3117)*SQRT($R$3))</f>
        <v>0.382712843245445</v>
      </c>
      <c r="N3117" s="25" t="n">
        <f aca="false">IF(A3117-7&lt;$R$2,"",C3117/INDEX(Clean_Data!$C$2:$C$4314,MATCH(A3117-7,Clean_Data!$A$2:$A$4314,1))-1)</f>
        <v>-0.00910754474896403</v>
      </c>
      <c r="O3117" s="25" t="n">
        <f aca="false">IF(A3117-30&lt;$R$2,"",C3117/INDEX(Clean_Data!$C$2:$C$4314,MATCH(A3117-30,Clean_Data!$A$2:$A$4314,1))-1)</f>
        <v>0.137276291479858</v>
      </c>
    </row>
    <row r="3118" customFormat="false" ht="15" hidden="false" customHeight="false" outlineLevel="0" collapsed="false">
      <c r="A3118" s="16" t="n">
        <v>45125</v>
      </c>
      <c r="B3118" s="23" t="n">
        <f aca="false">YEAR(A3118)</f>
        <v>2023</v>
      </c>
      <c r="C3118" s="17" t="n">
        <v>29860.85</v>
      </c>
      <c r="D3118" s="23" t="n">
        <f aca="false">A3118-A3117</f>
        <v>1</v>
      </c>
      <c r="E3118" s="24" t="n">
        <f aca="false">LN(C3118)</f>
        <v>10.3043035368635</v>
      </c>
      <c r="F3118" s="25" t="n">
        <f aca="false">LN(C3118/C3117)</f>
        <v>-0.00964993220215429</v>
      </c>
      <c r="G3118" s="25" t="n">
        <f aca="false">IF(AND(D3118=1,A3118&gt;=$R$2),F3118,"")</f>
        <v>-0.00964993220215429</v>
      </c>
      <c r="H3118" s="27" t="n">
        <f aca="false">IF(G3118="","",G3118^2)</f>
        <v>9.31211915061744E-005</v>
      </c>
      <c r="I3118" s="25" t="n">
        <f aca="false">IF(G3118="","",C3118/C3117-1)</f>
        <v>-0.00960352101464668</v>
      </c>
      <c r="J3118" s="17" t="n">
        <f aca="false">AVERAGE(C2919:C3118)</f>
        <v>25871.57435</v>
      </c>
      <c r="K3118" s="17" t="n">
        <f aca="false">MAX(K3117,C3118)</f>
        <v>67510.06</v>
      </c>
      <c r="L3118" s="25" t="n">
        <f aca="false">C3118/K3118-1</f>
        <v>-0.55768295865831</v>
      </c>
      <c r="M3118" s="25" t="n">
        <f aca="false">IF(COUNT(G3089:G3118)&lt;20,"",_xlfn.STDEV.S(G3089:G3118)*SQRT($R$3))</f>
        <v>0.383808557341996</v>
      </c>
      <c r="N3118" s="25" t="n">
        <f aca="false">IF(A3118-7&lt;$R$2,"",C3118/INDEX(Clean_Data!$C$2:$C$4314,MATCH(A3118-7,Clean_Data!$A$2:$A$4314,1))-1)</f>
        <v>-0.0253089317154663</v>
      </c>
      <c r="O3118" s="25" t="n">
        <f aca="false">IF(A3118-30&lt;$R$2,"",C3118/INDEX(Clean_Data!$C$2:$C$4314,MATCH(A3118-30,Clean_Data!$A$2:$A$4314,1))-1)</f>
        <v>0.134260569385636</v>
      </c>
    </row>
    <row r="3119" customFormat="false" ht="15" hidden="false" customHeight="false" outlineLevel="0" collapsed="false">
      <c r="A3119" s="16" t="n">
        <v>45126</v>
      </c>
      <c r="B3119" s="23" t="n">
        <f aca="false">YEAR(A3119)</f>
        <v>2023</v>
      </c>
      <c r="C3119" s="17" t="n">
        <v>29918.57</v>
      </c>
      <c r="D3119" s="23" t="n">
        <f aca="false">A3119-A3118</f>
        <v>1</v>
      </c>
      <c r="E3119" s="24" t="n">
        <f aca="false">LN(C3119)</f>
        <v>10.3062346368286</v>
      </c>
      <c r="F3119" s="25" t="n">
        <f aca="false">LN(C3119/C3118)</f>
        <v>0.00193109996507818</v>
      </c>
      <c r="G3119" s="25" t="n">
        <f aca="false">IF(AND(D3119=1,A3119&gt;=$R$2),F3119,"")</f>
        <v>0.00193109996507818</v>
      </c>
      <c r="H3119" s="27" t="n">
        <f aca="false">IF(G3119="","",G3119^2)</f>
        <v>3.72914707512493E-006</v>
      </c>
      <c r="I3119" s="25" t="n">
        <f aca="false">IF(G3119="","",C3119/C3118-1)</f>
        <v>0.00193296573942137</v>
      </c>
      <c r="J3119" s="17" t="n">
        <f aca="false">AVERAGE(C2920:C3119)</f>
        <v>25938.5122</v>
      </c>
      <c r="K3119" s="17" t="n">
        <f aca="false">MAX(K3118,C3119)</f>
        <v>67510.06</v>
      </c>
      <c r="L3119" s="25" t="n">
        <f aca="false">C3119/K3119-1</f>
        <v>-0.556827974971434</v>
      </c>
      <c r="M3119" s="25" t="n">
        <f aca="false">IF(COUNT(G3090:G3119)&lt;20,"",_xlfn.STDEV.S(G3090:G3119)*SQRT($R$3))</f>
        <v>0.380294109705968</v>
      </c>
      <c r="N3119" s="25" t="n">
        <f aca="false">IF(A3119-7&lt;$R$2,"",C3119/INDEX(Clean_Data!$C$2:$C$4314,MATCH(A3119-7,Clean_Data!$A$2:$A$4314,1))-1)</f>
        <v>-0.0151565176087042</v>
      </c>
      <c r="O3119" s="25" t="n">
        <f aca="false">IF(A3119-30&lt;$R$2,"",C3119/INDEX(Clean_Data!$C$2:$C$4314,MATCH(A3119-30,Clean_Data!$A$2:$A$4314,1))-1)</f>
        <v>0.115440983752632</v>
      </c>
    </row>
    <row r="3120" customFormat="false" ht="15" hidden="false" customHeight="false" outlineLevel="0" collapsed="false">
      <c r="A3120" s="16" t="n">
        <v>45127</v>
      </c>
      <c r="B3120" s="23" t="n">
        <f aca="false">YEAR(A3120)</f>
        <v>2023</v>
      </c>
      <c r="C3120" s="17" t="n">
        <v>29807.9</v>
      </c>
      <c r="D3120" s="23" t="n">
        <f aca="false">A3120-A3119</f>
        <v>1</v>
      </c>
      <c r="E3120" s="24" t="n">
        <f aca="false">LN(C3120)</f>
        <v>10.3025287380317</v>
      </c>
      <c r="F3120" s="25" t="n">
        <f aca="false">LN(C3120/C3119)</f>
        <v>-0.00370589879692833</v>
      </c>
      <c r="G3120" s="25" t="n">
        <f aca="false">IF(AND(D3120=1,A3120&gt;=$R$2),F3120,"")</f>
        <v>-0.00370589879692833</v>
      </c>
      <c r="H3120" s="27" t="n">
        <f aca="false">IF(G3120="","",G3120^2)</f>
        <v>1.37336858930749E-005</v>
      </c>
      <c r="I3120" s="25" t="n">
        <f aca="false">IF(G3120="","",C3120/C3119-1)</f>
        <v>-0.00369904042873703</v>
      </c>
      <c r="J3120" s="17" t="n">
        <f aca="false">AVERAGE(C2921:C3120)</f>
        <v>26004.4758</v>
      </c>
      <c r="K3120" s="17" t="n">
        <f aca="false">MAX(K3119,C3120)</f>
        <v>67510.06</v>
      </c>
      <c r="L3120" s="25" t="n">
        <f aca="false">C3120/K3120-1</f>
        <v>-0.5584672862089</v>
      </c>
      <c r="M3120" s="25" t="n">
        <f aca="false">IF(COUNT(G3091:G3120)&lt;20,"",_xlfn.STDEV.S(G3091:G3120)*SQRT($R$3))</f>
        <v>0.334325680171462</v>
      </c>
      <c r="N3120" s="25" t="n">
        <f aca="false">IF(A3120-7&lt;$R$2,"",C3120/INDEX(Clean_Data!$C$2:$C$4314,MATCH(A3120-7,Clean_Data!$A$2:$A$4314,1))-1)</f>
        <v>-0.0528614274552269</v>
      </c>
      <c r="O3120" s="25" t="n">
        <f aca="false">IF(A3120-30&lt;$R$2,"",C3120/INDEX(Clean_Data!$C$2:$C$4314,MATCH(A3120-30,Clean_Data!$A$2:$A$4314,1))-1)</f>
        <v>0.0527243324300435</v>
      </c>
    </row>
    <row r="3121" customFormat="false" ht="15" hidden="false" customHeight="false" outlineLevel="0" collapsed="false">
      <c r="A3121" s="16" t="n">
        <v>45128</v>
      </c>
      <c r="B3121" s="23" t="n">
        <f aca="false">YEAR(A3121)</f>
        <v>2023</v>
      </c>
      <c r="C3121" s="17" t="n">
        <v>29907.14</v>
      </c>
      <c r="D3121" s="23" t="n">
        <f aca="false">A3121-A3120</f>
        <v>1</v>
      </c>
      <c r="E3121" s="24" t="n">
        <f aca="false">LN(C3121)</f>
        <v>10.3058525268582</v>
      </c>
      <c r="F3121" s="25" t="n">
        <f aca="false">LN(C3121/C3120)</f>
        <v>0.00332378882651343</v>
      </c>
      <c r="G3121" s="25" t="n">
        <f aca="false">IF(AND(D3121=1,A3121&gt;=$R$2),F3121,"")</f>
        <v>0.00332378882651343</v>
      </c>
      <c r="H3121" s="27" t="n">
        <f aca="false">IF(G3121="","",G3121^2)</f>
        <v>1.10475721632556E-005</v>
      </c>
      <c r="I3121" s="25" t="n">
        <f aca="false">IF(G3121="","",C3121/C3120-1)</f>
        <v>0.00332931873764997</v>
      </c>
      <c r="J3121" s="17" t="n">
        <f aca="false">AVERAGE(C2922:C3121)</f>
        <v>26070.70735</v>
      </c>
      <c r="K3121" s="17" t="n">
        <f aca="false">MAX(K3120,C3121)</f>
        <v>67510.06</v>
      </c>
      <c r="L3121" s="25" t="n">
        <f aca="false">C3121/K3121-1</f>
        <v>-0.55699728307159</v>
      </c>
      <c r="M3121" s="25" t="n">
        <f aca="false">IF(COUNT(G3092:G3121)&lt;20,"",_xlfn.STDEV.S(G3092:G3121)*SQRT($R$3))</f>
        <v>0.266545440538023</v>
      </c>
      <c r="N3121" s="25" t="n">
        <f aca="false">IF(A3121-7&lt;$R$2,"",C3121/INDEX(Clean_Data!$C$2:$C$4314,MATCH(A3121-7,Clean_Data!$A$2:$A$4314,1))-1)</f>
        <v>-0.0133831164503996</v>
      </c>
      <c r="O3121" s="25" t="n">
        <f aca="false">IF(A3121-30&lt;$R$2,"",C3121/INDEX(Clean_Data!$C$2:$C$4314,MATCH(A3121-30,Clean_Data!$A$2:$A$4314,1))-1)</f>
        <v>-0.00303618014668872</v>
      </c>
    </row>
    <row r="3122" customFormat="false" ht="15" hidden="false" customHeight="false" outlineLevel="0" collapsed="false">
      <c r="A3122" s="16" t="n">
        <v>45129</v>
      </c>
      <c r="B3122" s="23" t="n">
        <f aca="false">YEAR(A3122)</f>
        <v>2023</v>
      </c>
      <c r="C3122" s="17" t="n">
        <v>29806.09</v>
      </c>
      <c r="D3122" s="23" t="n">
        <f aca="false">A3122-A3121</f>
        <v>1</v>
      </c>
      <c r="E3122" s="24" t="n">
        <f aca="false">LN(C3122)</f>
        <v>10.3024680140304</v>
      </c>
      <c r="F3122" s="25" t="n">
        <f aca="false">LN(C3122/C3121)</f>
        <v>-0.00338451282772719</v>
      </c>
      <c r="G3122" s="25" t="n">
        <f aca="false">IF(AND(D3122=1,A3122&gt;=$R$2),F3122,"")</f>
        <v>-0.00338451282772719</v>
      </c>
      <c r="H3122" s="27" t="n">
        <f aca="false">IF(G3122="","",G3122^2)</f>
        <v>1.14549270810499E-005</v>
      </c>
      <c r="I3122" s="25" t="n">
        <f aca="false">IF(G3122="","",C3122/C3121-1)</f>
        <v>-0.003378791820281</v>
      </c>
      <c r="J3122" s="17" t="n">
        <f aca="false">AVERAGE(C2923:C3122)</f>
        <v>26136.3859</v>
      </c>
      <c r="K3122" s="17" t="n">
        <f aca="false">MAX(K3121,C3122)</f>
        <v>67510.06</v>
      </c>
      <c r="L3122" s="25" t="n">
        <f aca="false">C3122/K3122-1</f>
        <v>-0.55849409702791</v>
      </c>
      <c r="M3122" s="25" t="n">
        <f aca="false">IF(COUNT(G3093:G3122)&lt;20,"",_xlfn.STDEV.S(G3093:G3122)*SQRT($R$3))</f>
        <v>0.266481756890547</v>
      </c>
      <c r="N3122" s="25" t="n">
        <f aca="false">IF(A3122-7&lt;$R$2,"",C3122/INDEX(Clean_Data!$C$2:$C$4314,MATCH(A3122-7,Clean_Data!$A$2:$A$4314,1))-1)</f>
        <v>-0.0163224113526202</v>
      </c>
      <c r="O3122" s="25" t="n">
        <f aca="false">IF(A3122-30&lt;$R$2,"",C3122/INDEX(Clean_Data!$C$2:$C$4314,MATCH(A3122-30,Clean_Data!$A$2:$A$4314,1))-1)</f>
        <v>-0.00265013322607877</v>
      </c>
    </row>
    <row r="3123" customFormat="false" ht="15" hidden="false" customHeight="false" outlineLevel="0" collapsed="false">
      <c r="A3123" s="16" t="n">
        <v>45130</v>
      </c>
      <c r="B3123" s="23" t="n">
        <f aca="false">YEAR(A3123)</f>
        <v>2023</v>
      </c>
      <c r="C3123" s="17" t="n">
        <v>30082.77</v>
      </c>
      <c r="D3123" s="23" t="n">
        <f aca="false">A3123-A3122</f>
        <v>1</v>
      </c>
      <c r="E3123" s="24" t="n">
        <f aca="false">LN(C3123)</f>
        <v>10.3117078615899</v>
      </c>
      <c r="F3123" s="25" t="n">
        <f aca="false">LN(C3123/C3122)</f>
        <v>0.00923984755946638</v>
      </c>
      <c r="G3123" s="25" t="n">
        <f aca="false">IF(AND(D3123=1,A3123&gt;=$R$2),F3123,"")</f>
        <v>0.00923984755946638</v>
      </c>
      <c r="H3123" s="27" t="n">
        <f aca="false">IF(G3123="","",G3123^2)</f>
        <v>8.53747829221769E-005</v>
      </c>
      <c r="I3123" s="25" t="n">
        <f aca="false">IF(G3123="","",C3123/C3122-1)</f>
        <v>0.00928266673018841</v>
      </c>
      <c r="J3123" s="17" t="n">
        <f aca="false">AVERAGE(C2924:C3123)</f>
        <v>26202.54775</v>
      </c>
      <c r="K3123" s="17" t="n">
        <f aca="false">MAX(K3122,C3123)</f>
        <v>67510.06</v>
      </c>
      <c r="L3123" s="25" t="n">
        <f aca="false">C3123/K3123-1</f>
        <v>-0.554395744871209</v>
      </c>
      <c r="M3123" s="25" t="n">
        <f aca="false">IF(COUNT(G3094:G3123)&lt;20,"",_xlfn.STDEV.S(G3094:G3123)*SQRT($R$3))</f>
        <v>0.250974033287404</v>
      </c>
      <c r="N3123" s="25" t="n">
        <f aca="false">IF(A3123-7&lt;$R$2,"",C3123/INDEX(Clean_Data!$C$2:$C$4314,MATCH(A3123-7,Clean_Data!$A$2:$A$4314,1))-1)</f>
        <v>-0.00507174862383131</v>
      </c>
      <c r="O3123" s="25" t="n">
        <f aca="false">IF(A3123-30&lt;$R$2,"",C3123/INDEX(Clean_Data!$C$2:$C$4314,MATCH(A3123-30,Clean_Data!$A$2:$A$4314,1))-1)</f>
        <v>-0.0198555462661825</v>
      </c>
    </row>
    <row r="3124" customFormat="false" ht="15" hidden="false" customHeight="false" outlineLevel="0" collapsed="false">
      <c r="A3124" s="16" t="n">
        <v>45131</v>
      </c>
      <c r="B3124" s="23" t="n">
        <f aca="false">YEAR(A3124)</f>
        <v>2023</v>
      </c>
      <c r="C3124" s="17" t="n">
        <v>29171.26</v>
      </c>
      <c r="D3124" s="23" t="n">
        <f aca="false">A3124-A3123</f>
        <v>1</v>
      </c>
      <c r="E3124" s="24" t="n">
        <f aca="false">LN(C3124)</f>
        <v>10.2809392569923</v>
      </c>
      <c r="F3124" s="25" t="n">
        <f aca="false">LN(C3124/C3123)</f>
        <v>-0.0307686045976071</v>
      </c>
      <c r="G3124" s="25" t="n">
        <f aca="false">IF(AND(D3124=1,A3124&gt;=$R$2),F3124,"")</f>
        <v>-0.0307686045976071</v>
      </c>
      <c r="H3124" s="27" t="n">
        <f aca="false">IF(G3124="","",G3124^2)</f>
        <v>0.00094670702888389</v>
      </c>
      <c r="I3124" s="25" t="n">
        <f aca="false">IF(G3124="","",C3124/C3123-1)</f>
        <v>-0.0303000687769113</v>
      </c>
      <c r="J3124" s="17" t="n">
        <f aca="false">AVERAGE(C2925:C3124)</f>
        <v>26264.27915</v>
      </c>
      <c r="K3124" s="17" t="n">
        <f aca="false">MAX(K3123,C3124)</f>
        <v>67510.06</v>
      </c>
      <c r="L3124" s="25" t="n">
        <f aca="false">C3124/K3124-1</f>
        <v>-0.567897584448896</v>
      </c>
      <c r="M3124" s="25" t="n">
        <f aca="false">IF(COUNT(G3095:G3124)&lt;20,"",_xlfn.STDEV.S(G3095:G3124)*SQRT($R$3))</f>
        <v>0.2718870328904</v>
      </c>
      <c r="N3124" s="25" t="n">
        <f aca="false">IF(A3124-7&lt;$R$2,"",C3124/INDEX(Clean_Data!$C$2:$C$4314,MATCH(A3124-7,Clean_Data!$A$2:$A$4314,1))-1)</f>
        <v>-0.0324751910422416</v>
      </c>
      <c r="O3124" s="25" t="n">
        <f aca="false">IF(A3124-30&lt;$R$2,"",C3124/INDEX(Clean_Data!$C$2:$C$4314,MATCH(A3124-30,Clean_Data!$A$2:$A$4314,1))-1)</f>
        <v>-0.0453396621165447</v>
      </c>
    </row>
    <row r="3125" customFormat="false" ht="15" hidden="false" customHeight="false" outlineLevel="0" collapsed="false">
      <c r="A3125" s="16" t="n">
        <v>45132</v>
      </c>
      <c r="B3125" s="23" t="n">
        <f aca="false">YEAR(A3125)</f>
        <v>2023</v>
      </c>
      <c r="C3125" s="17" t="n">
        <v>29221.74</v>
      </c>
      <c r="D3125" s="23" t="n">
        <f aca="false">A3125-A3124</f>
        <v>1</v>
      </c>
      <c r="E3125" s="24" t="n">
        <f aca="false">LN(C3125)</f>
        <v>10.2826682317864</v>
      </c>
      <c r="F3125" s="25" t="n">
        <f aca="false">LN(C3125/C3124)</f>
        <v>0.00172897479407519</v>
      </c>
      <c r="G3125" s="25" t="n">
        <f aca="false">IF(AND(D3125=1,A3125&gt;=$R$2),F3125,"")</f>
        <v>0.00172897479407519</v>
      </c>
      <c r="H3125" s="27" t="n">
        <f aca="false">IF(G3125="","",G3125^2)</f>
        <v>2.98935383854733E-006</v>
      </c>
      <c r="I3125" s="25" t="n">
        <f aca="false">IF(G3125="","",C3125/C3124-1)</f>
        <v>0.0017304703327865</v>
      </c>
      <c r="J3125" s="17" t="n">
        <f aca="false">AVERAGE(C2926:C3125)</f>
        <v>26325.63485</v>
      </c>
      <c r="K3125" s="17" t="n">
        <f aca="false">MAX(K3124,C3125)</f>
        <v>67510.06</v>
      </c>
      <c r="L3125" s="25" t="n">
        <f aca="false">C3125/K3125-1</f>
        <v>-0.567149844038059</v>
      </c>
      <c r="M3125" s="25" t="n">
        <f aca="false">IF(COUNT(G3096:G3125)&lt;20,"",_xlfn.STDEV.S(G3096:G3125)*SQRT($R$3))</f>
        <v>0.272112073301497</v>
      </c>
      <c r="N3125" s="25" t="n">
        <f aca="false">IF(A3125-7&lt;$R$2,"",C3125/INDEX(Clean_Data!$C$2:$C$4314,MATCH(A3125-7,Clean_Data!$A$2:$A$4314,1))-1)</f>
        <v>-0.0214029406396669</v>
      </c>
      <c r="O3125" s="25" t="n">
        <f aca="false">IF(A3125-30&lt;$R$2,"",C3125/INDEX(Clean_Data!$C$2:$C$4314,MATCH(A3125-30,Clean_Data!$A$2:$A$4314,1))-1)</f>
        <v>-0.0415446939275532</v>
      </c>
    </row>
    <row r="3126" customFormat="false" ht="15" hidden="false" customHeight="false" outlineLevel="0" collapsed="false">
      <c r="A3126" s="16" t="n">
        <v>45133</v>
      </c>
      <c r="B3126" s="23" t="n">
        <f aca="false">YEAR(A3126)</f>
        <v>2023</v>
      </c>
      <c r="C3126" s="17" t="n">
        <v>29351.49</v>
      </c>
      <c r="D3126" s="23" t="n">
        <f aca="false">A3126-A3125</f>
        <v>1</v>
      </c>
      <c r="E3126" s="24" t="n">
        <f aca="false">LN(C3126)</f>
        <v>10.2870985905775</v>
      </c>
      <c r="F3126" s="25" t="n">
        <f aca="false">LN(C3126/C3125)</f>
        <v>0.0044303587911588</v>
      </c>
      <c r="G3126" s="25" t="n">
        <f aca="false">IF(AND(D3126=1,A3126&gt;=$R$2),F3126,"")</f>
        <v>0.0044303587911588</v>
      </c>
      <c r="H3126" s="27" t="n">
        <f aca="false">IF(G3126="","",G3126^2)</f>
        <v>1.96280790183981E-005</v>
      </c>
      <c r="I3126" s="25" t="n">
        <f aca="false">IF(G3126="","",C3126/C3125-1)</f>
        <v>0.00444018733997353</v>
      </c>
      <c r="J3126" s="17" t="n">
        <f aca="false">AVERAGE(C2927:C3126)</f>
        <v>26387.6656</v>
      </c>
      <c r="K3126" s="17" t="n">
        <f aca="false">MAX(K3125,C3126)</f>
        <v>67510.06</v>
      </c>
      <c r="L3126" s="25" t="n">
        <f aca="false">C3126/K3126-1</f>
        <v>-0.565227908255451</v>
      </c>
      <c r="M3126" s="25" t="n">
        <f aca="false">IF(COUNT(G3097:G3126)&lt;20,"",_xlfn.STDEV.S(G3097:G3126)*SQRT($R$3))</f>
        <v>0.272118431546158</v>
      </c>
      <c r="N3126" s="25" t="n">
        <f aca="false">IF(A3126-7&lt;$R$2,"",C3126/INDEX(Clean_Data!$C$2:$C$4314,MATCH(A3126-7,Clean_Data!$A$2:$A$4314,1))-1)</f>
        <v>-0.0189541144513257</v>
      </c>
      <c r="O3126" s="25" t="n">
        <f aca="false">IF(A3126-30&lt;$R$2,"",C3126/INDEX(Clean_Data!$C$2:$C$4314,MATCH(A3126-30,Clean_Data!$A$2:$A$4314,1))-1)</f>
        <v>-0.0306634944937215</v>
      </c>
    </row>
    <row r="3127" customFormat="false" ht="15" hidden="false" customHeight="false" outlineLevel="0" collapsed="false">
      <c r="A3127" s="16" t="n">
        <v>45134</v>
      </c>
      <c r="B3127" s="23" t="n">
        <f aca="false">YEAR(A3127)</f>
        <v>2023</v>
      </c>
      <c r="C3127" s="17" t="n">
        <v>29213.16</v>
      </c>
      <c r="D3127" s="23" t="n">
        <f aca="false">A3127-A3126</f>
        <v>1</v>
      </c>
      <c r="E3127" s="24" t="n">
        <f aca="false">LN(C3127)</f>
        <v>10.2823745716599</v>
      </c>
      <c r="F3127" s="25" t="n">
        <f aca="false">LN(C3127/C3126)</f>
        <v>-0.00472401891761278</v>
      </c>
      <c r="G3127" s="25" t="n">
        <f aca="false">IF(AND(D3127=1,A3127&gt;=$R$2),F3127,"")</f>
        <v>-0.00472401891761278</v>
      </c>
      <c r="H3127" s="27" t="n">
        <f aca="false">IF(G3127="","",G3127^2)</f>
        <v>2.23163547339634E-005</v>
      </c>
      <c r="I3127" s="25" t="n">
        <f aca="false">IF(G3127="","",C3127/C3126-1)</f>
        <v>-0.00471287828999489</v>
      </c>
      <c r="J3127" s="17" t="n">
        <f aca="false">AVERAGE(C2928:C3127)</f>
        <v>26448.0597</v>
      </c>
      <c r="K3127" s="17" t="n">
        <f aca="false">MAX(K3126,C3127)</f>
        <v>67510.06</v>
      </c>
      <c r="L3127" s="25" t="n">
        <f aca="false">C3127/K3127-1</f>
        <v>-0.56727693620773</v>
      </c>
      <c r="M3127" s="25" t="n">
        <f aca="false">IF(COUNT(G3098:G3127)&lt;20,"",_xlfn.STDEV.S(G3098:G3127)*SQRT($R$3))</f>
        <v>0.266996475467053</v>
      </c>
      <c r="N3127" s="25" t="n">
        <f aca="false">IF(A3127-7&lt;$R$2,"",C3127/INDEX(Clean_Data!$C$2:$C$4314,MATCH(A3127-7,Clean_Data!$A$2:$A$4314,1))-1)</f>
        <v>-0.0199524287185613</v>
      </c>
      <c r="O3127" s="25" t="n">
        <f aca="false">IF(A3127-30&lt;$R$2,"",C3127/INDEX(Clean_Data!$C$2:$C$4314,MATCH(A3127-30,Clean_Data!$A$2:$A$4314,1))-1)</f>
        <v>-0.0484963569267248</v>
      </c>
    </row>
    <row r="3128" customFormat="false" ht="15" hidden="false" customHeight="false" outlineLevel="0" collapsed="false">
      <c r="A3128" s="16" t="n">
        <v>45135</v>
      </c>
      <c r="B3128" s="23" t="n">
        <f aca="false">YEAR(A3128)</f>
        <v>2023</v>
      </c>
      <c r="C3128" s="17" t="n">
        <v>29311.22</v>
      </c>
      <c r="D3128" s="23" t="n">
        <f aca="false">A3128-A3127</f>
        <v>1</v>
      </c>
      <c r="E3128" s="24" t="n">
        <f aca="false">LN(C3128)</f>
        <v>10.2857256568578</v>
      </c>
      <c r="F3128" s="25" t="n">
        <f aca="false">LN(C3128/C3127)</f>
        <v>0.00335108519785895</v>
      </c>
      <c r="G3128" s="25" t="n">
        <f aca="false">IF(AND(D3128=1,A3128&gt;=$R$2),F3128,"")</f>
        <v>0.00335108519785895</v>
      </c>
      <c r="H3128" s="27" t="n">
        <f aca="false">IF(G3128="","",G3128^2)</f>
        <v>1.12297720033094E-005</v>
      </c>
      <c r="I3128" s="25" t="n">
        <f aca="false">IF(G3128="","",C3128/C3127-1)</f>
        <v>0.00335670636110574</v>
      </c>
      <c r="J3128" s="17" t="n">
        <f aca="false">AVERAGE(C2929:C3128)</f>
        <v>26508.71005</v>
      </c>
      <c r="K3128" s="17" t="n">
        <f aca="false">MAX(K3127,C3128)</f>
        <v>67510.06</v>
      </c>
      <c r="L3128" s="25" t="n">
        <f aca="false">C3128/K3128-1</f>
        <v>-0.565824411946901</v>
      </c>
      <c r="M3128" s="25" t="n">
        <f aca="false">IF(COUNT(G3099:G3128)&lt;20,"",_xlfn.STDEV.S(G3099:G3128)*SQRT($R$3))</f>
        <v>0.259370817476257</v>
      </c>
      <c r="N3128" s="25" t="n">
        <f aca="false">IF(A3128-7&lt;$R$2,"",C3128/INDEX(Clean_Data!$C$2:$C$4314,MATCH(A3128-7,Clean_Data!$A$2:$A$4314,1))-1)</f>
        <v>-0.0199256766110032</v>
      </c>
      <c r="O3128" s="25" t="n">
        <f aca="false">IF(A3128-30&lt;$R$2,"",C3128/INDEX(Clean_Data!$C$2:$C$4314,MATCH(A3128-30,Clean_Data!$A$2:$A$4314,1))-1)</f>
        <v>-0.0262894235049463</v>
      </c>
    </row>
    <row r="3129" customFormat="false" ht="15" hidden="false" customHeight="false" outlineLevel="0" collapsed="false">
      <c r="A3129" s="16" t="n">
        <v>45136</v>
      </c>
      <c r="B3129" s="23" t="n">
        <f aca="false">YEAR(A3129)</f>
        <v>2023</v>
      </c>
      <c r="C3129" s="17" t="n">
        <v>29357.88</v>
      </c>
      <c r="D3129" s="23" t="n">
        <f aca="false">A3129-A3128</f>
        <v>1</v>
      </c>
      <c r="E3129" s="24" t="n">
        <f aca="false">LN(C3129)</f>
        <v>10.2873162730369</v>
      </c>
      <c r="F3129" s="25" t="n">
        <f aca="false">LN(C3129/C3128)</f>
        <v>0.00159061617913751</v>
      </c>
      <c r="G3129" s="25" t="n">
        <f aca="false">IF(AND(D3129=1,A3129&gt;=$R$2),F3129,"")</f>
        <v>0.00159061617913751</v>
      </c>
      <c r="H3129" s="27" t="n">
        <f aca="false">IF(G3129="","",G3129^2)</f>
        <v>2.53005982933402E-006</v>
      </c>
      <c r="I3129" s="25" t="n">
        <f aca="false">IF(G3129="","",C3129/C3128-1)</f>
        <v>0.00159188188004467</v>
      </c>
      <c r="J3129" s="17" t="n">
        <f aca="false">AVERAGE(C2930:C3129)</f>
        <v>26568.2757</v>
      </c>
      <c r="K3129" s="17" t="n">
        <f aca="false">MAX(K3128,C3129)</f>
        <v>67510.06</v>
      </c>
      <c r="L3129" s="25" t="n">
        <f aca="false">C3129/K3129-1</f>
        <v>-0.565133255695522</v>
      </c>
      <c r="M3129" s="25" t="n">
        <f aca="false">IF(COUNT(G3100:G3129)&lt;20,"",_xlfn.STDEV.S(G3100:G3129)*SQRT($R$3))</f>
        <v>0.255881235410531</v>
      </c>
      <c r="N3129" s="25" t="n">
        <f aca="false">IF(A3129-7&lt;$R$2,"",C3129/INDEX(Clean_Data!$C$2:$C$4314,MATCH(A3129-7,Clean_Data!$A$2:$A$4314,1))-1)</f>
        <v>-0.0150375309206944</v>
      </c>
      <c r="O3129" s="25" t="n">
        <f aca="false">IF(A3129-30&lt;$R$2,"",C3129/INDEX(Clean_Data!$C$2:$C$4314,MATCH(A3129-30,Clean_Data!$A$2:$A$4314,1))-1)</f>
        <v>-0.0355936323559364</v>
      </c>
    </row>
    <row r="3130" customFormat="false" ht="15" hidden="false" customHeight="false" outlineLevel="0" collapsed="false">
      <c r="A3130" s="16" t="n">
        <v>45137</v>
      </c>
      <c r="B3130" s="23" t="n">
        <f aca="false">YEAR(A3130)</f>
        <v>2023</v>
      </c>
      <c r="C3130" s="17" t="n">
        <v>29277.85</v>
      </c>
      <c r="D3130" s="23" t="n">
        <f aca="false">A3130-A3129</f>
        <v>1</v>
      </c>
      <c r="E3130" s="24" t="n">
        <f aca="false">LN(C3130)</f>
        <v>10.2845865364175</v>
      </c>
      <c r="F3130" s="25" t="n">
        <f aca="false">LN(C3130/C3129)</f>
        <v>-0.00272973661946527</v>
      </c>
      <c r="G3130" s="25" t="n">
        <f aca="false">IF(AND(D3130=1,A3130&gt;=$R$2),F3130,"")</f>
        <v>-0.00272973661946527</v>
      </c>
      <c r="H3130" s="27" t="n">
        <f aca="false">IF(G3130="","",G3130^2)</f>
        <v>7.45146201164965E-006</v>
      </c>
      <c r="I3130" s="25" t="n">
        <f aca="false">IF(G3130="","",C3130/C3129-1)</f>
        <v>-0.00272601427623531</v>
      </c>
      <c r="J3130" s="17" t="n">
        <f aca="false">AVERAGE(C2931:C3130)</f>
        <v>26624.95385</v>
      </c>
      <c r="K3130" s="17" t="n">
        <f aca="false">MAX(K3129,C3130)</f>
        <v>67510.06</v>
      </c>
      <c r="L3130" s="25" t="n">
        <f aca="false">C3130/K3130-1</f>
        <v>-0.566318708648755</v>
      </c>
      <c r="M3130" s="25" t="n">
        <f aca="false">IF(COUNT(G3101:G3130)&lt;20,"",_xlfn.STDEV.S(G3101:G3130)*SQRT($R$3))</f>
        <v>0.255791499222881</v>
      </c>
      <c r="N3130" s="25" t="n">
        <f aca="false">IF(A3130-7&lt;$R$2,"",C3130/INDEX(Clean_Data!$C$2:$C$4314,MATCH(A3130-7,Clean_Data!$A$2:$A$4314,1))-1)</f>
        <v>-0.0267568445326013</v>
      </c>
      <c r="O3130" s="25" t="n">
        <f aca="false">IF(A3130-30&lt;$R$2,"",C3130/INDEX(Clean_Data!$C$2:$C$4314,MATCH(A3130-30,Clean_Data!$A$2:$A$4314,1))-1)</f>
        <v>-0.0393088684734324</v>
      </c>
    </row>
    <row r="3131" customFormat="false" ht="15" hidden="false" customHeight="false" outlineLevel="0" collapsed="false">
      <c r="A3131" s="16" t="n">
        <v>45138</v>
      </c>
      <c r="B3131" s="23" t="n">
        <f aca="false">YEAR(A3131)</f>
        <v>2023</v>
      </c>
      <c r="C3131" s="17" t="n">
        <v>29223.31</v>
      </c>
      <c r="D3131" s="23" t="n">
        <f aca="false">A3131-A3130</f>
        <v>1</v>
      </c>
      <c r="E3131" s="24" t="n">
        <f aca="false">LN(C3131)</f>
        <v>10.2827219574655</v>
      </c>
      <c r="F3131" s="25" t="n">
        <f aca="false">LN(C3131/C3130)</f>
        <v>-0.00186457895198632</v>
      </c>
      <c r="G3131" s="25" t="n">
        <f aca="false">IF(AND(D3131=1,A3131&gt;=$R$2),F3131,"")</f>
        <v>-0.00186457895198632</v>
      </c>
      <c r="H3131" s="27" t="n">
        <f aca="false">IF(G3131="","",G3131^2)</f>
        <v>3.47665466819039E-006</v>
      </c>
      <c r="I3131" s="25" t="n">
        <f aca="false">IF(G3131="","",C3131/C3130-1)</f>
        <v>-0.00186284170456497</v>
      </c>
      <c r="J3131" s="17" t="n">
        <f aca="false">AVERAGE(C2932:C3131)</f>
        <v>26676.7517</v>
      </c>
      <c r="K3131" s="17" t="n">
        <f aca="false">MAX(K3130,C3131)</f>
        <v>67510.06</v>
      </c>
      <c r="L3131" s="25" t="n">
        <f aca="false">C3131/K3131-1</f>
        <v>-0.567126588244774</v>
      </c>
      <c r="M3131" s="25" t="n">
        <f aca="false">IF(COUNT(G3102:G3131)&lt;20,"",_xlfn.STDEV.S(G3102:G3131)*SQRT($R$3))</f>
        <v>0.255179537600831</v>
      </c>
      <c r="N3131" s="25" t="n">
        <f aca="false">IF(A3131-7&lt;$R$2,"",C3131/INDEX(Clean_Data!$C$2:$C$4314,MATCH(A3131-7,Clean_Data!$A$2:$A$4314,1))-1)</f>
        <v>0.00178429042831896</v>
      </c>
      <c r="O3131" s="25" t="n">
        <f aca="false">IF(A3131-30&lt;$R$2,"",C3131/INDEX(Clean_Data!$C$2:$C$4314,MATCH(A3131-30,Clean_Data!$A$2:$A$4314,1))-1)</f>
        <v>-0.0445214974660781</v>
      </c>
    </row>
    <row r="3132" customFormat="false" ht="15" hidden="false" customHeight="false" outlineLevel="0" collapsed="false">
      <c r="A3132" s="16" t="n">
        <v>45139</v>
      </c>
      <c r="B3132" s="23" t="n">
        <f aca="false">YEAR(A3132)</f>
        <v>2023</v>
      </c>
      <c r="C3132" s="17" t="n">
        <v>29728.88</v>
      </c>
      <c r="D3132" s="23" t="n">
        <f aca="false">A3132-A3131</f>
        <v>1</v>
      </c>
      <c r="E3132" s="24" t="n">
        <f aca="false">LN(C3132)</f>
        <v>10.2998742428977</v>
      </c>
      <c r="F3132" s="25" t="n">
        <f aca="false">LN(C3132/C3131)</f>
        <v>0.01715228543225</v>
      </c>
      <c r="G3132" s="25" t="n">
        <f aca="false">IF(AND(D3132=1,A3132&gt;=$R$2),F3132,"")</f>
        <v>0.01715228543225</v>
      </c>
      <c r="H3132" s="27" t="n">
        <f aca="false">IF(G3132="","",G3132^2)</f>
        <v>0.000294200895549377</v>
      </c>
      <c r="I3132" s="25" t="n">
        <f aca="false">IF(G3132="","",C3132/C3131-1)</f>
        <v>0.0173002305351446</v>
      </c>
      <c r="J3132" s="17" t="n">
        <f aca="false">AVERAGE(C2933:C3132)</f>
        <v>26725.85005</v>
      </c>
      <c r="K3132" s="17" t="n">
        <f aca="false">MAX(K3131,C3132)</f>
        <v>67510.06</v>
      </c>
      <c r="L3132" s="25" t="n">
        <f aca="false">C3132/K3132-1</f>
        <v>-0.559637778428874</v>
      </c>
      <c r="M3132" s="25" t="n">
        <f aca="false">IF(COUNT(G3103:G3132)&lt;20,"",_xlfn.STDEV.S(G3103:G3132)*SQRT($R$3))</f>
        <v>0.263275531262707</v>
      </c>
      <c r="N3132" s="25" t="n">
        <f aca="false">IF(A3132-7&lt;$R$2,"",C3132/INDEX(Clean_Data!$C$2:$C$4314,MATCH(A3132-7,Clean_Data!$A$2:$A$4314,1))-1)</f>
        <v>0.0173548871490883</v>
      </c>
      <c r="O3132" s="25" t="n">
        <f aca="false">IF(A3132-30&lt;$R$2,"",C3132/INDEX(Clean_Data!$C$2:$C$4314,MATCH(A3132-30,Clean_Data!$A$2:$A$4314,1))-1)</f>
        <v>-0.0289760161431878</v>
      </c>
    </row>
    <row r="3133" customFormat="false" ht="15" hidden="false" customHeight="false" outlineLevel="0" collapsed="false">
      <c r="A3133" s="16" t="n">
        <v>45140</v>
      </c>
      <c r="B3133" s="23" t="n">
        <f aca="false">YEAR(A3133)</f>
        <v>2023</v>
      </c>
      <c r="C3133" s="17" t="n">
        <v>29155.83</v>
      </c>
      <c r="D3133" s="23" t="n">
        <f aca="false">A3133-A3132</f>
        <v>1</v>
      </c>
      <c r="E3133" s="24" t="n">
        <f aca="false">LN(C3133)</f>
        <v>10.2804101717813</v>
      </c>
      <c r="F3133" s="25" t="n">
        <f aca="false">LN(C3133/C3132)</f>
        <v>-0.0194640711164201</v>
      </c>
      <c r="G3133" s="25" t="n">
        <f aca="false">IF(AND(D3133=1,A3133&gt;=$R$2),F3133,"")</f>
        <v>-0.0194640711164201</v>
      </c>
      <c r="H3133" s="27" t="n">
        <f aca="false">IF(G3133="","",G3133^2)</f>
        <v>0.000378850064425058</v>
      </c>
      <c r="I3133" s="25" t="n">
        <f aca="false">IF(G3133="","",C3133/C3132-1)</f>
        <v>-0.0192758691212047</v>
      </c>
      <c r="J3133" s="17" t="n">
        <f aca="false">AVERAGE(C2934:C3133)</f>
        <v>26766.77495</v>
      </c>
      <c r="K3133" s="17" t="n">
        <f aca="false">MAX(K3132,C3133)</f>
        <v>67510.06</v>
      </c>
      <c r="L3133" s="25" t="n">
        <f aca="false">C3133/K3133-1</f>
        <v>-0.568126142977802</v>
      </c>
      <c r="M3133" s="25" t="n">
        <f aca="false">IF(COUNT(G3104:G3133)&lt;20,"",_xlfn.STDEV.S(G3104:G3133)*SQRT($R$3))</f>
        <v>0.261983766288514</v>
      </c>
      <c r="N3133" s="25" t="n">
        <f aca="false">IF(A3133-7&lt;$R$2,"",C3133/INDEX(Clean_Data!$C$2:$C$4314,MATCH(A3133-7,Clean_Data!$A$2:$A$4314,1))-1)</f>
        <v>-0.00666610110764399</v>
      </c>
      <c r="O3133" s="25" t="n">
        <f aca="false">IF(A3133-30&lt;$R$2,"",C3133/INDEX(Clean_Data!$C$2:$C$4314,MATCH(A3133-30,Clean_Data!$A$2:$A$4314,1))-1)</f>
        <v>-0.0644144582117555</v>
      </c>
    </row>
    <row r="3134" customFormat="false" ht="15" hidden="false" customHeight="false" outlineLevel="0" collapsed="false">
      <c r="A3134" s="16" t="n">
        <v>45141</v>
      </c>
      <c r="B3134" s="23" t="n">
        <f aca="false">YEAR(A3134)</f>
        <v>2023</v>
      </c>
      <c r="C3134" s="17" t="n">
        <v>29168.14</v>
      </c>
      <c r="D3134" s="23" t="n">
        <f aca="false">A3134-A3133</f>
        <v>1</v>
      </c>
      <c r="E3134" s="24" t="n">
        <f aca="false">LN(C3134)</f>
        <v>10.2808322966875</v>
      </c>
      <c r="F3134" s="25" t="n">
        <f aca="false">LN(C3134/C3133)</f>
        <v>0.000422124906202081</v>
      </c>
      <c r="G3134" s="25" t="n">
        <f aca="false">IF(AND(D3134=1,A3134&gt;=$R$2),F3134,"")</f>
        <v>0.000422124906202081</v>
      </c>
      <c r="H3134" s="27" t="n">
        <f aca="false">IF(G3134="","",G3134^2)</f>
        <v>1.78189436436116E-007</v>
      </c>
      <c r="I3134" s="25" t="n">
        <f aca="false">IF(G3134="","",C3134/C3133-1)</f>
        <v>0.000422214013457989</v>
      </c>
      <c r="J3134" s="17" t="n">
        <f aca="false">AVERAGE(C2935:C3134)</f>
        <v>26808.2594</v>
      </c>
      <c r="K3134" s="17" t="n">
        <f aca="false">MAX(K3133,C3134)</f>
        <v>67510.06</v>
      </c>
      <c r="L3134" s="25" t="n">
        <f aca="false">C3134/K3134-1</f>
        <v>-0.567943799783321</v>
      </c>
      <c r="M3134" s="25" t="n">
        <f aca="false">IF(COUNT(G3105:G3134)&lt;20,"",_xlfn.STDEV.S(G3105:G3134)*SQRT($R$3))</f>
        <v>0.259309786935255</v>
      </c>
      <c r="N3134" s="25" t="n">
        <f aca="false">IF(A3134-7&lt;$R$2,"",C3134/INDEX(Clean_Data!$C$2:$C$4314,MATCH(A3134-7,Clean_Data!$A$2:$A$4314,1))-1)</f>
        <v>-0.00154108627755434</v>
      </c>
      <c r="O3134" s="25" t="n">
        <f aca="false">IF(A3134-30&lt;$R$2,"",C3134/INDEX(Clean_Data!$C$2:$C$4314,MATCH(A3134-30,Clean_Data!$A$2:$A$4314,1))-1)</f>
        <v>-0.0519639443805049</v>
      </c>
    </row>
    <row r="3135" customFormat="false" ht="15" hidden="false" customHeight="false" outlineLevel="0" collapsed="false">
      <c r="A3135" s="16" t="n">
        <v>45142</v>
      </c>
      <c r="B3135" s="23" t="n">
        <f aca="false">YEAR(A3135)</f>
        <v>2023</v>
      </c>
      <c r="C3135" s="17" t="n">
        <v>29073.7</v>
      </c>
      <c r="D3135" s="23" t="n">
        <f aca="false">A3135-A3134</f>
        <v>1</v>
      </c>
      <c r="E3135" s="24" t="n">
        <f aca="false">LN(C3135)</f>
        <v>10.2775892644354</v>
      </c>
      <c r="F3135" s="25" t="n">
        <f aca="false">LN(C3135/C3134)</f>
        <v>-0.00324303225209941</v>
      </c>
      <c r="G3135" s="25" t="n">
        <f aca="false">IF(AND(D3135=1,A3135&gt;=$R$2),F3135,"")</f>
        <v>-0.00324303225209941</v>
      </c>
      <c r="H3135" s="27" t="n">
        <f aca="false">IF(G3135="","",G3135^2)</f>
        <v>1.0517258188157E-005</v>
      </c>
      <c r="I3135" s="25" t="n">
        <f aca="false">IF(G3135="","",C3135/C3134-1)</f>
        <v>-0.00323777930303404</v>
      </c>
      <c r="J3135" s="17" t="n">
        <f aca="false">AVERAGE(C2936:C3135)</f>
        <v>26847.69325</v>
      </c>
      <c r="K3135" s="17" t="n">
        <f aca="false">MAX(K3134,C3135)</f>
        <v>67510.06</v>
      </c>
      <c r="L3135" s="25" t="n">
        <f aca="false">C3135/K3135-1</f>
        <v>-0.56934270240613</v>
      </c>
      <c r="M3135" s="25" t="n">
        <f aca="false">IF(COUNT(G3106:G3135)&lt;20,"",_xlfn.STDEV.S(G3106:G3135)*SQRT($R$3))</f>
        <v>0.258083759196192</v>
      </c>
      <c r="N3135" s="25" t="n">
        <f aca="false">IF(A3135-7&lt;$R$2,"",C3135/INDEX(Clean_Data!$C$2:$C$4314,MATCH(A3135-7,Clean_Data!$A$2:$A$4314,1))-1)</f>
        <v>-0.00810338157197144</v>
      </c>
      <c r="O3135" s="25" t="n">
        <f aca="false">IF(A3135-30&lt;$R$2,"",C3135/INDEX(Clean_Data!$C$2:$C$4314,MATCH(A3135-30,Clean_Data!$A$2:$A$4314,1))-1)</f>
        <v>-0.0465360409094501</v>
      </c>
    </row>
    <row r="3136" customFormat="false" ht="15" hidden="false" customHeight="false" outlineLevel="0" collapsed="false">
      <c r="A3136" s="16" t="n">
        <v>45143</v>
      </c>
      <c r="B3136" s="23" t="n">
        <f aca="false">YEAR(A3136)</f>
        <v>2023</v>
      </c>
      <c r="C3136" s="17" t="n">
        <v>29045.71</v>
      </c>
      <c r="D3136" s="23" t="n">
        <f aca="false">A3136-A3135</f>
        <v>1</v>
      </c>
      <c r="E3136" s="24" t="n">
        <f aca="false">LN(C3136)</f>
        <v>10.2766260749549</v>
      </c>
      <c r="F3136" s="25" t="n">
        <f aca="false">LN(C3136/C3135)</f>
        <v>-0.000963189480551904</v>
      </c>
      <c r="G3136" s="25" t="n">
        <f aca="false">IF(AND(D3136=1,A3136&gt;=$R$2),F3136,"")</f>
        <v>-0.000963189480551904</v>
      </c>
      <c r="H3136" s="27" t="n">
        <f aca="false">IF(G3136="","",G3136^2)</f>
        <v>9.27733975445847E-007</v>
      </c>
      <c r="I3136" s="25" t="n">
        <f aca="false">IF(G3136="","",C3136/C3135-1)</f>
        <v>-0.000962725762458927</v>
      </c>
      <c r="J3136" s="17" t="n">
        <f aca="false">AVERAGE(C2937:C3136)</f>
        <v>26887.15495</v>
      </c>
      <c r="K3136" s="17" t="n">
        <f aca="false">MAX(K3135,C3136)</f>
        <v>67510.06</v>
      </c>
      <c r="L3136" s="25" t="n">
        <f aca="false">C3136/K3136-1</f>
        <v>-0.569757307281315</v>
      </c>
      <c r="M3136" s="25" t="n">
        <f aca="false">IF(COUNT(G3107:G3136)&lt;20,"",_xlfn.STDEV.S(G3107:G3136)*SQRT($R$3))</f>
        <v>0.250077839356207</v>
      </c>
      <c r="N3136" s="25" t="n">
        <f aca="false">IF(A3136-7&lt;$R$2,"",C3136/INDEX(Clean_Data!$C$2:$C$4314,MATCH(A3136-7,Clean_Data!$A$2:$A$4314,1))-1)</f>
        <v>-0.0106332609847851</v>
      </c>
      <c r="O3136" s="25" t="n">
        <f aca="false">IF(A3136-30&lt;$R$2,"",C3136/INDEX(Clean_Data!$C$2:$C$4314,MATCH(A3136-30,Clean_Data!$A$2:$A$4314,1))-1)</f>
        <v>-0.0289252509704659</v>
      </c>
    </row>
    <row r="3137" customFormat="false" ht="15" hidden="false" customHeight="false" outlineLevel="0" collapsed="false">
      <c r="A3137" s="16" t="n">
        <v>45144</v>
      </c>
      <c r="B3137" s="23" t="n">
        <f aca="false">YEAR(A3137)</f>
        <v>2023</v>
      </c>
      <c r="C3137" s="17" t="n">
        <v>29040.44</v>
      </c>
      <c r="D3137" s="23" t="n">
        <f aca="false">A3137-A3136</f>
        <v>1</v>
      </c>
      <c r="E3137" s="24" t="n">
        <f aca="false">LN(C3137)</f>
        <v>10.2764446203391</v>
      </c>
      <c r="F3137" s="25" t="n">
        <f aca="false">LN(C3137/C3136)</f>
        <v>-0.000181454615754703</v>
      </c>
      <c r="G3137" s="25" t="n">
        <f aca="false">IF(AND(D3137=1,A3137&gt;=$R$2),F3137,"")</f>
        <v>-0.000181454615754703</v>
      </c>
      <c r="H3137" s="27" t="n">
        <f aca="false">IF(G3137="","",G3137^2)</f>
        <v>3.29257775786868E-008</v>
      </c>
      <c r="I3137" s="25" t="n">
        <f aca="false">IF(G3137="","",C3137/C3136-1)</f>
        <v>-0.000181438153861624</v>
      </c>
      <c r="J3137" s="17" t="n">
        <f aca="false">AVERAGE(C2938:C3137)</f>
        <v>26928.8027</v>
      </c>
      <c r="K3137" s="17" t="n">
        <f aca="false">MAX(K3136,C3137)</f>
        <v>67510.06</v>
      </c>
      <c r="L3137" s="25" t="n">
        <f aca="false">C3137/K3137-1</f>
        <v>-0.569835369721194</v>
      </c>
      <c r="M3137" s="25" t="n">
        <f aca="false">IF(COUNT(G3108:G3137)&lt;20,"",_xlfn.STDEV.S(G3108:G3137)*SQRT($R$3))</f>
        <v>0.244085384497757</v>
      </c>
      <c r="N3137" s="25" t="n">
        <f aca="false">IF(A3137-7&lt;$R$2,"",C3137/INDEX(Clean_Data!$C$2:$C$4314,MATCH(A3137-7,Clean_Data!$A$2:$A$4314,1))-1)</f>
        <v>-0.00810886045252635</v>
      </c>
      <c r="O3137" s="25" t="n">
        <f aca="false">IF(A3137-30&lt;$R$2,"",C3137/INDEX(Clean_Data!$C$2:$C$4314,MATCH(A3137-30,Clean_Data!$A$2:$A$4314,1))-1)</f>
        <v>-0.0427489828537977</v>
      </c>
    </row>
    <row r="3138" customFormat="false" ht="15" hidden="false" customHeight="false" outlineLevel="0" collapsed="false">
      <c r="A3138" s="16" t="n">
        <v>45145</v>
      </c>
      <c r="B3138" s="23" t="n">
        <f aca="false">YEAR(A3138)</f>
        <v>2023</v>
      </c>
      <c r="C3138" s="17" t="n">
        <v>29179.01</v>
      </c>
      <c r="D3138" s="23" t="n">
        <f aca="false">A3138-A3137</f>
        <v>1</v>
      </c>
      <c r="E3138" s="24" t="n">
        <f aca="false">LN(C3138)</f>
        <v>10.2812048941537</v>
      </c>
      <c r="F3138" s="25" t="n">
        <f aca="false">LN(C3138/C3137)</f>
        <v>0.00476027381463196</v>
      </c>
      <c r="G3138" s="25" t="n">
        <f aca="false">IF(AND(D3138=1,A3138&gt;=$R$2),F3138,"")</f>
        <v>0.00476027381463196</v>
      </c>
      <c r="H3138" s="27" t="n">
        <f aca="false">IF(G3138="","",G3138^2)</f>
        <v>2.26602067902707E-005</v>
      </c>
      <c r="I3138" s="25" t="n">
        <f aca="false">IF(G3138="","",C3138/C3137-1)</f>
        <v>0.00477162191757419</v>
      </c>
      <c r="J3138" s="17" t="n">
        <f aca="false">AVERAGE(C2939:C3138)</f>
        <v>26969.25705</v>
      </c>
      <c r="K3138" s="17" t="n">
        <f aca="false">MAX(K3137,C3138)</f>
        <v>67510.06</v>
      </c>
      <c r="L3138" s="25" t="n">
        <f aca="false">C3138/K3138-1</f>
        <v>-0.567782786743191</v>
      </c>
      <c r="M3138" s="25" t="n">
        <f aca="false">IF(COUNT(G3109:G3138)&lt;20,"",_xlfn.STDEV.S(G3109:G3138)*SQRT($R$3))</f>
        <v>0.245047587745526</v>
      </c>
      <c r="N3138" s="25" t="n">
        <f aca="false">IF(A3138-7&lt;$R$2,"",C3138/INDEX(Clean_Data!$C$2:$C$4314,MATCH(A3138-7,Clean_Data!$A$2:$A$4314,1))-1)</f>
        <v>-0.00151591315289068</v>
      </c>
      <c r="O3138" s="25" t="n">
        <f aca="false">IF(A3138-30&lt;$R$2,"",C3138/INDEX(Clean_Data!$C$2:$C$4314,MATCH(A3138-30,Clean_Data!$A$2:$A$4314,1))-1)</f>
        <v>-0.0370440407240567</v>
      </c>
    </row>
    <row r="3139" customFormat="false" ht="15" hidden="false" customHeight="false" outlineLevel="0" collapsed="false">
      <c r="A3139" s="16" t="n">
        <v>45146</v>
      </c>
      <c r="B3139" s="23" t="n">
        <f aca="false">YEAR(A3139)</f>
        <v>2023</v>
      </c>
      <c r="C3139" s="17" t="n">
        <v>29774.42</v>
      </c>
      <c r="D3139" s="23" t="n">
        <f aca="false">A3139-A3138</f>
        <v>1</v>
      </c>
      <c r="E3139" s="24" t="n">
        <f aca="false">LN(C3139)</f>
        <v>10.3014049146047</v>
      </c>
      <c r="F3139" s="25" t="n">
        <f aca="false">LN(C3139/C3138)</f>
        <v>0.0202000204509901</v>
      </c>
      <c r="G3139" s="25" t="n">
        <f aca="false">IF(AND(D3139=1,A3139&gt;=$R$2),F3139,"")</f>
        <v>0.0202000204509901</v>
      </c>
      <c r="H3139" s="27" t="n">
        <f aca="false">IF(G3139="","",G3139^2)</f>
        <v>0.000408040826220419</v>
      </c>
      <c r="I3139" s="25" t="n">
        <f aca="false">IF(G3139="","",C3139/C3138-1)</f>
        <v>0.0204054215684493</v>
      </c>
      <c r="J3139" s="17" t="n">
        <f aca="false">AVERAGE(C2940:C3139)</f>
        <v>27004.6949</v>
      </c>
      <c r="K3139" s="17" t="n">
        <f aca="false">MAX(K3138,C3139)</f>
        <v>67510.06</v>
      </c>
      <c r="L3139" s="25" t="n">
        <f aca="false">C3139/K3139-1</f>
        <v>-0.558963212297545</v>
      </c>
      <c r="M3139" s="25" t="n">
        <f aca="false">IF(COUNT(G3110:G3139)&lt;20,"",_xlfn.STDEV.S(G3110:G3139)*SQRT($R$3))</f>
        <v>0.255879303643755</v>
      </c>
      <c r="N3139" s="25" t="n">
        <f aca="false">IF(A3139-7&lt;$R$2,"",C3139/INDEX(Clean_Data!$C$2:$C$4314,MATCH(A3139-7,Clean_Data!$A$2:$A$4314,1))-1)</f>
        <v>0.0015318437828804</v>
      </c>
      <c r="O3139" s="25" t="n">
        <f aca="false">IF(A3139-30&lt;$R$2,"",C3139/INDEX(Clean_Data!$C$2:$C$4314,MATCH(A3139-30,Clean_Data!$A$2:$A$4314,1))-1)</f>
        <v>-0.0131476810590268</v>
      </c>
    </row>
    <row r="3140" customFormat="false" ht="15" hidden="false" customHeight="false" outlineLevel="0" collapsed="false">
      <c r="A3140" s="16" t="n">
        <v>45147</v>
      </c>
      <c r="B3140" s="23" t="n">
        <f aca="false">YEAR(A3140)</f>
        <v>2023</v>
      </c>
      <c r="C3140" s="17" t="n">
        <v>29561.54</v>
      </c>
      <c r="D3140" s="23" t="n">
        <f aca="false">A3140-A3139</f>
        <v>1</v>
      </c>
      <c r="E3140" s="24" t="n">
        <f aca="false">LN(C3140)</f>
        <v>10.2942294711341</v>
      </c>
      <c r="F3140" s="25" t="n">
        <f aca="false">LN(C3140/C3139)</f>
        <v>-0.00717544347065085</v>
      </c>
      <c r="G3140" s="25" t="n">
        <f aca="false">IF(AND(D3140=1,A3140&gt;=$R$2),F3140,"")</f>
        <v>-0.00717544347065085</v>
      </c>
      <c r="H3140" s="27" t="n">
        <f aca="false">IF(G3140="","",G3140^2)</f>
        <v>5.14869890005059E-005</v>
      </c>
      <c r="I3140" s="25" t="n">
        <f aca="false">IF(G3140="","",C3140/C3139-1)</f>
        <v>-0.00714976143951751</v>
      </c>
      <c r="J3140" s="17" t="n">
        <f aca="false">AVERAGE(C2941:C3140)</f>
        <v>27038.57465</v>
      </c>
      <c r="K3140" s="17" t="n">
        <f aca="false">MAX(K3139,C3140)</f>
        <v>67510.06</v>
      </c>
      <c r="L3140" s="25" t="n">
        <f aca="false">C3140/K3140-1</f>
        <v>-0.562116520115669</v>
      </c>
      <c r="M3140" s="25" t="n">
        <f aca="false">IF(COUNT(G3111:G3140)&lt;20,"",_xlfn.STDEV.S(G3111:G3140)*SQRT($R$3))</f>
        <v>0.254842170605506</v>
      </c>
      <c r="N3140" s="25" t="n">
        <f aca="false">IF(A3140-7&lt;$R$2,"",C3140/INDEX(Clean_Data!$C$2:$C$4314,MATCH(A3140-7,Clean_Data!$A$2:$A$4314,1))-1)</f>
        <v>0.013915227246146</v>
      </c>
      <c r="O3140" s="25" t="n">
        <f aca="false">IF(A3140-30&lt;$R$2,"",C3140/INDEX(Clean_Data!$C$2:$C$4314,MATCH(A3140-30,Clean_Data!$A$2:$A$4314,1))-1)</f>
        <v>-0.0284604200408052</v>
      </c>
    </row>
    <row r="3141" customFormat="false" ht="15" hidden="false" customHeight="false" outlineLevel="0" collapsed="false">
      <c r="A3141" s="16" t="n">
        <v>45148</v>
      </c>
      <c r="B3141" s="23" t="n">
        <f aca="false">YEAR(A3141)</f>
        <v>2023</v>
      </c>
      <c r="C3141" s="17" t="n">
        <v>29418.09</v>
      </c>
      <c r="D3141" s="23" t="n">
        <f aca="false">A3141-A3140</f>
        <v>1</v>
      </c>
      <c r="E3141" s="24" t="n">
        <f aca="false">LN(C3141)</f>
        <v>10.289365070226</v>
      </c>
      <c r="F3141" s="25" t="n">
        <f aca="false">LN(C3141/C3140)</f>
        <v>-0.00486440090804634</v>
      </c>
      <c r="G3141" s="25" t="n">
        <f aca="false">IF(AND(D3141=1,A3141&gt;=$R$2),F3141,"")</f>
        <v>-0.00486440090804634</v>
      </c>
      <c r="H3141" s="27" t="n">
        <f aca="false">IF(G3141="","",G3141^2)</f>
        <v>2.36623961942021E-005</v>
      </c>
      <c r="I3141" s="25" t="n">
        <f aca="false">IF(G3141="","",C3141/C3140-1)</f>
        <v>-0.0048525888705393</v>
      </c>
      <c r="J3141" s="17" t="n">
        <f aca="false">AVERAGE(C2942:C3141)</f>
        <v>27072.13155</v>
      </c>
      <c r="K3141" s="17" t="n">
        <f aca="false">MAX(K3140,C3141)</f>
        <v>67510.06</v>
      </c>
      <c r="L3141" s="25" t="n">
        <f aca="false">C3141/K3141-1</f>
        <v>-0.564241388616748</v>
      </c>
      <c r="M3141" s="25" t="n">
        <f aca="false">IF(COUNT(G3112:G3141)&lt;20,"",_xlfn.STDEV.S(G3112:G3141)*SQRT($R$3))</f>
        <v>0.253600844324508</v>
      </c>
      <c r="N3141" s="25" t="n">
        <f aca="false">IF(A3141-7&lt;$R$2,"",C3141/INDEX(Clean_Data!$C$2:$C$4314,MATCH(A3141-7,Clean_Data!$A$2:$A$4314,1))-1)</f>
        <v>0.00856928141458457</v>
      </c>
      <c r="O3141" s="25" t="n">
        <f aca="false">IF(A3141-30&lt;$R$2,"",C3141/INDEX(Clean_Data!$C$2:$C$4314,MATCH(A3141-30,Clean_Data!$A$2:$A$4314,1))-1)</f>
        <v>-0.0397611062983619</v>
      </c>
    </row>
    <row r="3142" customFormat="false" ht="15" hidden="false" customHeight="false" outlineLevel="0" collapsed="false">
      <c r="A3142" s="16" t="n">
        <v>45149</v>
      </c>
      <c r="B3142" s="23" t="n">
        <f aca="false">YEAR(A3142)</f>
        <v>2023</v>
      </c>
      <c r="C3142" s="17" t="n">
        <v>29400.05</v>
      </c>
      <c r="D3142" s="23" t="n">
        <f aca="false">A3142-A3141</f>
        <v>1</v>
      </c>
      <c r="E3142" s="24" t="n">
        <f aca="false">LN(C3142)</f>
        <v>10.2887516540056</v>
      </c>
      <c r="F3142" s="25" t="n">
        <f aca="false">LN(C3142/C3141)</f>
        <v>-0.000613416220427078</v>
      </c>
      <c r="G3142" s="25" t="n">
        <f aca="false">IF(AND(D3142=1,A3142&gt;=$R$2),F3142,"")</f>
        <v>-0.000613416220427078</v>
      </c>
      <c r="H3142" s="27" t="n">
        <f aca="false">IF(G3142="","",G3142^2)</f>
        <v>3.76279459483041E-007</v>
      </c>
      <c r="I3142" s="25" t="n">
        <f aca="false">IF(G3142="","",C3142/C3141-1)</f>
        <v>-0.000613228119160758</v>
      </c>
      <c r="J3142" s="17" t="n">
        <f aca="false">AVERAGE(C2943:C3142)</f>
        <v>27104.5552</v>
      </c>
      <c r="K3142" s="17" t="n">
        <f aca="false">MAX(K3141,C3142)</f>
        <v>67510.06</v>
      </c>
      <c r="L3142" s="25" t="n">
        <f aca="false">C3142/K3142-1</f>
        <v>-0.564508608050415</v>
      </c>
      <c r="M3142" s="25" t="n">
        <f aca="false">IF(COUNT(G3113:G3142)&lt;20,"",_xlfn.STDEV.S(G3113:G3142)*SQRT($R$3))</f>
        <v>0.252317194084687</v>
      </c>
      <c r="N3142" s="25" t="n">
        <f aca="false">IF(A3142-7&lt;$R$2,"",C3142/INDEX(Clean_Data!$C$2:$C$4314,MATCH(A3142-7,Clean_Data!$A$2:$A$4314,1))-1)</f>
        <v>0.0112249214926203</v>
      </c>
      <c r="O3142" s="25" t="n">
        <f aca="false">IF(A3142-30&lt;$R$2,"",C3142/INDEX(Clean_Data!$C$2:$C$4314,MATCH(A3142-30,Clean_Data!$A$2:$A$4314,1))-1)</f>
        <v>-0.0322248815876488</v>
      </c>
    </row>
    <row r="3143" customFormat="false" ht="15" hidden="false" customHeight="false" outlineLevel="0" collapsed="false">
      <c r="A3143" s="16" t="n">
        <v>45150</v>
      </c>
      <c r="B3143" s="23" t="n">
        <f aca="false">YEAR(A3143)</f>
        <v>2023</v>
      </c>
      <c r="C3143" s="17" t="n">
        <v>29416.98</v>
      </c>
      <c r="D3143" s="23" t="n">
        <f aca="false">A3143-A3142</f>
        <v>1</v>
      </c>
      <c r="E3143" s="24" t="n">
        <f aca="false">LN(C3143)</f>
        <v>10.2893273376288</v>
      </c>
      <c r="F3143" s="25" t="n">
        <f aca="false">LN(C3143/C3142)</f>
        <v>0.000575683623180733</v>
      </c>
      <c r="G3143" s="25" t="n">
        <f aca="false">IF(AND(D3143=1,A3143&gt;=$R$2),F3143,"")</f>
        <v>0.000575683623180733</v>
      </c>
      <c r="H3143" s="27" t="n">
        <f aca="false">IF(G3143="","",G3143^2)</f>
        <v>3.31411633998497E-007</v>
      </c>
      <c r="I3143" s="25" t="n">
        <f aca="false">IF(G3143="","",C3143/C3142-1)</f>
        <v>0.000575849360800351</v>
      </c>
      <c r="J3143" s="17" t="n">
        <f aca="false">AVERAGE(C2944:C3143)</f>
        <v>27138.5784</v>
      </c>
      <c r="K3143" s="17" t="n">
        <f aca="false">MAX(K3142,C3143)</f>
        <v>67510.06</v>
      </c>
      <c r="L3143" s="25" t="n">
        <f aca="false">C3143/K3143-1</f>
        <v>-0.564257830610727</v>
      </c>
      <c r="M3143" s="25" t="n">
        <f aca="false">IF(COUNT(G3114:G3143)&lt;20,"",_xlfn.STDEV.S(G3114:G3143)*SQRT($R$3))</f>
        <v>0.215626129245556</v>
      </c>
      <c r="N3143" s="25" t="n">
        <f aca="false">IF(A3143-7&lt;$R$2,"",C3143/INDEX(Clean_Data!$C$2:$C$4314,MATCH(A3143-7,Clean_Data!$A$2:$A$4314,1))-1)</f>
        <v>0.0127822662968129</v>
      </c>
      <c r="O3143" s="25" t="n">
        <f aca="false">IF(A3143-30&lt;$R$2,"",C3143/INDEX(Clean_Data!$C$2:$C$4314,MATCH(A3143-30,Clean_Data!$A$2:$A$4314,1))-1)</f>
        <v>-0.0652828127517156</v>
      </c>
    </row>
    <row r="3144" customFormat="false" ht="15" hidden="false" customHeight="false" outlineLevel="0" collapsed="false">
      <c r="A3144" s="16" t="n">
        <v>45151</v>
      </c>
      <c r="B3144" s="23" t="n">
        <f aca="false">YEAR(A3144)</f>
        <v>2023</v>
      </c>
      <c r="C3144" s="17" t="n">
        <v>29267.56</v>
      </c>
      <c r="D3144" s="23" t="n">
        <f aca="false">A3144-A3143</f>
        <v>1</v>
      </c>
      <c r="E3144" s="24" t="n">
        <f aca="false">LN(C3144)</f>
        <v>10.2842350144072</v>
      </c>
      <c r="F3144" s="25" t="n">
        <f aca="false">LN(C3144/C3143)</f>
        <v>-0.00509232322153118</v>
      </c>
      <c r="G3144" s="25" t="n">
        <f aca="false">IF(AND(D3144=1,A3144&gt;=$R$2),F3144,"")</f>
        <v>-0.00509232322153118</v>
      </c>
      <c r="H3144" s="27" t="n">
        <f aca="false">IF(G3144="","",G3144^2)</f>
        <v>2.59317557925457E-005</v>
      </c>
      <c r="I3144" s="25" t="n">
        <f aca="false">IF(G3144="","",C3144/C3143-1)</f>
        <v>-0.00507937932445812</v>
      </c>
      <c r="J3144" s="17" t="n">
        <f aca="false">AVERAGE(C2945:C3144)</f>
        <v>27169.5541</v>
      </c>
      <c r="K3144" s="17" t="n">
        <f aca="false">MAX(K3143,C3144)</f>
        <v>67510.06</v>
      </c>
      <c r="L3144" s="25" t="n">
        <f aca="false">C3144/K3144-1</f>
        <v>-0.566471130376717</v>
      </c>
      <c r="M3144" s="25" t="n">
        <f aca="false">IF(COUNT(G3115:G3144)&lt;20,"",_xlfn.STDEV.S(G3115:G3144)*SQRT($R$3))</f>
        <v>0.174657706777201</v>
      </c>
      <c r="N3144" s="25" t="n">
        <f aca="false">IF(A3144-7&lt;$R$2,"",C3144/INDEX(Clean_Data!$C$2:$C$4314,MATCH(A3144-7,Clean_Data!$A$2:$A$4314,1))-1)</f>
        <v>0.00782081814187396</v>
      </c>
      <c r="O3144" s="25" t="n">
        <f aca="false">IF(A3144-30&lt;$R$2,"",C3144/INDEX(Clean_Data!$C$2:$C$4314,MATCH(A3144-30,Clean_Data!$A$2:$A$4314,1))-1)</f>
        <v>-0.0344824401029004</v>
      </c>
    </row>
    <row r="3145" customFormat="false" ht="15" hidden="false" customHeight="false" outlineLevel="0" collapsed="false">
      <c r="A3145" s="16" t="n">
        <v>45152</v>
      </c>
      <c r="B3145" s="23" t="n">
        <f aca="false">YEAR(A3145)</f>
        <v>2023</v>
      </c>
      <c r="C3145" s="17" t="n">
        <v>29397.35</v>
      </c>
      <c r="D3145" s="23" t="n">
        <f aca="false">A3145-A3144</f>
        <v>1</v>
      </c>
      <c r="E3145" s="24" t="n">
        <f aca="false">LN(C3145)</f>
        <v>10.2886598132099</v>
      </c>
      <c r="F3145" s="25" t="n">
        <f aca="false">LN(C3145/C3144)</f>
        <v>0.00442479880260436</v>
      </c>
      <c r="G3145" s="25" t="n">
        <f aca="false">IF(AND(D3145=1,A3145&gt;=$R$2),F3145,"")</f>
        <v>0.00442479880260436</v>
      </c>
      <c r="H3145" s="27" t="n">
        <f aca="false">IF(G3145="","",G3145^2)</f>
        <v>1.9578844443529E-005</v>
      </c>
      <c r="I3145" s="25" t="n">
        <f aca="false">IF(G3145="","",C3145/C3144-1)</f>
        <v>0.00443460267955365</v>
      </c>
      <c r="J3145" s="17" t="n">
        <f aca="false">AVERAGE(C2946:C3145)</f>
        <v>27201.3991</v>
      </c>
      <c r="K3145" s="17" t="n">
        <f aca="false">MAX(K3144,C3145)</f>
        <v>67510.06</v>
      </c>
      <c r="L3145" s="25" t="n">
        <f aca="false">C3145/K3145-1</f>
        <v>-0.564548602089822</v>
      </c>
      <c r="M3145" s="25" t="n">
        <f aca="false">IF(COUNT(G3116:G3145)&lt;20,"",_xlfn.STDEV.S(G3116:G3145)*SQRT($R$3))</f>
        <v>0.175732847669586</v>
      </c>
      <c r="N3145" s="25" t="n">
        <f aca="false">IF(A3145-7&lt;$R$2,"",C3145/INDEX(Clean_Data!$C$2:$C$4314,MATCH(A3145-7,Clean_Data!$A$2:$A$4314,1))-1)</f>
        <v>0.00748277614627768</v>
      </c>
      <c r="O3145" s="25" t="n">
        <f aca="false">IF(A3145-30&lt;$R$2,"",C3145/INDEX(Clean_Data!$C$2:$C$4314,MATCH(A3145-30,Clean_Data!$A$2:$A$4314,1))-1)</f>
        <v>-0.0298118820474926</v>
      </c>
    </row>
    <row r="3146" customFormat="false" ht="15" hidden="false" customHeight="false" outlineLevel="0" collapsed="false">
      <c r="A3146" s="16" t="n">
        <v>45153</v>
      </c>
      <c r="B3146" s="23" t="n">
        <f aca="false">YEAR(A3146)</f>
        <v>2023</v>
      </c>
      <c r="C3146" s="17" t="n">
        <v>29165.96</v>
      </c>
      <c r="D3146" s="23" t="n">
        <f aca="false">A3146-A3145</f>
        <v>1</v>
      </c>
      <c r="E3146" s="24" t="n">
        <f aca="false">LN(C3146)</f>
        <v>10.2807575548127</v>
      </c>
      <c r="F3146" s="25" t="n">
        <f aca="false">LN(C3146/C3145)</f>
        <v>-0.00790225839720198</v>
      </c>
      <c r="G3146" s="25" t="n">
        <f aca="false">IF(AND(D3146=1,A3146&gt;=$R$2),F3146,"")</f>
        <v>-0.00790225839720198</v>
      </c>
      <c r="H3146" s="27" t="n">
        <f aca="false">IF(G3146="","",G3146^2)</f>
        <v>6.24456877761492E-005</v>
      </c>
      <c r="I3146" s="25" t="n">
        <f aca="false">IF(G3146="","",C3146/C3145-1)</f>
        <v>-0.00787111763475279</v>
      </c>
      <c r="J3146" s="17" t="n">
        <f aca="false">AVERAGE(C2947:C3146)</f>
        <v>27231.8658</v>
      </c>
      <c r="K3146" s="17" t="n">
        <f aca="false">MAX(K3145,C3146)</f>
        <v>67510.06</v>
      </c>
      <c r="L3146" s="25" t="n">
        <f aca="false">C3146/K3146-1</f>
        <v>-0.56797609126699</v>
      </c>
      <c r="M3146" s="25" t="n">
        <f aca="false">IF(COUNT(G3117:G3146)&lt;20,"",_xlfn.STDEV.S(G3117:G3146)*SQRT($R$3))</f>
        <v>0.17734221129803</v>
      </c>
      <c r="N3146" s="25" t="n">
        <f aca="false">IF(A3146-7&lt;$R$2,"",C3146/INDEX(Clean_Data!$C$2:$C$4314,MATCH(A3146-7,Clean_Data!$A$2:$A$4314,1))-1)</f>
        <v>-0.0204356625586661</v>
      </c>
      <c r="O3146" s="25" t="n">
        <f aca="false">IF(A3146-30&lt;$R$2,"",C3146/INDEX(Clean_Data!$C$2:$C$4314,MATCH(A3146-30,Clean_Data!$A$2:$A$4314,1))-1)</f>
        <v>-0.0353934301094188</v>
      </c>
    </row>
    <row r="3147" customFormat="false" ht="15" hidden="false" customHeight="false" outlineLevel="0" collapsed="false">
      <c r="A3147" s="16" t="n">
        <v>45154</v>
      </c>
      <c r="B3147" s="23" t="n">
        <f aca="false">YEAR(A3147)</f>
        <v>2023</v>
      </c>
      <c r="C3147" s="17" t="n">
        <v>28694.33</v>
      </c>
      <c r="D3147" s="23" t="n">
        <f aca="false">A3147-A3146</f>
        <v>1</v>
      </c>
      <c r="E3147" s="24" t="n">
        <f aca="false">LN(C3147)</f>
        <v>10.2644548212544</v>
      </c>
      <c r="F3147" s="25" t="n">
        <f aca="false">LN(C3147/C3146)</f>
        <v>-0.0163027335582884</v>
      </c>
      <c r="G3147" s="25" t="n">
        <f aca="false">IF(AND(D3147=1,A3147&gt;=$R$2),F3147,"")</f>
        <v>-0.0163027335582884</v>
      </c>
      <c r="H3147" s="27" t="n">
        <f aca="false">IF(G3147="","",G3147^2)</f>
        <v>0.000265779121472541</v>
      </c>
      <c r="I3147" s="25" t="n">
        <f aca="false">IF(G3147="","",C3147/C3146-1)</f>
        <v>-0.0161705632182173</v>
      </c>
      <c r="J3147" s="17" t="n">
        <f aca="false">AVERAGE(C2948:C3147)</f>
        <v>27260.1639</v>
      </c>
      <c r="K3147" s="17" t="n">
        <f aca="false">MAX(K3146,C3147)</f>
        <v>67510.06</v>
      </c>
      <c r="L3147" s="25" t="n">
        <f aca="false">C3147/K3147-1</f>
        <v>-0.574962161194939</v>
      </c>
      <c r="M3147" s="25" t="n">
        <f aca="false">IF(COUNT(G3118:G3147)&lt;20,"",_xlfn.STDEV.S(G3118:G3147)*SQRT($R$3))</f>
        <v>0.184961677649894</v>
      </c>
      <c r="N3147" s="25" t="n">
        <f aca="false">IF(A3147-7&lt;$R$2,"",C3147/INDEX(Clean_Data!$C$2:$C$4314,MATCH(A3147-7,Clean_Data!$A$2:$A$4314,1))-1)</f>
        <v>-0.0293357517910096</v>
      </c>
      <c r="O3147" s="25" t="n">
        <f aca="false">IF(A3147-30&lt;$R$2,"",C3147/INDEX(Clean_Data!$C$2:$C$4314,MATCH(A3147-30,Clean_Data!$A$2:$A$4314,1))-1)</f>
        <v>-0.0482935549777117</v>
      </c>
    </row>
    <row r="3148" customFormat="false" ht="15" hidden="false" customHeight="false" outlineLevel="0" collapsed="false">
      <c r="A3148" s="16" t="n">
        <v>45155</v>
      </c>
      <c r="B3148" s="23" t="n">
        <f aca="false">YEAR(A3148)</f>
        <v>2023</v>
      </c>
      <c r="C3148" s="17" t="n">
        <v>26600.98</v>
      </c>
      <c r="D3148" s="23" t="n">
        <f aca="false">A3148-A3147</f>
        <v>1</v>
      </c>
      <c r="E3148" s="24" t="n">
        <f aca="false">LN(C3148)</f>
        <v>10.1887033361964</v>
      </c>
      <c r="F3148" s="25" t="n">
        <f aca="false">LN(C3148/C3147)</f>
        <v>-0.0757514850579627</v>
      </c>
      <c r="G3148" s="25" t="n">
        <f aca="false">IF(AND(D3148=1,A3148&gt;=$R$2),F3148,"")</f>
        <v>-0.0757514850579627</v>
      </c>
      <c r="H3148" s="27" t="n">
        <f aca="false">IF(G3148="","",G3148^2)</f>
        <v>0.00573828748848675</v>
      </c>
      <c r="I3148" s="25" t="n">
        <f aca="false">IF(G3148="","",C3148/C3147-1)</f>
        <v>-0.0729534371424599</v>
      </c>
      <c r="J3148" s="17" t="n">
        <f aca="false">AVERAGE(C2949:C3148)</f>
        <v>27274.4862</v>
      </c>
      <c r="K3148" s="17" t="n">
        <f aca="false">MAX(K3147,C3148)</f>
        <v>67510.06</v>
      </c>
      <c r="L3148" s="25" t="n">
        <f aca="false">C3148/K3148-1</f>
        <v>-0.605970132451371</v>
      </c>
      <c r="M3148" s="25" t="n">
        <f aca="false">IF(COUNT(G3119:G3148)&lt;20,"",_xlfn.STDEV.S(G3119:G3148)*SQRT($R$3))</f>
        <v>0.317306616499222</v>
      </c>
      <c r="N3148" s="25" t="n">
        <f aca="false">IF(A3148-7&lt;$R$2,"",C3148/INDEX(Clean_Data!$C$2:$C$4314,MATCH(A3148-7,Clean_Data!$A$2:$A$4314,1))-1)</f>
        <v>-0.0957611456080255</v>
      </c>
      <c r="O3148" s="25" t="n">
        <f aca="false">IF(A3148-30&lt;$R$2,"",C3148/INDEX(Clean_Data!$C$2:$C$4314,MATCH(A3148-30,Clean_Data!$A$2:$A$4314,1))-1)</f>
        <v>-0.109168694126256</v>
      </c>
    </row>
    <row r="3149" customFormat="false" ht="15" hidden="false" customHeight="false" outlineLevel="0" collapsed="false">
      <c r="A3149" s="16" t="n">
        <v>45156</v>
      </c>
      <c r="B3149" s="23" t="n">
        <f aca="false">YEAR(A3149)</f>
        <v>2023</v>
      </c>
      <c r="C3149" s="17" t="n">
        <v>26043.99</v>
      </c>
      <c r="D3149" s="23" t="n">
        <f aca="false">A3149-A3148</f>
        <v>1</v>
      </c>
      <c r="E3149" s="24" t="n">
        <f aca="false">LN(C3149)</f>
        <v>10.1675423103911</v>
      </c>
      <c r="F3149" s="25" t="n">
        <f aca="false">LN(C3149/C3148)</f>
        <v>-0.0211610258053176</v>
      </c>
      <c r="G3149" s="25" t="n">
        <f aca="false">IF(AND(D3149=1,A3149&gt;=$R$2),F3149,"")</f>
        <v>-0.0211610258053176</v>
      </c>
      <c r="H3149" s="27" t="n">
        <f aca="false">IF(G3149="","",G3149^2)</f>
        <v>0.000447789013133317</v>
      </c>
      <c r="I3149" s="25" t="n">
        <f aca="false">IF(G3149="","",C3149/C3148-1)</f>
        <v>-0.0209387022583378</v>
      </c>
      <c r="J3149" s="17" t="n">
        <f aca="false">AVERAGE(C2950:C3149)</f>
        <v>27290.54455</v>
      </c>
      <c r="K3149" s="17" t="n">
        <f aca="false">MAX(K3148,C3149)</f>
        <v>67510.06</v>
      </c>
      <c r="L3149" s="25" t="n">
        <f aca="false">C3149/K3149-1</f>
        <v>-0.614220606528864</v>
      </c>
      <c r="M3149" s="25" t="n">
        <f aca="false">IF(COUNT(G3120:G3149)&lt;20,"",_xlfn.STDEV.S(G3120:G3149)*SQRT($R$3))</f>
        <v>0.322193905833923</v>
      </c>
      <c r="N3149" s="25" t="n">
        <f aca="false">IF(A3149-7&lt;$R$2,"",C3149/INDEX(Clean_Data!$C$2:$C$4314,MATCH(A3149-7,Clean_Data!$A$2:$A$4314,1))-1)</f>
        <v>-0.114151506545057</v>
      </c>
      <c r="O3149" s="25" t="n">
        <f aca="false">IF(A3149-30&lt;$R$2,"",C3149/INDEX(Clean_Data!$C$2:$C$4314,MATCH(A3149-30,Clean_Data!$A$2:$A$4314,1))-1)</f>
        <v>-0.129504184190621</v>
      </c>
    </row>
    <row r="3150" customFormat="false" ht="15" hidden="false" customHeight="false" outlineLevel="0" collapsed="false">
      <c r="A3150" s="16" t="n">
        <v>45157</v>
      </c>
      <c r="B3150" s="23" t="n">
        <f aca="false">YEAR(A3150)</f>
        <v>2023</v>
      </c>
      <c r="C3150" s="17" t="n">
        <v>26081.24</v>
      </c>
      <c r="D3150" s="23" t="n">
        <f aca="false">A3150-A3149</f>
        <v>1</v>
      </c>
      <c r="E3150" s="24" t="n">
        <f aca="false">LN(C3150)</f>
        <v>10.1689715609226</v>
      </c>
      <c r="F3150" s="25" t="n">
        <f aca="false">LN(C3150/C3149)</f>
        <v>0.00142925053150105</v>
      </c>
      <c r="G3150" s="25" t="n">
        <f aca="false">IF(AND(D3150=1,A3150&gt;=$R$2),F3150,"")</f>
        <v>0.00142925053150105</v>
      </c>
      <c r="H3150" s="27" t="n">
        <f aca="false">IF(G3150="","",G3150^2)</f>
        <v>2.04275708179604E-006</v>
      </c>
      <c r="I3150" s="25" t="n">
        <f aca="false">IF(G3150="","",C3150/C3149-1)</f>
        <v>0.00143027239681781</v>
      </c>
      <c r="J3150" s="17" t="n">
        <f aca="false">AVERAGE(C2951:C3150)</f>
        <v>27305.27705</v>
      </c>
      <c r="K3150" s="17" t="n">
        <f aca="false">MAX(K3149,C3150)</f>
        <v>67510.06</v>
      </c>
      <c r="L3150" s="25" t="n">
        <f aca="false">C3150/K3150-1</f>
        <v>-0.613668836911121</v>
      </c>
      <c r="M3150" s="25" t="n">
        <f aca="false">IF(COUNT(G3121:G3150)&lt;20,"",_xlfn.STDEV.S(G3121:G3150)*SQRT($R$3))</f>
        <v>0.322875058357022</v>
      </c>
      <c r="N3150" s="25" t="n">
        <f aca="false">IF(A3150-7&lt;$R$2,"",C3150/INDEX(Clean_Data!$C$2:$C$4314,MATCH(A3150-7,Clean_Data!$A$2:$A$4314,1))-1)</f>
        <v>-0.113395052789239</v>
      </c>
      <c r="O3150" s="25" t="n">
        <f aca="false">IF(A3150-30&lt;$R$2,"",C3150/INDEX(Clean_Data!$C$2:$C$4314,MATCH(A3150-30,Clean_Data!$A$2:$A$4314,1))-1)</f>
        <v>-0.125022561133122</v>
      </c>
    </row>
    <row r="3151" customFormat="false" ht="15" hidden="false" customHeight="false" outlineLevel="0" collapsed="false">
      <c r="A3151" s="16" t="n">
        <v>45158</v>
      </c>
      <c r="B3151" s="23" t="n">
        <f aca="false">YEAR(A3151)</f>
        <v>2023</v>
      </c>
      <c r="C3151" s="17" t="n">
        <v>26187.2</v>
      </c>
      <c r="D3151" s="23" t="n">
        <f aca="false">A3151-A3150</f>
        <v>1</v>
      </c>
      <c r="E3151" s="24" t="n">
        <f aca="false">LN(C3151)</f>
        <v>10.1730260207516</v>
      </c>
      <c r="F3151" s="25" t="n">
        <f aca="false">LN(C3151/C3150)</f>
        <v>0.00405445982903609</v>
      </c>
      <c r="G3151" s="25" t="n">
        <f aca="false">IF(AND(D3151=1,A3151&gt;=$R$2),F3151,"")</f>
        <v>0.00405445982903609</v>
      </c>
      <c r="H3151" s="27" t="n">
        <f aca="false">IF(G3151="","",G3151^2)</f>
        <v>1.64386445052674E-005</v>
      </c>
      <c r="I3151" s="25" t="n">
        <f aca="false">IF(G3151="","",C3151/C3150-1)</f>
        <v>0.00406269027086137</v>
      </c>
      <c r="J3151" s="17" t="n">
        <f aca="false">AVERAGE(C2952:C3151)</f>
        <v>27317.51295</v>
      </c>
      <c r="K3151" s="17" t="n">
        <f aca="false">MAX(K3150,C3151)</f>
        <v>67510.06</v>
      </c>
      <c r="L3151" s="25" t="n">
        <f aca="false">C3151/K3151-1</f>
        <v>-0.612099293053509</v>
      </c>
      <c r="M3151" s="25" t="n">
        <f aca="false">IF(COUNT(G3122:G3151)&lt;20,"",_xlfn.STDEV.S(G3122:G3151)*SQRT($R$3))</f>
        <v>0.323106507643576</v>
      </c>
      <c r="N3151" s="25" t="n">
        <f aca="false">IF(A3151-7&lt;$R$2,"",C3151/INDEX(Clean_Data!$C$2:$C$4314,MATCH(A3151-7,Clean_Data!$A$2:$A$4314,1))-1)</f>
        <v>-0.10524826804831</v>
      </c>
      <c r="O3151" s="25" t="n">
        <f aca="false">IF(A3151-30&lt;$R$2,"",C3151/INDEX(Clean_Data!$C$2:$C$4314,MATCH(A3151-30,Clean_Data!$A$2:$A$4314,1))-1)</f>
        <v>-0.124383006867256</v>
      </c>
    </row>
    <row r="3152" customFormat="false" ht="15" hidden="false" customHeight="false" outlineLevel="0" collapsed="false">
      <c r="A3152" s="16" t="n">
        <v>45159</v>
      </c>
      <c r="B3152" s="23" t="n">
        <f aca="false">YEAR(A3152)</f>
        <v>2023</v>
      </c>
      <c r="C3152" s="17" t="n">
        <v>26128.18</v>
      </c>
      <c r="D3152" s="23" t="n">
        <f aca="false">A3152-A3151</f>
        <v>1</v>
      </c>
      <c r="E3152" s="24" t="n">
        <f aca="false">LN(C3152)</f>
        <v>10.1707697043476</v>
      </c>
      <c r="F3152" s="25" t="n">
        <f aca="false">LN(C3152/C3151)</f>
        <v>-0.00225631640405001</v>
      </c>
      <c r="G3152" s="25" t="n">
        <f aca="false">IF(AND(D3152=1,A3152&gt;=$R$2),F3152,"")</f>
        <v>-0.00225631640405001</v>
      </c>
      <c r="H3152" s="27" t="n">
        <f aca="false">IF(G3152="","",G3152^2)</f>
        <v>5.09096371518515E-006</v>
      </c>
      <c r="I3152" s="25" t="n">
        <f aca="false">IF(G3152="","",C3152/C3151-1)</f>
        <v>-0.00225377283558381</v>
      </c>
      <c r="J3152" s="17" t="n">
        <f aca="false">AVERAGE(C2953:C3152)</f>
        <v>27330.40895</v>
      </c>
      <c r="K3152" s="17" t="n">
        <f aca="false">MAX(K3151,C3152)</f>
        <v>67510.06</v>
      </c>
      <c r="L3152" s="25" t="n">
        <f aca="false">C3152/K3152-1</f>
        <v>-0.612973533129729</v>
      </c>
      <c r="M3152" s="25" t="n">
        <f aca="false">IF(COUNT(G3123:G3152)&lt;20,"",_xlfn.STDEV.S(G3123:G3152)*SQRT($R$3))</f>
        <v>0.323176303292141</v>
      </c>
      <c r="N3152" s="25" t="n">
        <f aca="false">IF(A3152-7&lt;$R$2,"",C3152/INDEX(Clean_Data!$C$2:$C$4314,MATCH(A3152-7,Clean_Data!$A$2:$A$4314,1))-1)</f>
        <v>-0.111206282198906</v>
      </c>
      <c r="O3152" s="25" t="n">
        <f aca="false">IF(A3152-30&lt;$R$2,"",C3152/INDEX(Clean_Data!$C$2:$C$4314,MATCH(A3152-30,Clean_Data!$A$2:$A$4314,1))-1)</f>
        <v>-0.12339458144292</v>
      </c>
    </row>
    <row r="3153" customFormat="false" ht="15" hidden="false" customHeight="false" outlineLevel="0" collapsed="false">
      <c r="A3153" s="16" t="n">
        <v>45160</v>
      </c>
      <c r="B3153" s="23" t="n">
        <f aca="false">YEAR(A3153)</f>
        <v>2023</v>
      </c>
      <c r="C3153" s="17" t="n">
        <v>26038.42</v>
      </c>
      <c r="D3153" s="23" t="n">
        <f aca="false">A3153-A3152</f>
        <v>1</v>
      </c>
      <c r="E3153" s="24" t="n">
        <f aca="false">LN(C3153)</f>
        <v>10.1673284185984</v>
      </c>
      <c r="F3153" s="25" t="n">
        <f aca="false">LN(C3153/C3152)</f>
        <v>-0.00344128574917638</v>
      </c>
      <c r="G3153" s="25" t="n">
        <f aca="false">IF(AND(D3153=1,A3153&gt;=$R$2),F3153,"")</f>
        <v>-0.00344128574917638</v>
      </c>
      <c r="H3153" s="27" t="n">
        <f aca="false">IF(G3153="","",G3153^2)</f>
        <v>1.18424476074845E-005</v>
      </c>
      <c r="I3153" s="25" t="n">
        <f aca="false">IF(G3153="","",C3153/C3152-1)</f>
        <v>-0.00343537131174088</v>
      </c>
      <c r="J3153" s="17" t="n">
        <f aca="false">AVERAGE(C2954:C3153)</f>
        <v>27343.46905</v>
      </c>
      <c r="K3153" s="17" t="n">
        <f aca="false">MAX(K3152,C3153)</f>
        <v>67510.06</v>
      </c>
      <c r="L3153" s="25" t="n">
        <f aca="false">C3153/K3153-1</f>
        <v>-0.6143031127509</v>
      </c>
      <c r="M3153" s="25" t="n">
        <f aca="false">IF(COUNT(G3124:G3153)&lt;20,"",_xlfn.STDEV.S(G3124:G3153)*SQRT($R$3))</f>
        <v>0.31945051006274</v>
      </c>
      <c r="N3153" s="25" t="n">
        <f aca="false">IF(A3153-7&lt;$R$2,"",C3153/INDEX(Clean_Data!$C$2:$C$4314,MATCH(A3153-7,Clean_Data!$A$2:$A$4314,1))-1)</f>
        <v>-0.107232540948421</v>
      </c>
      <c r="O3153" s="25" t="n">
        <f aca="false">IF(A3153-30&lt;$R$2,"",C3153/INDEX(Clean_Data!$C$2:$C$4314,MATCH(A3153-30,Clean_Data!$A$2:$A$4314,1))-1)</f>
        <v>-0.134440744652171</v>
      </c>
    </row>
    <row r="3154" customFormat="false" ht="15" hidden="false" customHeight="false" outlineLevel="0" collapsed="false">
      <c r="A3154" s="16" t="n">
        <v>45161</v>
      </c>
      <c r="B3154" s="23" t="n">
        <f aca="false">YEAR(A3154)</f>
        <v>2023</v>
      </c>
      <c r="C3154" s="17" t="n">
        <v>26429.54</v>
      </c>
      <c r="D3154" s="23" t="n">
        <f aca="false">A3154-A3153</f>
        <v>1</v>
      </c>
      <c r="E3154" s="24" t="n">
        <f aca="false">LN(C3154)</f>
        <v>10.1822376029823</v>
      </c>
      <c r="F3154" s="25" t="n">
        <f aca="false">LN(C3154/C3153)</f>
        <v>0.0149091843838588</v>
      </c>
      <c r="G3154" s="25" t="n">
        <f aca="false">IF(AND(D3154=1,A3154&gt;=$R$2),F3154,"")</f>
        <v>0.0149091843838588</v>
      </c>
      <c r="H3154" s="27" t="n">
        <f aca="false">IF(G3154="","",G3154^2)</f>
        <v>0.000222283778991899</v>
      </c>
      <c r="I3154" s="25" t="n">
        <f aca="false">IF(G3154="","",C3154/C3153-1)</f>
        <v>0.0150208806832366</v>
      </c>
      <c r="J3154" s="17" t="n">
        <f aca="false">AVERAGE(C2955:C3154)</f>
        <v>27359.022</v>
      </c>
      <c r="K3154" s="17" t="n">
        <f aca="false">MAX(K3153,C3154)</f>
        <v>67510.06</v>
      </c>
      <c r="L3154" s="25" t="n">
        <f aca="false">C3154/K3154-1</f>
        <v>-0.608509605827635</v>
      </c>
      <c r="M3154" s="25" t="n">
        <f aca="false">IF(COUNT(G3125:G3154)&lt;20,"",_xlfn.STDEV.S(G3125:G3154)*SQRT($R$3))</f>
        <v>0.312392723064362</v>
      </c>
      <c r="N3154" s="25" t="n">
        <f aca="false">IF(A3154-7&lt;$R$2,"",C3154/INDEX(Clean_Data!$C$2:$C$4314,MATCH(A3154-7,Clean_Data!$A$2:$A$4314,1))-1)</f>
        <v>-0.0789281366736914</v>
      </c>
      <c r="O3154" s="25" t="n">
        <f aca="false">IF(A3154-30&lt;$R$2,"",C3154/INDEX(Clean_Data!$C$2:$C$4314,MATCH(A3154-30,Clean_Data!$A$2:$A$4314,1))-1)</f>
        <v>-0.0939870269573545</v>
      </c>
    </row>
    <row r="3155" customFormat="false" ht="15" hidden="false" customHeight="false" outlineLevel="0" collapsed="false">
      <c r="A3155" s="16" t="n">
        <v>45162</v>
      </c>
      <c r="B3155" s="23" t="n">
        <f aca="false">YEAR(A3155)</f>
        <v>2023</v>
      </c>
      <c r="C3155" s="17" t="n">
        <v>26168.12</v>
      </c>
      <c r="D3155" s="23" t="n">
        <f aca="false">A3155-A3154</f>
        <v>1</v>
      </c>
      <c r="E3155" s="24" t="n">
        <f aca="false">LN(C3155)</f>
        <v>10.1722971549613</v>
      </c>
      <c r="F3155" s="25" t="n">
        <f aca="false">LN(C3155/C3154)</f>
        <v>-0.00994044802095446</v>
      </c>
      <c r="G3155" s="25" t="n">
        <f aca="false">IF(AND(D3155=1,A3155&gt;=$R$2),F3155,"")</f>
        <v>-0.00994044802095446</v>
      </c>
      <c r="H3155" s="27" t="n">
        <f aca="false">IF(G3155="","",G3155^2)</f>
        <v>9.88125068572975E-005</v>
      </c>
      <c r="I3155" s="25" t="n">
        <f aca="false">IF(G3155="","",C3155/C3154-1)</f>
        <v>-0.00989120506826835</v>
      </c>
      <c r="J3155" s="17" t="n">
        <f aca="false">AVERAGE(C2956:C3155)</f>
        <v>27375.17245</v>
      </c>
      <c r="K3155" s="17" t="n">
        <f aca="false">MAX(K3154,C3155)</f>
        <v>67510.06</v>
      </c>
      <c r="L3155" s="25" t="n">
        <f aca="false">C3155/K3155-1</f>
        <v>-0.612381917598651</v>
      </c>
      <c r="M3155" s="25" t="n">
        <f aca="false">IF(COUNT(G3126:G3155)&lt;20,"",_xlfn.STDEV.S(G3126:G3155)*SQRT($R$3))</f>
        <v>0.312684644299674</v>
      </c>
      <c r="N3155" s="25" t="n">
        <f aca="false">IF(A3155-7&lt;$R$2,"",C3155/INDEX(Clean_Data!$C$2:$C$4314,MATCH(A3155-7,Clean_Data!$A$2:$A$4314,1))-1)</f>
        <v>-0.0162723328238283</v>
      </c>
      <c r="O3155" s="25" t="n">
        <f aca="false">IF(A3155-30&lt;$R$2,"",C3155/INDEX(Clean_Data!$C$2:$C$4314,MATCH(A3155-30,Clean_Data!$A$2:$A$4314,1))-1)</f>
        <v>-0.104498226320541</v>
      </c>
    </row>
    <row r="3156" customFormat="false" ht="15" hidden="false" customHeight="false" outlineLevel="0" collapsed="false">
      <c r="A3156" s="16" t="n">
        <v>45163</v>
      </c>
      <c r="B3156" s="23" t="n">
        <f aca="false">YEAR(A3156)</f>
        <v>2023</v>
      </c>
      <c r="C3156" s="17" t="n">
        <v>26054.38</v>
      </c>
      <c r="D3156" s="23" t="n">
        <f aca="false">A3156-A3155</f>
        <v>1</v>
      </c>
      <c r="E3156" s="24" t="n">
        <f aca="false">LN(C3156)</f>
        <v>10.1679411712436</v>
      </c>
      <c r="F3156" s="25" t="n">
        <f aca="false">LN(C3156/C3155)</f>
        <v>-0.00435598371764921</v>
      </c>
      <c r="G3156" s="25" t="n">
        <f aca="false">IF(AND(D3156=1,A3156&gt;=$R$2),F3156,"")</f>
        <v>-0.00435598371764921</v>
      </c>
      <c r="H3156" s="27" t="n">
        <f aca="false">IF(G3156="","",G3156^2)</f>
        <v>1.8974594148425E-005</v>
      </c>
      <c r="I3156" s="25" t="n">
        <f aca="false">IF(G3156="","",C3156/C3155-1)</f>
        <v>-0.00434651018109045</v>
      </c>
      <c r="J3156" s="17" t="n">
        <f aca="false">AVERAGE(C2957:C3156)</f>
        <v>27391.6854</v>
      </c>
      <c r="K3156" s="17" t="n">
        <f aca="false">MAX(K3155,C3156)</f>
        <v>67510.06</v>
      </c>
      <c r="L3156" s="25" t="n">
        <f aca="false">C3156/K3156-1</f>
        <v>-0.614066703540183</v>
      </c>
      <c r="M3156" s="25" t="n">
        <f aca="false">IF(COUNT(G3127:G3156)&lt;20,"",_xlfn.STDEV.S(G3127:G3156)*SQRT($R$3))</f>
        <v>0.311315544741996</v>
      </c>
      <c r="N3156" s="25" t="n">
        <f aca="false">IF(A3156-7&lt;$R$2,"",C3156/INDEX(Clean_Data!$C$2:$C$4314,MATCH(A3156-7,Clean_Data!$A$2:$A$4314,1))-1)</f>
        <v>0.000398940408132598</v>
      </c>
      <c r="O3156" s="25" t="n">
        <f aca="false">IF(A3156-30&lt;$R$2,"",C3156/INDEX(Clean_Data!$C$2:$C$4314,MATCH(A3156-30,Clean_Data!$A$2:$A$4314,1))-1)</f>
        <v>-0.112331946350935</v>
      </c>
    </row>
    <row r="3157" customFormat="false" ht="15" hidden="false" customHeight="false" outlineLevel="0" collapsed="false">
      <c r="A3157" s="16" t="n">
        <v>45164</v>
      </c>
      <c r="B3157" s="23" t="n">
        <f aca="false">YEAR(A3157)</f>
        <v>2023</v>
      </c>
      <c r="C3157" s="17" t="n">
        <v>26004.15</v>
      </c>
      <c r="D3157" s="23" t="n">
        <f aca="false">A3157-A3156</f>
        <v>1</v>
      </c>
      <c r="E3157" s="24" t="n">
        <f aca="false">LN(C3157)</f>
        <v>10.1660114196511</v>
      </c>
      <c r="F3157" s="25" t="n">
        <f aca="false">LN(C3157/C3156)</f>
        <v>-0.00192975159259383</v>
      </c>
      <c r="G3157" s="25" t="n">
        <f aca="false">IF(AND(D3157=1,A3157&gt;=$R$2),F3157,"")</f>
        <v>-0.00192975159259383</v>
      </c>
      <c r="H3157" s="27" t="n">
        <f aca="false">IF(G3157="","",G3157^2)</f>
        <v>3.72394120911844E-006</v>
      </c>
      <c r="I3157" s="25" t="n">
        <f aca="false">IF(G3157="","",C3157/C3156-1)</f>
        <v>-0.00192789081912526</v>
      </c>
      <c r="J3157" s="17" t="n">
        <f aca="false">AVERAGE(C2958:C3157)</f>
        <v>27405.40405</v>
      </c>
      <c r="K3157" s="17" t="n">
        <f aca="false">MAX(K3156,C3157)</f>
        <v>67510.06</v>
      </c>
      <c r="L3157" s="25" t="n">
        <f aca="false">C3157/K3157-1</f>
        <v>-0.614810740799223</v>
      </c>
      <c r="M3157" s="25" t="n">
        <f aca="false">IF(COUNT(G3128:G3157)&lt;20,"",_xlfn.STDEV.S(G3128:G3157)*SQRT($R$3))</f>
        <v>0.311383144983846</v>
      </c>
      <c r="N3157" s="25" t="n">
        <f aca="false">IF(A3157-7&lt;$R$2,"",C3157/INDEX(Clean_Data!$C$2:$C$4314,MATCH(A3157-7,Clean_Data!$A$2:$A$4314,1))-1)</f>
        <v>-0.00295576437316636</v>
      </c>
      <c r="O3157" s="25" t="n">
        <f aca="false">IF(A3157-30&lt;$R$2,"",C3157/INDEX(Clean_Data!$C$2:$C$4314,MATCH(A3157-30,Clean_Data!$A$2:$A$4314,1))-1)</f>
        <v>-0.109848095858168</v>
      </c>
    </row>
    <row r="3158" customFormat="false" ht="15" hidden="false" customHeight="false" outlineLevel="0" collapsed="false">
      <c r="A3158" s="16" t="n">
        <v>45165</v>
      </c>
      <c r="B3158" s="23" t="n">
        <f aca="false">YEAR(A3158)</f>
        <v>2023</v>
      </c>
      <c r="C3158" s="17" t="n">
        <v>26089.28</v>
      </c>
      <c r="D3158" s="23" t="n">
        <f aca="false">A3158-A3157</f>
        <v>1</v>
      </c>
      <c r="E3158" s="24" t="n">
        <f aca="false">LN(C3158)</f>
        <v>10.1692797809696</v>
      </c>
      <c r="F3158" s="25" t="n">
        <f aca="false">LN(C3158/C3157)</f>
        <v>0.00326836131854589</v>
      </c>
      <c r="G3158" s="25" t="n">
        <f aca="false">IF(AND(D3158=1,A3158&gt;=$R$2),F3158,"")</f>
        <v>0.00326836131854589</v>
      </c>
      <c r="H3158" s="27" t="n">
        <f aca="false">IF(G3158="","",G3158^2)</f>
        <v>1.0682185708567E-005</v>
      </c>
      <c r="I3158" s="25" t="n">
        <f aca="false">IF(G3158="","",C3158/C3157-1)</f>
        <v>0.00327370823503159</v>
      </c>
      <c r="J3158" s="17" t="n">
        <f aca="false">AVERAGE(C2959:C3158)</f>
        <v>27420.98355</v>
      </c>
      <c r="K3158" s="17" t="n">
        <f aca="false">MAX(K3157,C3158)</f>
        <v>67510.06</v>
      </c>
      <c r="L3158" s="25" t="n">
        <f aca="false">C3158/K3158-1</f>
        <v>-0.613549743549332</v>
      </c>
      <c r="M3158" s="25" t="n">
        <f aca="false">IF(COUNT(G3129:G3158)&lt;20,"",_xlfn.STDEV.S(G3129:G3158)*SQRT($R$3))</f>
        <v>0.311359103089332</v>
      </c>
      <c r="N3158" s="25" t="n">
        <f aca="false">IF(A3158-7&lt;$R$2,"",C3158/INDEX(Clean_Data!$C$2:$C$4314,MATCH(A3158-7,Clean_Data!$A$2:$A$4314,1))-1)</f>
        <v>-0.00373923138021637</v>
      </c>
      <c r="O3158" s="25" t="n">
        <f aca="false">IF(A3158-30&lt;$R$2,"",C3158/INDEX(Clean_Data!$C$2:$C$4314,MATCH(A3158-30,Clean_Data!$A$2:$A$4314,1))-1)</f>
        <v>-0.109921729631179</v>
      </c>
    </row>
    <row r="3159" customFormat="false" ht="15" hidden="false" customHeight="false" outlineLevel="0" collapsed="false">
      <c r="A3159" s="16" t="n">
        <v>45166</v>
      </c>
      <c r="B3159" s="23" t="n">
        <f aca="false">YEAR(A3159)</f>
        <v>2023</v>
      </c>
      <c r="C3159" s="17" t="n">
        <v>26102.51</v>
      </c>
      <c r="D3159" s="23" t="n">
        <f aca="false">A3159-A3158</f>
        <v>1</v>
      </c>
      <c r="E3159" s="24" t="n">
        <f aca="false">LN(C3159)</f>
        <v>10.1697867572693</v>
      </c>
      <c r="F3159" s="25" t="n">
        <f aca="false">LN(C3159/C3158)</f>
        <v>0.000506976299658182</v>
      </c>
      <c r="G3159" s="25" t="n">
        <f aca="false">IF(AND(D3159=1,A3159&gt;=$R$2),F3159,"")</f>
        <v>0.000506976299658182</v>
      </c>
      <c r="H3159" s="27" t="n">
        <f aca="false">IF(G3159="","",G3159^2)</f>
        <v>2.57024968415103E-007</v>
      </c>
      <c r="I3159" s="25" t="n">
        <f aca="false">IF(G3159="","",C3159/C3158-1)</f>
        <v>0.000507104833862737</v>
      </c>
      <c r="J3159" s="17" t="n">
        <f aca="false">AVERAGE(C2960:C3159)</f>
        <v>27442.4753</v>
      </c>
      <c r="K3159" s="17" t="n">
        <f aca="false">MAX(K3158,C3159)</f>
        <v>67510.06</v>
      </c>
      <c r="L3159" s="25" t="n">
        <f aca="false">C3159/K3159-1</f>
        <v>-0.613353772756238</v>
      </c>
      <c r="M3159" s="25" t="n">
        <f aca="false">IF(COUNT(G3130:G3159)&lt;20,"",_xlfn.STDEV.S(G3130:G3159)*SQRT($R$3))</f>
        <v>0.311142266229781</v>
      </c>
      <c r="N3159" s="25" t="n">
        <f aca="false">IF(A3159-7&lt;$R$2,"",C3159/INDEX(Clean_Data!$C$2:$C$4314,MATCH(A3159-7,Clean_Data!$A$2:$A$4314,1))-1)</f>
        <v>-0.000982464144077433</v>
      </c>
      <c r="O3159" s="25" t="n">
        <f aca="false">IF(A3159-30&lt;$R$2,"",C3159/INDEX(Clean_Data!$C$2:$C$4314,MATCH(A3159-30,Clean_Data!$A$2:$A$4314,1))-1)</f>
        <v>-0.110885731531023</v>
      </c>
    </row>
    <row r="3160" customFormat="false" ht="15" hidden="false" customHeight="false" outlineLevel="0" collapsed="false">
      <c r="A3160" s="16" t="n">
        <v>45167</v>
      </c>
      <c r="B3160" s="23" t="n">
        <f aca="false">YEAR(A3160)</f>
        <v>2023</v>
      </c>
      <c r="C3160" s="17" t="n">
        <v>27713.68</v>
      </c>
      <c r="D3160" s="23" t="n">
        <f aca="false">A3160-A3159</f>
        <v>1</v>
      </c>
      <c r="E3160" s="24" t="n">
        <f aca="false">LN(C3160)</f>
        <v>10.2296814330812</v>
      </c>
      <c r="F3160" s="25" t="n">
        <f aca="false">LN(C3160/C3159)</f>
        <v>0.0598946758119517</v>
      </c>
      <c r="G3160" s="25" t="n">
        <f aca="false">IF(AND(D3160=1,A3160&gt;=$R$2),F3160,"")</f>
        <v>0.0598946758119517</v>
      </c>
      <c r="H3160" s="27" t="n">
        <f aca="false">IF(G3160="","",G3160^2)</f>
        <v>0.00358737219061879</v>
      </c>
      <c r="I3160" s="25" t="n">
        <f aca="false">IF(G3160="","",C3160/C3159-1)</f>
        <v>0.0617247153626224</v>
      </c>
      <c r="J3160" s="17" t="n">
        <f aca="false">AVERAGE(C2961:C3160)</f>
        <v>27472.8958</v>
      </c>
      <c r="K3160" s="17" t="n">
        <f aca="false">MAX(K3159,C3160)</f>
        <v>67510.06</v>
      </c>
      <c r="L3160" s="25" t="n">
        <f aca="false">C3160/K3160-1</f>
        <v>-0.589488144433585</v>
      </c>
      <c r="M3160" s="25" t="n">
        <f aca="false">IF(COUNT(G3131:G3160)&lt;20,"",_xlfn.STDEV.S(G3131:G3160)*SQRT($R$3))</f>
        <v>0.382619376054894</v>
      </c>
      <c r="N3160" s="25" t="n">
        <f aca="false">IF(A3160-7&lt;$R$2,"",C3160/INDEX(Clean_Data!$C$2:$C$4314,MATCH(A3160-7,Clean_Data!$A$2:$A$4314,1))-1)</f>
        <v>0.0643380051477778</v>
      </c>
      <c r="O3160" s="25" t="n">
        <f aca="false">IF(A3160-30&lt;$R$2,"",C3160/INDEX(Clean_Data!$C$2:$C$4314,MATCH(A3160-30,Clean_Data!$A$2:$A$4314,1))-1)</f>
        <v>-0.0534250295018247</v>
      </c>
    </row>
    <row r="3161" customFormat="false" ht="15" hidden="false" customHeight="false" outlineLevel="0" collapsed="false">
      <c r="A3161" s="16" t="n">
        <v>45168</v>
      </c>
      <c r="B3161" s="23" t="n">
        <f aca="false">YEAR(A3161)</f>
        <v>2023</v>
      </c>
      <c r="C3161" s="17" t="n">
        <v>27297.11</v>
      </c>
      <c r="D3161" s="23" t="n">
        <f aca="false">A3161-A3160</f>
        <v>1</v>
      </c>
      <c r="E3161" s="24" t="n">
        <f aca="false">LN(C3161)</f>
        <v>10.2145361147635</v>
      </c>
      <c r="F3161" s="25" t="n">
        <f aca="false">LN(C3161/C3160)</f>
        <v>-0.0151453183176705</v>
      </c>
      <c r="G3161" s="25" t="n">
        <f aca="false">IF(AND(D3161=1,A3161&gt;=$R$2),F3161,"")</f>
        <v>-0.0151453183176705</v>
      </c>
      <c r="H3161" s="27" t="n">
        <f aca="false">IF(G3161="","",G3161^2)</f>
        <v>0.000229380666943564</v>
      </c>
      <c r="I3161" s="25" t="n">
        <f aca="false">IF(G3161="","",C3161/C3160-1)</f>
        <v>-0.0150312048057133</v>
      </c>
      <c r="J3161" s="17" t="n">
        <f aca="false">AVERAGE(C2962:C3161)</f>
        <v>27500.0938</v>
      </c>
      <c r="K3161" s="17" t="n">
        <f aca="false">MAX(K3160,C3161)</f>
        <v>67510.06</v>
      </c>
      <c r="L3161" s="25" t="n">
        <f aca="false">C3161/K3161-1</f>
        <v>-0.595658632209777</v>
      </c>
      <c r="M3161" s="25" t="n">
        <f aca="false">IF(COUNT(G3132:G3161)&lt;20,"",_xlfn.STDEV.S(G3132:G3161)*SQRT($R$3))</f>
        <v>0.385428362850261</v>
      </c>
      <c r="N3161" s="25" t="n">
        <f aca="false">IF(A3161-7&lt;$R$2,"",C3161/INDEX(Clean_Data!$C$2:$C$4314,MATCH(A3161-7,Clean_Data!$A$2:$A$4314,1))-1)</f>
        <v>0.0328257699528634</v>
      </c>
      <c r="O3161" s="25" t="n">
        <f aca="false">IF(A3161-30&lt;$R$2,"",C3161/INDEX(Clean_Data!$C$2:$C$4314,MATCH(A3161-30,Clean_Data!$A$2:$A$4314,1))-1)</f>
        <v>-0.0659131357809913</v>
      </c>
    </row>
    <row r="3162" customFormat="false" ht="15" hidden="false" customHeight="false" outlineLevel="0" collapsed="false">
      <c r="A3162" s="16" t="n">
        <v>45169</v>
      </c>
      <c r="B3162" s="23" t="n">
        <f aca="false">YEAR(A3162)</f>
        <v>2023</v>
      </c>
      <c r="C3162" s="17" t="n">
        <v>25922.51</v>
      </c>
      <c r="D3162" s="23" t="n">
        <f aca="false">A3162-A3161</f>
        <v>1</v>
      </c>
      <c r="E3162" s="24" t="n">
        <f aca="false">LN(C3162)</f>
        <v>10.1628669821976</v>
      </c>
      <c r="F3162" s="25" t="n">
        <f aca="false">LN(C3162/C3161)</f>
        <v>-0.0516691325659192</v>
      </c>
      <c r="G3162" s="25" t="n">
        <f aca="false">IF(AND(D3162=1,A3162&gt;=$R$2),F3162,"")</f>
        <v>-0.0516691325659192</v>
      </c>
      <c r="H3162" s="27" t="n">
        <f aca="false">IF(G3162="","",G3162^2)</f>
        <v>0.00266969926011453</v>
      </c>
      <c r="I3162" s="25" t="n">
        <f aca="false">IF(G3162="","",C3162/C3161-1)</f>
        <v>-0.0503569791820454</v>
      </c>
      <c r="J3162" s="17" t="n">
        <f aca="false">AVERAGE(C2963:C3162)</f>
        <v>27520.78595</v>
      </c>
      <c r="K3162" s="17" t="n">
        <f aca="false">MAX(K3161,C3162)</f>
        <v>67510.06</v>
      </c>
      <c r="L3162" s="25" t="n">
        <f aca="false">C3162/K3162-1</f>
        <v>-0.616020042050029</v>
      </c>
      <c r="M3162" s="25" t="n">
        <f aca="false">IF(COUNT(G3133:G3162)&lt;20,"",_xlfn.STDEV.S(G3133:G3162)*SQRT($R$3))</f>
        <v>0.415366011816376</v>
      </c>
      <c r="N3162" s="25" t="n">
        <f aca="false">IF(A3162-7&lt;$R$2,"",C3162/INDEX(Clean_Data!$C$2:$C$4314,MATCH(A3162-7,Clean_Data!$A$2:$A$4314,1))-1)</f>
        <v>-0.00938584812359466</v>
      </c>
      <c r="O3162" s="25" t="n">
        <f aca="false">IF(A3162-30&lt;$R$2,"",C3162/INDEX(Clean_Data!$C$2:$C$4314,MATCH(A3162-30,Clean_Data!$A$2:$A$4314,1))-1)</f>
        <v>-0.128036104959218</v>
      </c>
    </row>
    <row r="3163" customFormat="false" ht="15" hidden="false" customHeight="false" outlineLevel="0" collapsed="false">
      <c r="A3163" s="16" t="n">
        <v>45170</v>
      </c>
      <c r="B3163" s="23" t="n">
        <f aca="false">YEAR(A3163)</f>
        <v>2023</v>
      </c>
      <c r="C3163" s="17" t="n">
        <v>25802.02</v>
      </c>
      <c r="D3163" s="23" t="n">
        <f aca="false">A3163-A3162</f>
        <v>1</v>
      </c>
      <c r="E3163" s="24" t="n">
        <f aca="false">LN(C3163)</f>
        <v>10.1582080624185</v>
      </c>
      <c r="F3163" s="25" t="n">
        <f aca="false">LN(C3163/C3162)</f>
        <v>-0.00465891977912857</v>
      </c>
      <c r="G3163" s="25" t="n">
        <f aca="false">IF(AND(D3163=1,A3163&gt;=$R$2),F3163,"")</f>
        <v>-0.00465891977912857</v>
      </c>
      <c r="H3163" s="27" t="n">
        <f aca="false">IF(G3163="","",G3163^2)</f>
        <v>2.17055335083554E-005</v>
      </c>
      <c r="I3163" s="25" t="n">
        <f aca="false">IF(G3163="","",C3163/C3162-1)</f>
        <v>-0.00464808384681881</v>
      </c>
      <c r="J3163" s="17" t="n">
        <f aca="false">AVERAGE(C2964:C3163)</f>
        <v>27540.8644</v>
      </c>
      <c r="K3163" s="17" t="n">
        <f aca="false">MAX(K3162,C3163)</f>
        <v>67510.06</v>
      </c>
      <c r="L3163" s="25" t="n">
        <f aca="false">C3163/K3163-1</f>
        <v>-0.617804813090079</v>
      </c>
      <c r="M3163" s="25" t="n">
        <f aca="false">IF(COUNT(G3134:G3163)&lt;20,"",_xlfn.STDEV.S(G3134:G3163)*SQRT($R$3))</f>
        <v>0.411878465866469</v>
      </c>
      <c r="N3163" s="25" t="n">
        <f aca="false">IF(A3163-7&lt;$R$2,"",C3163/INDEX(Clean_Data!$C$2:$C$4314,MATCH(A3163-7,Clean_Data!$A$2:$A$4314,1))-1)</f>
        <v>-0.00968589542334153</v>
      </c>
      <c r="O3163" s="25" t="n">
        <f aca="false">IF(A3163-30&lt;$R$2,"",C3163/INDEX(Clean_Data!$C$2:$C$4314,MATCH(A3163-30,Clean_Data!$A$2:$A$4314,1))-1)</f>
        <v>-0.115030510192987</v>
      </c>
    </row>
    <row r="3164" customFormat="false" ht="15" hidden="false" customHeight="false" outlineLevel="0" collapsed="false">
      <c r="A3164" s="16" t="n">
        <v>45171</v>
      </c>
      <c r="B3164" s="23" t="n">
        <f aca="false">YEAR(A3164)</f>
        <v>2023</v>
      </c>
      <c r="C3164" s="17" t="n">
        <v>25871.43</v>
      </c>
      <c r="D3164" s="23" t="n">
        <f aca="false">A3164-A3163</f>
        <v>1</v>
      </c>
      <c r="E3164" s="24" t="n">
        <f aca="false">LN(C3164)</f>
        <v>10.1608945500343</v>
      </c>
      <c r="F3164" s="25" t="n">
        <f aca="false">LN(C3164/C3163)</f>
        <v>0.00268648761580945</v>
      </c>
      <c r="G3164" s="25" t="n">
        <f aca="false">IF(AND(D3164=1,A3164&gt;=$R$2),F3164,"")</f>
        <v>0.00268648761580945</v>
      </c>
      <c r="H3164" s="27" t="n">
        <f aca="false">IF(G3164="","",G3164^2)</f>
        <v>7.21721570989753E-006</v>
      </c>
      <c r="I3164" s="25" t="n">
        <f aca="false">IF(G3164="","",C3164/C3163-1)</f>
        <v>0.00269009945732934</v>
      </c>
      <c r="J3164" s="17" t="n">
        <f aca="false">AVERAGE(C2965:C3164)</f>
        <v>27559.2531</v>
      </c>
      <c r="K3164" s="17" t="n">
        <f aca="false">MAX(K3163,C3164)</f>
        <v>67510.06</v>
      </c>
      <c r="L3164" s="25" t="n">
        <f aca="false">C3164/K3164-1</f>
        <v>-0.616776670025178</v>
      </c>
      <c r="M3164" s="25" t="n">
        <f aca="false">IF(COUNT(G3135:G3164)&lt;20,"",_xlfn.STDEV.S(G3135:G3164)*SQRT($R$3))</f>
        <v>0.412265079809648</v>
      </c>
      <c r="N3164" s="25" t="n">
        <f aca="false">IF(A3164-7&lt;$R$2,"",C3164/INDEX(Clean_Data!$C$2:$C$4314,MATCH(A3164-7,Clean_Data!$A$2:$A$4314,1))-1)</f>
        <v>-0.00510380073949734</v>
      </c>
      <c r="O3164" s="25" t="n">
        <f aca="false">IF(A3164-30&lt;$R$2,"",C3164/INDEX(Clean_Data!$C$2:$C$4314,MATCH(A3164-30,Clean_Data!$A$2:$A$4314,1))-1)</f>
        <v>-0.11302434779866</v>
      </c>
    </row>
    <row r="3165" customFormat="false" ht="15" hidden="false" customHeight="false" outlineLevel="0" collapsed="false">
      <c r="A3165" s="16" t="n">
        <v>45172</v>
      </c>
      <c r="B3165" s="23" t="n">
        <f aca="false">YEAR(A3165)</f>
        <v>2023</v>
      </c>
      <c r="C3165" s="17" t="n">
        <v>25972.64</v>
      </c>
      <c r="D3165" s="23" t="n">
        <f aca="false">A3165-A3164</f>
        <v>1</v>
      </c>
      <c r="E3165" s="24" t="n">
        <f aca="false">LN(C3165)</f>
        <v>10.1647989552468</v>
      </c>
      <c r="F3165" s="25" t="n">
        <f aca="false">LN(C3165/C3164)</f>
        <v>0.00390440521253862</v>
      </c>
      <c r="G3165" s="25" t="n">
        <f aca="false">IF(AND(D3165=1,A3165&gt;=$R$2),F3165,"")</f>
        <v>0.00390440521253862</v>
      </c>
      <c r="H3165" s="27" t="n">
        <f aca="false">IF(G3165="","",G3165^2)</f>
        <v>1.52443800636988E-005</v>
      </c>
      <c r="I3165" s="25" t="n">
        <f aca="false">IF(G3165="","",C3165/C3164-1)</f>
        <v>0.0039120373323005</v>
      </c>
      <c r="J3165" s="17" t="n">
        <f aca="false">AVERAGE(C2966:C3165)</f>
        <v>27567.4125</v>
      </c>
      <c r="K3165" s="17" t="n">
        <f aca="false">MAX(K3164,C3165)</f>
        <v>67510.06</v>
      </c>
      <c r="L3165" s="25" t="n">
        <f aca="false">C3165/K3165-1</f>
        <v>-0.615277486051709</v>
      </c>
      <c r="M3165" s="25" t="n">
        <f aca="false">IF(COUNT(G3136:G3165)&lt;20,"",_xlfn.STDEV.S(G3136:G3165)*SQRT($R$3))</f>
        <v>0.413182598439505</v>
      </c>
      <c r="N3165" s="25" t="n">
        <f aca="false">IF(A3165-7&lt;$R$2,"",C3165/INDEX(Clean_Data!$C$2:$C$4314,MATCH(A3165-7,Clean_Data!$A$2:$A$4314,1))-1)</f>
        <v>-0.00447080180058623</v>
      </c>
      <c r="O3165" s="25" t="n">
        <f aca="false">IF(A3165-30&lt;$R$2,"",C3165/INDEX(Clean_Data!$C$2:$C$4314,MATCH(A3165-30,Clean_Data!$A$2:$A$4314,1))-1)</f>
        <v>-0.106662034759938</v>
      </c>
    </row>
    <row r="3166" customFormat="false" ht="15" hidden="false" customHeight="false" outlineLevel="0" collapsed="false">
      <c r="A3166" s="16" t="n">
        <v>45173</v>
      </c>
      <c r="B3166" s="23" t="n">
        <f aca="false">YEAR(A3166)</f>
        <v>2023</v>
      </c>
      <c r="C3166" s="17" t="n">
        <v>25814.79</v>
      </c>
      <c r="D3166" s="23" t="n">
        <f aca="false">A3166-A3165</f>
        <v>1</v>
      </c>
      <c r="E3166" s="24" t="n">
        <f aca="false">LN(C3166)</f>
        <v>10.1587028624753</v>
      </c>
      <c r="F3166" s="25" t="n">
        <f aca="false">LN(C3166/C3165)</f>
        <v>-0.00609609277152403</v>
      </c>
      <c r="G3166" s="25" t="n">
        <f aca="false">IF(AND(D3166=1,A3166&gt;=$R$2),F3166,"")</f>
        <v>-0.00609609277152403</v>
      </c>
      <c r="H3166" s="27" t="n">
        <f aca="false">IF(G3166="","",G3166^2)</f>
        <v>3.71623470790276E-005</v>
      </c>
      <c r="I3166" s="25" t="n">
        <f aca="false">IF(G3166="","",C3166/C3165-1)</f>
        <v>-0.00607754929803051</v>
      </c>
      <c r="J3166" s="17" t="n">
        <f aca="false">AVERAGE(C2967:C3166)</f>
        <v>27579.1454</v>
      </c>
      <c r="K3166" s="17" t="n">
        <f aca="false">MAX(K3165,C3166)</f>
        <v>67510.06</v>
      </c>
      <c r="L3166" s="25" t="n">
        <f aca="false">C3166/K3166-1</f>
        <v>-0.617615656096291</v>
      </c>
      <c r="M3166" s="25" t="n">
        <f aca="false">IF(COUNT(G3137:G3166)&lt;20,"",_xlfn.STDEV.S(G3137:G3166)*SQRT($R$3))</f>
        <v>0.413133251847951</v>
      </c>
      <c r="N3166" s="25" t="n">
        <f aca="false">IF(A3166-7&lt;$R$2,"",C3166/INDEX(Clean_Data!$C$2:$C$4314,MATCH(A3166-7,Clean_Data!$A$2:$A$4314,1))-1)</f>
        <v>-0.0110226947523436</v>
      </c>
      <c r="O3166" s="25" t="n">
        <f aca="false">IF(A3166-30&lt;$R$2,"",C3166/INDEX(Clean_Data!$C$2:$C$4314,MATCH(A3166-30,Clean_Data!$A$2:$A$4314,1))-1)</f>
        <v>-0.111235703998973</v>
      </c>
    </row>
    <row r="3167" customFormat="false" ht="15" hidden="false" customHeight="false" outlineLevel="0" collapsed="false">
      <c r="A3167" s="16" t="n">
        <v>45174</v>
      </c>
      <c r="B3167" s="23" t="n">
        <f aca="false">YEAR(A3167)</f>
        <v>2023</v>
      </c>
      <c r="C3167" s="17" t="n">
        <v>25778.03</v>
      </c>
      <c r="D3167" s="23" t="n">
        <f aca="false">A3167-A3166</f>
        <v>1</v>
      </c>
      <c r="E3167" s="24" t="n">
        <f aca="false">LN(C3167)</f>
        <v>10.1572778577471</v>
      </c>
      <c r="F3167" s="25" t="n">
        <f aca="false">LN(C3167/C3166)</f>
        <v>-0.00142500472819762</v>
      </c>
      <c r="G3167" s="25" t="n">
        <f aca="false">IF(AND(D3167=1,A3167&gt;=$R$2),F3167,"")</f>
        <v>-0.00142500472819762</v>
      </c>
      <c r="H3167" s="27" t="n">
        <f aca="false">IF(G3167="","",G3167^2)</f>
        <v>2.03063847538557E-006</v>
      </c>
      <c r="I3167" s="25" t="n">
        <f aca="false">IF(G3167="","",C3167/C3166-1)</f>
        <v>-0.0014239898910664</v>
      </c>
      <c r="J3167" s="17" t="n">
        <f aca="false">AVERAGE(C2968:C3167)</f>
        <v>27585.22535</v>
      </c>
      <c r="K3167" s="17" t="n">
        <f aca="false">MAX(K3166,C3167)</f>
        <v>67510.06</v>
      </c>
      <c r="L3167" s="25" t="n">
        <f aca="false">C3167/K3167-1</f>
        <v>-0.618160167536512</v>
      </c>
      <c r="M3167" s="25" t="n">
        <f aca="false">IF(COUNT(G3138:G3167)&lt;20,"",_xlfn.STDEV.S(G3138:G3167)*SQRT($R$3))</f>
        <v>0.413013962223984</v>
      </c>
      <c r="N3167" s="25" t="n">
        <f aca="false">IF(A3167-7&lt;$R$2,"",C3167/INDEX(Clean_Data!$C$2:$C$4314,MATCH(A3167-7,Clean_Data!$A$2:$A$4314,1))-1)</f>
        <v>-0.0698445677369444</v>
      </c>
      <c r="O3167" s="25" t="n">
        <f aca="false">IF(A3167-30&lt;$R$2,"",C3167/INDEX(Clean_Data!$C$2:$C$4314,MATCH(A3167-30,Clean_Data!$A$2:$A$4314,1))-1)</f>
        <v>-0.112340240023912</v>
      </c>
    </row>
    <row r="3168" customFormat="false" ht="15" hidden="false" customHeight="false" outlineLevel="0" collapsed="false">
      <c r="A3168" s="16" t="n">
        <v>45175</v>
      </c>
      <c r="B3168" s="23" t="n">
        <f aca="false">YEAR(A3168)</f>
        <v>2023</v>
      </c>
      <c r="C3168" s="17" t="n">
        <v>25748.1</v>
      </c>
      <c r="D3168" s="23" t="n">
        <f aca="false">A3168-A3167</f>
        <v>1</v>
      </c>
      <c r="E3168" s="24" t="n">
        <f aca="false">LN(C3168)</f>
        <v>10.1561161169618</v>
      </c>
      <c r="F3168" s="25" t="n">
        <f aca="false">LN(C3168/C3167)</f>
        <v>-0.00116174078535415</v>
      </c>
      <c r="G3168" s="25" t="n">
        <f aca="false">IF(AND(D3168=1,A3168&gt;=$R$2),F3168,"")</f>
        <v>-0.00116174078535415</v>
      </c>
      <c r="H3168" s="27" t="n">
        <f aca="false">IF(G3168="","",G3168^2)</f>
        <v>1.34964165235528E-006</v>
      </c>
      <c r="I3168" s="25" t="n">
        <f aca="false">IF(G3168="","",C3168/C3167-1)</f>
        <v>-0.00116106622577439</v>
      </c>
      <c r="J3168" s="17" t="n">
        <f aca="false">AVERAGE(C2969:C3168)</f>
        <v>27590.8347</v>
      </c>
      <c r="K3168" s="17" t="n">
        <f aca="false">MAX(K3167,C3168)</f>
        <v>67510.06</v>
      </c>
      <c r="L3168" s="25" t="n">
        <f aca="false">C3168/K3168-1</f>
        <v>-0.618603508869641</v>
      </c>
      <c r="M3168" s="25" t="n">
        <f aca="false">IF(COUNT(G3139:G3168)&lt;20,"",_xlfn.STDEV.S(G3139:G3168)*SQRT($R$3))</f>
        <v>0.411953219691286</v>
      </c>
      <c r="N3168" s="25" t="n">
        <f aca="false">IF(A3168-7&lt;$R$2,"",C3168/INDEX(Clean_Data!$C$2:$C$4314,MATCH(A3168-7,Clean_Data!$A$2:$A$4314,1))-1)</f>
        <v>-0.0567463002493671</v>
      </c>
      <c r="O3168" s="25" t="n">
        <f aca="false">IF(A3168-30&lt;$R$2,"",C3168/INDEX(Clean_Data!$C$2:$C$4314,MATCH(A3168-30,Clean_Data!$A$2:$A$4314,1))-1)</f>
        <v>-0.117581439534789</v>
      </c>
    </row>
    <row r="3169" customFormat="false" ht="15" hidden="false" customHeight="false" outlineLevel="0" collapsed="false">
      <c r="A3169" s="16" t="n">
        <v>45176</v>
      </c>
      <c r="B3169" s="23" t="n">
        <f aca="false">YEAR(A3169)</f>
        <v>2023</v>
      </c>
      <c r="C3169" s="17" t="n">
        <v>26267.36</v>
      </c>
      <c r="D3169" s="23" t="n">
        <f aca="false">A3169-A3168</f>
        <v>1</v>
      </c>
      <c r="E3169" s="24" t="n">
        <f aca="false">LN(C3169)</f>
        <v>10.1760823827686</v>
      </c>
      <c r="F3169" s="25" t="n">
        <f aca="false">LN(C3169/C3168)</f>
        <v>0.0199662658068162</v>
      </c>
      <c r="G3169" s="25" t="n">
        <f aca="false">IF(AND(D3169=1,A3169&gt;=$R$2),F3169,"")</f>
        <v>0.0199662658068162</v>
      </c>
      <c r="H3169" s="27" t="n">
        <f aca="false">IF(G3169="","",G3169^2)</f>
        <v>0.000398651770268438</v>
      </c>
      <c r="I3169" s="25" t="n">
        <f aca="false">IF(G3169="","",C3169/C3168-1)</f>
        <v>0.0201669249381509</v>
      </c>
      <c r="J3169" s="17" t="n">
        <f aca="false">AVERAGE(C2970:C3169)</f>
        <v>27600.59125</v>
      </c>
      <c r="K3169" s="17" t="n">
        <f aca="false">MAX(K3168,C3169)</f>
        <v>67510.06</v>
      </c>
      <c r="L3169" s="25" t="n">
        <f aca="false">C3169/K3169-1</f>
        <v>-0.610911914461341</v>
      </c>
      <c r="M3169" s="25" t="n">
        <f aca="false">IF(COUNT(G3140:G3169)&lt;20,"",_xlfn.STDEV.S(G3140:G3169)*SQRT($R$3))</f>
        <v>0.411779947189141</v>
      </c>
      <c r="N3169" s="25" t="n">
        <f aca="false">IF(A3169-7&lt;$R$2,"",C3169/INDEX(Clean_Data!$C$2:$C$4314,MATCH(A3169-7,Clean_Data!$A$2:$A$4314,1))-1)</f>
        <v>0.0133031099226117</v>
      </c>
      <c r="O3169" s="25" t="n">
        <f aca="false">IF(A3169-30&lt;$R$2,"",C3169/INDEX(Clean_Data!$C$2:$C$4314,MATCH(A3169-30,Clean_Data!$A$2:$A$4314,1))-1)</f>
        <v>-0.117787684865062</v>
      </c>
    </row>
    <row r="3170" customFormat="false" ht="15" hidden="false" customHeight="false" outlineLevel="0" collapsed="false">
      <c r="A3170" s="16" t="n">
        <v>45177</v>
      </c>
      <c r="B3170" s="23" t="n">
        <f aca="false">YEAR(A3170)</f>
        <v>2023</v>
      </c>
      <c r="C3170" s="17" t="n">
        <v>25906.35</v>
      </c>
      <c r="D3170" s="23" t="n">
        <f aca="false">A3170-A3169</f>
        <v>1</v>
      </c>
      <c r="E3170" s="24" t="n">
        <f aca="false">LN(C3170)</f>
        <v>10.1622433913826</v>
      </c>
      <c r="F3170" s="25" t="n">
        <f aca="false">LN(C3170/C3169)</f>
        <v>-0.0138389913859487</v>
      </c>
      <c r="G3170" s="25" t="n">
        <f aca="false">IF(AND(D3170=1,A3170&gt;=$R$2),F3170,"")</f>
        <v>-0.0138389913859487</v>
      </c>
      <c r="H3170" s="27" t="n">
        <f aca="false">IF(G3170="","",G3170^2)</f>
        <v>0.000191517682580362</v>
      </c>
      <c r="I3170" s="25" t="n">
        <f aca="false">IF(G3170="","",C3170/C3169-1)</f>
        <v>-0.0137436727558461</v>
      </c>
      <c r="J3170" s="17" t="n">
        <f aca="false">AVERAGE(C2971:C3170)</f>
        <v>27605.94485</v>
      </c>
      <c r="K3170" s="17" t="n">
        <f aca="false">MAX(K3169,C3170)</f>
        <v>67510.06</v>
      </c>
      <c r="L3170" s="25" t="n">
        <f aca="false">C3170/K3170-1</f>
        <v>-0.616259413782183</v>
      </c>
      <c r="M3170" s="25" t="n">
        <f aca="false">IF(COUNT(G3141:G3170)&lt;20,"",_xlfn.STDEV.S(G3141:G3170)*SQRT($R$3))</f>
        <v>0.413044599812924</v>
      </c>
      <c r="N3170" s="25" t="n">
        <f aca="false">IF(A3170-7&lt;$R$2,"",C3170/INDEX(Clean_Data!$C$2:$C$4314,MATCH(A3170-7,Clean_Data!$A$2:$A$4314,1))-1)</f>
        <v>0.00404348186692349</v>
      </c>
      <c r="O3170" s="25" t="n">
        <f aca="false">IF(A3170-30&lt;$R$2,"",C3170/INDEX(Clean_Data!$C$2:$C$4314,MATCH(A3170-30,Clean_Data!$A$2:$A$4314,1))-1)</f>
        <v>-0.123646805951246</v>
      </c>
    </row>
    <row r="3171" customFormat="false" ht="15" hidden="false" customHeight="false" outlineLevel="0" collapsed="false">
      <c r="A3171" s="16" t="n">
        <v>45178</v>
      </c>
      <c r="B3171" s="23" t="n">
        <f aca="false">YEAR(A3171)</f>
        <v>2023</v>
      </c>
      <c r="C3171" s="17" t="n">
        <v>25898.48</v>
      </c>
      <c r="D3171" s="23" t="n">
        <f aca="false">A3171-A3170</f>
        <v>1</v>
      </c>
      <c r="E3171" s="24" t="n">
        <f aca="false">LN(C3171)</f>
        <v>10.1619395587068</v>
      </c>
      <c r="F3171" s="25" t="n">
        <f aca="false">LN(C3171/C3170)</f>
        <v>-0.000303832675854386</v>
      </c>
      <c r="G3171" s="25" t="n">
        <f aca="false">IF(AND(D3171=1,A3171&gt;=$R$2),F3171,"")</f>
        <v>-0.000303832675854386</v>
      </c>
      <c r="H3171" s="27" t="n">
        <f aca="false">IF(G3171="","",G3171^2)</f>
        <v>9.23142949168362E-008</v>
      </c>
      <c r="I3171" s="25" t="n">
        <f aca="false">IF(G3171="","",C3171/C3170-1)</f>
        <v>-0.000303786523381255</v>
      </c>
      <c r="J3171" s="17" t="n">
        <f aca="false">AVERAGE(C2972:C3171)</f>
        <v>27613.1977</v>
      </c>
      <c r="K3171" s="17" t="n">
        <f aca="false">MAX(K3170,C3171)</f>
        <v>67510.06</v>
      </c>
      <c r="L3171" s="25" t="n">
        <f aca="false">C3171/K3171-1</f>
        <v>-0.61637598900075</v>
      </c>
      <c r="M3171" s="25" t="n">
        <f aca="false">IF(COUNT(G3142:G3171)&lt;20,"",_xlfn.STDEV.S(G3142:G3171)*SQRT($R$3))</f>
        <v>0.413286252565703</v>
      </c>
      <c r="N3171" s="25" t="n">
        <f aca="false">IF(A3171-7&lt;$R$2,"",C3171/INDEX(Clean_Data!$C$2:$C$4314,MATCH(A3171-7,Clean_Data!$A$2:$A$4314,1))-1)</f>
        <v>0.00104555488428737</v>
      </c>
      <c r="O3171" s="25" t="n">
        <f aca="false">IF(A3171-30&lt;$R$2,"",C3171/INDEX(Clean_Data!$C$2:$C$4314,MATCH(A3171-30,Clean_Data!$A$2:$A$4314,1))-1)</f>
        <v>-0.119641010004388</v>
      </c>
    </row>
    <row r="3172" customFormat="false" ht="15" hidden="false" customHeight="false" outlineLevel="0" collapsed="false">
      <c r="A3172" s="16" t="n">
        <v>45179</v>
      </c>
      <c r="B3172" s="23" t="n">
        <f aca="false">YEAR(A3172)</f>
        <v>2023</v>
      </c>
      <c r="C3172" s="17" t="n">
        <v>25835.33</v>
      </c>
      <c r="D3172" s="23" t="n">
        <f aca="false">A3172-A3171</f>
        <v>1</v>
      </c>
      <c r="E3172" s="24" t="n">
        <f aca="false">LN(C3172)</f>
        <v>10.1594982140092</v>
      </c>
      <c r="F3172" s="25" t="n">
        <f aca="false">LN(C3172/C3171)</f>
        <v>-0.00244134469761105</v>
      </c>
      <c r="G3172" s="25" t="n">
        <f aca="false">IF(AND(D3172=1,A3172&gt;=$R$2),F3172,"")</f>
        <v>-0.00244134469761105</v>
      </c>
      <c r="H3172" s="27" t="n">
        <f aca="false">IF(G3172="","",G3172^2)</f>
        <v>5.96016393255358E-006</v>
      </c>
      <c r="I3172" s="25" t="n">
        <f aca="false">IF(G3172="","",C3172/C3171-1)</f>
        <v>-0.00243836703930111</v>
      </c>
      <c r="J3172" s="17" t="n">
        <f aca="false">AVERAGE(C2973:C3172)</f>
        <v>27621.4362</v>
      </c>
      <c r="K3172" s="17" t="n">
        <f aca="false">MAX(K3171,C3172)</f>
        <v>67510.06</v>
      </c>
      <c r="L3172" s="25" t="n">
        <f aca="false">C3172/K3172-1</f>
        <v>-0.617311405144655</v>
      </c>
      <c r="M3172" s="25" t="n">
        <f aca="false">IF(COUNT(G3143:G3172)&lt;20,"",_xlfn.STDEV.S(G3143:G3172)*SQRT($R$3))</f>
        <v>0.413133104560348</v>
      </c>
      <c r="N3172" s="25" t="n">
        <f aca="false">IF(A3172-7&lt;$R$2,"",C3172/INDEX(Clean_Data!$C$2:$C$4314,MATCH(A3172-7,Clean_Data!$A$2:$A$4314,1))-1)</f>
        <v>-0.00528671709922435</v>
      </c>
      <c r="O3172" s="25" t="n">
        <f aca="false">IF(A3172-30&lt;$R$2,"",C3172/INDEX(Clean_Data!$C$2:$C$4314,MATCH(A3172-30,Clean_Data!$A$2:$A$4314,1))-1)</f>
        <v>-0.12124877338644</v>
      </c>
    </row>
    <row r="3173" customFormat="false" ht="15" hidden="false" customHeight="false" outlineLevel="0" collapsed="false">
      <c r="A3173" s="16" t="n">
        <v>45180</v>
      </c>
      <c r="B3173" s="23" t="n">
        <f aca="false">YEAR(A3173)</f>
        <v>2023</v>
      </c>
      <c r="C3173" s="17" t="n">
        <v>25161.68</v>
      </c>
      <c r="D3173" s="23" t="n">
        <f aca="false">A3173-A3172</f>
        <v>1</v>
      </c>
      <c r="E3173" s="24" t="n">
        <f aca="false">LN(C3173)</f>
        <v>10.1330774812402</v>
      </c>
      <c r="F3173" s="25" t="n">
        <f aca="false">LN(C3173/C3172)</f>
        <v>-0.026420732768976</v>
      </c>
      <c r="G3173" s="25" t="n">
        <f aca="false">IF(AND(D3173=1,A3173&gt;=$R$2),F3173,"")</f>
        <v>-0.026420732768976</v>
      </c>
      <c r="H3173" s="27" t="n">
        <f aca="false">IF(G3173="","",G3173^2)</f>
        <v>0.000698055120049641</v>
      </c>
      <c r="I3173" s="25" t="n">
        <f aca="false">IF(G3173="","",C3173/C3172-1)</f>
        <v>-0.0260747588670244</v>
      </c>
      <c r="J3173" s="17" t="n">
        <f aca="false">AVERAGE(C2974:C3173)</f>
        <v>27627.5522</v>
      </c>
      <c r="K3173" s="17" t="n">
        <f aca="false">MAX(K3172,C3173)</f>
        <v>67510.06</v>
      </c>
      <c r="L3173" s="25" t="n">
        <f aca="false">C3173/K3173-1</f>
        <v>-0.627289917976669</v>
      </c>
      <c r="M3173" s="25" t="n">
        <f aca="false">IF(COUNT(G3144:G3173)&lt;20,"",_xlfn.STDEV.S(G3144:G3173)*SQRT($R$3))</f>
        <v>0.41979402458496</v>
      </c>
      <c r="N3173" s="25" t="n">
        <f aca="false">IF(A3173-7&lt;$R$2,"",C3173/INDEX(Clean_Data!$C$2:$C$4314,MATCH(A3173-7,Clean_Data!$A$2:$A$4314,1))-1)</f>
        <v>-0.0252998378061569</v>
      </c>
      <c r="O3173" s="25" t="n">
        <f aca="false">IF(A3173-30&lt;$R$2,"",C3173/INDEX(Clean_Data!$C$2:$C$4314,MATCH(A3173-30,Clean_Data!$A$2:$A$4314,1))-1)</f>
        <v>-0.14465454985522</v>
      </c>
    </row>
    <row r="3174" customFormat="false" ht="15" hidden="false" customHeight="false" outlineLevel="0" collapsed="false">
      <c r="A3174" s="16" t="n">
        <v>45181</v>
      </c>
      <c r="B3174" s="23" t="n">
        <f aca="false">YEAR(A3174)</f>
        <v>2023</v>
      </c>
      <c r="C3174" s="17" t="n">
        <v>25852.36</v>
      </c>
      <c r="D3174" s="23" t="n">
        <f aca="false">A3174-A3173</f>
        <v>1</v>
      </c>
      <c r="E3174" s="24" t="n">
        <f aca="false">LN(C3174)</f>
        <v>10.1601571717075</v>
      </c>
      <c r="F3174" s="25" t="n">
        <f aca="false">LN(C3174/C3173)</f>
        <v>0.0270796904672689</v>
      </c>
      <c r="G3174" s="25" t="n">
        <f aca="false">IF(AND(D3174=1,A3174&gt;=$R$2),F3174,"")</f>
        <v>0.0270796904672689</v>
      </c>
      <c r="H3174" s="27" t="n">
        <f aca="false">IF(G3174="","",G3174^2)</f>
        <v>0.000733309635803092</v>
      </c>
      <c r="I3174" s="25" t="n">
        <f aca="false">IF(G3174="","",C3174/C3173-1)</f>
        <v>0.0274496774460211</v>
      </c>
      <c r="J3174" s="17" t="n">
        <f aca="false">AVERAGE(C2975:C3174)</f>
        <v>27640.90675</v>
      </c>
      <c r="K3174" s="17" t="n">
        <f aca="false">MAX(K3173,C3174)</f>
        <v>67510.06</v>
      </c>
      <c r="L3174" s="25" t="n">
        <f aca="false">C3174/K3174-1</f>
        <v>-0.617059146444248</v>
      </c>
      <c r="M3174" s="25" t="n">
        <f aca="false">IF(COUNT(G3145:G3174)&lt;20,"",_xlfn.STDEV.S(G3145:G3174)*SQRT($R$3))</f>
        <v>0.434642310017967</v>
      </c>
      <c r="N3174" s="25" t="n">
        <f aca="false">IF(A3174-7&lt;$R$2,"",C3174/INDEX(Clean_Data!$C$2:$C$4314,MATCH(A3174-7,Clean_Data!$A$2:$A$4314,1))-1)</f>
        <v>0.00288346316611476</v>
      </c>
      <c r="O3174" s="25" t="n">
        <f aca="false">IF(A3174-30&lt;$R$2,"",C3174/INDEX(Clean_Data!$C$2:$C$4314,MATCH(A3174-30,Clean_Data!$A$2:$A$4314,1))-1)</f>
        <v>-0.116688921112659</v>
      </c>
    </row>
    <row r="3175" customFormat="false" ht="15" hidden="false" customHeight="false" outlineLevel="0" collapsed="false">
      <c r="A3175" s="16" t="n">
        <v>45182</v>
      </c>
      <c r="B3175" s="23" t="n">
        <f aca="false">YEAR(A3175)</f>
        <v>2023</v>
      </c>
      <c r="C3175" s="17" t="n">
        <v>26216.13</v>
      </c>
      <c r="D3175" s="23" t="n">
        <f aca="false">A3175-A3174</f>
        <v>1</v>
      </c>
      <c r="E3175" s="24" t="n">
        <f aca="false">LN(C3175)</f>
        <v>10.1741301491701</v>
      </c>
      <c r="F3175" s="25" t="n">
        <f aca="false">LN(C3175/C3174)</f>
        <v>0.0139729774626806</v>
      </c>
      <c r="G3175" s="25" t="n">
        <f aca="false">IF(AND(D3175=1,A3175&gt;=$R$2),F3175,"")</f>
        <v>0.0139729774626806</v>
      </c>
      <c r="H3175" s="27" t="n">
        <f aca="false">IF(G3175="","",G3175^2)</f>
        <v>0.000195244099172579</v>
      </c>
      <c r="I3175" s="25" t="n">
        <f aca="false">IF(G3175="","",C3175/C3174-1)</f>
        <v>0.014071055795293</v>
      </c>
      <c r="J3175" s="17" t="n">
        <f aca="false">AVERAGE(C2976:C3175)</f>
        <v>27656.20235</v>
      </c>
      <c r="K3175" s="17" t="n">
        <f aca="false">MAX(K3174,C3175)</f>
        <v>67510.06</v>
      </c>
      <c r="L3175" s="25" t="n">
        <f aca="false">C3175/K3175-1</f>
        <v>-0.611670764327568</v>
      </c>
      <c r="M3175" s="25" t="n">
        <f aca="false">IF(COUNT(G3146:G3175)&lt;20,"",_xlfn.STDEV.S(G3146:G3175)*SQRT($R$3))</f>
        <v>0.438270146830531</v>
      </c>
      <c r="N3175" s="25" t="n">
        <f aca="false">IF(A3175-7&lt;$R$2,"",C3175/INDEX(Clean_Data!$C$2:$C$4314,MATCH(A3175-7,Clean_Data!$A$2:$A$4314,1))-1)</f>
        <v>0.0181772635650788</v>
      </c>
      <c r="O3175" s="25" t="n">
        <f aca="false">IF(A3175-30&lt;$R$2,"",C3175/INDEX(Clean_Data!$C$2:$C$4314,MATCH(A3175-30,Clean_Data!$A$2:$A$4314,1))-1)</f>
        <v>-0.108214515934259</v>
      </c>
    </row>
    <row r="3176" customFormat="false" ht="15" hidden="false" customHeight="false" outlineLevel="0" collapsed="false">
      <c r="A3176" s="16" t="n">
        <v>45183</v>
      </c>
      <c r="B3176" s="23" t="n">
        <f aca="false">YEAR(A3176)</f>
        <v>2023</v>
      </c>
      <c r="C3176" s="17" t="n">
        <v>26531.31</v>
      </c>
      <c r="D3176" s="23" t="n">
        <f aca="false">A3176-A3175</f>
        <v>1</v>
      </c>
      <c r="E3176" s="24" t="n">
        <f aca="false">LN(C3176)</f>
        <v>10.1860808239753</v>
      </c>
      <c r="F3176" s="25" t="n">
        <f aca="false">LN(C3176/C3175)</f>
        <v>0.0119506748051599</v>
      </c>
      <c r="G3176" s="25" t="n">
        <f aca="false">IF(AND(D3176=1,A3176&gt;=$R$2),F3176,"")</f>
        <v>0.0119506748051599</v>
      </c>
      <c r="H3176" s="27" t="n">
        <f aca="false">IF(G3176="","",G3176^2)</f>
        <v>0.000142818628298684</v>
      </c>
      <c r="I3176" s="25" t="n">
        <f aca="false">IF(G3176="","",C3176/C3175-1)</f>
        <v>0.0120223694343902</v>
      </c>
      <c r="J3176" s="17" t="n">
        <f aca="false">AVERAGE(C2977:C3176)</f>
        <v>27671.10295</v>
      </c>
      <c r="K3176" s="17" t="n">
        <f aca="false">MAX(K3175,C3176)</f>
        <v>67510.06</v>
      </c>
      <c r="L3176" s="25" t="n">
        <f aca="false">C3176/K3176-1</f>
        <v>-0.60700212679414</v>
      </c>
      <c r="M3176" s="25" t="n">
        <f aca="false">IF(COUNT(G3147:G3176)&lt;20,"",_xlfn.STDEV.S(G3147:G3176)*SQRT($R$3))</f>
        <v>0.441400967279121</v>
      </c>
      <c r="N3176" s="25" t="n">
        <f aca="false">IF(A3176-7&lt;$R$2,"",C3176/INDEX(Clean_Data!$C$2:$C$4314,MATCH(A3176-7,Clean_Data!$A$2:$A$4314,1))-1)</f>
        <v>0.0100485926259815</v>
      </c>
      <c r="O3176" s="25" t="n">
        <f aca="false">IF(A3176-30&lt;$R$2,"",C3176/INDEX(Clean_Data!$C$2:$C$4314,MATCH(A3176-30,Clean_Data!$A$2:$A$4314,1))-1)</f>
        <v>-0.0903330457835092</v>
      </c>
    </row>
    <row r="3177" customFormat="false" ht="15" hidden="false" customHeight="false" outlineLevel="0" collapsed="false">
      <c r="A3177" s="16" t="n">
        <v>45184</v>
      </c>
      <c r="B3177" s="23" t="n">
        <f aca="false">YEAR(A3177)</f>
        <v>2023</v>
      </c>
      <c r="C3177" s="17" t="n">
        <v>26620.02</v>
      </c>
      <c r="D3177" s="23" t="n">
        <f aca="false">A3177-A3176</f>
        <v>1</v>
      </c>
      <c r="E3177" s="24" t="n">
        <f aca="false">LN(C3177)</f>
        <v>10.1894188432636</v>
      </c>
      <c r="F3177" s="25" t="n">
        <f aca="false">LN(C3177/C3176)</f>
        <v>0.00333801928832174</v>
      </c>
      <c r="G3177" s="25" t="n">
        <f aca="false">IF(AND(D3177=1,A3177&gt;=$R$2),F3177,"")</f>
        <v>0.00333801928832174</v>
      </c>
      <c r="H3177" s="27" t="n">
        <f aca="false">IF(G3177="","",G3177^2)</f>
        <v>1.1142372769208E-005</v>
      </c>
      <c r="I3177" s="25" t="n">
        <f aca="false">IF(G3177="","",C3177/C3176-1)</f>
        <v>0.00334359667879203</v>
      </c>
      <c r="J3177" s="17" t="n">
        <f aca="false">AVERAGE(C2978:C3177)</f>
        <v>27686.805</v>
      </c>
      <c r="K3177" s="17" t="n">
        <f aca="false">MAX(K3176,C3177)</f>
        <v>67510.06</v>
      </c>
      <c r="L3177" s="25" t="n">
        <f aca="false">C3177/K3177-1</f>
        <v>-0.605688100410517</v>
      </c>
      <c r="M3177" s="25" t="n">
        <f aca="false">IF(COUNT(G3148:G3177)&lt;20,"",_xlfn.STDEV.S(G3148:G3177)*SQRT($R$3))</f>
        <v>0.439349917972327</v>
      </c>
      <c r="N3177" s="25" t="n">
        <f aca="false">IF(A3177-7&lt;$R$2,"",C3177/INDEX(Clean_Data!$C$2:$C$4314,MATCH(A3177-7,Clean_Data!$A$2:$A$4314,1))-1)</f>
        <v>0.027548072190795</v>
      </c>
      <c r="O3177" s="25" t="n">
        <f aca="false">IF(A3177-30&lt;$R$2,"",C3177/INDEX(Clean_Data!$C$2:$C$4314,MATCH(A3177-30,Clean_Data!$A$2:$A$4314,1))-1)</f>
        <v>-0.0722898914175728</v>
      </c>
    </row>
    <row r="3178" customFormat="false" ht="15" hidden="false" customHeight="false" outlineLevel="0" collapsed="false">
      <c r="A3178" s="16" t="n">
        <v>45185</v>
      </c>
      <c r="B3178" s="23" t="n">
        <f aca="false">YEAR(A3178)</f>
        <v>2023</v>
      </c>
      <c r="C3178" s="17" t="n">
        <v>26569.87</v>
      </c>
      <c r="D3178" s="23" t="n">
        <f aca="false">A3178-A3177</f>
        <v>1</v>
      </c>
      <c r="E3178" s="24" t="n">
        <f aca="false">LN(C3178)</f>
        <v>10.1875331460057</v>
      </c>
      <c r="F3178" s="25" t="n">
        <f aca="false">LN(C3178/C3177)</f>
        <v>-0.00188569725790026</v>
      </c>
      <c r="G3178" s="25" t="n">
        <f aca="false">IF(AND(D3178=1,A3178&gt;=$R$2),F3178,"")</f>
        <v>-0.00188569725790026</v>
      </c>
      <c r="H3178" s="27" t="n">
        <f aca="false">IF(G3178="","",G3178^2)</f>
        <v>3.55585414845257E-006</v>
      </c>
      <c r="I3178" s="25" t="n">
        <f aca="false">IF(G3178="","",C3178/C3177-1)</f>
        <v>-0.00188392044784347</v>
      </c>
      <c r="J3178" s="17" t="n">
        <f aca="false">AVERAGE(C2979:C3178)</f>
        <v>27703.9197</v>
      </c>
      <c r="K3178" s="17" t="n">
        <f aca="false">MAX(K3177,C3178)</f>
        <v>67510.06</v>
      </c>
      <c r="L3178" s="25" t="n">
        <f aca="false">C3178/K3178-1</f>
        <v>-0.606430952660981</v>
      </c>
      <c r="M3178" s="25" t="n">
        <f aca="false">IF(COUNT(G3149:G3178)&lt;20,"",_xlfn.STDEV.S(G3149:G3178)*SQRT($R$3))</f>
        <v>0.351014865140063</v>
      </c>
      <c r="N3178" s="25" t="n">
        <f aca="false">IF(A3178-7&lt;$R$2,"",C3178/INDEX(Clean_Data!$C$2:$C$4314,MATCH(A3178-7,Clean_Data!$A$2:$A$4314,1))-1)</f>
        <v>0.0259239152259128</v>
      </c>
      <c r="O3178" s="25" t="n">
        <f aca="false">IF(A3178-30&lt;$R$2,"",C3178/INDEX(Clean_Data!$C$2:$C$4314,MATCH(A3178-30,Clean_Data!$A$2:$A$4314,1))-1)</f>
        <v>-0.0011695057851252</v>
      </c>
    </row>
    <row r="3179" customFormat="false" ht="15" hidden="false" customHeight="false" outlineLevel="0" collapsed="false">
      <c r="A3179" s="16" t="n">
        <v>45186</v>
      </c>
      <c r="B3179" s="23" t="n">
        <f aca="false">YEAR(A3179)</f>
        <v>2023</v>
      </c>
      <c r="C3179" s="17" t="n">
        <v>26533.6</v>
      </c>
      <c r="D3179" s="23" t="n">
        <f aca="false">A3179-A3178</f>
        <v>1</v>
      </c>
      <c r="E3179" s="24" t="n">
        <f aca="false">LN(C3179)</f>
        <v>10.1861671333651</v>
      </c>
      <c r="F3179" s="25" t="n">
        <f aca="false">LN(C3179/C3178)</f>
        <v>-0.00136601264060364</v>
      </c>
      <c r="G3179" s="25" t="n">
        <f aca="false">IF(AND(D3179=1,A3179&gt;=$R$2),F3179,"")</f>
        <v>-0.00136601264060364</v>
      </c>
      <c r="H3179" s="27" t="n">
        <f aca="false">IF(G3179="","",G3179^2)</f>
        <v>1.86599053428893E-006</v>
      </c>
      <c r="I3179" s="25" t="n">
        <f aca="false">IF(G3179="","",C3179/C3178-1)</f>
        <v>-0.00136508007001923</v>
      </c>
      <c r="J3179" s="17" t="n">
        <f aca="false">AVERAGE(C2980:C3179)</f>
        <v>27718.4154</v>
      </c>
      <c r="K3179" s="17" t="n">
        <f aca="false">MAX(K3178,C3179)</f>
        <v>67510.06</v>
      </c>
      <c r="L3179" s="25" t="n">
        <f aca="false">C3179/K3179-1</f>
        <v>-0.60696820592368</v>
      </c>
      <c r="M3179" s="25" t="n">
        <f aca="false">IF(COUNT(G3150:G3179)&lt;20,"",_xlfn.STDEV.S(G3150:G3179)*SQRT($R$3))</f>
        <v>0.342715623828632</v>
      </c>
      <c r="N3179" s="25" t="n">
        <f aca="false">IF(A3179-7&lt;$R$2,"",C3179/INDEX(Clean_Data!$C$2:$C$4314,MATCH(A3179-7,Clean_Data!$A$2:$A$4314,1))-1)</f>
        <v>0.0270277174706108</v>
      </c>
      <c r="O3179" s="25" t="n">
        <f aca="false">IF(A3179-30&lt;$R$2,"",C3179/INDEX(Clean_Data!$C$2:$C$4314,MATCH(A3179-30,Clean_Data!$A$2:$A$4314,1))-1)</f>
        <v>0.0187993467974761</v>
      </c>
    </row>
    <row r="3180" customFormat="false" ht="15" hidden="false" customHeight="false" outlineLevel="0" collapsed="false">
      <c r="A3180" s="16" t="n">
        <v>45187</v>
      </c>
      <c r="B3180" s="23" t="n">
        <f aca="false">YEAR(A3180)</f>
        <v>2023</v>
      </c>
      <c r="C3180" s="17" t="n">
        <v>26767.54</v>
      </c>
      <c r="D3180" s="23" t="n">
        <f aca="false">A3180-A3179</f>
        <v>1</v>
      </c>
      <c r="E3180" s="24" t="n">
        <f aca="false">LN(C3180)</f>
        <v>10.1949452383808</v>
      </c>
      <c r="F3180" s="25" t="n">
        <f aca="false">LN(C3180/C3179)</f>
        <v>0.00877810501568217</v>
      </c>
      <c r="G3180" s="25" t="n">
        <f aca="false">IF(AND(D3180=1,A3180&gt;=$R$2),F3180,"")</f>
        <v>0.00877810501568217</v>
      </c>
      <c r="H3180" s="27" t="n">
        <f aca="false">IF(G3180="","",G3180^2)</f>
        <v>7.70551276663445E-005</v>
      </c>
      <c r="I3180" s="25" t="n">
        <f aca="false">IF(G3180="","",C3180/C3179-1)</f>
        <v>0.00881674556034628</v>
      </c>
      <c r="J3180" s="17" t="n">
        <f aca="false">AVERAGE(C2981:C3180)</f>
        <v>27734.90765</v>
      </c>
      <c r="K3180" s="17" t="n">
        <f aca="false">MAX(K3179,C3180)</f>
        <v>67510.06</v>
      </c>
      <c r="L3180" s="25" t="n">
        <f aca="false">C3180/K3180-1</f>
        <v>-0.603502944598183</v>
      </c>
      <c r="M3180" s="25" t="n">
        <f aca="false">IF(COUNT(G3151:G3180)&lt;20,"",_xlfn.STDEV.S(G3151:G3180)*SQRT($R$3))</f>
        <v>0.343890413659872</v>
      </c>
      <c r="N3180" s="25" t="n">
        <f aca="false">IF(A3180-7&lt;$R$2,"",C3180/INDEX(Clean_Data!$C$2:$C$4314,MATCH(A3180-7,Clean_Data!$A$2:$A$4314,1))-1)</f>
        <v>0.063821652608252</v>
      </c>
      <c r="O3180" s="25" t="n">
        <f aca="false">IF(A3180-30&lt;$R$2,"",C3180/INDEX(Clean_Data!$C$2:$C$4314,MATCH(A3180-30,Clean_Data!$A$2:$A$4314,1))-1)</f>
        <v>0.0263139329265019</v>
      </c>
    </row>
    <row r="3181" customFormat="false" ht="15" hidden="false" customHeight="false" outlineLevel="0" collapsed="false">
      <c r="A3181" s="16" t="n">
        <v>45188</v>
      </c>
      <c r="B3181" s="23" t="n">
        <f aca="false">YEAR(A3181)</f>
        <v>2023</v>
      </c>
      <c r="C3181" s="17" t="n">
        <v>27199.35</v>
      </c>
      <c r="D3181" s="23" t="n">
        <f aca="false">A3181-A3180</f>
        <v>1</v>
      </c>
      <c r="E3181" s="24" t="n">
        <f aca="false">LN(C3181)</f>
        <v>10.2109483549397</v>
      </c>
      <c r="F3181" s="25" t="n">
        <f aca="false">LN(C3181/C3180)</f>
        <v>0.0160031165589263</v>
      </c>
      <c r="G3181" s="25" t="n">
        <f aca="false">IF(AND(D3181=1,A3181&gt;=$R$2),F3181,"")</f>
        <v>0.0160031165589263</v>
      </c>
      <c r="H3181" s="27" t="n">
        <f aca="false">IF(G3181="","",G3181^2)</f>
        <v>0.00025609973959858</v>
      </c>
      <c r="I3181" s="25" t="n">
        <f aca="false">IF(G3181="","",C3181/C3180-1)</f>
        <v>0.0161318522359544</v>
      </c>
      <c r="J3181" s="17" t="n">
        <f aca="false">AVERAGE(C2982:C3181)</f>
        <v>27759.18665</v>
      </c>
      <c r="K3181" s="17" t="n">
        <f aca="false">MAX(K3180,C3181)</f>
        <v>67510.06</v>
      </c>
      <c r="L3181" s="25" t="n">
        <f aca="false">C3181/K3181-1</f>
        <v>-0.59710671268845</v>
      </c>
      <c r="M3181" s="25" t="n">
        <f aca="false">IF(COUNT(G3152:G3181)&lt;20,"",_xlfn.STDEV.S(G3152:G3181)*SQRT($R$3))</f>
        <v>0.347788346156711</v>
      </c>
      <c r="N3181" s="25" t="n">
        <f aca="false">IF(A3181-7&lt;$R$2,"",C3181/INDEX(Clean_Data!$C$2:$C$4314,MATCH(A3181-7,Clean_Data!$A$2:$A$4314,1))-1)</f>
        <v>0.0521031735593964</v>
      </c>
      <c r="O3181" s="25" t="n">
        <f aca="false">IF(A3181-30&lt;$R$2,"",C3181/INDEX(Clean_Data!$C$2:$C$4314,MATCH(A3181-30,Clean_Data!$A$2:$A$4314,1))-1)</f>
        <v>0.0386505621066779</v>
      </c>
    </row>
    <row r="3182" customFormat="false" ht="15" hidden="false" customHeight="false" outlineLevel="0" collapsed="false">
      <c r="A3182" s="16" t="n">
        <v>45189</v>
      </c>
      <c r="B3182" s="23" t="n">
        <f aca="false">YEAR(A3182)</f>
        <v>2023</v>
      </c>
      <c r="C3182" s="17" t="n">
        <v>27119.41</v>
      </c>
      <c r="D3182" s="23" t="n">
        <f aca="false">A3182-A3181</f>
        <v>1</v>
      </c>
      <c r="E3182" s="24" t="n">
        <f aca="false">LN(C3182)</f>
        <v>10.2080049866554</v>
      </c>
      <c r="F3182" s="25" t="n">
        <f aca="false">LN(C3182/C3181)</f>
        <v>-0.00294336828428289</v>
      </c>
      <c r="G3182" s="25" t="n">
        <f aca="false">IF(AND(D3182=1,A3182&gt;=$R$2),F3182,"")</f>
        <v>-0.00294336828428289</v>
      </c>
      <c r="H3182" s="27" t="n">
        <f aca="false">IF(G3182="","",G3182^2)</f>
        <v>8.66341685692238E-006</v>
      </c>
      <c r="I3182" s="25" t="n">
        <f aca="false">IF(G3182="","",C3182/C3181-1)</f>
        <v>-0.00293904082266672</v>
      </c>
      <c r="J3182" s="17" t="n">
        <f aca="false">AVERAGE(C2983:C3182)</f>
        <v>27783.05785</v>
      </c>
      <c r="K3182" s="17" t="n">
        <f aca="false">MAX(K3181,C3182)</f>
        <v>67510.06</v>
      </c>
      <c r="L3182" s="25" t="n">
        <f aca="false">C3182/K3182-1</f>
        <v>-0.598290832507037</v>
      </c>
      <c r="M3182" s="25" t="n">
        <f aca="false">IF(COUNT(G3153:G3182)&lt;20,"",_xlfn.STDEV.S(G3153:G3182)*SQRT($R$3))</f>
        <v>0.347884120407763</v>
      </c>
      <c r="N3182" s="25" t="n">
        <f aca="false">IF(A3182-7&lt;$R$2,"",C3182/INDEX(Clean_Data!$C$2:$C$4314,MATCH(A3182-7,Clean_Data!$A$2:$A$4314,1))-1)</f>
        <v>0.034455123620458</v>
      </c>
      <c r="O3182" s="25" t="n">
        <f aca="false">IF(A3182-30&lt;$R$2,"",C3182/INDEX(Clean_Data!$C$2:$C$4314,MATCH(A3182-30,Clean_Data!$A$2:$A$4314,1))-1)</f>
        <v>0.0379372003713998</v>
      </c>
    </row>
    <row r="3183" customFormat="false" ht="15" hidden="false" customHeight="false" outlineLevel="0" collapsed="false">
      <c r="A3183" s="16" t="n">
        <v>45190</v>
      </c>
      <c r="B3183" s="23" t="n">
        <f aca="false">YEAR(A3183)</f>
        <v>2023</v>
      </c>
      <c r="C3183" s="17" t="n">
        <v>26567.29</v>
      </c>
      <c r="D3183" s="23" t="n">
        <f aca="false">A3183-A3182</f>
        <v>1</v>
      </c>
      <c r="E3183" s="24" t="n">
        <f aca="false">LN(C3183)</f>
        <v>10.1874360388211</v>
      </c>
      <c r="F3183" s="25" t="n">
        <f aca="false">LN(C3183/C3182)</f>
        <v>-0.0205689478342996</v>
      </c>
      <c r="G3183" s="25" t="n">
        <f aca="false">IF(AND(D3183=1,A3183&gt;=$R$2),F3183,"")</f>
        <v>-0.0205689478342996</v>
      </c>
      <c r="H3183" s="27" t="n">
        <f aca="false">IF(G3183="","",G3183^2)</f>
        <v>0.000423081615010138</v>
      </c>
      <c r="I3183" s="25" t="n">
        <f aca="false">IF(G3183="","",C3183/C3182-1)</f>
        <v>-0.0203588499897306</v>
      </c>
      <c r="J3183" s="17" t="n">
        <f aca="false">AVERAGE(C2984:C3183)</f>
        <v>27803.7468</v>
      </c>
      <c r="K3183" s="17" t="n">
        <f aca="false">MAX(K3182,C3183)</f>
        <v>67510.06</v>
      </c>
      <c r="L3183" s="25" t="n">
        <f aca="false">C3183/K3183-1</f>
        <v>-0.606469169187526</v>
      </c>
      <c r="M3183" s="25" t="n">
        <f aca="false">IF(COUNT(G3154:G3183)&lt;20,"",_xlfn.STDEV.S(G3154:G3183)*SQRT($R$3))</f>
        <v>0.355824892122215</v>
      </c>
      <c r="N3183" s="25" t="n">
        <f aca="false">IF(A3183-7&lt;$R$2,"",C3183/INDEX(Clean_Data!$C$2:$C$4314,MATCH(A3183-7,Clean_Data!$A$2:$A$4314,1))-1)</f>
        <v>0.00135613356445652</v>
      </c>
      <c r="O3183" s="25" t="n">
        <f aca="false">IF(A3183-30&lt;$R$2,"",C3183/INDEX(Clean_Data!$C$2:$C$4314,MATCH(A3183-30,Clean_Data!$A$2:$A$4314,1))-1)</f>
        <v>0.020311140230475</v>
      </c>
    </row>
    <row r="3184" customFormat="false" ht="15" hidden="false" customHeight="false" outlineLevel="0" collapsed="false">
      <c r="A3184" s="16" t="n">
        <v>45191</v>
      </c>
      <c r="B3184" s="23" t="n">
        <f aca="false">YEAR(A3184)</f>
        <v>2023</v>
      </c>
      <c r="C3184" s="17" t="n">
        <v>26582.63</v>
      </c>
      <c r="D3184" s="23" t="n">
        <f aca="false">A3184-A3183</f>
        <v>1</v>
      </c>
      <c r="E3184" s="24" t="n">
        <f aca="false">LN(C3184)</f>
        <v>10.1880132739487</v>
      </c>
      <c r="F3184" s="25" t="n">
        <f aca="false">LN(C3184/C3183)</f>
        <v>0.00057723512757652</v>
      </c>
      <c r="G3184" s="25" t="n">
        <f aca="false">IF(AND(D3184=1,A3184&gt;=$R$2),F3184,"")</f>
        <v>0.00057723512757652</v>
      </c>
      <c r="H3184" s="27" t="n">
        <f aca="false">IF(G3184="","",G3184^2)</f>
        <v>3.33200392508282E-007</v>
      </c>
      <c r="I3184" s="25" t="n">
        <f aca="false">IF(G3184="","",C3184/C3183-1)</f>
        <v>0.000577401759833229</v>
      </c>
      <c r="J3184" s="17" t="n">
        <f aca="false">AVERAGE(C2985:C3184)</f>
        <v>27824.5633</v>
      </c>
      <c r="K3184" s="17" t="n">
        <f aca="false">MAX(K3183,C3184)</f>
        <v>67510.06</v>
      </c>
      <c r="L3184" s="25" t="n">
        <f aca="false">C3184/K3184-1</f>
        <v>-0.606241943793266</v>
      </c>
      <c r="M3184" s="25" t="n">
        <f aca="false">IF(COUNT(G3155:G3184)&lt;20,"",_xlfn.STDEV.S(G3155:G3184)*SQRT($R$3))</f>
        <v>0.352098664811438</v>
      </c>
      <c r="N3184" s="25" t="n">
        <f aca="false">IF(A3184-7&lt;$R$2,"",C3184/INDEX(Clean_Data!$C$2:$C$4314,MATCH(A3184-7,Clean_Data!$A$2:$A$4314,1))-1)</f>
        <v>-0.00140458196500226</v>
      </c>
      <c r="O3184" s="25" t="n">
        <f aca="false">IF(A3184-30&lt;$R$2,"",C3184/INDEX(Clean_Data!$C$2:$C$4314,MATCH(A3184-30,Clean_Data!$A$2:$A$4314,1))-1)</f>
        <v>0.00579238231161039</v>
      </c>
    </row>
    <row r="3185" customFormat="false" ht="15" hidden="false" customHeight="false" outlineLevel="0" collapsed="false">
      <c r="A3185" s="16" t="n">
        <v>45192</v>
      </c>
      <c r="B3185" s="23" t="n">
        <f aca="false">YEAR(A3185)</f>
        <v>2023</v>
      </c>
      <c r="C3185" s="17" t="n">
        <v>26580.31</v>
      </c>
      <c r="D3185" s="23" t="n">
        <f aca="false">A3185-A3184</f>
        <v>1</v>
      </c>
      <c r="E3185" s="24" t="n">
        <f aca="false">LN(C3185)</f>
        <v>10.1879259951037</v>
      </c>
      <c r="F3185" s="25" t="n">
        <f aca="false">LN(C3185/C3184)</f>
        <v>-8.72788450553303E-005</v>
      </c>
      <c r="G3185" s="25" t="n">
        <f aca="false">IF(AND(D3185=1,A3185&gt;=$R$2),F3185,"")</f>
        <v>-8.72788450553303E-005</v>
      </c>
      <c r="H3185" s="27" t="n">
        <f aca="false">IF(G3185="","",G3185^2)</f>
        <v>7.61759679419235E-009</v>
      </c>
      <c r="I3185" s="25" t="n">
        <f aca="false">IF(G3185="","",C3185/C3184-1)</f>
        <v>-8.72750363677399E-005</v>
      </c>
      <c r="J3185" s="17" t="n">
        <f aca="false">AVERAGE(C2986:C3185)</f>
        <v>27846.4701</v>
      </c>
      <c r="K3185" s="17" t="n">
        <f aca="false">MAX(K3184,C3185)</f>
        <v>67510.06</v>
      </c>
      <c r="L3185" s="25" t="n">
        <f aca="false">C3185/K3185-1</f>
        <v>-0.606276309041941</v>
      </c>
      <c r="M3185" s="25" t="n">
        <f aca="false">IF(COUNT(G3156:G3185)&lt;20,"",_xlfn.STDEV.S(G3156:G3185)*SQRT($R$3))</f>
        <v>0.35020195458752</v>
      </c>
      <c r="N3185" s="25" t="n">
        <f aca="false">IF(A3185-7&lt;$R$2,"",C3185/INDEX(Clean_Data!$C$2:$C$4314,MATCH(A3185-7,Clean_Data!$A$2:$A$4314,1))-1)</f>
        <v>0.000392926273256267</v>
      </c>
      <c r="O3185" s="25" t="n">
        <f aca="false">IF(A3185-30&lt;$R$2,"",C3185/INDEX(Clean_Data!$C$2:$C$4314,MATCH(A3185-30,Clean_Data!$A$2:$A$4314,1))-1)</f>
        <v>0.0157516092099854</v>
      </c>
    </row>
    <row r="3186" customFormat="false" ht="15" hidden="false" customHeight="false" outlineLevel="0" collapsed="false">
      <c r="A3186" s="16" t="n">
        <v>45193</v>
      </c>
      <c r="B3186" s="23" t="n">
        <f aca="false">YEAR(A3186)</f>
        <v>2023</v>
      </c>
      <c r="C3186" s="17" t="n">
        <v>26229.29</v>
      </c>
      <c r="D3186" s="23" t="n">
        <f aca="false">A3186-A3185</f>
        <v>1</v>
      </c>
      <c r="E3186" s="24" t="n">
        <f aca="false">LN(C3186)</f>
        <v>10.1746320042521</v>
      </c>
      <c r="F3186" s="25" t="n">
        <f aca="false">LN(C3186/C3185)</f>
        <v>-0.0132939908515672</v>
      </c>
      <c r="G3186" s="25" t="n">
        <f aca="false">IF(AND(D3186=1,A3186&gt;=$R$2),F3186,"")</f>
        <v>-0.0132939908515672</v>
      </c>
      <c r="H3186" s="27" t="n">
        <f aca="false">IF(G3186="","",G3186^2)</f>
        <v>0.000176730192761553</v>
      </c>
      <c r="I3186" s="25" t="n">
        <f aca="false">IF(G3186="","",C3186/C3185-1)</f>
        <v>-0.0132060160321682</v>
      </c>
      <c r="J3186" s="17" t="n">
        <f aca="false">AVERAGE(C2987:C3186)</f>
        <v>27869.05335</v>
      </c>
      <c r="K3186" s="17" t="n">
        <f aca="false">MAX(K3185,C3186)</f>
        <v>67510.06</v>
      </c>
      <c r="L3186" s="25" t="n">
        <f aca="false">C3186/K3186-1</f>
        <v>-0.611475830416978</v>
      </c>
      <c r="M3186" s="25" t="n">
        <f aca="false">IF(COUNT(G3157:G3186)&lt;20,"",_xlfn.STDEV.S(G3157:G3186)*SQRT($R$3))</f>
        <v>0.353143949553362</v>
      </c>
      <c r="N3186" s="25" t="n">
        <f aca="false">IF(A3186-7&lt;$R$2,"",C3186/INDEX(Clean_Data!$C$2:$C$4314,MATCH(A3186-7,Clean_Data!$A$2:$A$4314,1))-1)</f>
        <v>-0.011468854584376</v>
      </c>
      <c r="O3186" s="25" t="n">
        <f aca="false">IF(A3186-30&lt;$R$2,"",C3186/INDEX(Clean_Data!$C$2:$C$4314,MATCH(A3186-30,Clean_Data!$A$2:$A$4314,1))-1)</f>
        <v>0.00671326663693406</v>
      </c>
    </row>
    <row r="3187" customFormat="false" ht="15" hidden="false" customHeight="false" outlineLevel="0" collapsed="false">
      <c r="A3187" s="16" t="n">
        <v>45194</v>
      </c>
      <c r="B3187" s="23" t="n">
        <f aca="false">YEAR(A3187)</f>
        <v>2023</v>
      </c>
      <c r="C3187" s="17" t="n">
        <v>26296.86</v>
      </c>
      <c r="D3187" s="23" t="n">
        <f aca="false">A3187-A3186</f>
        <v>1</v>
      </c>
      <c r="E3187" s="24" t="n">
        <f aca="false">LN(C3187)</f>
        <v>10.1772048194031</v>
      </c>
      <c r="F3187" s="25" t="n">
        <f aca="false">LN(C3187/C3186)</f>
        <v>0.00257281515102892</v>
      </c>
      <c r="G3187" s="25" t="n">
        <f aca="false">IF(AND(D3187=1,A3187&gt;=$R$2),F3187,"")</f>
        <v>0.00257281515102892</v>
      </c>
      <c r="H3187" s="27" t="n">
        <f aca="false">IF(G3187="","",G3187^2)</f>
        <v>6.61937780136397E-006</v>
      </c>
      <c r="I3187" s="25" t="n">
        <f aca="false">IF(G3187="","",C3187/C3186-1)</f>
        <v>0.00257612768016213</v>
      </c>
      <c r="J3187" s="17" t="n">
        <f aca="false">AVERAGE(C2988:C3187)</f>
        <v>27898.7172</v>
      </c>
      <c r="K3187" s="17" t="n">
        <f aca="false">MAX(K3186,C3187)</f>
        <v>67510.06</v>
      </c>
      <c r="L3187" s="25" t="n">
        <f aca="false">C3187/K3187-1</f>
        <v>-0.610474942549303</v>
      </c>
      <c r="M3187" s="25" t="n">
        <f aca="false">IF(COUNT(G3158:G3187)&lt;20,"",_xlfn.STDEV.S(G3158:G3187)*SQRT($R$3))</f>
        <v>0.353147714438904</v>
      </c>
      <c r="N3187" s="25" t="n">
        <f aca="false">IF(A3187-7&lt;$R$2,"",C3187/INDEX(Clean_Data!$C$2:$C$4314,MATCH(A3187-7,Clean_Data!$A$2:$A$4314,1))-1)</f>
        <v>-0.0175839841838287</v>
      </c>
      <c r="O3187" s="25" t="n">
        <f aca="false">IF(A3187-30&lt;$R$2,"",C3187/INDEX(Clean_Data!$C$2:$C$4314,MATCH(A3187-30,Clean_Data!$A$2:$A$4314,1))-1)</f>
        <v>0.0112562802475757</v>
      </c>
    </row>
    <row r="3188" customFormat="false" ht="15" hidden="false" customHeight="false" outlineLevel="0" collapsed="false">
      <c r="A3188" s="16" t="n">
        <v>45195</v>
      </c>
      <c r="B3188" s="23" t="n">
        <f aca="false">YEAR(A3188)</f>
        <v>2023</v>
      </c>
      <c r="C3188" s="17" t="n">
        <v>26200.13</v>
      </c>
      <c r="D3188" s="23" t="n">
        <f aca="false">A3188-A3187</f>
        <v>1</v>
      </c>
      <c r="E3188" s="24" t="n">
        <f aca="false">LN(C3188)</f>
        <v>10.1735196515689</v>
      </c>
      <c r="F3188" s="25" t="n">
        <f aca="false">LN(C3188/C3187)</f>
        <v>-0.00368516783418689</v>
      </c>
      <c r="G3188" s="25" t="n">
        <f aca="false">IF(AND(D3188=1,A3188&gt;=$R$2),F3188,"")</f>
        <v>-0.00368516783418689</v>
      </c>
      <c r="H3188" s="27" t="n">
        <f aca="false">IF(G3188="","",G3188^2)</f>
        <v>1.35804619661257E-005</v>
      </c>
      <c r="I3188" s="25" t="n">
        <f aca="false">IF(G3188="","",C3188/C3187-1)</f>
        <v>-0.00367838593657188</v>
      </c>
      <c r="J3188" s="17" t="n">
        <f aca="false">AVERAGE(C2989:C3188)</f>
        <v>27928.58275</v>
      </c>
      <c r="K3188" s="17" t="n">
        <f aca="false">MAX(K3187,C3188)</f>
        <v>67510.06</v>
      </c>
      <c r="L3188" s="25" t="n">
        <f aca="false">C3188/K3188-1</f>
        <v>-0.611907766042572</v>
      </c>
      <c r="M3188" s="25" t="n">
        <f aca="false">IF(COUNT(G3159:G3188)&lt;20,"",_xlfn.STDEV.S(G3159:G3188)*SQRT($R$3))</f>
        <v>0.353263088603272</v>
      </c>
      <c r="N3188" s="25" t="n">
        <f aca="false">IF(A3188-7&lt;$R$2,"",C3188/INDEX(Clean_Data!$C$2:$C$4314,MATCH(A3188-7,Clean_Data!$A$2:$A$4314,1))-1)</f>
        <v>-0.0367369073157997</v>
      </c>
      <c r="O3188" s="25" t="n">
        <f aca="false">IF(A3188-30&lt;$R$2,"",C3188/INDEX(Clean_Data!$C$2:$C$4314,MATCH(A3188-30,Clean_Data!$A$2:$A$4314,1))-1)</f>
        <v>0.00424887156717246</v>
      </c>
    </row>
    <row r="3189" customFormat="false" ht="15" hidden="false" customHeight="false" outlineLevel="0" collapsed="false">
      <c r="A3189" s="16" t="n">
        <v>45196</v>
      </c>
      <c r="B3189" s="23" t="n">
        <f aca="false">YEAR(A3189)</f>
        <v>2023</v>
      </c>
      <c r="C3189" s="17" t="n">
        <v>26351.82</v>
      </c>
      <c r="D3189" s="23" t="n">
        <f aca="false">A3189-A3188</f>
        <v>1</v>
      </c>
      <c r="E3189" s="24" t="n">
        <f aca="false">LN(C3189)</f>
        <v>10.179292621793</v>
      </c>
      <c r="F3189" s="25" t="n">
        <f aca="false">LN(C3189/C3188)</f>
        <v>0.00577297022406058</v>
      </c>
      <c r="G3189" s="25" t="n">
        <f aca="false">IF(AND(D3189=1,A3189&gt;=$R$2),F3189,"")</f>
        <v>0.00577297022406058</v>
      </c>
      <c r="H3189" s="27" t="n">
        <f aca="false">IF(G3189="","",G3189^2)</f>
        <v>3.33271852078901E-005</v>
      </c>
      <c r="I3189" s="25" t="n">
        <f aca="false">IF(G3189="","",C3189/C3188-1)</f>
        <v>0.00578966592913854</v>
      </c>
      <c r="J3189" s="17" t="n">
        <f aca="false">AVERAGE(C2990:C3189)</f>
        <v>27957.3029</v>
      </c>
      <c r="K3189" s="17" t="n">
        <f aca="false">MAX(K3188,C3189)</f>
        <v>67510.06</v>
      </c>
      <c r="L3189" s="25" t="n">
        <f aca="false">C3189/K3189-1</f>
        <v>-0.609660841658265</v>
      </c>
      <c r="M3189" s="25" t="n">
        <f aca="false">IF(COUNT(G3160:G3189)&lt;20,"",_xlfn.STDEV.S(G3160:G3189)*SQRT($R$3))</f>
        <v>0.353808803235065</v>
      </c>
      <c r="N3189" s="25" t="n">
        <f aca="false">IF(A3189-7&lt;$R$2,"",C3189/INDEX(Clean_Data!$C$2:$C$4314,MATCH(A3189-7,Clean_Data!$A$2:$A$4314,1))-1)</f>
        <v>-0.0283040818365886</v>
      </c>
      <c r="O3189" s="25" t="n">
        <f aca="false">IF(A3189-30&lt;$R$2,"",C3189/INDEX(Clean_Data!$C$2:$C$4314,MATCH(A3189-30,Clean_Data!$A$2:$A$4314,1))-1)</f>
        <v>0.00955118875541094</v>
      </c>
    </row>
    <row r="3190" customFormat="false" ht="15" hidden="false" customHeight="false" outlineLevel="0" collapsed="false">
      <c r="A3190" s="16" t="n">
        <v>45197</v>
      </c>
      <c r="B3190" s="23" t="n">
        <f aca="false">YEAR(A3190)</f>
        <v>2023</v>
      </c>
      <c r="C3190" s="17" t="n">
        <v>27035.82</v>
      </c>
      <c r="D3190" s="23" t="n">
        <f aca="false">A3190-A3189</f>
        <v>1</v>
      </c>
      <c r="E3190" s="24" t="n">
        <f aca="false">LN(C3190)</f>
        <v>10.2049179324085</v>
      </c>
      <c r="F3190" s="25" t="n">
        <f aca="false">LN(C3190/C3189)</f>
        <v>0.0256253106154678</v>
      </c>
      <c r="G3190" s="25" t="n">
        <f aca="false">IF(AND(D3190=1,A3190&gt;=$R$2),F3190,"")</f>
        <v>0.0256253106154678</v>
      </c>
      <c r="H3190" s="27" t="n">
        <f aca="false">IF(G3190="","",G3190^2)</f>
        <v>0.000656656544139208</v>
      </c>
      <c r="I3190" s="25" t="n">
        <f aca="false">IF(G3190="","",C3190/C3189-1)</f>
        <v>0.0259564614512395</v>
      </c>
      <c r="J3190" s="17" t="n">
        <f aca="false">AVERAGE(C2991:C3190)</f>
        <v>27981.0602</v>
      </c>
      <c r="K3190" s="17" t="n">
        <f aca="false">MAX(K3189,C3190)</f>
        <v>67510.06</v>
      </c>
      <c r="L3190" s="25" t="n">
        <f aca="false">C3190/K3190-1</f>
        <v>-0.599529018341859</v>
      </c>
      <c r="M3190" s="25" t="n">
        <f aca="false">IF(COUNT(G3161:G3190)&lt;20,"",_xlfn.STDEV.S(G3161:G3190)*SQRT($R$3))</f>
        <v>0.296773838086603</v>
      </c>
      <c r="N3190" s="25" t="n">
        <f aca="false">IF(A3190-7&lt;$R$2,"",C3190/INDEX(Clean_Data!$C$2:$C$4314,MATCH(A3190-7,Clean_Data!$A$2:$A$4314,1))-1)</f>
        <v>0.0176355962538897</v>
      </c>
      <c r="O3190" s="25" t="n">
        <f aca="false">IF(A3190-30&lt;$R$2,"",C3190/INDEX(Clean_Data!$C$2:$C$4314,MATCH(A3190-30,Clean_Data!$A$2:$A$4314,1))-1)</f>
        <v>-0.024459400555971</v>
      </c>
    </row>
    <row r="3191" customFormat="false" ht="15" hidden="false" customHeight="false" outlineLevel="0" collapsed="false">
      <c r="A3191" s="16" t="n">
        <v>45198</v>
      </c>
      <c r="B3191" s="23" t="n">
        <f aca="false">YEAR(A3191)</f>
        <v>2023</v>
      </c>
      <c r="C3191" s="17" t="n">
        <v>26900.3</v>
      </c>
      <c r="D3191" s="23" t="n">
        <f aca="false">A3191-A3190</f>
        <v>1</v>
      </c>
      <c r="E3191" s="24" t="n">
        <f aca="false">LN(C3191)</f>
        <v>10.1998927179441</v>
      </c>
      <c r="F3191" s="25" t="n">
        <f aca="false">LN(C3191/C3190)</f>
        <v>-0.0050252144643681</v>
      </c>
      <c r="G3191" s="25" t="n">
        <f aca="false">IF(AND(D3191=1,A3191&gt;=$R$2),F3191,"")</f>
        <v>-0.0050252144643681</v>
      </c>
      <c r="H3191" s="27" t="n">
        <f aca="false">IF(G3191="","",G3191^2)</f>
        <v>2.52527804128944E-005</v>
      </c>
      <c r="I3191" s="25" t="n">
        <f aca="false">IF(G3191="","",C3191/C3190-1)</f>
        <v>-0.00501260919772362</v>
      </c>
      <c r="J3191" s="17" t="n">
        <f aca="false">AVERAGE(C2992:C3191)</f>
        <v>27994.36235</v>
      </c>
      <c r="K3191" s="17" t="n">
        <f aca="false">MAX(K3190,C3191)</f>
        <v>67510.06</v>
      </c>
      <c r="L3191" s="25" t="n">
        <f aca="false">C3191/K3191-1</f>
        <v>-0.60153642286794</v>
      </c>
      <c r="M3191" s="25" t="n">
        <f aca="false">IF(COUNT(G3162:G3191)&lt;20,"",_xlfn.STDEV.S(G3162:G3191)*SQRT($R$3))</f>
        <v>0.292699211816834</v>
      </c>
      <c r="N3191" s="25" t="n">
        <f aca="false">IF(A3191-7&lt;$R$2,"",C3191/INDEX(Clean_Data!$C$2:$C$4314,MATCH(A3191-7,Clean_Data!$A$2:$A$4314,1))-1)</f>
        <v>0.0119502848288524</v>
      </c>
      <c r="O3191" s="25" t="n">
        <f aca="false">IF(A3191-30&lt;$R$2,"",C3191/INDEX(Clean_Data!$C$2:$C$4314,MATCH(A3191-30,Clean_Data!$A$2:$A$4314,1))-1)</f>
        <v>-0.0145367037023334</v>
      </c>
    </row>
    <row r="3192" customFormat="false" ht="15" hidden="false" customHeight="false" outlineLevel="0" collapsed="false">
      <c r="A3192" s="16" t="n">
        <v>45199</v>
      </c>
      <c r="B3192" s="23" t="n">
        <f aca="false">YEAR(A3192)</f>
        <v>2023</v>
      </c>
      <c r="C3192" s="17" t="n">
        <v>26959.4</v>
      </c>
      <c r="D3192" s="23" t="n">
        <f aca="false">A3192-A3191</f>
        <v>1</v>
      </c>
      <c r="E3192" s="24" t="n">
        <f aca="false">LN(C3192)</f>
        <v>10.2020873095857</v>
      </c>
      <c r="F3192" s="25" t="n">
        <f aca="false">LN(C3192/C3191)</f>
        <v>0.00219459164161488</v>
      </c>
      <c r="G3192" s="25" t="n">
        <f aca="false">IF(AND(D3192=1,A3192&gt;=$R$2),F3192,"")</f>
        <v>0.00219459164161488</v>
      </c>
      <c r="H3192" s="27" t="n">
        <f aca="false">IF(G3192="","",G3192^2)</f>
        <v>4.8162324734459E-006</v>
      </c>
      <c r="I3192" s="25" t="n">
        <f aca="false">IF(G3192="","",C3192/C3191-1)</f>
        <v>0.00219700152042912</v>
      </c>
      <c r="J3192" s="17" t="n">
        <f aca="false">AVERAGE(C2993:C3192)</f>
        <v>28005.2252</v>
      </c>
      <c r="K3192" s="17" t="n">
        <f aca="false">MAX(K3191,C3192)</f>
        <v>67510.06</v>
      </c>
      <c r="L3192" s="25" t="n">
        <f aca="false">C3192/K3192-1</f>
        <v>-0.600660997783145</v>
      </c>
      <c r="M3192" s="25" t="n">
        <f aca="false">IF(COUNT(G3163:G3192)&lt;20,"",_xlfn.STDEV.S(G3163:G3192)*SQRT($R$3))</f>
        <v>0.227104975724817</v>
      </c>
      <c r="N3192" s="25" t="n">
        <f aca="false">IF(A3192-7&lt;$R$2,"",C3192/INDEX(Clean_Data!$C$2:$C$4314,MATCH(A3192-7,Clean_Data!$A$2:$A$4314,1))-1)</f>
        <v>0.0142620609014719</v>
      </c>
      <c r="O3192" s="25" t="n">
        <f aca="false">IF(A3192-30&lt;$R$2,"",C3192/INDEX(Clean_Data!$C$2:$C$4314,MATCH(A3192-30,Clean_Data!$A$2:$A$4314,1))-1)</f>
        <v>0.0399995988042825</v>
      </c>
    </row>
    <row r="3193" customFormat="false" ht="15" hidden="false" customHeight="false" outlineLevel="0" collapsed="false">
      <c r="A3193" s="16" t="n">
        <v>45200</v>
      </c>
      <c r="B3193" s="23" t="n">
        <f aca="false">YEAR(A3193)</f>
        <v>2023</v>
      </c>
      <c r="C3193" s="17" t="n">
        <v>27994.89</v>
      </c>
      <c r="D3193" s="23" t="n">
        <f aca="false">A3193-A3192</f>
        <v>1</v>
      </c>
      <c r="E3193" s="24" t="n">
        <f aca="false">LN(C3193)</f>
        <v>10.2397772725022</v>
      </c>
      <c r="F3193" s="25" t="n">
        <f aca="false">LN(C3193/C3192)</f>
        <v>0.0376899629164749</v>
      </c>
      <c r="G3193" s="25" t="n">
        <f aca="false">IF(AND(D3193=1,A3193&gt;=$R$2),F3193,"")</f>
        <v>0.0376899629164749</v>
      </c>
      <c r="H3193" s="27" t="n">
        <f aca="false">IF(G3193="","",G3193^2)</f>
        <v>0.00142053330464526</v>
      </c>
      <c r="I3193" s="25" t="n">
        <f aca="false">IF(G3193="","",C3193/C3192-1)</f>
        <v>0.0384092375943084</v>
      </c>
      <c r="J3193" s="17" t="n">
        <f aca="false">AVERAGE(C2994:C3193)</f>
        <v>28023.4468</v>
      </c>
      <c r="K3193" s="17" t="n">
        <f aca="false">MAX(K3192,C3193)</f>
        <v>67510.06</v>
      </c>
      <c r="L3193" s="25" t="n">
        <f aca="false">C3193/K3193-1</f>
        <v>-0.585322691166324</v>
      </c>
      <c r="M3193" s="25" t="n">
        <f aca="false">IF(COUNT(G3164:G3193)&lt;20,"",_xlfn.STDEV.S(G3164:G3193)*SQRT($R$3))</f>
        <v>0.258914137856054</v>
      </c>
      <c r="N3193" s="25" t="n">
        <f aca="false">IF(A3193-7&lt;$R$2,"",C3193/INDEX(Clean_Data!$C$2:$C$4314,MATCH(A3193-7,Clean_Data!$A$2:$A$4314,1))-1)</f>
        <v>0.0673140599688362</v>
      </c>
      <c r="O3193" s="25" t="n">
        <f aca="false">IF(A3193-30&lt;$R$2,"",C3193/INDEX(Clean_Data!$C$2:$C$4314,MATCH(A3193-30,Clean_Data!$A$2:$A$4314,1))-1)</f>
        <v>0.0849883071170396</v>
      </c>
    </row>
    <row r="3194" customFormat="false" ht="15" hidden="false" customHeight="false" outlineLevel="0" collapsed="false">
      <c r="A3194" s="16" t="n">
        <v>45201</v>
      </c>
      <c r="B3194" s="23" t="n">
        <f aca="false">YEAR(A3194)</f>
        <v>2023</v>
      </c>
      <c r="C3194" s="17" t="n">
        <v>27517.12</v>
      </c>
      <c r="D3194" s="23" t="n">
        <f aca="false">A3194-A3193</f>
        <v>1</v>
      </c>
      <c r="E3194" s="24" t="n">
        <f aca="false">LN(C3194)</f>
        <v>10.2225636354082</v>
      </c>
      <c r="F3194" s="25" t="n">
        <f aca="false">LN(C3194/C3193)</f>
        <v>-0.0172136370940154</v>
      </c>
      <c r="G3194" s="25" t="n">
        <f aca="false">IF(AND(D3194=1,A3194&gt;=$R$2),F3194,"")</f>
        <v>-0.0172136370940154</v>
      </c>
      <c r="H3194" s="27" t="n">
        <f aca="false">IF(G3194="","",G3194^2)</f>
        <v>0.000296309302004462</v>
      </c>
      <c r="I3194" s="25" t="n">
        <f aca="false">IF(G3194="","",C3194/C3193-1)</f>
        <v>-0.0170663288907369</v>
      </c>
      <c r="J3194" s="17" t="n">
        <f aca="false">AVERAGE(C2995:C3194)</f>
        <v>28035.83185</v>
      </c>
      <c r="K3194" s="17" t="n">
        <f aca="false">MAX(K3193,C3194)</f>
        <v>67510.06</v>
      </c>
      <c r="L3194" s="25" t="n">
        <f aca="false">C3194/K3194-1</f>
        <v>-0.592399710502405</v>
      </c>
      <c r="M3194" s="25" t="n">
        <f aca="false">IF(COUNT(G3165:G3194)&lt;20,"",_xlfn.STDEV.S(G3165:G3194)*SQRT($R$3))</f>
        <v>0.268087646510792</v>
      </c>
      <c r="N3194" s="25" t="n">
        <f aca="false">IF(A3194-7&lt;$R$2,"",C3194/INDEX(Clean_Data!$C$2:$C$4314,MATCH(A3194-7,Clean_Data!$A$2:$A$4314,1))-1)</f>
        <v>0.0464032587921144</v>
      </c>
      <c r="O3194" s="25" t="n">
        <f aca="false">IF(A3194-30&lt;$R$2,"",C3194/INDEX(Clean_Data!$C$2:$C$4314,MATCH(A3194-30,Clean_Data!$A$2:$A$4314,1))-1)</f>
        <v>0.0636103222744162</v>
      </c>
    </row>
    <row r="3195" customFormat="false" ht="15" hidden="false" customHeight="false" outlineLevel="0" collapsed="false">
      <c r="A3195" s="16" t="n">
        <v>45202</v>
      </c>
      <c r="B3195" s="23" t="n">
        <f aca="false">YEAR(A3195)</f>
        <v>2023</v>
      </c>
      <c r="C3195" s="17" t="n">
        <v>27421.92</v>
      </c>
      <c r="D3195" s="23" t="n">
        <f aca="false">A3195-A3194</f>
        <v>1</v>
      </c>
      <c r="E3195" s="24" t="n">
        <f aca="false">LN(C3195)</f>
        <v>10.2190979725467</v>
      </c>
      <c r="F3195" s="25" t="n">
        <f aca="false">LN(C3195/C3194)</f>
        <v>-0.00346566286144834</v>
      </c>
      <c r="G3195" s="25" t="n">
        <f aca="false">IF(AND(D3195=1,A3195&gt;=$R$2),F3195,"")</f>
        <v>-0.00346566286144834</v>
      </c>
      <c r="H3195" s="27" t="n">
        <f aca="false">IF(G3195="","",G3195^2)</f>
        <v>1.20108190692223E-005</v>
      </c>
      <c r="I3195" s="25" t="n">
        <f aca="false">IF(G3195="","",C3195/C3194-1)</f>
        <v>-0.003459664383482</v>
      </c>
      <c r="J3195" s="17" t="n">
        <f aca="false">AVERAGE(C2996:C3195)</f>
        <v>28035.7289</v>
      </c>
      <c r="K3195" s="17" t="n">
        <f aca="false">MAX(K3194,C3195)</f>
        <v>67510.06</v>
      </c>
      <c r="L3195" s="25" t="n">
        <f aca="false">C3195/K3195-1</f>
        <v>-0.593809870706677</v>
      </c>
      <c r="M3195" s="25" t="n">
        <f aca="false">IF(COUNT(G3166:G3195)&lt;20,"",_xlfn.STDEV.S(G3166:G3195)*SQRT($R$3))</f>
        <v>0.268679857753541</v>
      </c>
      <c r="N3195" s="25" t="n">
        <f aca="false">IF(A3195-7&lt;$R$2,"",C3195/INDEX(Clean_Data!$C$2:$C$4314,MATCH(A3195-7,Clean_Data!$A$2:$A$4314,1))-1)</f>
        <v>0.046632974721881</v>
      </c>
      <c r="O3195" s="25" t="n">
        <f aca="false">IF(A3195-30&lt;$R$2,"",C3195/INDEX(Clean_Data!$C$2:$C$4314,MATCH(A3195-30,Clean_Data!$A$2:$A$4314,1))-1)</f>
        <v>0.0558002575017402</v>
      </c>
    </row>
    <row r="3196" customFormat="false" ht="15" hidden="false" customHeight="false" outlineLevel="0" collapsed="false">
      <c r="A3196" s="16" t="n">
        <v>45203</v>
      </c>
      <c r="B3196" s="23" t="n">
        <f aca="false">YEAR(A3196)</f>
        <v>2023</v>
      </c>
      <c r="C3196" s="17" t="n">
        <v>27782.29</v>
      </c>
      <c r="D3196" s="23" t="n">
        <f aca="false">A3196-A3195</f>
        <v>1</v>
      </c>
      <c r="E3196" s="24" t="n">
        <f aca="false">LN(C3196)</f>
        <v>10.2321540463162</v>
      </c>
      <c r="F3196" s="25" t="n">
        <f aca="false">LN(C3196/C3195)</f>
        <v>0.0130560737694901</v>
      </c>
      <c r="G3196" s="25" t="n">
        <f aca="false">IF(AND(D3196=1,A3196&gt;=$R$2),F3196,"")</f>
        <v>0.0130560737694901</v>
      </c>
      <c r="H3196" s="27" t="n">
        <f aca="false">IF(G3196="","",G3196^2)</f>
        <v>0.000170461062274369</v>
      </c>
      <c r="I3196" s="25" t="n">
        <f aca="false">IF(G3196="","",C3196/C3195-1)</f>
        <v>0.0131416764398702</v>
      </c>
      <c r="J3196" s="17" t="n">
        <f aca="false">AVERAGE(C2997:C3196)</f>
        <v>28039.684</v>
      </c>
      <c r="K3196" s="17" t="n">
        <f aca="false">MAX(K3195,C3196)</f>
        <v>67510.06</v>
      </c>
      <c r="L3196" s="25" t="n">
        <f aca="false">C3196/K3196-1</f>
        <v>-0.588471851454435</v>
      </c>
      <c r="M3196" s="25" t="n">
        <f aca="false">IF(COUNT(G3167:G3196)&lt;20,"",_xlfn.STDEV.S(G3167:G3196)*SQRT($R$3))</f>
        <v>0.269889060492678</v>
      </c>
      <c r="N3196" s="25" t="n">
        <f aca="false">IF(A3196-7&lt;$R$2,"",C3196/INDEX(Clean_Data!$C$2:$C$4314,MATCH(A3196-7,Clean_Data!$A$2:$A$4314,1))-1)</f>
        <v>0.0542835371522727</v>
      </c>
      <c r="O3196" s="25" t="n">
        <f aca="false">IF(A3196-30&lt;$R$2,"",C3196/INDEX(Clean_Data!$C$2:$C$4314,MATCH(A3196-30,Clean_Data!$A$2:$A$4314,1))-1)</f>
        <v>0.0762159986581337</v>
      </c>
    </row>
    <row r="3197" customFormat="false" ht="15" hidden="false" customHeight="false" outlineLevel="0" collapsed="false">
      <c r="A3197" s="16" t="n">
        <v>45204</v>
      </c>
      <c r="B3197" s="23" t="n">
        <f aca="false">YEAR(A3197)</f>
        <v>2023</v>
      </c>
      <c r="C3197" s="17" t="n">
        <v>27419.39</v>
      </c>
      <c r="D3197" s="23" t="n">
        <f aca="false">A3197-A3196</f>
        <v>1</v>
      </c>
      <c r="E3197" s="24" t="n">
        <f aca="false">LN(C3197)</f>
        <v>10.2190057063335</v>
      </c>
      <c r="F3197" s="25" t="n">
        <f aca="false">LN(C3197/C3196)</f>
        <v>-0.013148339982744</v>
      </c>
      <c r="G3197" s="25" t="n">
        <f aca="false">IF(AND(D3197=1,A3197&gt;=$R$2),F3197,"")</f>
        <v>-0.013148339982744</v>
      </c>
      <c r="H3197" s="27" t="n">
        <f aca="false">IF(G3197="","",G3197^2)</f>
        <v>0.000172878844301824</v>
      </c>
      <c r="I3197" s="25" t="n">
        <f aca="false">IF(G3197="","",C3197/C3196-1)</f>
        <v>-0.0130622781635351</v>
      </c>
      <c r="J3197" s="17" t="n">
        <f aca="false">AVERAGE(C2998:C3197)</f>
        <v>28036.5309</v>
      </c>
      <c r="K3197" s="17" t="n">
        <f aca="false">MAX(K3196,C3197)</f>
        <v>67510.06</v>
      </c>
      <c r="L3197" s="25" t="n">
        <f aca="false">C3197/K3197-1</f>
        <v>-0.593847346602862</v>
      </c>
      <c r="M3197" s="25" t="n">
        <f aca="false">IF(COUNT(G3168:G3197)&lt;20,"",_xlfn.STDEV.S(G3168:G3197)*SQRT($R$3))</f>
        <v>0.275055088752627</v>
      </c>
      <c r="N3197" s="25" t="n">
        <f aca="false">IF(A3197-7&lt;$R$2,"",C3197/INDEX(Clean_Data!$C$2:$C$4314,MATCH(A3197-7,Clean_Data!$A$2:$A$4314,1))-1)</f>
        <v>0.0141874742471284</v>
      </c>
      <c r="O3197" s="25" t="n">
        <f aca="false">IF(A3197-30&lt;$R$2,"",C3197/INDEX(Clean_Data!$C$2:$C$4314,MATCH(A3197-30,Clean_Data!$A$2:$A$4314,1))-1)</f>
        <v>0.063672825270201</v>
      </c>
    </row>
    <row r="3198" customFormat="false" ht="15" hidden="false" customHeight="false" outlineLevel="0" collapsed="false">
      <c r="A3198" s="16" t="n">
        <v>45205</v>
      </c>
      <c r="B3198" s="23" t="n">
        <f aca="false">YEAR(A3198)</f>
        <v>2023</v>
      </c>
      <c r="C3198" s="17" t="n">
        <v>27949.12</v>
      </c>
      <c r="D3198" s="23" t="n">
        <f aca="false">A3198-A3197</f>
        <v>1</v>
      </c>
      <c r="E3198" s="24" t="n">
        <f aca="false">LN(C3198)</f>
        <v>10.2381409932933</v>
      </c>
      <c r="F3198" s="25" t="n">
        <f aca="false">LN(C3198/C3197)</f>
        <v>0.0191352869598412</v>
      </c>
      <c r="G3198" s="25" t="n">
        <f aca="false">IF(AND(D3198=1,A3198&gt;=$R$2),F3198,"")</f>
        <v>0.0191352869598412</v>
      </c>
      <c r="H3198" s="27" t="n">
        <f aca="false">IF(G3198="","",G3198^2)</f>
        <v>0.00036615920703547</v>
      </c>
      <c r="I3198" s="25" t="n">
        <f aca="false">IF(G3198="","",C3198/C3197-1)</f>
        <v>0.0193195399314134</v>
      </c>
      <c r="J3198" s="17" t="n">
        <f aca="false">AVERAGE(C2999:C3198)</f>
        <v>28037.18615</v>
      </c>
      <c r="K3198" s="17" t="n">
        <f aca="false">MAX(K3197,C3198)</f>
        <v>67510.06</v>
      </c>
      <c r="L3198" s="25" t="n">
        <f aca="false">C3198/K3198-1</f>
        <v>-0.586000664197306</v>
      </c>
      <c r="M3198" s="25" t="n">
        <f aca="false">IF(COUNT(G3169:G3198)&lt;20,"",_xlfn.STDEV.S(G3169:G3198)*SQRT($R$3))</f>
        <v>0.281109864168367</v>
      </c>
      <c r="N3198" s="25" t="n">
        <f aca="false">IF(A3198-7&lt;$R$2,"",C3198/INDEX(Clean_Data!$C$2:$C$4314,MATCH(A3198-7,Clean_Data!$A$2:$A$4314,1))-1)</f>
        <v>0.0389891562547629</v>
      </c>
      <c r="O3198" s="25" t="n">
        <f aca="false">IF(A3198-30&lt;$R$2,"",C3198/INDEX(Clean_Data!$C$2:$C$4314,MATCH(A3198-30,Clean_Data!$A$2:$A$4314,1))-1)</f>
        <v>0.0854828123240161</v>
      </c>
    </row>
    <row r="3199" customFormat="false" ht="15" hidden="false" customHeight="false" outlineLevel="0" collapsed="false">
      <c r="A3199" s="16" t="n">
        <v>45206</v>
      </c>
      <c r="B3199" s="23" t="n">
        <f aca="false">YEAR(A3199)</f>
        <v>2023</v>
      </c>
      <c r="C3199" s="17" t="n">
        <v>27974.08</v>
      </c>
      <c r="D3199" s="23" t="n">
        <f aca="false">A3199-A3198</f>
        <v>1</v>
      </c>
      <c r="E3199" s="24" t="n">
        <f aca="false">LN(C3199)</f>
        <v>10.2390336461335</v>
      </c>
      <c r="F3199" s="25" t="n">
        <f aca="false">LN(C3199/C3198)</f>
        <v>0.000892652840231044</v>
      </c>
      <c r="G3199" s="25" t="n">
        <f aca="false">IF(AND(D3199=1,A3199&gt;=$R$2),F3199,"")</f>
        <v>0.000892652840231044</v>
      </c>
      <c r="H3199" s="27" t="n">
        <f aca="false">IF(G3199="","",G3199^2)</f>
        <v>7.96829093172549E-007</v>
      </c>
      <c r="I3199" s="25" t="n">
        <f aca="false">IF(G3199="","",C3199/C3198-1)</f>
        <v>0.000893051373352716</v>
      </c>
      <c r="J3199" s="17" t="n">
        <f aca="false">AVERAGE(C3000:C3199)</f>
        <v>28036.07875</v>
      </c>
      <c r="K3199" s="17" t="n">
        <f aca="false">MAX(K3198,C3199)</f>
        <v>67510.06</v>
      </c>
      <c r="L3199" s="25" t="n">
        <f aca="false">C3199/K3199-1</f>
        <v>-0.585630941521901</v>
      </c>
      <c r="M3199" s="25" t="n">
        <f aca="false">IF(COUNT(G3170:G3199)&lt;20,"",_xlfn.STDEV.S(G3170:G3199)*SQRT($R$3))</f>
        <v>0.274181311635382</v>
      </c>
      <c r="N3199" s="25" t="n">
        <f aca="false">IF(A3199-7&lt;$R$2,"",C3199/INDEX(Clean_Data!$C$2:$C$4314,MATCH(A3199-7,Clean_Data!$A$2:$A$4314,1))-1)</f>
        <v>0.0376373361424958</v>
      </c>
      <c r="O3199" s="25" t="n">
        <f aca="false">IF(A3199-30&lt;$R$2,"",C3199/INDEX(Clean_Data!$C$2:$C$4314,MATCH(A3199-30,Clean_Data!$A$2:$A$4314,1))-1)</f>
        <v>0.0649749346717752</v>
      </c>
    </row>
    <row r="3200" customFormat="false" ht="15" hidden="false" customHeight="false" outlineLevel="0" collapsed="false">
      <c r="A3200" s="16" t="n">
        <v>45207</v>
      </c>
      <c r="B3200" s="23" t="n">
        <f aca="false">YEAR(A3200)</f>
        <v>2023</v>
      </c>
      <c r="C3200" s="17" t="n">
        <v>27937.62</v>
      </c>
      <c r="D3200" s="23" t="n">
        <f aca="false">A3200-A3199</f>
        <v>1</v>
      </c>
      <c r="E3200" s="24" t="n">
        <f aca="false">LN(C3200)</f>
        <v>10.2377294466487</v>
      </c>
      <c r="F3200" s="25" t="n">
        <f aca="false">LN(C3200/C3199)</f>
        <v>-0.00130419948483099</v>
      </c>
      <c r="G3200" s="25" t="n">
        <f aca="false">IF(AND(D3200=1,A3200&gt;=$R$2),F3200,"")</f>
        <v>-0.00130419948483099</v>
      </c>
      <c r="H3200" s="27" t="n">
        <f aca="false">IF(G3200="","",G3200^2)</f>
        <v>1.70093629623343E-006</v>
      </c>
      <c r="I3200" s="25" t="n">
        <f aca="false">IF(G3200="","",C3200/C3199-1)</f>
        <v>-0.00130334938628907</v>
      </c>
      <c r="J3200" s="17" t="n">
        <f aca="false">AVERAGE(C3001:C3200)</f>
        <v>28039.1464</v>
      </c>
      <c r="K3200" s="17" t="n">
        <f aca="false">MAX(K3199,C3200)</f>
        <v>67510.06</v>
      </c>
      <c r="L3200" s="25" t="n">
        <f aca="false">C3200/K3200-1</f>
        <v>-0.586171009179965</v>
      </c>
      <c r="M3200" s="25" t="n">
        <f aca="false">IF(COUNT(G3171:G3200)&lt;20,"",_xlfn.STDEV.S(G3171:G3200)*SQRT($R$3))</f>
        <v>0.268436766834255</v>
      </c>
      <c r="N3200" s="25" t="n">
        <f aca="false">IF(A3200-7&lt;$R$2,"",C3200/INDEX(Clean_Data!$C$2:$C$4314,MATCH(A3200-7,Clean_Data!$A$2:$A$4314,1))-1)</f>
        <v>-0.00204573048867129</v>
      </c>
      <c r="O3200" s="25" t="n">
        <f aca="false">IF(A3200-30&lt;$R$2,"",C3200/INDEX(Clean_Data!$C$2:$C$4314,MATCH(A3200-30,Clean_Data!$A$2:$A$4314,1))-1)</f>
        <v>0.0784081894979416</v>
      </c>
    </row>
    <row r="3201" customFormat="false" ht="15" hidden="false" customHeight="false" outlineLevel="0" collapsed="false">
      <c r="A3201" s="16" t="n">
        <v>45208</v>
      </c>
      <c r="B3201" s="23" t="n">
        <f aca="false">YEAR(A3201)</f>
        <v>2023</v>
      </c>
      <c r="C3201" s="17" t="n">
        <v>27587.43</v>
      </c>
      <c r="D3201" s="23" t="n">
        <f aca="false">A3201-A3200</f>
        <v>1</v>
      </c>
      <c r="E3201" s="24" t="n">
        <f aca="false">LN(C3201)</f>
        <v>10.2251155131807</v>
      </c>
      <c r="F3201" s="25" t="n">
        <f aca="false">LN(C3201/C3200)</f>
        <v>-0.0126139334680008</v>
      </c>
      <c r="G3201" s="25" t="n">
        <f aca="false">IF(AND(D3201=1,A3201&gt;=$R$2),F3201,"")</f>
        <v>-0.0126139334680008</v>
      </c>
      <c r="H3201" s="27" t="n">
        <f aca="false">IF(G3201="","",G3201^2)</f>
        <v>0.000159111317535151</v>
      </c>
      <c r="I3201" s="25" t="n">
        <f aca="false">IF(G3201="","",C3201/C3200-1)</f>
        <v>-0.0125347112603006</v>
      </c>
      <c r="J3201" s="17" t="n">
        <f aca="false">AVERAGE(C3002:C3201)</f>
        <v>28035.277</v>
      </c>
      <c r="K3201" s="17" t="n">
        <f aca="false">MAX(K3200,C3201)</f>
        <v>67510.06</v>
      </c>
      <c r="L3201" s="25" t="n">
        <f aca="false">C3201/K3201-1</f>
        <v>-0.591358236091036</v>
      </c>
      <c r="M3201" s="25" t="n">
        <f aca="false">IF(COUNT(G3172:G3201)&lt;20,"",_xlfn.STDEV.S(G3172:G3201)*SQRT($R$3))</f>
        <v>0.273451778664656</v>
      </c>
      <c r="N3201" s="25" t="n">
        <f aca="false">IF(A3201-7&lt;$R$2,"",C3201/INDEX(Clean_Data!$C$2:$C$4314,MATCH(A3201-7,Clean_Data!$A$2:$A$4314,1))-1)</f>
        <v>0.00255513658406126</v>
      </c>
      <c r="O3201" s="25" t="n">
        <f aca="false">IF(A3201-30&lt;$R$2,"",C3201/INDEX(Clean_Data!$C$2:$C$4314,MATCH(A3201-30,Clean_Data!$A$2:$A$4314,1))-1)</f>
        <v>0.0652142519560994</v>
      </c>
    </row>
    <row r="3202" customFormat="false" ht="15" hidden="false" customHeight="false" outlineLevel="0" collapsed="false">
      <c r="A3202" s="16" t="n">
        <v>45209</v>
      </c>
      <c r="B3202" s="23" t="n">
        <f aca="false">YEAR(A3202)</f>
        <v>2023</v>
      </c>
      <c r="C3202" s="17" t="n">
        <v>27391.73</v>
      </c>
      <c r="D3202" s="23" t="n">
        <f aca="false">A3202-A3201</f>
        <v>1</v>
      </c>
      <c r="E3202" s="24" t="n">
        <f aca="false">LN(C3202)</f>
        <v>10.2179964220004</v>
      </c>
      <c r="F3202" s="25" t="n">
        <f aca="false">LN(C3202/C3201)</f>
        <v>-0.00711909118034662</v>
      </c>
      <c r="G3202" s="25" t="n">
        <f aca="false">IF(AND(D3202=1,A3202&gt;=$R$2),F3202,"")</f>
        <v>-0.00711909118034662</v>
      </c>
      <c r="H3202" s="27" t="n">
        <f aca="false">IF(G3202="","",G3202^2)</f>
        <v>5.0681459234089E-005</v>
      </c>
      <c r="I3202" s="25" t="n">
        <f aca="false">IF(G3202="","",C3202/C3201-1)</f>
        <v>-0.00709381047817792</v>
      </c>
      <c r="J3202" s="17" t="n">
        <f aca="false">AVERAGE(C3003:C3202)</f>
        <v>28034.791</v>
      </c>
      <c r="K3202" s="17" t="n">
        <f aca="false">MAX(K3201,C3202)</f>
        <v>67510.06</v>
      </c>
      <c r="L3202" s="25" t="n">
        <f aca="false">C3202/K3202-1</f>
        <v>-0.594257063317675</v>
      </c>
      <c r="M3202" s="25" t="n">
        <f aca="false">IF(COUNT(G3173:G3202)&lt;20,"",_xlfn.STDEV.S(G3173:G3202)*SQRT($R$3))</f>
        <v>0.274913682123971</v>
      </c>
      <c r="N3202" s="25" t="n">
        <f aca="false">IF(A3202-7&lt;$R$2,"",C3202/INDEX(Clean_Data!$C$2:$C$4314,MATCH(A3202-7,Clean_Data!$A$2:$A$4314,1))-1)</f>
        <v>-0.00110094406226835</v>
      </c>
      <c r="O3202" s="25" t="n">
        <f aca="false">IF(A3202-30&lt;$R$2,"",C3202/INDEX(Clean_Data!$C$2:$C$4314,MATCH(A3202-30,Clean_Data!$A$2:$A$4314,1))-1)</f>
        <v>0.0602430857279546</v>
      </c>
    </row>
    <row r="3203" customFormat="false" ht="15" hidden="false" customHeight="false" outlineLevel="0" collapsed="false">
      <c r="A3203" s="16" t="n">
        <v>45210</v>
      </c>
      <c r="B3203" s="23" t="n">
        <f aca="false">YEAR(A3203)</f>
        <v>2023</v>
      </c>
      <c r="C3203" s="17" t="n">
        <v>26851.85</v>
      </c>
      <c r="D3203" s="23" t="n">
        <f aca="false">A3203-A3202</f>
        <v>1</v>
      </c>
      <c r="E3203" s="24" t="n">
        <f aca="false">LN(C3203)</f>
        <v>10.198089998867</v>
      </c>
      <c r="F3203" s="25" t="n">
        <f aca="false">LN(C3203/C3202)</f>
        <v>-0.0199064231334027</v>
      </c>
      <c r="G3203" s="25" t="n">
        <f aca="false">IF(AND(D3203=1,A3203&gt;=$R$2),F3203,"")</f>
        <v>-0.0199064231334027</v>
      </c>
      <c r="H3203" s="27" t="n">
        <f aca="false">IF(G3203="","",G3203^2)</f>
        <v>0.00039626568196607</v>
      </c>
      <c r="I3203" s="25" t="n">
        <f aca="false">IF(G3203="","",C3203/C3202-1)</f>
        <v>-0.0197095984810014</v>
      </c>
      <c r="J3203" s="17" t="n">
        <f aca="false">AVERAGE(C3004:C3203)</f>
        <v>28031.623</v>
      </c>
      <c r="K3203" s="17" t="n">
        <f aca="false">MAX(K3202,C3203)</f>
        <v>67510.06</v>
      </c>
      <c r="L3203" s="25" t="n">
        <f aca="false">C3203/K3203-1</f>
        <v>-0.602254093686185</v>
      </c>
      <c r="M3203" s="25" t="n">
        <f aca="false">IF(COUNT(G3174:G3203)&lt;20,"",_xlfn.STDEV.S(G3174:G3203)*SQRT($R$3))</f>
        <v>0.26728559940812</v>
      </c>
      <c r="N3203" s="25" t="n">
        <f aca="false">IF(A3203-7&lt;$R$2,"",C3203/INDEX(Clean_Data!$C$2:$C$4314,MATCH(A3203-7,Clean_Data!$A$2:$A$4314,1))-1)</f>
        <v>-0.0334903998194535</v>
      </c>
      <c r="O3203" s="25" t="n">
        <f aca="false">IF(A3203-30&lt;$R$2,"",C3203/INDEX(Clean_Data!$C$2:$C$4314,MATCH(A3203-30,Clean_Data!$A$2:$A$4314,1))-1)</f>
        <v>0.0671723827661745</v>
      </c>
    </row>
    <row r="3204" customFormat="false" ht="15" hidden="false" customHeight="false" outlineLevel="0" collapsed="false">
      <c r="A3204" s="16" t="n">
        <v>45211</v>
      </c>
      <c r="B3204" s="23" t="n">
        <f aca="false">YEAR(A3204)</f>
        <v>2023</v>
      </c>
      <c r="C3204" s="17" t="n">
        <v>26745.5</v>
      </c>
      <c r="D3204" s="23" t="n">
        <f aca="false">A3204-A3203</f>
        <v>1</v>
      </c>
      <c r="E3204" s="24" t="n">
        <f aca="false">LN(C3204)</f>
        <v>10.1941215138738</v>
      </c>
      <c r="F3204" s="25" t="n">
        <f aca="false">LN(C3204/C3203)</f>
        <v>-0.00396848499317035</v>
      </c>
      <c r="G3204" s="25" t="n">
        <f aca="false">IF(AND(D3204=1,A3204&gt;=$R$2),F3204,"")</f>
        <v>-0.00396848499317035</v>
      </c>
      <c r="H3204" s="27" t="n">
        <f aca="false">IF(G3204="","",G3204^2)</f>
        <v>1.57488731410183E-005</v>
      </c>
      <c r="I3204" s="25" t="n">
        <f aca="false">IF(G3204="","",C3204/C3203-1)</f>
        <v>-0.00396062096280136</v>
      </c>
      <c r="J3204" s="17" t="n">
        <f aca="false">AVERAGE(C3005:C3204)</f>
        <v>28025.4148</v>
      </c>
      <c r="K3204" s="17" t="n">
        <f aca="false">MAX(K3203,C3204)</f>
        <v>67510.06</v>
      </c>
      <c r="L3204" s="25" t="n">
        <f aca="false">C3204/K3204-1</f>
        <v>-0.603829414460601</v>
      </c>
      <c r="M3204" s="25" t="n">
        <f aca="false">IF(COUNT(G3175:G3204)&lt;20,"",_xlfn.STDEV.S(G3175:G3204)*SQRT($R$3))</f>
        <v>0.252387582729847</v>
      </c>
      <c r="N3204" s="25" t="n">
        <f aca="false">IF(A3204-7&lt;$R$2,"",C3204/INDEX(Clean_Data!$C$2:$C$4314,MATCH(A3204-7,Clean_Data!$A$2:$A$4314,1))-1)</f>
        <v>-0.0245771331893233</v>
      </c>
      <c r="O3204" s="25" t="n">
        <f aca="false">IF(A3204-30&lt;$R$2,"",C3204/INDEX(Clean_Data!$C$2:$C$4314,MATCH(A3204-30,Clean_Data!$A$2:$A$4314,1))-1)</f>
        <v>0.034547716340017</v>
      </c>
    </row>
    <row r="3205" customFormat="false" ht="15" hidden="false" customHeight="false" outlineLevel="0" collapsed="false">
      <c r="A3205" s="16" t="n">
        <v>45212</v>
      </c>
      <c r="B3205" s="23" t="n">
        <f aca="false">YEAR(A3205)</f>
        <v>2023</v>
      </c>
      <c r="C3205" s="17" t="n">
        <v>26859.1</v>
      </c>
      <c r="D3205" s="23" t="n">
        <f aca="false">A3205-A3204</f>
        <v>1</v>
      </c>
      <c r="E3205" s="24" t="n">
        <f aca="false">LN(C3205)</f>
        <v>10.1983599624421</v>
      </c>
      <c r="F3205" s="25" t="n">
        <f aca="false">LN(C3205/C3204)</f>
        <v>0.00423844856834572</v>
      </c>
      <c r="G3205" s="25" t="n">
        <f aca="false">IF(AND(D3205=1,A3205&gt;=$R$2),F3205,"")</f>
        <v>0.00423844856834572</v>
      </c>
      <c r="H3205" s="27" t="n">
        <f aca="false">IF(G3205="","",G3205^2)</f>
        <v>1.79644462665119E-005</v>
      </c>
      <c r="I3205" s="25" t="n">
        <f aca="false">IF(G3205="","",C3205/C3204-1)</f>
        <v>0.00424744349516737</v>
      </c>
      <c r="J3205" s="17" t="n">
        <f aca="false">AVERAGE(C3006:C3205)</f>
        <v>28024.0121</v>
      </c>
      <c r="K3205" s="17" t="n">
        <f aca="false">MAX(K3204,C3205)</f>
        <v>67510.06</v>
      </c>
      <c r="L3205" s="25" t="n">
        <f aca="false">C3205/K3205-1</f>
        <v>-0.602146702284074</v>
      </c>
      <c r="M3205" s="25" t="n">
        <f aca="false">IF(COUNT(G3176:G3205)&lt;20,"",_xlfn.STDEV.S(G3176:G3205)*SQRT($R$3))</f>
        <v>0.248406682676962</v>
      </c>
      <c r="N3205" s="25" t="n">
        <f aca="false">IF(A3205-7&lt;$R$2,"",C3205/INDEX(Clean_Data!$C$2:$C$4314,MATCH(A3205-7,Clean_Data!$A$2:$A$4314,1))-1)</f>
        <v>-0.0390001545665839</v>
      </c>
      <c r="O3205" s="25" t="n">
        <f aca="false">IF(A3205-30&lt;$R$2,"",C3205/INDEX(Clean_Data!$C$2:$C$4314,MATCH(A3205-30,Clean_Data!$A$2:$A$4314,1))-1)</f>
        <v>0.0245257404506309</v>
      </c>
    </row>
    <row r="3206" customFormat="false" ht="15" hidden="false" customHeight="false" outlineLevel="0" collapsed="false">
      <c r="A3206" s="16" t="n">
        <v>45213</v>
      </c>
      <c r="B3206" s="23" t="n">
        <f aca="false">YEAR(A3206)</f>
        <v>2023</v>
      </c>
      <c r="C3206" s="17" t="n">
        <v>26857.29</v>
      </c>
      <c r="D3206" s="23" t="n">
        <f aca="false">A3206-A3205</f>
        <v>1</v>
      </c>
      <c r="E3206" s="24" t="n">
        <f aca="false">LN(C3206)</f>
        <v>10.1982925714652</v>
      </c>
      <c r="F3206" s="25" t="n">
        <f aca="false">LN(C3206/C3205)</f>
        <v>-6.73909769693296E-005</v>
      </c>
      <c r="G3206" s="25" t="n">
        <f aca="false">IF(AND(D3206=1,A3206&gt;=$R$2),F3206,"")</f>
        <v>-6.73909769693296E-005</v>
      </c>
      <c r="H3206" s="27" t="n">
        <f aca="false">IF(G3206="","",G3206^2)</f>
        <v>4.54154377688072E-009</v>
      </c>
      <c r="I3206" s="25" t="n">
        <f aca="false">IF(G3206="","",C3206/C3205-1)</f>
        <v>-6.73887062484502E-005</v>
      </c>
      <c r="J3206" s="17" t="n">
        <f aca="false">AVERAGE(C3007:C3206)</f>
        <v>28021.93295</v>
      </c>
      <c r="K3206" s="17" t="n">
        <f aca="false">MAX(K3205,C3206)</f>
        <v>67510.06</v>
      </c>
      <c r="L3206" s="25" t="n">
        <f aca="false">C3206/K3206-1</f>
        <v>-0.602173513103084</v>
      </c>
      <c r="M3206" s="25" t="n">
        <f aca="false">IF(COUNT(G3177:G3206)&lt;20,"",_xlfn.STDEV.S(G3177:G3206)*SQRT($R$3))</f>
        <v>0.245136967768274</v>
      </c>
      <c r="N3206" s="25" t="n">
        <f aca="false">IF(A3206-7&lt;$R$2,"",C3206/INDEX(Clean_Data!$C$2:$C$4314,MATCH(A3206-7,Clean_Data!$A$2:$A$4314,1))-1)</f>
        <v>-0.0399223137990598</v>
      </c>
      <c r="O3206" s="25" t="n">
        <f aca="false">IF(A3206-30&lt;$R$2,"",C3206/INDEX(Clean_Data!$C$2:$C$4314,MATCH(A3206-30,Clean_Data!$A$2:$A$4314,1))-1)</f>
        <v>0.0122866153235555</v>
      </c>
    </row>
    <row r="3207" customFormat="false" ht="15" hidden="false" customHeight="false" outlineLevel="0" collapsed="false">
      <c r="A3207" s="16" t="n">
        <v>45214</v>
      </c>
      <c r="B3207" s="23" t="n">
        <f aca="false">YEAR(A3207)</f>
        <v>2023</v>
      </c>
      <c r="C3207" s="17" t="n">
        <v>27155.34</v>
      </c>
      <c r="D3207" s="23" t="n">
        <f aca="false">A3207-A3206</f>
        <v>1</v>
      </c>
      <c r="E3207" s="24" t="n">
        <f aca="false">LN(C3207)</f>
        <v>10.209328991105</v>
      </c>
      <c r="F3207" s="25" t="n">
        <f aca="false">LN(C3207/C3206)</f>
        <v>0.0110364196398102</v>
      </c>
      <c r="G3207" s="25" t="n">
        <f aca="false">IF(AND(D3207=1,A3207&gt;=$R$2),F3207,"")</f>
        <v>0.0110364196398102</v>
      </c>
      <c r="H3207" s="27" t="n">
        <f aca="false">IF(G3207="","",G3207^2)</f>
        <v>0.000121802558465989</v>
      </c>
      <c r="I3207" s="25" t="n">
        <f aca="false">IF(G3207="","",C3207/C3206-1)</f>
        <v>0.0110975455825959</v>
      </c>
      <c r="J3207" s="17" t="n">
        <f aca="false">AVERAGE(C3008:C3207)</f>
        <v>28015.8763</v>
      </c>
      <c r="K3207" s="17" t="n">
        <f aca="false">MAX(K3206,C3207)</f>
        <v>67510.06</v>
      </c>
      <c r="L3207" s="25" t="n">
        <f aca="false">C3207/K3207-1</f>
        <v>-0.597758615530782</v>
      </c>
      <c r="M3207" s="25" t="n">
        <f aca="false">IF(COUNT(G3178:G3207)&lt;20,"",_xlfn.STDEV.S(G3178:G3207)*SQRT($R$3))</f>
        <v>0.247752251303502</v>
      </c>
      <c r="N3207" s="25" t="n">
        <f aca="false">IF(A3207-7&lt;$R$2,"",C3207/INDEX(Clean_Data!$C$2:$C$4314,MATCH(A3207-7,Clean_Data!$A$2:$A$4314,1))-1)</f>
        <v>-0.0280009535529512</v>
      </c>
      <c r="O3207" s="25" t="n">
        <f aca="false">IF(A3207-30&lt;$R$2,"",C3207/INDEX(Clean_Data!$C$2:$C$4314,MATCH(A3207-30,Clean_Data!$A$2:$A$4314,1))-1)</f>
        <v>0.0201096768522338</v>
      </c>
    </row>
    <row r="3208" customFormat="false" ht="15" hidden="false" customHeight="false" outlineLevel="0" collapsed="false">
      <c r="A3208" s="16" t="n">
        <v>45215</v>
      </c>
      <c r="B3208" s="23" t="n">
        <f aca="false">YEAR(A3208)</f>
        <v>2023</v>
      </c>
      <c r="C3208" s="17" t="n">
        <v>28534.29</v>
      </c>
      <c r="D3208" s="23" t="n">
        <f aca="false">A3208-A3207</f>
        <v>1</v>
      </c>
      <c r="E3208" s="24" t="n">
        <f aca="false">LN(C3208)</f>
        <v>10.2588618009371</v>
      </c>
      <c r="F3208" s="25" t="n">
        <f aca="false">LN(C3208/C3207)</f>
        <v>0.0495328098320755</v>
      </c>
      <c r="G3208" s="25" t="n">
        <f aca="false">IF(AND(D3208=1,A3208&gt;=$R$2),F3208,"")</f>
        <v>0.0495328098320755</v>
      </c>
      <c r="H3208" s="27" t="n">
        <f aca="false">IF(G3208="","",G3208^2)</f>
        <v>0.00245349924986055</v>
      </c>
      <c r="I3208" s="25" t="n">
        <f aca="false">IF(G3208="","",C3208/C3207-1)</f>
        <v>0.0507800675668211</v>
      </c>
      <c r="J3208" s="17" t="n">
        <f aca="false">AVERAGE(C3009:C3208)</f>
        <v>28018.36335</v>
      </c>
      <c r="K3208" s="17" t="n">
        <f aca="false">MAX(K3207,C3208)</f>
        <v>67510.06</v>
      </c>
      <c r="L3208" s="25" t="n">
        <f aca="false">C3208/K3208-1</f>
        <v>-0.577332770849263</v>
      </c>
      <c r="M3208" s="25" t="n">
        <f aca="false">IF(COUNT(G3179:G3208)&lt;20,"",_xlfn.STDEV.S(G3179:G3208)*SQRT($R$3))</f>
        <v>0.3004138095466</v>
      </c>
      <c r="N3208" s="25" t="n">
        <f aca="false">IF(A3208-7&lt;$R$2,"",C3208/INDEX(Clean_Data!$C$2:$C$4314,MATCH(A3208-7,Clean_Data!$A$2:$A$4314,1))-1)</f>
        <v>0.0343221532415308</v>
      </c>
      <c r="O3208" s="25" t="n">
        <f aca="false">IF(A3208-30&lt;$R$2,"",C3208/INDEX(Clean_Data!$C$2:$C$4314,MATCH(A3208-30,Clean_Data!$A$2:$A$4314,1))-1)</f>
        <v>0.0739341216197145</v>
      </c>
    </row>
    <row r="3209" customFormat="false" ht="15" hidden="false" customHeight="false" outlineLevel="0" collapsed="false">
      <c r="A3209" s="16" t="n">
        <v>45216</v>
      </c>
      <c r="B3209" s="23" t="n">
        <f aca="false">YEAR(A3209)</f>
        <v>2023</v>
      </c>
      <c r="C3209" s="17" t="n">
        <v>28408.19</v>
      </c>
      <c r="D3209" s="23" t="n">
        <f aca="false">A3209-A3208</f>
        <v>1</v>
      </c>
      <c r="E3209" s="24" t="n">
        <f aca="false">LN(C3209)</f>
        <v>10.2544327628574</v>
      </c>
      <c r="F3209" s="25" t="n">
        <f aca="false">LN(C3209/C3208)</f>
        <v>-0.00442903807966831</v>
      </c>
      <c r="G3209" s="25" t="n">
        <f aca="false">IF(AND(D3209=1,A3209&gt;=$R$2),F3209,"")</f>
        <v>-0.00442903807966831</v>
      </c>
      <c r="H3209" s="27" t="n">
        <f aca="false">IF(G3209="","",G3209^2)</f>
        <v>1.9616378311152E-005</v>
      </c>
      <c r="I3209" s="25" t="n">
        <f aca="false">IF(G3209="","",C3209/C3208-1)</f>
        <v>-0.00441924435477459</v>
      </c>
      <c r="J3209" s="17" t="n">
        <f aca="false">AVERAGE(C3010:C3209)</f>
        <v>28017.9407</v>
      </c>
      <c r="K3209" s="17" t="n">
        <f aca="false">MAX(K3208,C3209)</f>
        <v>67510.06</v>
      </c>
      <c r="L3209" s="25" t="n">
        <f aca="false">C3209/K3209-1</f>
        <v>-0.579200640615636</v>
      </c>
      <c r="M3209" s="25" t="n">
        <f aca="false">IF(COUNT(G3180:G3209)&lt;20,"",_xlfn.STDEV.S(G3180:G3209)*SQRT($R$3))</f>
        <v>0.301083467472198</v>
      </c>
      <c r="N3209" s="25" t="n">
        <f aca="false">IF(A3209-7&lt;$R$2,"",C3209/INDEX(Clean_Data!$C$2:$C$4314,MATCH(A3209-7,Clean_Data!$A$2:$A$4314,1))-1)</f>
        <v>0.0371082804919587</v>
      </c>
      <c r="O3209" s="25" t="n">
        <f aca="false">IF(A3209-30&lt;$R$2,"",C3209/INDEX(Clean_Data!$C$2:$C$4314,MATCH(A3209-30,Clean_Data!$A$2:$A$4314,1))-1)</f>
        <v>0.0706496668375192</v>
      </c>
    </row>
    <row r="3210" customFormat="false" ht="15" hidden="false" customHeight="false" outlineLevel="0" collapsed="false">
      <c r="A3210" s="16" t="n">
        <v>45217</v>
      </c>
      <c r="B3210" s="23" t="n">
        <f aca="false">YEAR(A3210)</f>
        <v>2023</v>
      </c>
      <c r="C3210" s="17" t="n">
        <v>28309.35</v>
      </c>
      <c r="D3210" s="23" t="n">
        <f aca="false">A3210-A3209</f>
        <v>1</v>
      </c>
      <c r="E3210" s="24" t="n">
        <f aca="false">LN(C3210)</f>
        <v>10.2509474177576</v>
      </c>
      <c r="F3210" s="25" t="n">
        <f aca="false">LN(C3210/C3209)</f>
        <v>-0.00348534509980384</v>
      </c>
      <c r="G3210" s="25" t="n">
        <f aca="false">IF(AND(D3210=1,A3210&gt;=$R$2),F3210,"")</f>
        <v>-0.00348534509980384</v>
      </c>
      <c r="H3210" s="27" t="n">
        <f aca="false">IF(G3210="","",G3210^2)</f>
        <v>1.21476304647266E-005</v>
      </c>
      <c r="I3210" s="25" t="n">
        <f aca="false">IF(G3210="","",C3210/C3209-1)</f>
        <v>-0.0034792783348746</v>
      </c>
      <c r="J3210" s="17" t="n">
        <f aca="false">AVERAGE(C3011:C3210)</f>
        <v>28017.12835</v>
      </c>
      <c r="K3210" s="17" t="n">
        <f aca="false">MAX(K3209,C3210)</f>
        <v>67510.06</v>
      </c>
      <c r="L3210" s="25" t="n">
        <f aca="false">C3210/K3210-1</f>
        <v>-0.580664718710071</v>
      </c>
      <c r="M3210" s="25" t="n">
        <f aca="false">IF(COUNT(G3181:G3210)&lt;20,"",_xlfn.STDEV.S(G3181:G3210)*SQRT($R$3))</f>
        <v>0.300788421319797</v>
      </c>
      <c r="N3210" s="25" t="n">
        <f aca="false">IF(A3210-7&lt;$R$2,"",C3210/INDEX(Clean_Data!$C$2:$C$4314,MATCH(A3210-7,Clean_Data!$A$2:$A$4314,1))-1)</f>
        <v>0.0542793140882285</v>
      </c>
      <c r="O3210" s="25" t="n">
        <f aca="false">IF(A3210-30&lt;$R$2,"",C3210/INDEX(Clean_Data!$C$2:$C$4314,MATCH(A3210-30,Clean_Data!$A$2:$A$4314,1))-1)</f>
        <v>0.0575999886429608</v>
      </c>
    </row>
    <row r="3211" customFormat="false" ht="15" hidden="false" customHeight="false" outlineLevel="0" collapsed="false">
      <c r="A3211" s="16" t="n">
        <v>45218</v>
      </c>
      <c r="B3211" s="23" t="n">
        <f aca="false">YEAR(A3211)</f>
        <v>2023</v>
      </c>
      <c r="C3211" s="17" t="n">
        <v>28734.51</v>
      </c>
      <c r="D3211" s="23" t="n">
        <f aca="false">A3211-A3210</f>
        <v>1</v>
      </c>
      <c r="E3211" s="24" t="n">
        <f aca="false">LN(C3211)</f>
        <v>10.2658541184213</v>
      </c>
      <c r="F3211" s="25" t="n">
        <f aca="false">LN(C3211/C3210)</f>
        <v>0.0149067006637134</v>
      </c>
      <c r="G3211" s="25" t="n">
        <f aca="false">IF(AND(D3211=1,A3211&gt;=$R$2),F3211,"")</f>
        <v>0.0149067006637134</v>
      </c>
      <c r="H3211" s="27" t="n">
        <f aca="false">IF(G3211="","",G3211^2)</f>
        <v>0.000222209724677554</v>
      </c>
      <c r="I3211" s="25" t="n">
        <f aca="false">IF(G3211="","",C3211/C3210-1)</f>
        <v>0.015018359658558</v>
      </c>
      <c r="J3211" s="17" t="n">
        <f aca="false">AVERAGE(C3012:C3211)</f>
        <v>28019.90485</v>
      </c>
      <c r="K3211" s="17" t="n">
        <f aca="false">MAX(K3210,C3211)</f>
        <v>67510.06</v>
      </c>
      <c r="L3211" s="25" t="n">
        <f aca="false">C3211/K3211-1</f>
        <v>-0.574366990638136</v>
      </c>
      <c r="M3211" s="25" t="n">
        <f aca="false">IF(COUNT(G3182:G3211)&lt;20,"",_xlfn.STDEV.S(G3182:G3211)*SQRT($R$3))</f>
        <v>0.300163529212213</v>
      </c>
      <c r="N3211" s="25" t="n">
        <f aca="false">IF(A3211-7&lt;$R$2,"",C3211/INDEX(Clean_Data!$C$2:$C$4314,MATCH(A3211-7,Clean_Data!$A$2:$A$4314,1))-1)</f>
        <v>0.0743680245274905</v>
      </c>
      <c r="O3211" s="25" t="n">
        <f aca="false">IF(A3211-30&lt;$R$2,"",C3211/INDEX(Clean_Data!$C$2:$C$4314,MATCH(A3211-30,Clean_Data!$A$2:$A$4314,1))-1)</f>
        <v>0.0564410546575562</v>
      </c>
    </row>
    <row r="3212" customFormat="false" ht="15" hidden="false" customHeight="false" outlineLevel="0" collapsed="false">
      <c r="A3212" s="16" t="n">
        <v>45219</v>
      </c>
      <c r="B3212" s="23" t="n">
        <f aca="false">YEAR(A3212)</f>
        <v>2023</v>
      </c>
      <c r="C3212" s="17" t="n">
        <v>29686.66</v>
      </c>
      <c r="D3212" s="23" t="n">
        <f aca="false">A3212-A3211</f>
        <v>1</v>
      </c>
      <c r="E3212" s="24" t="n">
        <f aca="false">LN(C3212)</f>
        <v>10.2984530656399</v>
      </c>
      <c r="F3212" s="25" t="n">
        <f aca="false">LN(C3212/C3211)</f>
        <v>0.0325989472185551</v>
      </c>
      <c r="G3212" s="25" t="n">
        <f aca="false">IF(AND(D3212=1,A3212&gt;=$R$2),F3212,"")</f>
        <v>0.0325989472185551</v>
      </c>
      <c r="H3212" s="27" t="n">
        <f aca="false">IF(G3212="","",G3212^2)</f>
        <v>0.00106269135975814</v>
      </c>
      <c r="I3212" s="25" t="n">
        <f aca="false">IF(G3212="","",C3212/C3211-1)</f>
        <v>0.0331361140315252</v>
      </c>
      <c r="J3212" s="17" t="n">
        <f aca="false">AVERAGE(C3013:C3212)</f>
        <v>28029.2991</v>
      </c>
      <c r="K3212" s="17" t="n">
        <f aca="false">MAX(K3211,C3212)</f>
        <v>67510.06</v>
      </c>
      <c r="L3212" s="25" t="n">
        <f aca="false">C3212/K3212-1</f>
        <v>-0.56026316670434</v>
      </c>
      <c r="M3212" s="25" t="n">
        <f aca="false">IF(COUNT(G3183:G3212)&lt;20,"",_xlfn.STDEV.S(G3183:G3212)*SQRT($R$3))</f>
        <v>0.318114640042261</v>
      </c>
      <c r="N3212" s="25" t="n">
        <f aca="false">IF(A3212-7&lt;$R$2,"",C3212/INDEX(Clean_Data!$C$2:$C$4314,MATCH(A3212-7,Clean_Data!$A$2:$A$4314,1))-1)</f>
        <v>0.105273817812213</v>
      </c>
      <c r="O3212" s="25" t="n">
        <f aca="false">IF(A3212-30&lt;$R$2,"",C3212/INDEX(Clean_Data!$C$2:$C$4314,MATCH(A3212-30,Clean_Data!$A$2:$A$4314,1))-1)</f>
        <v>0.0946646700647249</v>
      </c>
    </row>
    <row r="3213" customFormat="false" ht="15" hidden="false" customHeight="false" outlineLevel="0" collapsed="false">
      <c r="A3213" s="16" t="n">
        <v>45220</v>
      </c>
      <c r="B3213" s="23" t="n">
        <f aca="false">YEAR(A3213)</f>
        <v>2023</v>
      </c>
      <c r="C3213" s="17" t="n">
        <v>29929.08</v>
      </c>
      <c r="D3213" s="23" t="n">
        <f aca="false">A3213-A3212</f>
        <v>1</v>
      </c>
      <c r="E3213" s="24" t="n">
        <f aca="false">LN(C3213)</f>
        <v>10.3065858619847</v>
      </c>
      <c r="F3213" s="25" t="n">
        <f aca="false">LN(C3213/C3212)</f>
        <v>0.00813279634488375</v>
      </c>
      <c r="G3213" s="25" t="n">
        <f aca="false">IF(AND(D3213=1,A3213&gt;=$R$2),F3213,"")</f>
        <v>0.00813279634488375</v>
      </c>
      <c r="H3213" s="27" t="n">
        <f aca="false">IF(G3213="","",G3213^2)</f>
        <v>6.61423763873545E-005</v>
      </c>
      <c r="I3213" s="25" t="n">
        <f aca="false">IF(G3213="","",C3213/C3212-1)</f>
        <v>0.0081659573694044</v>
      </c>
      <c r="J3213" s="17" t="n">
        <f aca="false">AVERAGE(C3014:C3213)</f>
        <v>28038.0844</v>
      </c>
      <c r="K3213" s="17" t="n">
        <f aca="false">MAX(K3212,C3213)</f>
        <v>67510.06</v>
      </c>
      <c r="L3213" s="25" t="n">
        <f aca="false">C3213/K3213-1</f>
        <v>-0.556672294469891</v>
      </c>
      <c r="M3213" s="25" t="n">
        <f aca="false">IF(COUNT(G3184:G3213)&lt;20,"",_xlfn.STDEV.S(G3184:G3213)*SQRT($R$3))</f>
        <v>0.306888468901321</v>
      </c>
      <c r="N3213" s="25" t="n">
        <f aca="false">IF(A3213-7&lt;$R$2,"",C3213/INDEX(Clean_Data!$C$2:$C$4314,MATCH(A3213-7,Clean_Data!$A$2:$A$4314,1))-1)</f>
        <v>0.114374532948038</v>
      </c>
      <c r="O3213" s="25" t="n">
        <f aca="false">IF(A3213-30&lt;$R$2,"",C3213/INDEX(Clean_Data!$C$2:$C$4314,MATCH(A3213-30,Clean_Data!$A$2:$A$4314,1))-1)</f>
        <v>0.126538687235318</v>
      </c>
    </row>
    <row r="3214" customFormat="false" ht="15" hidden="false" customHeight="false" outlineLevel="0" collapsed="false">
      <c r="A3214" s="16" t="n">
        <v>45221</v>
      </c>
      <c r="B3214" s="23" t="n">
        <f aca="false">YEAR(A3214)</f>
        <v>2023</v>
      </c>
      <c r="C3214" s="17" t="n">
        <v>29988.13</v>
      </c>
      <c r="D3214" s="23" t="n">
        <f aca="false">A3214-A3213</f>
        <v>1</v>
      </c>
      <c r="E3214" s="24" t="n">
        <f aca="false">LN(C3214)</f>
        <v>10.3085569156809</v>
      </c>
      <c r="F3214" s="25" t="n">
        <f aca="false">LN(C3214/C3213)</f>
        <v>0.0019710536961817</v>
      </c>
      <c r="G3214" s="25" t="n">
        <f aca="false">IF(AND(D3214=1,A3214&gt;=$R$2),F3214,"")</f>
        <v>0.0019710536961817</v>
      </c>
      <c r="H3214" s="27" t="n">
        <f aca="false">IF(G3214="","",G3214^2)</f>
        <v>3.88505267323154E-006</v>
      </c>
      <c r="I3214" s="25" t="n">
        <f aca="false">IF(G3214="","",C3214/C3213-1)</f>
        <v>0.00197299749942204</v>
      </c>
      <c r="J3214" s="17" t="n">
        <f aca="false">AVERAGE(C3015:C3214)</f>
        <v>28047.08665</v>
      </c>
      <c r="K3214" s="17" t="n">
        <f aca="false">MAX(K3213,C3214)</f>
        <v>67510.06</v>
      </c>
      <c r="L3214" s="25" t="n">
        <f aca="false">C3214/K3214-1</f>
        <v>-0.555797610015456</v>
      </c>
      <c r="M3214" s="25" t="n">
        <f aca="false">IF(COUNT(G3185:G3214)&lt;20,"",_xlfn.STDEV.S(G3185:G3214)*SQRT($R$3))</f>
        <v>0.30673290144945</v>
      </c>
      <c r="N3214" s="25" t="n">
        <f aca="false">IF(A3214-7&lt;$R$2,"",C3214/INDEX(Clean_Data!$C$2:$C$4314,MATCH(A3214-7,Clean_Data!$A$2:$A$4314,1))-1)</f>
        <v>0.104317972082103</v>
      </c>
      <c r="O3214" s="25" t="n">
        <f aca="false">IF(A3214-30&lt;$R$2,"",C3214/INDEX(Clean_Data!$C$2:$C$4314,MATCH(A3214-30,Clean_Data!$A$2:$A$4314,1))-1)</f>
        <v>0.128109972564791</v>
      </c>
    </row>
    <row r="3215" customFormat="false" ht="15" hidden="false" customHeight="false" outlineLevel="0" collapsed="false">
      <c r="A3215" s="16" t="n">
        <v>45222</v>
      </c>
      <c r="B3215" s="23" t="n">
        <f aca="false">YEAR(A3215)</f>
        <v>2023</v>
      </c>
      <c r="C3215" s="17" t="n">
        <v>33106.86</v>
      </c>
      <c r="D3215" s="23" t="n">
        <f aca="false">A3215-A3214</f>
        <v>1</v>
      </c>
      <c r="E3215" s="24" t="n">
        <f aca="false">LN(C3215)</f>
        <v>10.407495790647</v>
      </c>
      <c r="F3215" s="25" t="n">
        <f aca="false">LN(C3215/C3214)</f>
        <v>0.0989388749660537</v>
      </c>
      <c r="G3215" s="25" t="n">
        <f aca="false">IF(AND(D3215=1,A3215&gt;=$R$2),F3215,"")</f>
        <v>0.0989388749660537</v>
      </c>
      <c r="H3215" s="27" t="n">
        <f aca="false">IF(G3215="","",G3215^2)</f>
        <v>0.00978890097954841</v>
      </c>
      <c r="I3215" s="25" t="n">
        <f aca="false">IF(G3215="","",C3215/C3214-1)</f>
        <v>0.103998815531345</v>
      </c>
      <c r="J3215" s="17" t="n">
        <f aca="false">AVERAGE(C3016:C3215)</f>
        <v>28072.3536</v>
      </c>
      <c r="K3215" s="17" t="n">
        <f aca="false">MAX(K3214,C3215)</f>
        <v>67510.06</v>
      </c>
      <c r="L3215" s="25" t="n">
        <f aca="false">C3215/K3215-1</f>
        <v>-0.50960108760087</v>
      </c>
      <c r="M3215" s="25" t="n">
        <f aca="false">IF(COUNT(G3186:G3215)&lt;20,"",_xlfn.STDEV.S(G3186:G3215)*SQRT($R$3))</f>
        <v>0.45073267282991</v>
      </c>
      <c r="N3215" s="25" t="n">
        <f aca="false">IF(A3215-7&lt;$R$2,"",C3215/INDEX(Clean_Data!$C$2:$C$4314,MATCH(A3215-7,Clean_Data!$A$2:$A$4314,1))-1)</f>
        <v>0.160248248686055</v>
      </c>
      <c r="O3215" s="25" t="n">
        <f aca="false">IF(A3215-30&lt;$R$2,"",C3215/INDEX(Clean_Data!$C$2:$C$4314,MATCH(A3215-30,Clean_Data!$A$2:$A$4314,1))-1)</f>
        <v>0.245540778117336</v>
      </c>
    </row>
    <row r="3216" customFormat="false" ht="15" hidden="false" customHeight="false" outlineLevel="0" collapsed="false">
      <c r="A3216" s="16" t="n">
        <v>45223</v>
      </c>
      <c r="B3216" s="23" t="n">
        <f aca="false">YEAR(A3216)</f>
        <v>2023</v>
      </c>
      <c r="C3216" s="17" t="n">
        <v>33919.92</v>
      </c>
      <c r="D3216" s="23" t="n">
        <f aca="false">A3216-A3215</f>
        <v>1</v>
      </c>
      <c r="E3216" s="24" t="n">
        <f aca="false">LN(C3216)</f>
        <v>10.4317577314125</v>
      </c>
      <c r="F3216" s="25" t="n">
        <f aca="false">LN(C3216/C3215)</f>
        <v>0.0242619407655217</v>
      </c>
      <c r="G3216" s="25" t="n">
        <f aca="false">IF(AND(D3216=1,A3216&gt;=$R$2),F3216,"")</f>
        <v>0.0242619407655217</v>
      </c>
      <c r="H3216" s="27" t="n">
        <f aca="false">IF(G3216="","",G3216^2)</f>
        <v>0.000588641769709683</v>
      </c>
      <c r="I3216" s="25" t="n">
        <f aca="false">IF(G3216="","",C3216/C3215-1)</f>
        <v>0.0245586564234723</v>
      </c>
      <c r="J3216" s="17" t="n">
        <f aca="false">AVERAGE(C3017:C3216)</f>
        <v>28102.31745</v>
      </c>
      <c r="K3216" s="17" t="n">
        <f aca="false">MAX(K3215,C3216)</f>
        <v>67510.06</v>
      </c>
      <c r="L3216" s="25" t="n">
        <f aca="false">C3216/K3216-1</f>
        <v>-0.497557549200815</v>
      </c>
      <c r="M3216" s="25" t="n">
        <f aca="false">IF(COUNT(G3187:G3216)&lt;20,"",_xlfn.STDEV.S(G3187:G3216)*SQRT($R$3))</f>
        <v>0.448144424447782</v>
      </c>
      <c r="N3216" s="25" t="n">
        <f aca="false">IF(A3216-7&lt;$R$2,"",C3216/INDEX(Clean_Data!$C$2:$C$4314,MATCH(A3216-7,Clean_Data!$A$2:$A$4314,1))-1)</f>
        <v>0.194019048732073</v>
      </c>
      <c r="O3216" s="25" t="n">
        <f aca="false">IF(A3216-30&lt;$R$2,"",C3216/INDEX(Clean_Data!$C$2:$C$4314,MATCH(A3216-30,Clean_Data!$A$2:$A$4314,1))-1)</f>
        <v>0.29320770787162</v>
      </c>
    </row>
    <row r="3217" customFormat="false" ht="15" hidden="false" customHeight="false" outlineLevel="0" collapsed="false">
      <c r="A3217" s="16" t="n">
        <v>45224</v>
      </c>
      <c r="B3217" s="23" t="n">
        <f aca="false">YEAR(A3217)</f>
        <v>2023</v>
      </c>
      <c r="C3217" s="17" t="n">
        <v>34489.91</v>
      </c>
      <c r="D3217" s="23" t="n">
        <f aca="false">A3217-A3216</f>
        <v>1</v>
      </c>
      <c r="E3217" s="24" t="n">
        <f aca="false">LN(C3217)</f>
        <v>10.4484220964755</v>
      </c>
      <c r="F3217" s="25" t="n">
        <f aca="false">LN(C3217/C3216)</f>
        <v>0.016664365062975</v>
      </c>
      <c r="G3217" s="25" t="n">
        <f aca="false">IF(AND(D3217=1,A3217&gt;=$R$2),F3217,"")</f>
        <v>0.016664365062975</v>
      </c>
      <c r="H3217" s="27" t="n">
        <f aca="false">IF(G3217="","",G3217^2)</f>
        <v>0.000277701062952102</v>
      </c>
      <c r="I3217" s="25" t="n">
        <f aca="false">IF(G3217="","",C3217/C3216-1)</f>
        <v>0.0168039901037504</v>
      </c>
      <c r="J3217" s="17" t="n">
        <f aca="false">AVERAGE(C3018:C3217)</f>
        <v>28134.9695</v>
      </c>
      <c r="K3217" s="17" t="n">
        <f aca="false">MAX(K3216,C3217)</f>
        <v>67510.06</v>
      </c>
      <c r="L3217" s="25" t="n">
        <f aca="false">C3217/K3217-1</f>
        <v>-0.489114511229882</v>
      </c>
      <c r="M3217" s="25" t="n">
        <f aca="false">IF(COUNT(G3188:G3217)&lt;20,"",_xlfn.STDEV.S(G3188:G3217)*SQRT($R$3))</f>
        <v>0.44846601459208</v>
      </c>
      <c r="N3217" s="25" t="n">
        <f aca="false">IF(A3217-7&lt;$R$2,"",C3217/INDEX(Clean_Data!$C$2:$C$4314,MATCH(A3217-7,Clean_Data!$A$2:$A$4314,1))-1)</f>
        <v>0.218322215098545</v>
      </c>
      <c r="O3217" s="25" t="n">
        <f aca="false">IF(A3217-30&lt;$R$2,"",C3217/INDEX(Clean_Data!$C$2:$C$4314,MATCH(A3217-30,Clean_Data!$A$2:$A$4314,1))-1)</f>
        <v>0.311560011347362</v>
      </c>
    </row>
    <row r="3218" customFormat="false" ht="15" hidden="false" customHeight="false" outlineLevel="0" collapsed="false">
      <c r="A3218" s="16" t="n">
        <v>45225</v>
      </c>
      <c r="B3218" s="23" t="n">
        <f aca="false">YEAR(A3218)</f>
        <v>2023</v>
      </c>
      <c r="C3218" s="17" t="n">
        <v>34140</v>
      </c>
      <c r="D3218" s="23" t="n">
        <f aca="false">A3218-A3217</f>
        <v>1</v>
      </c>
      <c r="E3218" s="24" t="n">
        <f aca="false">LN(C3218)</f>
        <v>10.4382249963484</v>
      </c>
      <c r="F3218" s="25" t="n">
        <f aca="false">LN(C3218/C3217)</f>
        <v>-0.0101971001270354</v>
      </c>
      <c r="G3218" s="25" t="n">
        <f aca="false">IF(AND(D3218=1,A3218&gt;=$R$2),F3218,"")</f>
        <v>-0.0101971001270354</v>
      </c>
      <c r="H3218" s="27" t="n">
        <f aca="false">IF(G3218="","",G3218^2)</f>
        <v>0.000103980851000786</v>
      </c>
      <c r="I3218" s="25" t="n">
        <f aca="false">IF(G3218="","",C3218/C3217-1)</f>
        <v>-0.010145285969143</v>
      </c>
      <c r="J3218" s="17" t="n">
        <f aca="false">AVERAGE(C3019:C3218)</f>
        <v>28163.9843</v>
      </c>
      <c r="K3218" s="17" t="n">
        <f aca="false">MAX(K3217,C3218)</f>
        <v>67510.06</v>
      </c>
      <c r="L3218" s="25" t="n">
        <f aca="false">C3218/K3218-1</f>
        <v>-0.49429759061094</v>
      </c>
      <c r="M3218" s="25" t="n">
        <f aca="false">IF(COUNT(G3189:G3218)&lt;20,"",_xlfn.STDEV.S(G3189:G3218)*SQRT($R$3))</f>
        <v>0.45135763454681</v>
      </c>
      <c r="N3218" s="25" t="n">
        <f aca="false">IF(A3218-7&lt;$R$2,"",C3218/INDEX(Clean_Data!$C$2:$C$4314,MATCH(A3218-7,Clean_Data!$A$2:$A$4314,1))-1)</f>
        <v>0.188118398399694</v>
      </c>
      <c r="O3218" s="25" t="n">
        <f aca="false">IF(A3218-30&lt;$R$2,"",C3218/INDEX(Clean_Data!$C$2:$C$4314,MATCH(A3218-30,Clean_Data!$A$2:$A$4314,1))-1)</f>
        <v>0.303046969614273</v>
      </c>
    </row>
    <row r="3219" customFormat="false" ht="15" hidden="false" customHeight="false" outlineLevel="0" collapsed="false">
      <c r="A3219" s="16" t="n">
        <v>45226</v>
      </c>
      <c r="B3219" s="23" t="n">
        <f aca="false">YEAR(A3219)</f>
        <v>2023</v>
      </c>
      <c r="C3219" s="17" t="n">
        <v>33905.16</v>
      </c>
      <c r="D3219" s="23" t="n">
        <f aca="false">A3219-A3218</f>
        <v>1</v>
      </c>
      <c r="E3219" s="24" t="n">
        <f aca="false">LN(C3219)</f>
        <v>10.4313224941748</v>
      </c>
      <c r="F3219" s="25" t="n">
        <f aca="false">LN(C3219/C3218)</f>
        <v>-0.00690250217363975</v>
      </c>
      <c r="G3219" s="25" t="n">
        <f aca="false">IF(AND(D3219=1,A3219&gt;=$R$2),F3219,"")</f>
        <v>-0.00690250217363975</v>
      </c>
      <c r="H3219" s="27" t="n">
        <f aca="false">IF(G3219="","",G3219^2)</f>
        <v>4.76445362571015E-005</v>
      </c>
      <c r="I3219" s="25" t="n">
        <f aca="false">IF(G3219="","",C3219/C3218-1)</f>
        <v>-0.00687873462214406</v>
      </c>
      <c r="J3219" s="17" t="n">
        <f aca="false">AVERAGE(C3020:C3219)</f>
        <v>28185.1167</v>
      </c>
      <c r="K3219" s="17" t="n">
        <f aca="false">MAX(K3218,C3219)</f>
        <v>67510.06</v>
      </c>
      <c r="L3219" s="25" t="n">
        <f aca="false">C3219/K3219-1</f>
        <v>-0.497776183282906</v>
      </c>
      <c r="M3219" s="25" t="n">
        <f aca="false">IF(COUNT(G3190:G3219)&lt;20,"",_xlfn.STDEV.S(G3190:G3219)*SQRT($R$3))</f>
        <v>0.454589756183981</v>
      </c>
      <c r="N3219" s="25" t="n">
        <f aca="false">IF(A3219-7&lt;$R$2,"",C3219/INDEX(Clean_Data!$C$2:$C$4314,MATCH(A3219-7,Clean_Data!$A$2:$A$4314,1))-1)</f>
        <v>0.142100862811781</v>
      </c>
      <c r="O3219" s="25" t="n">
        <f aca="false">IF(A3219-30&lt;$R$2,"",C3219/INDEX(Clean_Data!$C$2:$C$4314,MATCH(A3219-30,Clean_Data!$A$2:$A$4314,1))-1)</f>
        <v>0.286634471546937</v>
      </c>
    </row>
    <row r="3220" customFormat="false" ht="15" hidden="false" customHeight="false" outlineLevel="0" collapsed="false">
      <c r="A3220" s="16" t="n">
        <v>45227</v>
      </c>
      <c r="B3220" s="23" t="n">
        <f aca="false">YEAR(A3220)</f>
        <v>2023</v>
      </c>
      <c r="C3220" s="17" t="n">
        <v>34071.32</v>
      </c>
      <c r="D3220" s="23" t="n">
        <f aca="false">A3220-A3219</f>
        <v>1</v>
      </c>
      <c r="E3220" s="24" t="n">
        <f aca="false">LN(C3220)</f>
        <v>10.4362112536673</v>
      </c>
      <c r="F3220" s="25" t="n">
        <f aca="false">LN(C3220/C3219)</f>
        <v>0.0048887594925413</v>
      </c>
      <c r="G3220" s="25" t="n">
        <f aca="false">IF(AND(D3220=1,A3220&gt;=$R$2),F3220,"")</f>
        <v>0.0048887594925413</v>
      </c>
      <c r="H3220" s="27" t="n">
        <f aca="false">IF(G3220="","",G3220^2)</f>
        <v>2.38999693759127E-005</v>
      </c>
      <c r="I3220" s="25" t="n">
        <f aca="false">IF(G3220="","",C3220/C3219-1)</f>
        <v>0.0049007289745866</v>
      </c>
      <c r="J3220" s="17" t="n">
        <f aca="false">AVERAGE(C3021:C3220)</f>
        <v>28204.25365</v>
      </c>
      <c r="K3220" s="17" t="n">
        <f aca="false">MAX(K3219,C3220)</f>
        <v>67510.06</v>
      </c>
      <c r="L3220" s="25" t="n">
        <f aca="false">C3220/K3220-1</f>
        <v>-0.495314920472593</v>
      </c>
      <c r="M3220" s="25" t="n">
        <f aca="false">IF(COUNT(G3191:G3220)&lt;20,"",_xlfn.STDEV.S(G3191:G3220)*SQRT($R$3))</f>
        <v>0.45043608292886</v>
      </c>
      <c r="N3220" s="25" t="n">
        <f aca="false">IF(A3220-7&lt;$R$2,"",C3220/INDEX(Clean_Data!$C$2:$C$4314,MATCH(A3220-7,Clean_Data!$A$2:$A$4314,1))-1)</f>
        <v>0.138401848636844</v>
      </c>
      <c r="O3220" s="25" t="n">
        <f aca="false">IF(A3220-30&lt;$R$2,"",C3220/INDEX(Clean_Data!$C$2:$C$4314,MATCH(A3220-30,Clean_Data!$A$2:$A$4314,1))-1)</f>
        <v>0.260228837150122</v>
      </c>
    </row>
    <row r="3221" customFormat="false" ht="15" hidden="false" customHeight="false" outlineLevel="0" collapsed="false">
      <c r="A3221" s="16" t="n">
        <v>45228</v>
      </c>
      <c r="B3221" s="23" t="n">
        <f aca="false">YEAR(A3221)</f>
        <v>2023</v>
      </c>
      <c r="C3221" s="17" t="n">
        <v>34557.72</v>
      </c>
      <c r="D3221" s="23" t="n">
        <f aca="false">A3221-A3220</f>
        <v>1</v>
      </c>
      <c r="E3221" s="24" t="n">
        <f aca="false">LN(C3221)</f>
        <v>10.4503862485195</v>
      </c>
      <c r="F3221" s="25" t="n">
        <f aca="false">LN(C3221/C3220)</f>
        <v>0.0141749948521738</v>
      </c>
      <c r="G3221" s="25" t="n">
        <f aca="false">IF(AND(D3221=1,A3221&gt;=$R$2),F3221,"")</f>
        <v>0.0141749948521738</v>
      </c>
      <c r="H3221" s="27" t="n">
        <f aca="false">IF(G3221="","",G3221^2)</f>
        <v>0.000200930479059153</v>
      </c>
      <c r="I3221" s="25" t="n">
        <f aca="false">IF(G3221="","",C3221/C3220-1)</f>
        <v>0.0142759364767788</v>
      </c>
      <c r="J3221" s="17" t="n">
        <f aca="false">AVERAGE(C3022:C3221)</f>
        <v>28227.47695</v>
      </c>
      <c r="K3221" s="17" t="n">
        <f aca="false">MAX(K3220,C3221)</f>
        <v>67510.06</v>
      </c>
      <c r="L3221" s="25" t="n">
        <f aca="false">C3221/K3221-1</f>
        <v>-0.488110068336482</v>
      </c>
      <c r="M3221" s="25" t="n">
        <f aca="false">IF(COUNT(G3192:G3221)&lt;20,"",_xlfn.STDEV.S(G3192:G3221)*SQRT($R$3))</f>
        <v>0.448578713493414</v>
      </c>
      <c r="N3221" s="25" t="n">
        <f aca="false">IF(A3221-7&lt;$R$2,"",C3221/INDEX(Clean_Data!$C$2:$C$4314,MATCH(A3221-7,Clean_Data!$A$2:$A$4314,1))-1)</f>
        <v>0.152379958336849</v>
      </c>
      <c r="O3221" s="25" t="n">
        <f aca="false">IF(A3221-30&lt;$R$2,"",C3221/INDEX(Clean_Data!$C$2:$C$4314,MATCH(A3221-30,Clean_Data!$A$2:$A$4314,1))-1)</f>
        <v>0.284659278892801</v>
      </c>
    </row>
    <row r="3222" customFormat="false" ht="15" hidden="false" customHeight="false" outlineLevel="0" collapsed="false">
      <c r="A3222" s="16" t="n">
        <v>45229</v>
      </c>
      <c r="B3222" s="23" t="n">
        <f aca="false">YEAR(A3222)</f>
        <v>2023</v>
      </c>
      <c r="C3222" s="17" t="n">
        <v>34485.49</v>
      </c>
      <c r="D3222" s="23" t="n">
        <f aca="false">A3222-A3221</f>
        <v>1</v>
      </c>
      <c r="E3222" s="24" t="n">
        <f aca="false">LN(C3222)</f>
        <v>10.4482939348409</v>
      </c>
      <c r="F3222" s="25" t="n">
        <f aca="false">LN(C3222/C3221)</f>
        <v>-0.00209231367865339</v>
      </c>
      <c r="G3222" s="25" t="n">
        <f aca="false">IF(AND(D3222=1,A3222&gt;=$R$2),F3222,"")</f>
        <v>-0.00209231367865339</v>
      </c>
      <c r="H3222" s="27" t="n">
        <f aca="false">IF(G3222="","",G3222^2)</f>
        <v>4.37777652988009E-006</v>
      </c>
      <c r="I3222" s="25" t="n">
        <f aca="false">IF(G3222="","",C3222/C3221-1)</f>
        <v>-0.00209012631620387</v>
      </c>
      <c r="J3222" s="17" t="n">
        <f aca="false">AVERAGE(C3023:C3222)</f>
        <v>28247.84075</v>
      </c>
      <c r="K3222" s="17" t="n">
        <f aca="false">MAX(K3221,C3222)</f>
        <v>67510.06</v>
      </c>
      <c r="L3222" s="25" t="n">
        <f aca="false">C3222/K3222-1</f>
        <v>-0.489179982953652</v>
      </c>
      <c r="M3222" s="25" t="n">
        <f aca="false">IF(COUNT(G3193:G3222)&lt;20,"",_xlfn.STDEV.S(G3193:G3222)*SQRT($R$3))</f>
        <v>0.44956720683089</v>
      </c>
      <c r="N3222" s="25" t="n">
        <f aca="false">IF(A3222-7&lt;$R$2,"",C3222/INDEX(Clean_Data!$C$2:$C$4314,MATCH(A3222-7,Clean_Data!$A$2:$A$4314,1))-1)</f>
        <v>0.0416418228729634</v>
      </c>
      <c r="O3222" s="25" t="n">
        <f aca="false">IF(A3222-30&lt;$R$2,"",C3222/INDEX(Clean_Data!$C$2:$C$4314,MATCH(A3222-30,Clean_Data!$A$2:$A$4314,1))-1)</f>
        <v>0.279163853794966</v>
      </c>
    </row>
    <row r="3223" customFormat="false" ht="15" hidden="false" customHeight="false" outlineLevel="0" collapsed="false">
      <c r="A3223" s="16" t="n">
        <v>45230</v>
      </c>
      <c r="B3223" s="23" t="n">
        <f aca="false">YEAR(A3223)</f>
        <v>2023</v>
      </c>
      <c r="C3223" s="17" t="n">
        <v>34667.88</v>
      </c>
      <c r="D3223" s="23" t="n">
        <f aca="false">A3223-A3222</f>
        <v>1</v>
      </c>
      <c r="E3223" s="24" t="n">
        <f aca="false">LN(C3223)</f>
        <v>10.4535688888429</v>
      </c>
      <c r="F3223" s="25" t="n">
        <f aca="false">LN(C3223/C3222)</f>
        <v>0.00527495400206069</v>
      </c>
      <c r="G3223" s="25" t="n">
        <f aca="false">IF(AND(D3223=1,A3223&gt;=$R$2),F3223,"")</f>
        <v>0.00527495400206069</v>
      </c>
      <c r="H3223" s="27" t="n">
        <f aca="false">IF(G3223="","",G3223^2)</f>
        <v>2.78251397238561E-005</v>
      </c>
      <c r="I3223" s="25" t="n">
        <f aca="false">IF(G3223="","",C3223/C3222-1)</f>
        <v>0.00528889106693864</v>
      </c>
      <c r="J3223" s="17" t="n">
        <f aca="false">AVERAGE(C3024:C3223)</f>
        <v>28268.71155</v>
      </c>
      <c r="K3223" s="17" t="n">
        <f aca="false">MAX(K3222,C3223)</f>
        <v>67510.06</v>
      </c>
      <c r="L3223" s="25" t="n">
        <f aca="false">C3223/K3223-1</f>
        <v>-0.486478311528682</v>
      </c>
      <c r="M3223" s="25" t="n">
        <f aca="false">IF(COUNT(G3194:G3223)&lt;20,"",_xlfn.STDEV.S(G3194:G3223)*SQRT($R$3))</f>
        <v>0.436849471292391</v>
      </c>
      <c r="N3223" s="25" t="n">
        <f aca="false">IF(A3223-7&lt;$R$2,"",C3223/INDEX(Clean_Data!$C$2:$C$4314,MATCH(A3223-7,Clean_Data!$A$2:$A$4314,1))-1)</f>
        <v>0.0220507595536781</v>
      </c>
      <c r="O3223" s="25" t="n">
        <f aca="false">IF(A3223-30&lt;$R$2,"",C3223/INDEX(Clean_Data!$C$2:$C$4314,MATCH(A3223-30,Clean_Data!$A$2:$A$4314,1))-1)</f>
        <v>0.238364572963137</v>
      </c>
    </row>
    <row r="3224" customFormat="false" ht="15" hidden="false" customHeight="false" outlineLevel="0" collapsed="false">
      <c r="A3224" s="16" t="n">
        <v>45231</v>
      </c>
      <c r="B3224" s="23" t="n">
        <f aca="false">YEAR(A3224)</f>
        <v>2023</v>
      </c>
      <c r="C3224" s="17" t="n">
        <v>35469.43</v>
      </c>
      <c r="D3224" s="23" t="n">
        <f aca="false">A3224-A3223</f>
        <v>1</v>
      </c>
      <c r="E3224" s="24" t="n">
        <f aca="false">LN(C3224)</f>
        <v>10.4764264777203</v>
      </c>
      <c r="F3224" s="25" t="n">
        <f aca="false">LN(C3224/C3223)</f>
        <v>0.0228575888773899</v>
      </c>
      <c r="G3224" s="25" t="n">
        <f aca="false">IF(AND(D3224=1,A3224&gt;=$R$2),F3224,"")</f>
        <v>0.0228575888773899</v>
      </c>
      <c r="H3224" s="27" t="n">
        <f aca="false">IF(G3224="","",G3224^2)</f>
        <v>0.000522469369287778</v>
      </c>
      <c r="I3224" s="25" t="n">
        <f aca="false">IF(G3224="","",C3224/C3223-1)</f>
        <v>0.0231208253864961</v>
      </c>
      <c r="J3224" s="17" t="n">
        <f aca="false">AVERAGE(C3025:C3224)</f>
        <v>28294.4601</v>
      </c>
      <c r="K3224" s="17" t="n">
        <f aca="false">MAX(K3223,C3224)</f>
        <v>67510.06</v>
      </c>
      <c r="L3224" s="25" t="n">
        <f aca="false">C3224/K3224-1</f>
        <v>-0.474605266237358</v>
      </c>
      <c r="M3224" s="25" t="n">
        <f aca="false">IF(COUNT(G3195:G3224)&lt;20,"",_xlfn.STDEV.S(G3195:G3224)*SQRT($R$3))</f>
        <v>0.431070747184096</v>
      </c>
      <c r="N3224" s="25" t="n">
        <f aca="false">IF(A3224-7&lt;$R$2,"",C3224/INDEX(Clean_Data!$C$2:$C$4314,MATCH(A3224-7,Clean_Data!$A$2:$A$4314,1))-1)</f>
        <v>0.0284001900845783</v>
      </c>
      <c r="O3224" s="25" t="n">
        <f aca="false">IF(A3224-30&lt;$R$2,"",C3224/INDEX(Clean_Data!$C$2:$C$4314,MATCH(A3224-30,Clean_Data!$A$2:$A$4314,1))-1)</f>
        <v>0.288994996569409</v>
      </c>
    </row>
    <row r="3225" customFormat="false" ht="15" hidden="false" customHeight="false" outlineLevel="0" collapsed="false">
      <c r="A3225" s="16" t="n">
        <v>45232</v>
      </c>
      <c r="B3225" s="23" t="n">
        <f aca="false">YEAR(A3225)</f>
        <v>2023</v>
      </c>
      <c r="C3225" s="17" t="n">
        <v>34935.25</v>
      </c>
      <c r="D3225" s="23" t="n">
        <f aca="false">A3225-A3224</f>
        <v>1</v>
      </c>
      <c r="E3225" s="24" t="n">
        <f aca="false">LN(C3225)</f>
        <v>10.4612516271081</v>
      </c>
      <c r="F3225" s="25" t="n">
        <f aca="false">LN(C3225/C3224)</f>
        <v>-0.0151748506122278</v>
      </c>
      <c r="G3225" s="25" t="n">
        <f aca="false">IF(AND(D3225=1,A3225&gt;=$R$2),F3225,"")</f>
        <v>-0.0151748506122278</v>
      </c>
      <c r="H3225" s="27" t="n">
        <f aca="false">IF(G3225="","",G3225^2)</f>
        <v>0.000230276091103431</v>
      </c>
      <c r="I3225" s="25" t="n">
        <f aca="false">IF(G3225="","",C3225/C3224-1)</f>
        <v>-0.0150602927647836</v>
      </c>
      <c r="J3225" s="17" t="n">
        <f aca="false">AVERAGE(C3026:C3225)</f>
        <v>28317.49625</v>
      </c>
      <c r="K3225" s="17" t="n">
        <f aca="false">MAX(K3224,C3225)</f>
        <v>67510.06</v>
      </c>
      <c r="L3225" s="25" t="n">
        <f aca="false">C3225/K3225-1</f>
        <v>-0.482517864744899</v>
      </c>
      <c r="M3225" s="25" t="n">
        <f aca="false">IF(COUNT(G3196:G3225)&lt;20,"",_xlfn.STDEV.S(G3196:G3225)*SQRT($R$3))</f>
        <v>0.437042091507871</v>
      </c>
      <c r="N3225" s="25" t="n">
        <f aca="false">IF(A3225-7&lt;$R$2,"",C3225/INDEX(Clean_Data!$C$2:$C$4314,MATCH(A3225-7,Clean_Data!$A$2:$A$4314,1))-1)</f>
        <v>0.023293790275337</v>
      </c>
      <c r="O3225" s="25" t="n">
        <f aca="false">IF(A3225-30&lt;$R$2,"",C3225/INDEX(Clean_Data!$C$2:$C$4314,MATCH(A3225-30,Clean_Data!$A$2:$A$4314,1))-1)</f>
        <v>0.273989932141878</v>
      </c>
    </row>
    <row r="3226" customFormat="false" ht="15" hidden="false" customHeight="false" outlineLevel="0" collapsed="false">
      <c r="A3226" s="16" t="n">
        <v>45233</v>
      </c>
      <c r="B3226" s="23" t="n">
        <f aca="false">YEAR(A3226)</f>
        <v>2023</v>
      </c>
      <c r="C3226" s="17" t="n">
        <v>34735.91</v>
      </c>
      <c r="D3226" s="23" t="n">
        <f aca="false">A3226-A3225</f>
        <v>1</v>
      </c>
      <c r="E3226" s="24" t="n">
        <f aca="false">LN(C3226)</f>
        <v>10.4555293011428</v>
      </c>
      <c r="F3226" s="25" t="n">
        <f aca="false">LN(C3226/C3225)</f>
        <v>-0.00572232596526211</v>
      </c>
      <c r="G3226" s="25" t="n">
        <f aca="false">IF(AND(D3226=1,A3226&gt;=$R$2),F3226,"")</f>
        <v>-0.00572232596526211</v>
      </c>
      <c r="H3226" s="27" t="n">
        <f aca="false">IF(G3226="","",G3226^2)</f>
        <v>3.2745014452713E-005</v>
      </c>
      <c r="I3226" s="25" t="n">
        <f aca="false">IF(G3226="","",C3226/C3225-1)</f>
        <v>-0.00570598464301808</v>
      </c>
      <c r="J3226" s="17" t="n">
        <f aca="false">AVERAGE(C3027:C3226)</f>
        <v>28343.9259</v>
      </c>
      <c r="K3226" s="17" t="n">
        <f aca="false">MAX(K3225,C3226)</f>
        <v>67510.06</v>
      </c>
      <c r="L3226" s="25" t="n">
        <f aca="false">C3226/K3226-1</f>
        <v>-0.485470609861701</v>
      </c>
      <c r="M3226" s="25" t="n">
        <f aca="false">IF(COUNT(G3197:G3226)&lt;20,"",_xlfn.STDEV.S(G3197:G3226)*SQRT($R$3))</f>
        <v>0.439249406098959</v>
      </c>
      <c r="N3226" s="25" t="n">
        <f aca="false">IF(A3226-7&lt;$R$2,"",C3226/INDEX(Clean_Data!$C$2:$C$4314,MATCH(A3226-7,Clean_Data!$A$2:$A$4314,1))-1)</f>
        <v>0.0245021701711481</v>
      </c>
      <c r="O3226" s="25" t="n">
        <f aca="false">IF(A3226-30&lt;$R$2,"",C3226/INDEX(Clean_Data!$C$2:$C$4314,MATCH(A3226-30,Clean_Data!$A$2:$A$4314,1))-1)</f>
        <v>0.250289662947151</v>
      </c>
    </row>
    <row r="3227" customFormat="false" ht="15" hidden="false" customHeight="false" outlineLevel="0" collapsed="false">
      <c r="A3227" s="16" t="n">
        <v>45234</v>
      </c>
      <c r="B3227" s="23" t="n">
        <f aca="false">YEAR(A3227)</f>
        <v>2023</v>
      </c>
      <c r="C3227" s="17" t="n">
        <v>35095</v>
      </c>
      <c r="D3227" s="23" t="n">
        <f aca="false">A3227-A3226</f>
        <v>1</v>
      </c>
      <c r="E3227" s="24" t="n">
        <f aca="false">LN(C3227)</f>
        <v>10.4658139491645</v>
      </c>
      <c r="F3227" s="25" t="n">
        <f aca="false">LN(C3227/C3226)</f>
        <v>0.0102846480217075</v>
      </c>
      <c r="G3227" s="25" t="n">
        <f aca="false">IF(AND(D3227=1,A3227&gt;=$R$2),F3227,"")</f>
        <v>0.0102846480217075</v>
      </c>
      <c r="H3227" s="27" t="n">
        <f aca="false">IF(G3227="","",G3227^2)</f>
        <v>0.000105773984930412</v>
      </c>
      <c r="I3227" s="25" t="n">
        <f aca="false">IF(G3227="","",C3227/C3226-1)</f>
        <v>0.0103377167893397</v>
      </c>
      <c r="J3227" s="17" t="n">
        <f aca="false">AVERAGE(C3028:C3227)</f>
        <v>28367.48905</v>
      </c>
      <c r="K3227" s="17" t="n">
        <f aca="false">MAX(K3226,C3227)</f>
        <v>67510.06</v>
      </c>
      <c r="L3227" s="25" t="n">
        <f aca="false">C3227/K3227-1</f>
        <v>-0.480151550746659</v>
      </c>
      <c r="M3227" s="25" t="n">
        <f aca="false">IF(COUNT(G3198:G3227)&lt;20,"",_xlfn.STDEV.S(G3198:G3227)*SQRT($R$3))</f>
        <v>0.432981561942533</v>
      </c>
      <c r="N3227" s="25" t="n">
        <f aca="false">IF(A3227-7&lt;$R$2,"",C3227/INDEX(Clean_Data!$C$2:$C$4314,MATCH(A3227-7,Clean_Data!$A$2:$A$4314,1))-1)</f>
        <v>0.0300452110455363</v>
      </c>
      <c r="O3227" s="25" t="n">
        <f aca="false">IF(A3227-30&lt;$R$2,"",C3227/INDEX(Clean_Data!$C$2:$C$4314,MATCH(A3227-30,Clean_Data!$A$2:$A$4314,1))-1)</f>
        <v>0.279933652790963</v>
      </c>
    </row>
    <row r="3228" customFormat="false" ht="15" hidden="false" customHeight="false" outlineLevel="0" collapsed="false">
      <c r="A3228" s="16" t="n">
        <v>45235</v>
      </c>
      <c r="B3228" s="23" t="n">
        <f aca="false">YEAR(A3228)</f>
        <v>2023</v>
      </c>
      <c r="C3228" s="17" t="n">
        <v>35015.86</v>
      </c>
      <c r="D3228" s="23" t="n">
        <f aca="false">A3228-A3227</f>
        <v>1</v>
      </c>
      <c r="E3228" s="24" t="n">
        <f aca="false">LN(C3228)</f>
        <v>10.4635563806905</v>
      </c>
      <c r="F3228" s="25" t="n">
        <f aca="false">LN(C3228/C3227)</f>
        <v>-0.00225756847404734</v>
      </c>
      <c r="G3228" s="25" t="n">
        <f aca="false">IF(AND(D3228=1,A3228&gt;=$R$2),F3228,"")</f>
        <v>-0.00225756847404734</v>
      </c>
      <c r="H3228" s="27" t="n">
        <f aca="false">IF(G3228="","",G3228^2)</f>
        <v>5.09661541501243E-006</v>
      </c>
      <c r="I3228" s="25" t="n">
        <f aca="false">IF(G3228="","",C3228/C3227-1)</f>
        <v>-0.00225502208291772</v>
      </c>
      <c r="J3228" s="17" t="n">
        <f aca="false">AVERAGE(C3029:C3228)</f>
        <v>28398.4958</v>
      </c>
      <c r="K3228" s="17" t="n">
        <f aca="false">MAX(K3227,C3228)</f>
        <v>67510.06</v>
      </c>
      <c r="L3228" s="25" t="n">
        <f aca="false">C3228/K3228-1</f>
        <v>-0.481323820479496</v>
      </c>
      <c r="M3228" s="25" t="n">
        <f aca="false">IF(COUNT(G3199:G3228)&lt;20,"",_xlfn.STDEV.S(G3199:G3228)*SQRT($R$3))</f>
        <v>0.432627910316711</v>
      </c>
      <c r="N3228" s="25" t="n">
        <f aca="false">IF(A3228-7&lt;$R$2,"",C3228/INDEX(Clean_Data!$C$2:$C$4314,MATCH(A3228-7,Clean_Data!$A$2:$A$4314,1))-1)</f>
        <v>0.0132572403503473</v>
      </c>
      <c r="O3228" s="25" t="n">
        <f aca="false">IF(A3228-30&lt;$R$2,"",C3228/INDEX(Clean_Data!$C$2:$C$4314,MATCH(A3228-30,Clean_Data!$A$2:$A$4314,1))-1)</f>
        <v>0.25284302332238</v>
      </c>
    </row>
    <row r="3229" customFormat="false" ht="15" hidden="false" customHeight="false" outlineLevel="0" collapsed="false">
      <c r="A3229" s="16" t="n">
        <v>45236</v>
      </c>
      <c r="B3229" s="23" t="n">
        <f aca="false">YEAR(A3229)</f>
        <v>2023</v>
      </c>
      <c r="C3229" s="17" t="n">
        <v>35063.96</v>
      </c>
      <c r="D3229" s="23" t="n">
        <f aca="false">A3229-A3228</f>
        <v>1</v>
      </c>
      <c r="E3229" s="24" t="n">
        <f aca="false">LN(C3229)</f>
        <v>10.4649291013268</v>
      </c>
      <c r="F3229" s="25" t="n">
        <f aca="false">LN(C3229/C3228)</f>
        <v>0.00137272063635874</v>
      </c>
      <c r="G3229" s="25" t="n">
        <f aca="false">IF(AND(D3229=1,A3229&gt;=$R$2),F3229,"")</f>
        <v>0.00137272063635874</v>
      </c>
      <c r="H3229" s="27" t="n">
        <f aca="false">IF(G3229="","",G3229^2)</f>
        <v>1.88436194548513E-006</v>
      </c>
      <c r="I3229" s="25" t="n">
        <f aca="false">IF(G3229="","",C3229/C3228-1)</f>
        <v>0.00137366324859656</v>
      </c>
      <c r="J3229" s="17" t="n">
        <f aca="false">AVERAGE(C3030:C3229)</f>
        <v>28432.6394</v>
      </c>
      <c r="K3229" s="17" t="n">
        <f aca="false">MAX(K3228,C3229)</f>
        <v>67510.06</v>
      </c>
      <c r="L3229" s="25" t="n">
        <f aca="false">C3229/K3229-1</f>
        <v>-0.480611334073766</v>
      </c>
      <c r="M3229" s="25" t="n">
        <f aca="false">IF(COUNT(G3200:G3229)&lt;20,"",_xlfn.STDEV.S(G3200:G3229)*SQRT($R$3))</f>
        <v>0.432538667861652</v>
      </c>
      <c r="N3229" s="25" t="n">
        <f aca="false">IF(A3229-7&lt;$R$2,"",C3229/INDEX(Clean_Data!$C$2:$C$4314,MATCH(A3229-7,Clean_Data!$A$2:$A$4314,1))-1)</f>
        <v>0.0167743013075934</v>
      </c>
      <c r="O3229" s="25" t="n">
        <f aca="false">IF(A3229-30&lt;$R$2,"",C3229/INDEX(Clean_Data!$C$2:$C$4314,MATCH(A3229-30,Clean_Data!$A$2:$A$4314,1))-1)</f>
        <v>0.253444617302875</v>
      </c>
    </row>
    <row r="3230" customFormat="false" ht="15" hidden="false" customHeight="false" outlineLevel="0" collapsed="false">
      <c r="A3230" s="16" t="n">
        <v>45237</v>
      </c>
      <c r="B3230" s="23" t="n">
        <f aca="false">YEAR(A3230)</f>
        <v>2023</v>
      </c>
      <c r="C3230" s="17" t="n">
        <v>35420.95</v>
      </c>
      <c r="D3230" s="23" t="n">
        <f aca="false">A3230-A3229</f>
        <v>1</v>
      </c>
      <c r="E3230" s="24" t="n">
        <f aca="false">LN(C3230)</f>
        <v>10.4750587319822</v>
      </c>
      <c r="F3230" s="25" t="n">
        <f aca="false">LN(C3230/C3229)</f>
        <v>0.0101296306553966</v>
      </c>
      <c r="G3230" s="25" t="n">
        <f aca="false">IF(AND(D3230=1,A3230&gt;=$R$2),F3230,"")</f>
        <v>0.0101296306553966</v>
      </c>
      <c r="H3230" s="27" t="n">
        <f aca="false">IF(G3230="","",G3230^2)</f>
        <v>0.00010260941721475</v>
      </c>
      <c r="I3230" s="25" t="n">
        <f aca="false">IF(G3230="","",C3230/C3229-1)</f>
        <v>0.0101811090361728</v>
      </c>
      <c r="J3230" s="17" t="n">
        <f aca="false">AVERAGE(C3031:C3230)</f>
        <v>28473.44915</v>
      </c>
      <c r="K3230" s="17" t="n">
        <f aca="false">MAX(K3229,C3230)</f>
        <v>67510.06</v>
      </c>
      <c r="L3230" s="25" t="n">
        <f aca="false">C3230/K3230-1</f>
        <v>-0.475323381433819</v>
      </c>
      <c r="M3230" s="25" t="n">
        <f aca="false">IF(COUNT(G3201:G3230)&lt;20,"",_xlfn.STDEV.S(G3201:G3230)*SQRT($R$3))</f>
        <v>0.43143677114454</v>
      </c>
      <c r="N3230" s="25" t="n">
        <f aca="false">IF(A3230-7&lt;$R$2,"",C3230/INDEX(Clean_Data!$C$2:$C$4314,MATCH(A3230-7,Clean_Data!$A$2:$A$4314,1))-1)</f>
        <v>0.0217224127924753</v>
      </c>
      <c r="O3230" s="25" t="n">
        <f aca="false">IF(A3230-30&lt;$R$2,"",C3230/INDEX(Clean_Data!$C$2:$C$4314,MATCH(A3230-30,Clean_Data!$A$2:$A$4314,1))-1)</f>
        <v>0.267858536267585</v>
      </c>
    </row>
    <row r="3231" customFormat="false" ht="15" hidden="false" customHeight="false" outlineLevel="0" collapsed="false">
      <c r="A3231" s="16" t="n">
        <v>45238</v>
      </c>
      <c r="B3231" s="23" t="n">
        <f aca="false">YEAR(A3231)</f>
        <v>2023</v>
      </c>
      <c r="C3231" s="17" t="n">
        <v>35581.68</v>
      </c>
      <c r="D3231" s="23" t="n">
        <f aca="false">A3231-A3230</f>
        <v>1</v>
      </c>
      <c r="E3231" s="24" t="n">
        <f aca="false">LN(C3231)</f>
        <v>10.4795861776431</v>
      </c>
      <c r="F3231" s="25" t="n">
        <f aca="false">LN(C3231/C3230)</f>
        <v>0.0045274456608264</v>
      </c>
      <c r="G3231" s="25" t="n">
        <f aca="false">IF(AND(D3231=1,A3231&gt;=$R$2),F3231,"")</f>
        <v>0.0045274456608264</v>
      </c>
      <c r="H3231" s="27" t="n">
        <f aca="false">IF(G3231="","",G3231^2)</f>
        <v>2.04977642117358E-005</v>
      </c>
      <c r="I3231" s="25" t="n">
        <f aca="false">IF(G3231="","",C3231/C3230-1)</f>
        <v>0.00453771002754033</v>
      </c>
      <c r="J3231" s="17" t="n">
        <f aca="false">AVERAGE(C3032:C3231)</f>
        <v>28512.2966</v>
      </c>
      <c r="K3231" s="17" t="n">
        <f aca="false">MAX(K3230,C3231)</f>
        <v>67510.06</v>
      </c>
      <c r="L3231" s="25" t="n">
        <f aca="false">C3231/K3231-1</f>
        <v>-0.472942551080535</v>
      </c>
      <c r="M3231" s="25" t="n">
        <f aca="false">IF(COUNT(G3202:G3231)&lt;20,"",_xlfn.STDEV.S(G3202:G3231)*SQRT($R$3))</f>
        <v>0.425272019077787</v>
      </c>
      <c r="N3231" s="25" t="n">
        <f aca="false">IF(A3231-7&lt;$R$2,"",C3231/INDEX(Clean_Data!$C$2:$C$4314,MATCH(A3231-7,Clean_Data!$A$2:$A$4314,1))-1)</f>
        <v>0.00316469703629285</v>
      </c>
      <c r="O3231" s="25" t="n">
        <f aca="false">IF(A3231-30&lt;$R$2,"",C3231/INDEX(Clean_Data!$C$2:$C$4314,MATCH(A3231-30,Clean_Data!$A$2:$A$4314,1))-1)</f>
        <v>0.289778714436249</v>
      </c>
    </row>
    <row r="3232" customFormat="false" ht="15" hidden="false" customHeight="false" outlineLevel="0" collapsed="false">
      <c r="A3232" s="16" t="n">
        <v>45239</v>
      </c>
      <c r="B3232" s="23" t="n">
        <f aca="false">YEAR(A3232)</f>
        <v>2023</v>
      </c>
      <c r="C3232" s="17" t="n">
        <v>36669.3</v>
      </c>
      <c r="D3232" s="23" t="n">
        <f aca="false">A3232-A3231</f>
        <v>1</v>
      </c>
      <c r="E3232" s="24" t="n">
        <f aca="false">LN(C3232)</f>
        <v>10.5096951717095</v>
      </c>
      <c r="F3232" s="25" t="n">
        <f aca="false">LN(C3232/C3231)</f>
        <v>0.0301089940664037</v>
      </c>
      <c r="G3232" s="25" t="n">
        <f aca="false">IF(AND(D3232=1,A3232&gt;=$R$2),F3232,"")</f>
        <v>0.0301089940664037</v>
      </c>
      <c r="H3232" s="27" t="n">
        <f aca="false">IF(G3232="","",G3232^2)</f>
        <v>0.000906551523690735</v>
      </c>
      <c r="I3232" s="25" t="n">
        <f aca="false">IF(G3232="","",C3232/C3231-1)</f>
        <v>0.0305668535043877</v>
      </c>
      <c r="J3232" s="17" t="n">
        <f aca="false">AVERAGE(C3033:C3232)</f>
        <v>28557.73155</v>
      </c>
      <c r="K3232" s="17" t="n">
        <f aca="false">MAX(K3231,C3232)</f>
        <v>67510.06</v>
      </c>
      <c r="L3232" s="25" t="n">
        <f aca="false">C3232/K3232-1</f>
        <v>-0.456832063251018</v>
      </c>
      <c r="M3232" s="25" t="n">
        <f aca="false">IF(COUNT(G3203:G3232)&lt;20,"",_xlfn.STDEV.S(G3203:G3232)*SQRT($R$3))</f>
        <v>0.427899524324363</v>
      </c>
      <c r="N3232" s="25" t="n">
        <f aca="false">IF(A3232-7&lt;$R$2,"",C3232/INDEX(Clean_Data!$C$2:$C$4314,MATCH(A3232-7,Clean_Data!$A$2:$A$4314,1))-1)</f>
        <v>0.0496361125224523</v>
      </c>
      <c r="O3232" s="25" t="n">
        <f aca="false">IF(A3232-30&lt;$R$2,"",C3232/INDEX(Clean_Data!$C$2:$C$4314,MATCH(A3232-30,Clean_Data!$A$2:$A$4314,1))-1)</f>
        <v>0.338699673222538</v>
      </c>
    </row>
    <row r="3233" customFormat="false" ht="15" hidden="false" customHeight="false" outlineLevel="0" collapsed="false">
      <c r="A3233" s="16" t="n">
        <v>45240</v>
      </c>
      <c r="B3233" s="23" t="n">
        <f aca="false">YEAR(A3233)</f>
        <v>2023</v>
      </c>
      <c r="C3233" s="17" t="n">
        <v>37305.81</v>
      </c>
      <c r="D3233" s="23" t="n">
        <f aca="false">A3233-A3232</f>
        <v>1</v>
      </c>
      <c r="E3233" s="24" t="n">
        <f aca="false">LN(C3233)</f>
        <v>10.526904357577</v>
      </c>
      <c r="F3233" s="25" t="n">
        <f aca="false">LN(C3233/C3232)</f>
        <v>0.0172091858675502</v>
      </c>
      <c r="G3233" s="25" t="n">
        <f aca="false">IF(AND(D3233=1,A3233&gt;=$R$2),F3233,"")</f>
        <v>0.0172091858675502</v>
      </c>
      <c r="H3233" s="27" t="n">
        <f aca="false">IF(G3233="","",G3233^2)</f>
        <v>0.00029615607822389</v>
      </c>
      <c r="I3233" s="25" t="n">
        <f aca="false">IF(G3233="","",C3233/C3232-1)</f>
        <v>0.0173581170079602</v>
      </c>
      <c r="J3233" s="17" t="n">
        <f aca="false">AVERAGE(C3034:C3233)</f>
        <v>28606.66655</v>
      </c>
      <c r="K3233" s="17" t="n">
        <f aca="false">MAX(K3232,C3233)</f>
        <v>67510.06</v>
      </c>
      <c r="L3233" s="25" t="n">
        <f aca="false">C3233/K3233-1</f>
        <v>-0.447403690649956</v>
      </c>
      <c r="M3233" s="25" t="n">
        <f aca="false">IF(COUNT(G3204:G3233)&lt;20,"",_xlfn.STDEV.S(G3204:G3233)*SQRT($R$3))</f>
        <v>0.414940584140169</v>
      </c>
      <c r="N3233" s="25" t="n">
        <f aca="false">IF(A3233-7&lt;$R$2,"",C3233/INDEX(Clean_Data!$C$2:$C$4314,MATCH(A3233-7,Clean_Data!$A$2:$A$4314,1))-1)</f>
        <v>0.0739839549330936</v>
      </c>
      <c r="O3233" s="25" t="n">
        <f aca="false">IF(A3233-30&lt;$R$2,"",C3233/INDEX(Clean_Data!$C$2:$C$4314,MATCH(A3233-30,Clean_Data!$A$2:$A$4314,1))-1)</f>
        <v>0.389319916504822</v>
      </c>
    </row>
    <row r="3234" customFormat="false" ht="15" hidden="false" customHeight="false" outlineLevel="0" collapsed="false">
      <c r="A3234" s="16" t="n">
        <v>45241</v>
      </c>
      <c r="B3234" s="23" t="n">
        <f aca="false">YEAR(A3234)</f>
        <v>2023</v>
      </c>
      <c r="C3234" s="17" t="n">
        <v>37156.47</v>
      </c>
      <c r="D3234" s="23" t="n">
        <f aca="false">A3234-A3233</f>
        <v>1</v>
      </c>
      <c r="E3234" s="24" t="n">
        <f aca="false">LN(C3234)</f>
        <v>10.5228931937976</v>
      </c>
      <c r="F3234" s="25" t="n">
        <f aca="false">LN(C3234/C3233)</f>
        <v>-0.00401116377937818</v>
      </c>
      <c r="G3234" s="25" t="n">
        <f aca="false">IF(AND(D3234=1,A3234&gt;=$R$2),F3234,"")</f>
        <v>-0.00401116377937818</v>
      </c>
      <c r="H3234" s="27" t="n">
        <f aca="false">IF(G3234="","",G3234^2)</f>
        <v>1.60894348649955E-005</v>
      </c>
      <c r="I3234" s="25" t="n">
        <f aca="false">IF(G3234="","",C3234/C3233-1)</f>
        <v>-0.00400312980739448</v>
      </c>
      <c r="J3234" s="17" t="n">
        <f aca="false">AVERAGE(C3035:C3234)</f>
        <v>28650.8409</v>
      </c>
      <c r="K3234" s="17" t="n">
        <f aca="false">MAX(K3233,C3234)</f>
        <v>67510.06</v>
      </c>
      <c r="L3234" s="25" t="n">
        <f aca="false">C3234/K3234-1</f>
        <v>-0.449615805407372</v>
      </c>
      <c r="M3234" s="25" t="n">
        <f aca="false">IF(COUNT(G3205:G3234)&lt;20,"",_xlfn.STDEV.S(G3205:G3234)*SQRT($R$3))</f>
        <v>0.414959936780081</v>
      </c>
      <c r="N3234" s="25" t="n">
        <f aca="false">IF(A3234-7&lt;$R$2,"",C3234/INDEX(Clean_Data!$C$2:$C$4314,MATCH(A3234-7,Clean_Data!$A$2:$A$4314,1))-1)</f>
        <v>0.058739706510899</v>
      </c>
      <c r="O3234" s="25" t="n">
        <f aca="false">IF(A3234-30&lt;$R$2,"",C3234/INDEX(Clean_Data!$C$2:$C$4314,MATCH(A3234-30,Clean_Data!$A$2:$A$4314,1))-1)</f>
        <v>0.389260623282421</v>
      </c>
    </row>
    <row r="3235" customFormat="false" ht="15" hidden="false" customHeight="false" outlineLevel="0" collapsed="false">
      <c r="A3235" s="16" t="n">
        <v>45242</v>
      </c>
      <c r="B3235" s="23" t="n">
        <f aca="false">YEAR(A3235)</f>
        <v>2023</v>
      </c>
      <c r="C3235" s="17" t="n">
        <v>37093.34</v>
      </c>
      <c r="D3235" s="23" t="n">
        <f aca="false">A3235-A3234</f>
        <v>1</v>
      </c>
      <c r="E3235" s="24" t="n">
        <f aca="false">LN(C3235)</f>
        <v>10.521192717656</v>
      </c>
      <c r="F3235" s="25" t="n">
        <f aca="false">LN(C3235/C3234)</f>
        <v>-0.00170047614161787</v>
      </c>
      <c r="G3235" s="25" t="n">
        <f aca="false">IF(AND(D3235=1,A3235&gt;=$R$2),F3235,"")</f>
        <v>-0.00170047614161787</v>
      </c>
      <c r="H3235" s="27" t="n">
        <f aca="false">IF(G3235="","",G3235^2)</f>
        <v>2.8916191082116E-006</v>
      </c>
      <c r="I3235" s="25" t="n">
        <f aca="false">IF(G3235="","",C3235/C3234-1)</f>
        <v>-0.00169903115123704</v>
      </c>
      <c r="J3235" s="17" t="n">
        <f aca="false">AVERAGE(C3036:C3235)</f>
        <v>28694.2774</v>
      </c>
      <c r="K3235" s="17" t="n">
        <f aca="false">MAX(K3234,C3235)</f>
        <v>67510.06</v>
      </c>
      <c r="L3235" s="25" t="n">
        <f aca="false">C3235/K3235-1</f>
        <v>-0.450550925299133</v>
      </c>
      <c r="M3235" s="25" t="n">
        <f aca="false">IF(COUNT(G3206:G3235)&lt;20,"",_xlfn.STDEV.S(G3206:G3235)*SQRT($R$3))</f>
        <v>0.4166840393456</v>
      </c>
      <c r="N3235" s="25" t="n">
        <f aca="false">IF(A3235-7&lt;$R$2,"",C3235/INDEX(Clean_Data!$C$2:$C$4314,MATCH(A3235-7,Clean_Data!$A$2:$A$4314,1))-1)</f>
        <v>0.0593296866048698</v>
      </c>
      <c r="O3235" s="25" t="n">
        <f aca="false">IF(A3235-30&lt;$R$2,"",C3235/INDEX(Clean_Data!$C$2:$C$4314,MATCH(A3235-30,Clean_Data!$A$2:$A$4314,1))-1)</f>
        <v>0.381034360793921</v>
      </c>
    </row>
    <row r="3236" customFormat="false" ht="15" hidden="false" customHeight="false" outlineLevel="0" collapsed="false">
      <c r="A3236" s="16" t="n">
        <v>45243</v>
      </c>
      <c r="B3236" s="23" t="n">
        <f aca="false">YEAR(A3236)</f>
        <v>2023</v>
      </c>
      <c r="C3236" s="17" t="n">
        <v>36470.45</v>
      </c>
      <c r="D3236" s="23" t="n">
        <f aca="false">A3236-A3235</f>
        <v>1</v>
      </c>
      <c r="E3236" s="24" t="n">
        <f aca="false">LN(C3236)</f>
        <v>10.5042576226353</v>
      </c>
      <c r="F3236" s="25" t="n">
        <f aca="false">LN(C3236/C3235)</f>
        <v>-0.0169350950207197</v>
      </c>
      <c r="G3236" s="25" t="n">
        <f aca="false">IF(AND(D3236=1,A3236&gt;=$R$2),F3236,"")</f>
        <v>-0.0169350950207197</v>
      </c>
      <c r="H3236" s="27" t="n">
        <f aca="false">IF(G3236="","",G3236^2)</f>
        <v>0.000286797443360805</v>
      </c>
      <c r="I3236" s="25" t="n">
        <f aca="false">IF(G3236="","",C3236/C3235-1)</f>
        <v>-0.0167925023737415</v>
      </c>
      <c r="J3236" s="17" t="n">
        <f aca="false">AVERAGE(C3037:C3236)</f>
        <v>28729.11565</v>
      </c>
      <c r="K3236" s="17" t="n">
        <f aca="false">MAX(K3235,C3236)</f>
        <v>67510.06</v>
      </c>
      <c r="L3236" s="25" t="n">
        <f aca="false">C3236/K3236-1</f>
        <v>-0.459777550190298</v>
      </c>
      <c r="M3236" s="25" t="n">
        <f aca="false">IF(COUNT(G3207:G3236)&lt;20,"",_xlfn.STDEV.S(G3207:G3236)*SQRT($R$3))</f>
        <v>0.426245263406307</v>
      </c>
      <c r="N3236" s="25" t="n">
        <f aca="false">IF(A3236-7&lt;$R$2,"",C3236/INDEX(Clean_Data!$C$2:$C$4314,MATCH(A3236-7,Clean_Data!$A$2:$A$4314,1))-1)</f>
        <v>0.0401121265253552</v>
      </c>
      <c r="O3236" s="25" t="n">
        <f aca="false">IF(A3236-30&lt;$R$2,"",C3236/INDEX(Clean_Data!$C$2:$C$4314,MATCH(A3236-30,Clean_Data!$A$2:$A$4314,1))-1)</f>
        <v>0.357934847484612</v>
      </c>
    </row>
    <row r="3237" customFormat="false" ht="15" hidden="false" customHeight="false" outlineLevel="0" collapsed="false">
      <c r="A3237" s="16" t="n">
        <v>45244</v>
      </c>
      <c r="B3237" s="23" t="n">
        <f aca="false">YEAR(A3237)</f>
        <v>2023</v>
      </c>
      <c r="C3237" s="17" t="n">
        <v>35552.8</v>
      </c>
      <c r="D3237" s="23" t="n">
        <f aca="false">A3237-A3236</f>
        <v>1</v>
      </c>
      <c r="E3237" s="24" t="n">
        <f aca="false">LN(C3237)</f>
        <v>10.4787741944364</v>
      </c>
      <c r="F3237" s="25" t="n">
        <f aca="false">LN(C3237/C3236)</f>
        <v>-0.0254834281988844</v>
      </c>
      <c r="G3237" s="25" t="n">
        <f aca="false">IF(AND(D3237=1,A3237&gt;=$R$2),F3237,"")</f>
        <v>-0.0254834281988844</v>
      </c>
      <c r="H3237" s="27" t="n">
        <f aca="false">IF(G3237="","",G3237^2)</f>
        <v>0.000649405112767696</v>
      </c>
      <c r="I3237" s="25" t="n">
        <f aca="false">IF(G3237="","",C3237/C3236-1)</f>
        <v>-0.0251614663378158</v>
      </c>
      <c r="J3237" s="17" t="n">
        <f aca="false">AVERAGE(C3038:C3237)</f>
        <v>28760.15785</v>
      </c>
      <c r="K3237" s="17" t="n">
        <f aca="false">MAX(K3236,C3237)</f>
        <v>67510.06</v>
      </c>
      <c r="L3237" s="25" t="n">
        <f aca="false">C3237/K3237-1</f>
        <v>-0.473370339176117</v>
      </c>
      <c r="M3237" s="25" t="n">
        <f aca="false">IF(COUNT(G3208:G3237)&lt;20,"",_xlfn.STDEV.S(G3208:G3237)*SQRT($R$3))</f>
        <v>0.444006434410003</v>
      </c>
      <c r="N3237" s="25" t="n">
        <f aca="false">IF(A3237-7&lt;$R$2,"",C3237/INDEX(Clean_Data!$C$2:$C$4314,MATCH(A3237-7,Clean_Data!$A$2:$A$4314,1))-1)</f>
        <v>0.00372237334120085</v>
      </c>
      <c r="O3237" s="25" t="n">
        <f aca="false">IF(A3237-30&lt;$R$2,"",C3237/INDEX(Clean_Data!$C$2:$C$4314,MATCH(A3237-30,Clean_Data!$A$2:$A$4314,1))-1)</f>
        <v>0.309237888385857</v>
      </c>
    </row>
    <row r="3238" customFormat="false" ht="15" hidden="false" customHeight="false" outlineLevel="0" collapsed="false">
      <c r="A3238" s="16" t="n">
        <v>45245</v>
      </c>
      <c r="B3238" s="23" t="n">
        <f aca="false">YEAR(A3238)</f>
        <v>2023</v>
      </c>
      <c r="C3238" s="17" t="n">
        <v>37876.32</v>
      </c>
      <c r="D3238" s="23" t="n">
        <f aca="false">A3238-A3237</f>
        <v>1</v>
      </c>
      <c r="E3238" s="24" t="n">
        <f aca="false">LN(C3238)</f>
        <v>10.5420813936895</v>
      </c>
      <c r="F3238" s="25" t="n">
        <f aca="false">LN(C3238/C3237)</f>
        <v>0.0633071992531101</v>
      </c>
      <c r="G3238" s="25" t="n">
        <f aca="false">IF(AND(D3238=1,A3238&gt;=$R$2),F3238,"")</f>
        <v>0.0633071992531101</v>
      </c>
      <c r="H3238" s="27" t="n">
        <f aca="false">IF(G3238="","",G3238^2)</f>
        <v>0.00400780147727299</v>
      </c>
      <c r="I3238" s="25" t="n">
        <f aca="false">IF(G3238="","",C3238/C3237-1)</f>
        <v>0.0653540649400328</v>
      </c>
      <c r="J3238" s="17" t="n">
        <f aca="false">AVERAGE(C3039:C3238)</f>
        <v>28803.29115</v>
      </c>
      <c r="K3238" s="17" t="n">
        <f aca="false">MAX(K3237,C3238)</f>
        <v>67510.06</v>
      </c>
      <c r="L3238" s="25" t="n">
        <f aca="false">C3238/K3238-1</f>
        <v>-0.438952950123285</v>
      </c>
      <c r="M3238" s="25" t="n">
        <f aca="false">IF(COUNT(G3209:G3238)&lt;20,"",_xlfn.STDEV.S(G3209:G3238)*SQRT($R$3))</f>
        <v>0.4620721619142</v>
      </c>
      <c r="N3238" s="25" t="n">
        <f aca="false">IF(A3238-7&lt;$R$2,"",C3238/INDEX(Clean_Data!$C$2:$C$4314,MATCH(A3238-7,Clean_Data!$A$2:$A$4314,1))-1)</f>
        <v>0.0644893664380097</v>
      </c>
      <c r="O3238" s="25" t="n">
        <f aca="false">IF(A3238-30&lt;$R$2,"",C3238/INDEX(Clean_Data!$C$2:$C$4314,MATCH(A3238-30,Clean_Data!$A$2:$A$4314,1))-1)</f>
        <v>0.327396616491947</v>
      </c>
    </row>
    <row r="3239" customFormat="false" ht="15" hidden="false" customHeight="false" outlineLevel="0" collapsed="false">
      <c r="A3239" s="16" t="n">
        <v>45246</v>
      </c>
      <c r="B3239" s="23" t="n">
        <f aca="false">YEAR(A3239)</f>
        <v>2023</v>
      </c>
      <c r="C3239" s="17" t="n">
        <v>36150.03</v>
      </c>
      <c r="D3239" s="23" t="n">
        <f aca="false">A3239-A3238</f>
        <v>1</v>
      </c>
      <c r="E3239" s="24" t="n">
        <f aca="false">LN(C3239)</f>
        <v>10.4954330574621</v>
      </c>
      <c r="F3239" s="25" t="n">
        <f aca="false">LN(C3239/C3238)</f>
        <v>-0.0466483362274349</v>
      </c>
      <c r="G3239" s="25" t="n">
        <f aca="false">IF(AND(D3239=1,A3239&gt;=$R$2),F3239,"")</f>
        <v>-0.0466483362274349</v>
      </c>
      <c r="H3239" s="27" t="n">
        <f aca="false">IF(G3239="","",G3239^2)</f>
        <v>0.00217606727278781</v>
      </c>
      <c r="I3239" s="25" t="n">
        <f aca="false">IF(G3239="","",C3239/C3238-1)</f>
        <v>-0.0455770254343612</v>
      </c>
      <c r="J3239" s="17" t="n">
        <f aca="false">AVERAGE(C3040:C3239)</f>
        <v>28837.6855</v>
      </c>
      <c r="K3239" s="17" t="n">
        <f aca="false">MAX(K3238,C3239)</f>
        <v>67510.06</v>
      </c>
      <c r="L3239" s="25" t="n">
        <f aca="false">C3239/K3239-1</f>
        <v>-0.46452380578539</v>
      </c>
      <c r="M3239" s="25" t="n">
        <f aca="false">IF(COUNT(G3210:G3239)&lt;20,"",_xlfn.STDEV.S(G3210:G3239)*SQRT($R$3))</f>
        <v>0.499937562517705</v>
      </c>
      <c r="N3239" s="25" t="n">
        <f aca="false">IF(A3239-7&lt;$R$2,"",C3239/INDEX(Clean_Data!$C$2:$C$4314,MATCH(A3239-7,Clean_Data!$A$2:$A$4314,1))-1)</f>
        <v>-0.014160892081387</v>
      </c>
      <c r="O3239" s="25" t="n">
        <f aca="false">IF(A3239-30&lt;$R$2,"",C3239/INDEX(Clean_Data!$C$2:$C$4314,MATCH(A3239-30,Clean_Data!$A$2:$A$4314,1))-1)</f>
        <v>0.27252141019896</v>
      </c>
    </row>
    <row r="3240" customFormat="false" ht="15" hidden="false" customHeight="false" outlineLevel="0" collapsed="false">
      <c r="A3240" s="16" t="n">
        <v>45247</v>
      </c>
      <c r="B3240" s="23" t="n">
        <f aca="false">YEAR(A3240)</f>
        <v>2023</v>
      </c>
      <c r="C3240" s="17" t="n">
        <v>36626.6</v>
      </c>
      <c r="D3240" s="23" t="n">
        <f aca="false">A3240-A3239</f>
        <v>1</v>
      </c>
      <c r="E3240" s="24" t="n">
        <f aca="false">LN(C3240)</f>
        <v>10.508530031372</v>
      </c>
      <c r="F3240" s="25" t="n">
        <f aca="false">LN(C3240/C3239)</f>
        <v>0.0130969739099034</v>
      </c>
      <c r="G3240" s="25" t="n">
        <f aca="false">IF(AND(D3240=1,A3240&gt;=$R$2),F3240,"")</f>
        <v>0.0130969739099034</v>
      </c>
      <c r="H3240" s="27" t="n">
        <f aca="false">IF(G3240="","",G3240^2)</f>
        <v>0.000171530725596692</v>
      </c>
      <c r="I3240" s="25" t="n">
        <f aca="false">IF(G3240="","",C3240/C3239-1)</f>
        <v>0.0131831149241093</v>
      </c>
      <c r="J3240" s="17" t="n">
        <f aca="false">AVERAGE(C3041:C3240)</f>
        <v>28880.5363</v>
      </c>
      <c r="K3240" s="17" t="n">
        <f aca="false">MAX(K3239,C3240)</f>
        <v>67510.06</v>
      </c>
      <c r="L3240" s="25" t="n">
        <f aca="false">C3240/K3240-1</f>
        <v>-0.457464561577934</v>
      </c>
      <c r="M3240" s="25" t="n">
        <f aca="false">IF(COUNT(G3211:G3240)&lt;20,"",_xlfn.STDEV.S(G3211:G3240)*SQRT($R$3))</f>
        <v>0.498472645888591</v>
      </c>
      <c r="N3240" s="25" t="n">
        <f aca="false">IF(A3240-7&lt;$R$2,"",C3240/INDEX(Clean_Data!$C$2:$C$4314,MATCH(A3240-7,Clean_Data!$A$2:$A$4314,1))-1)</f>
        <v>-0.018206547451992</v>
      </c>
      <c r="O3240" s="25" t="n">
        <f aca="false">IF(A3240-30&lt;$R$2,"",C3240/INDEX(Clean_Data!$C$2:$C$4314,MATCH(A3240-30,Clean_Data!$A$2:$A$4314,1))-1)</f>
        <v>0.293798691951599</v>
      </c>
    </row>
    <row r="3241" customFormat="false" ht="15" hidden="false" customHeight="false" outlineLevel="0" collapsed="false">
      <c r="A3241" s="16" t="n">
        <v>45248</v>
      </c>
      <c r="B3241" s="23" t="n">
        <f aca="false">YEAR(A3241)</f>
        <v>2023</v>
      </c>
      <c r="C3241" s="17" t="n">
        <v>36595.55</v>
      </c>
      <c r="D3241" s="23" t="n">
        <f aca="false">A3241-A3240</f>
        <v>1</v>
      </c>
      <c r="E3241" s="24" t="n">
        <f aca="false">LN(C3241)</f>
        <v>10.507681927298</v>
      </c>
      <c r="F3241" s="25" t="n">
        <f aca="false">LN(C3241/C3240)</f>
        <v>-0.000848104074003092</v>
      </c>
      <c r="G3241" s="25" t="n">
        <f aca="false">IF(AND(D3241=1,A3241&gt;=$R$2),F3241,"")</f>
        <v>-0.000848104074003092</v>
      </c>
      <c r="H3241" s="27" t="n">
        <f aca="false">IF(G3241="","",G3241^2)</f>
        <v>7.19280520340643E-007</v>
      </c>
      <c r="I3241" s="25" t="n">
        <f aca="false">IF(G3241="","",C3241/C3240-1)</f>
        <v>-0.000847744535392159</v>
      </c>
      <c r="J3241" s="17" t="n">
        <f aca="false">AVERAGE(C3042:C3241)</f>
        <v>28920.10015</v>
      </c>
      <c r="K3241" s="17" t="n">
        <f aca="false">MAX(K3240,C3241)</f>
        <v>67510.06</v>
      </c>
      <c r="L3241" s="25" t="n">
        <f aca="false">C3241/K3241-1</f>
        <v>-0.457924493031113</v>
      </c>
      <c r="M3241" s="25" t="n">
        <f aca="false">IF(COUNT(G3212:G3241)&lt;20,"",_xlfn.STDEV.S(G3212:G3241)*SQRT($R$3))</f>
        <v>0.498987218643727</v>
      </c>
      <c r="N3241" s="25" t="n">
        <f aca="false">IF(A3241-7&lt;$R$2,"",C3241/INDEX(Clean_Data!$C$2:$C$4314,MATCH(A3241-7,Clean_Data!$A$2:$A$4314,1))-1)</f>
        <v>-0.0150961595652116</v>
      </c>
      <c r="O3241" s="25" t="n">
        <f aca="false">IF(A3241-30&lt;$R$2,"",C3241/INDEX(Clean_Data!$C$2:$C$4314,MATCH(A3241-30,Clean_Data!$A$2:$A$4314,1))-1)</f>
        <v>0.273574875646044</v>
      </c>
    </row>
    <row r="3242" customFormat="false" ht="15" hidden="false" customHeight="false" outlineLevel="0" collapsed="false">
      <c r="A3242" s="16" t="n">
        <v>45249</v>
      </c>
      <c r="B3242" s="23" t="n">
        <f aca="false">YEAR(A3242)</f>
        <v>2023</v>
      </c>
      <c r="C3242" s="17" t="n">
        <v>37392.52</v>
      </c>
      <c r="D3242" s="23" t="n">
        <f aca="false">A3242-A3241</f>
        <v>1</v>
      </c>
      <c r="E3242" s="24" t="n">
        <f aca="false">LN(C3242)</f>
        <v>10.5292259634</v>
      </c>
      <c r="F3242" s="25" t="n">
        <f aca="false">LN(C3242/C3241)</f>
        <v>0.0215440361019707</v>
      </c>
      <c r="G3242" s="25" t="n">
        <f aca="false">IF(AND(D3242=1,A3242&gt;=$R$2),F3242,"")</f>
        <v>0.0215440361019707</v>
      </c>
      <c r="H3242" s="27" t="n">
        <f aca="false">IF(G3242="","",G3242^2)</f>
        <v>0.000464145491563016</v>
      </c>
      <c r="I3242" s="25" t="n">
        <f aca="false">IF(G3242="","",C3242/C3241-1)</f>
        <v>0.0217777844573996</v>
      </c>
      <c r="J3242" s="17" t="n">
        <f aca="false">AVERAGE(C3043:C3242)</f>
        <v>28961.82555</v>
      </c>
      <c r="K3242" s="17" t="n">
        <f aca="false">MAX(K3241,C3242)</f>
        <v>67510.06</v>
      </c>
      <c r="L3242" s="25" t="n">
        <f aca="false">C3242/K3242-1</f>
        <v>-0.446119289480709</v>
      </c>
      <c r="M3242" s="25" t="n">
        <f aca="false">IF(COUNT(G3213:G3242)&lt;20,"",_xlfn.STDEV.S(G3213:G3242)*SQRT($R$3))</f>
        <v>0.493605849679613</v>
      </c>
      <c r="N3242" s="25" t="n">
        <f aca="false">IF(A3242-7&lt;$R$2,"",C3242/INDEX(Clean_Data!$C$2:$C$4314,MATCH(A3242-7,Clean_Data!$A$2:$A$4314,1))-1)</f>
        <v>0.00806559883795854</v>
      </c>
      <c r="O3242" s="25" t="n">
        <f aca="false">IF(A3242-30&lt;$R$2,"",C3242/INDEX(Clean_Data!$C$2:$C$4314,MATCH(A3242-30,Clean_Data!$A$2:$A$4314,1))-1)</f>
        <v>0.25957315508043</v>
      </c>
    </row>
    <row r="3243" customFormat="false" ht="15" hidden="false" customHeight="false" outlineLevel="0" collapsed="false">
      <c r="A3243" s="16" t="n">
        <v>45250</v>
      </c>
      <c r="B3243" s="23" t="n">
        <f aca="false">YEAR(A3243)</f>
        <v>2023</v>
      </c>
      <c r="C3243" s="17" t="n">
        <v>37476.08</v>
      </c>
      <c r="D3243" s="23" t="n">
        <f aca="false">A3243-A3242</f>
        <v>1</v>
      </c>
      <c r="E3243" s="24" t="n">
        <f aca="false">LN(C3243)</f>
        <v>10.5314581417683</v>
      </c>
      <c r="F3243" s="25" t="n">
        <f aca="false">LN(C3243/C3242)</f>
        <v>0.0022321783683854</v>
      </c>
      <c r="G3243" s="25" t="n">
        <f aca="false">IF(AND(D3243=1,A3243&gt;=$R$2),F3243,"")</f>
        <v>0.0022321783683854</v>
      </c>
      <c r="H3243" s="27" t="n">
        <f aca="false">IF(G3243="","",G3243^2)</f>
        <v>4.98262026828772E-006</v>
      </c>
      <c r="I3243" s="25" t="n">
        <f aca="false">IF(G3243="","",C3243/C3242-1)</f>
        <v>0.00223467153323731</v>
      </c>
      <c r="J3243" s="17" t="n">
        <f aca="false">AVERAGE(C3044:C3243)</f>
        <v>29004.89815</v>
      </c>
      <c r="K3243" s="17" t="n">
        <f aca="false">MAX(K3242,C3243)</f>
        <v>67510.06</v>
      </c>
      <c r="L3243" s="25" t="n">
        <f aca="false">C3243/K3243-1</f>
        <v>-0.444881548024102</v>
      </c>
      <c r="M3243" s="25" t="n">
        <f aca="false">IF(COUNT(G3214:G3243)&lt;20,"",_xlfn.STDEV.S(G3214:G3243)*SQRT($R$3))</f>
        <v>0.493968558082315</v>
      </c>
      <c r="N3243" s="25" t="n">
        <f aca="false">IF(A3243-7&lt;$R$2,"",C3243/INDEX(Clean_Data!$C$2:$C$4314,MATCH(A3243-7,Clean_Data!$A$2:$A$4314,1))-1)</f>
        <v>0.0275738303201634</v>
      </c>
      <c r="O3243" s="25" t="n">
        <f aca="false">IF(A3243-30&lt;$R$2,"",C3243/INDEX(Clean_Data!$C$2:$C$4314,MATCH(A3243-30,Clean_Data!$A$2:$A$4314,1))-1)</f>
        <v>0.252162779477351</v>
      </c>
    </row>
    <row r="3244" customFormat="false" ht="15" hidden="false" customHeight="false" outlineLevel="0" collapsed="false">
      <c r="A3244" s="16" t="n">
        <v>45251</v>
      </c>
      <c r="B3244" s="23" t="n">
        <f aca="false">YEAR(A3244)</f>
        <v>2023</v>
      </c>
      <c r="C3244" s="17" t="n">
        <v>35734.18</v>
      </c>
      <c r="D3244" s="23" t="n">
        <f aca="false">A3244-A3243</f>
        <v>1</v>
      </c>
      <c r="E3244" s="24" t="n">
        <f aca="false">LN(C3244)</f>
        <v>10.4838629326999</v>
      </c>
      <c r="F3244" s="25" t="n">
        <f aca="false">LN(C3244/C3243)</f>
        <v>-0.0475952090684609</v>
      </c>
      <c r="G3244" s="25" t="n">
        <f aca="false">IF(AND(D3244=1,A3244&gt;=$R$2),F3244,"")</f>
        <v>-0.0475952090684609</v>
      </c>
      <c r="H3244" s="27" t="n">
        <f aca="false">IF(G3244="","",G3244^2)</f>
        <v>0.0022653039262705</v>
      </c>
      <c r="I3244" s="25" t="n">
        <f aca="false">IF(G3244="","",C3244/C3243-1)</f>
        <v>-0.0464803149102041</v>
      </c>
      <c r="J3244" s="17" t="n">
        <f aca="false">AVERAGE(C3045:C3244)</f>
        <v>29035.9943</v>
      </c>
      <c r="K3244" s="17" t="n">
        <f aca="false">MAX(K3243,C3244)</f>
        <v>67510.06</v>
      </c>
      <c r="L3244" s="25" t="n">
        <f aca="false">C3244/K3244-1</f>
        <v>-0.470683628484407</v>
      </c>
      <c r="M3244" s="25" t="n">
        <f aca="false">IF(COUNT(G3215:G3244)&lt;20,"",_xlfn.STDEV.S(G3215:G3244)*SQRT($R$3))</f>
        <v>0.529895599525115</v>
      </c>
      <c r="N3244" s="25" t="n">
        <f aca="false">IF(A3244-7&lt;$R$2,"",C3244/INDEX(Clean_Data!$C$2:$C$4314,MATCH(A3244-7,Clean_Data!$A$2:$A$4314,1))-1)</f>
        <v>0.00510170788236075</v>
      </c>
      <c r="O3244" s="25" t="n">
        <f aca="false">IF(A3244-30&lt;$R$2,"",C3244/INDEX(Clean_Data!$C$2:$C$4314,MATCH(A3244-30,Clean_Data!$A$2:$A$4314,1))-1)</f>
        <v>0.191610814012077</v>
      </c>
    </row>
    <row r="3245" customFormat="false" ht="15" hidden="false" customHeight="false" outlineLevel="0" collapsed="false">
      <c r="A3245" s="16" t="n">
        <v>45252</v>
      </c>
      <c r="B3245" s="23" t="n">
        <f aca="false">YEAR(A3245)</f>
        <v>2023</v>
      </c>
      <c r="C3245" s="17" t="n">
        <v>37443.86</v>
      </c>
      <c r="D3245" s="23" t="n">
        <f aca="false">A3245-A3244</f>
        <v>1</v>
      </c>
      <c r="E3245" s="24" t="n">
        <f aca="false">LN(C3245)</f>
        <v>10.5305980235679</v>
      </c>
      <c r="F3245" s="25" t="n">
        <f aca="false">LN(C3245/C3244)</f>
        <v>0.0467350908679825</v>
      </c>
      <c r="G3245" s="25" t="n">
        <f aca="false">IF(AND(D3245=1,A3245&gt;=$R$2),F3245,"")</f>
        <v>0.0467350908679825</v>
      </c>
      <c r="H3245" s="27" t="n">
        <f aca="false">IF(G3245="","",G3245^2)</f>
        <v>0.00218416871843858</v>
      </c>
      <c r="I3245" s="25" t="n">
        <f aca="false">IF(G3245="","",C3245/C3244-1)</f>
        <v>0.0478443887616842</v>
      </c>
      <c r="J3245" s="17" t="n">
        <f aca="false">AVERAGE(C3046:C3245)</f>
        <v>29078.6753</v>
      </c>
      <c r="K3245" s="17" t="n">
        <f aca="false">MAX(K3244,C3245)</f>
        <v>67510.06</v>
      </c>
      <c r="L3245" s="25" t="n">
        <f aca="false">C3245/K3245-1</f>
        <v>-0.445358810227691</v>
      </c>
      <c r="M3245" s="25" t="n">
        <f aca="false">IF(COUNT(G3216:G3245)&lt;20,"",_xlfn.STDEV.S(G3216:G3245)*SQRT($R$3))</f>
        <v>0.437733054710213</v>
      </c>
      <c r="N3245" s="25" t="n">
        <f aca="false">IF(A3245-7&lt;$R$2,"",C3245/INDEX(Clean_Data!$C$2:$C$4314,MATCH(A3245-7,Clean_Data!$A$2:$A$4314,1))-1)</f>
        <v>-0.011417687885201</v>
      </c>
      <c r="O3245" s="25" t="n">
        <f aca="false">IF(A3245-30&lt;$R$2,"",C3245/INDEX(Clean_Data!$C$2:$C$4314,MATCH(A3245-30,Clean_Data!$A$2:$A$4314,1))-1)</f>
        <v>0.131000040474995</v>
      </c>
    </row>
    <row r="3246" customFormat="false" ht="15" hidden="false" customHeight="false" outlineLevel="0" collapsed="false">
      <c r="A3246" s="16" t="n">
        <v>45253</v>
      </c>
      <c r="B3246" s="23" t="n">
        <f aca="false">YEAR(A3246)</f>
        <v>2023</v>
      </c>
      <c r="C3246" s="17" t="n">
        <v>37298</v>
      </c>
      <c r="D3246" s="23" t="n">
        <f aca="false">A3246-A3245</f>
        <v>1</v>
      </c>
      <c r="E3246" s="24" t="n">
        <f aca="false">LN(C3246)</f>
        <v>10.5266949848914</v>
      </c>
      <c r="F3246" s="25" t="n">
        <f aca="false">LN(C3246/C3245)</f>
        <v>-0.00390303867647147</v>
      </c>
      <c r="G3246" s="25" t="n">
        <f aca="false">IF(AND(D3246=1,A3246&gt;=$R$2),F3246,"")</f>
        <v>-0.00390303867647147</v>
      </c>
      <c r="H3246" s="27" t="n">
        <f aca="false">IF(G3246="","",G3246^2)</f>
        <v>1.52337109100321E-005</v>
      </c>
      <c r="I3246" s="25" t="n">
        <f aca="false">IF(G3246="","",C3246/C3245-1)</f>
        <v>-0.00389543172098172</v>
      </c>
      <c r="J3246" s="17" t="n">
        <f aca="false">AVERAGE(C3047:C3246)</f>
        <v>29123.0403</v>
      </c>
      <c r="K3246" s="17" t="n">
        <f aca="false">MAX(K3245,C3246)</f>
        <v>67510.06</v>
      </c>
      <c r="L3246" s="25" t="n">
        <f aca="false">C3246/K3246-1</f>
        <v>-0.447519377112093</v>
      </c>
      <c r="M3246" s="25" t="n">
        <f aca="false">IF(COUNT(G3217:G3246)&lt;20,"",_xlfn.STDEV.S(G3217:G3246)*SQRT($R$3))</f>
        <v>0.432399842566565</v>
      </c>
      <c r="N3246" s="25" t="n">
        <f aca="false">IF(A3246-7&lt;$R$2,"",C3246/INDEX(Clean_Data!$C$2:$C$4314,MATCH(A3246-7,Clean_Data!$A$2:$A$4314,1))-1)</f>
        <v>0.0317557136190483</v>
      </c>
      <c r="O3246" s="25" t="n">
        <f aca="false">IF(A3246-30&lt;$R$2,"",C3246/INDEX(Clean_Data!$C$2:$C$4314,MATCH(A3246-30,Clean_Data!$A$2:$A$4314,1))-1)</f>
        <v>0.099589857523249</v>
      </c>
    </row>
    <row r="3247" customFormat="false" ht="15" hidden="false" customHeight="false" outlineLevel="0" collapsed="false">
      <c r="A3247" s="16" t="n">
        <v>45254</v>
      </c>
      <c r="B3247" s="23" t="n">
        <f aca="false">YEAR(A3247)</f>
        <v>2023</v>
      </c>
      <c r="C3247" s="17" t="n">
        <v>37745.94</v>
      </c>
      <c r="D3247" s="23" t="n">
        <f aca="false">A3247-A3246</f>
        <v>1</v>
      </c>
      <c r="E3247" s="24" t="n">
        <f aca="false">LN(C3247)</f>
        <v>10.5386331992244</v>
      </c>
      <c r="F3247" s="25" t="n">
        <f aca="false">LN(C3247/C3246)</f>
        <v>0.0119382143330248</v>
      </c>
      <c r="G3247" s="25" t="n">
        <f aca="false">IF(AND(D3247=1,A3247&gt;=$R$2),F3247,"")</f>
        <v>0.0119382143330248</v>
      </c>
      <c r="H3247" s="27" t="n">
        <f aca="false">IF(G3247="","",G3247^2)</f>
        <v>0.000142520961461238</v>
      </c>
      <c r="I3247" s="25" t="n">
        <f aca="false">IF(G3247="","",C3247/C3246-1)</f>
        <v>0.0120097592364203</v>
      </c>
      <c r="J3247" s="17" t="n">
        <f aca="false">AVERAGE(C3048:C3247)</f>
        <v>29173.3565</v>
      </c>
      <c r="K3247" s="17" t="n">
        <f aca="false">MAX(K3246,C3247)</f>
        <v>67510.06</v>
      </c>
      <c r="L3247" s="25" t="n">
        <f aca="false">C3247/K3247-1</f>
        <v>-0.440884217848421</v>
      </c>
      <c r="M3247" s="25" t="n">
        <f aca="false">IF(COUNT(G3218:G3247)&lt;20,"",_xlfn.STDEV.S(G3218:G3247)*SQRT($R$3))</f>
        <v>0.430854190191395</v>
      </c>
      <c r="N3247" s="25" t="n">
        <f aca="false">IF(A3247-7&lt;$R$2,"",C3247/INDEX(Clean_Data!$C$2:$C$4314,MATCH(A3247-7,Clean_Data!$A$2:$A$4314,1))-1)</f>
        <v>0.0305608492188738</v>
      </c>
      <c r="O3247" s="25" t="n">
        <f aca="false">IF(A3247-30&lt;$R$2,"",C3247/INDEX(Clean_Data!$C$2:$C$4314,MATCH(A3247-30,Clean_Data!$A$2:$A$4314,1))-1)</f>
        <v>0.09440529128664</v>
      </c>
    </row>
    <row r="3248" customFormat="false" ht="15" hidden="false" customHeight="false" outlineLevel="0" collapsed="false">
      <c r="A3248" s="16" t="n">
        <v>45255</v>
      </c>
      <c r="B3248" s="23" t="n">
        <f aca="false">YEAR(A3248)</f>
        <v>2023</v>
      </c>
      <c r="C3248" s="17" t="n">
        <v>37801.75</v>
      </c>
      <c r="D3248" s="23" t="n">
        <f aca="false">A3248-A3247</f>
        <v>1</v>
      </c>
      <c r="E3248" s="24" t="n">
        <f aca="false">LN(C3248)</f>
        <v>10.5401106768323</v>
      </c>
      <c r="F3248" s="25" t="n">
        <f aca="false">LN(C3248/C3247)</f>
        <v>0.00147747760791851</v>
      </c>
      <c r="G3248" s="25" t="n">
        <f aca="false">IF(AND(D3248=1,A3248&gt;=$R$2),F3248,"")</f>
        <v>0.00147747760791851</v>
      </c>
      <c r="H3248" s="27" t="n">
        <f aca="false">IF(G3248="","",G3248^2)</f>
        <v>2.18294008190061E-006</v>
      </c>
      <c r="I3248" s="25" t="n">
        <f aca="false">IF(G3248="","",C3248/C3247-1)</f>
        <v>0.00147856961569892</v>
      </c>
      <c r="J3248" s="17" t="n">
        <f aca="false">AVERAGE(C3049:C3248)</f>
        <v>29224.1295</v>
      </c>
      <c r="K3248" s="17" t="n">
        <f aca="false">MAX(K3247,C3248)</f>
        <v>67510.06</v>
      </c>
      <c r="L3248" s="25" t="n">
        <f aca="false">C3248/K3248-1</f>
        <v>-0.440057526241274</v>
      </c>
      <c r="M3248" s="25" t="n">
        <f aca="false">IF(COUNT(G3219:G3248)&lt;20,"",_xlfn.STDEV.S(G3219:G3248)*SQRT($R$3))</f>
        <v>0.428267675913051</v>
      </c>
      <c r="N3248" s="25" t="n">
        <f aca="false">IF(A3248-7&lt;$R$2,"",C3248/INDEX(Clean_Data!$C$2:$C$4314,MATCH(A3248-7,Clean_Data!$A$2:$A$4314,1))-1)</f>
        <v>0.0329602916201559</v>
      </c>
      <c r="O3248" s="25" t="n">
        <f aca="false">IF(A3248-30&lt;$R$2,"",C3248/INDEX(Clean_Data!$C$2:$C$4314,MATCH(A3248-30,Clean_Data!$A$2:$A$4314,1))-1)</f>
        <v>0.107256883421207</v>
      </c>
    </row>
    <row r="3249" customFormat="false" ht="15" hidden="false" customHeight="false" outlineLevel="0" collapsed="false">
      <c r="A3249" s="16" t="n">
        <v>45256</v>
      </c>
      <c r="B3249" s="23" t="n">
        <f aca="false">YEAR(A3249)</f>
        <v>2023</v>
      </c>
      <c r="C3249" s="17" t="n">
        <v>37470.52</v>
      </c>
      <c r="D3249" s="23" t="n">
        <f aca="false">A3249-A3248</f>
        <v>1</v>
      </c>
      <c r="E3249" s="24" t="n">
        <f aca="false">LN(C3249)</f>
        <v>10.5313097694603</v>
      </c>
      <c r="F3249" s="25" t="n">
        <f aca="false">LN(C3249/C3248)</f>
        <v>-0.00880090737201549</v>
      </c>
      <c r="G3249" s="25" t="n">
        <f aca="false">IF(AND(D3249=1,A3249&gt;=$R$2),F3249,"")</f>
        <v>-0.00880090737201549</v>
      </c>
      <c r="H3249" s="27" t="n">
        <f aca="false">IF(G3249="","",G3249^2)</f>
        <v>7.74559705707967E-005</v>
      </c>
      <c r="I3249" s="25" t="n">
        <f aca="false">IF(G3249="","",C3249/C3248-1)</f>
        <v>-0.00876229275099705</v>
      </c>
      <c r="J3249" s="17" t="n">
        <f aca="false">AVERAGE(C3050:C3249)</f>
        <v>29273.3811</v>
      </c>
      <c r="K3249" s="17" t="n">
        <f aca="false">MAX(K3248,C3249)</f>
        <v>67510.06</v>
      </c>
      <c r="L3249" s="25" t="n">
        <f aca="false">C3249/K3249-1</f>
        <v>-0.444963906120066</v>
      </c>
      <c r="M3249" s="25" t="n">
        <f aca="false">IF(COUNT(G3220:G3249)&lt;20,"",_xlfn.STDEV.S(G3220:G3249)*SQRT($R$3))</f>
        <v>0.428892991679958</v>
      </c>
      <c r="N3249" s="25" t="n">
        <f aca="false">IF(A3249-7&lt;$R$2,"",C3249/INDEX(Clean_Data!$C$2:$C$4314,MATCH(A3249-7,Clean_Data!$A$2:$A$4314,1))-1)</f>
        <v>0.00208597869306493</v>
      </c>
      <c r="O3249" s="25" t="n">
        <f aca="false">IF(A3249-30&lt;$R$2,"",C3249/INDEX(Clean_Data!$C$2:$C$4314,MATCH(A3249-30,Clean_Data!$A$2:$A$4314,1))-1)</f>
        <v>0.105156855180745</v>
      </c>
    </row>
    <row r="3250" customFormat="false" ht="15" hidden="false" customHeight="false" outlineLevel="0" collapsed="false">
      <c r="A3250" s="16" t="n">
        <v>45257</v>
      </c>
      <c r="B3250" s="23" t="n">
        <f aca="false">YEAR(A3250)</f>
        <v>2023</v>
      </c>
      <c r="C3250" s="17" t="n">
        <v>37244.39</v>
      </c>
      <c r="D3250" s="23" t="n">
        <f aca="false">A3250-A3249</f>
        <v>1</v>
      </c>
      <c r="E3250" s="24" t="n">
        <f aca="false">LN(C3250)</f>
        <v>10.5252566084389</v>
      </c>
      <c r="F3250" s="25" t="n">
        <f aca="false">LN(C3250/C3249)</f>
        <v>-0.00605316102138469</v>
      </c>
      <c r="G3250" s="25" t="n">
        <f aca="false">IF(AND(D3250=1,A3250&gt;=$R$2),F3250,"")</f>
        <v>-0.00605316102138469</v>
      </c>
      <c r="H3250" s="27" t="n">
        <f aca="false">IF(G3250="","",G3250^2)</f>
        <v>3.66407583508109E-005</v>
      </c>
      <c r="I3250" s="25" t="n">
        <f aca="false">IF(G3250="","",C3250/C3249-1)</f>
        <v>-0.00603487755173926</v>
      </c>
      <c r="J3250" s="17" t="n">
        <f aca="false">AVERAGE(C3051:C3250)</f>
        <v>29324.5633</v>
      </c>
      <c r="K3250" s="17" t="n">
        <f aca="false">MAX(K3249,C3250)</f>
        <v>67510.06</v>
      </c>
      <c r="L3250" s="25" t="n">
        <f aca="false">C3250/K3250-1</f>
        <v>-0.448313480983427</v>
      </c>
      <c r="M3250" s="25" t="n">
        <f aca="false">IF(COUNT(G3221:G3250)&lt;20,"",_xlfn.STDEV.S(G3221:G3250)*SQRT($R$3))</f>
        <v>0.430089903559981</v>
      </c>
      <c r="N3250" s="25" t="n">
        <f aca="false">IF(A3250-7&lt;$R$2,"",C3250/INDEX(Clean_Data!$C$2:$C$4314,MATCH(A3250-7,Clean_Data!$A$2:$A$4314,1))-1)</f>
        <v>-0.00618234351084757</v>
      </c>
      <c r="O3250" s="25" t="n">
        <f aca="false">IF(A3250-30&lt;$R$2,"",C3250/INDEX(Clean_Data!$C$2:$C$4314,MATCH(A3250-30,Clean_Data!$A$2:$A$4314,1))-1)</f>
        <v>0.0931302338741205</v>
      </c>
    </row>
    <row r="3251" customFormat="false" ht="15" hidden="false" customHeight="false" outlineLevel="0" collapsed="false">
      <c r="A3251" s="16" t="n">
        <v>45258</v>
      </c>
      <c r="B3251" s="23" t="n">
        <f aca="false">YEAR(A3251)</f>
        <v>2023</v>
      </c>
      <c r="C3251" s="17" t="n">
        <v>37840.46</v>
      </c>
      <c r="D3251" s="23" t="n">
        <f aca="false">A3251-A3250</f>
        <v>1</v>
      </c>
      <c r="E3251" s="24" t="n">
        <f aca="false">LN(C3251)</f>
        <v>10.5411341795401</v>
      </c>
      <c r="F3251" s="25" t="n">
        <f aca="false">LN(C3251/C3250)</f>
        <v>0.0158775711011938</v>
      </c>
      <c r="G3251" s="25" t="n">
        <f aca="false">IF(AND(D3251=1,A3251&gt;=$R$2),F3251,"")</f>
        <v>0.0158775711011938</v>
      </c>
      <c r="H3251" s="27" t="n">
        <f aca="false">IF(G3251="","",G3251^2)</f>
        <v>0.000252097264073465</v>
      </c>
      <c r="I3251" s="25" t="n">
        <f aca="false">IF(G3251="","",C3251/C3250-1)</f>
        <v>0.0160042895050772</v>
      </c>
      <c r="J3251" s="17" t="n">
        <f aca="false">AVERAGE(C3052:C3251)</f>
        <v>29379.7079</v>
      </c>
      <c r="K3251" s="17" t="n">
        <f aca="false">MAX(K3250,C3251)</f>
        <v>67510.06</v>
      </c>
      <c r="L3251" s="25" t="n">
        <f aca="false">C3251/K3251-1</f>
        <v>-0.439484130217037</v>
      </c>
      <c r="M3251" s="25" t="n">
        <f aca="false">IF(COUNT(G3222:G3251)&lt;20,"",_xlfn.STDEV.S(G3222:G3251)*SQRT($R$3))</f>
        <v>0.430688860641753</v>
      </c>
      <c r="N3251" s="25" t="n">
        <f aca="false">IF(A3251-7&lt;$R$2,"",C3251/INDEX(Clean_Data!$C$2:$C$4314,MATCH(A3251-7,Clean_Data!$A$2:$A$4314,1))-1)</f>
        <v>0.0589430063877217</v>
      </c>
      <c r="O3251" s="25" t="n">
        <f aca="false">IF(A3251-30&lt;$R$2,"",C3251/INDEX(Clean_Data!$C$2:$C$4314,MATCH(A3251-30,Clean_Data!$A$2:$A$4314,1))-1)</f>
        <v>0.0949929567112644</v>
      </c>
    </row>
    <row r="3252" customFormat="false" ht="15" hidden="false" customHeight="false" outlineLevel="0" collapsed="false">
      <c r="A3252" s="16" t="n">
        <v>45259</v>
      </c>
      <c r="B3252" s="23" t="n">
        <f aca="false">YEAR(A3252)</f>
        <v>2023</v>
      </c>
      <c r="C3252" s="17" t="n">
        <v>37864.76</v>
      </c>
      <c r="D3252" s="23" t="n">
        <f aca="false">A3252-A3251</f>
        <v>1</v>
      </c>
      <c r="E3252" s="24" t="n">
        <f aca="false">LN(C3252)</f>
        <v>10.5417761432207</v>
      </c>
      <c r="F3252" s="25" t="n">
        <f aca="false">LN(C3252/C3251)</f>
        <v>0.000641963680563578</v>
      </c>
      <c r="G3252" s="25" t="n">
        <f aca="false">IF(AND(D3252=1,A3252&gt;=$R$2),F3252,"")</f>
        <v>0.000641963680563578</v>
      </c>
      <c r="H3252" s="27" t="n">
        <f aca="false">IF(G3252="","",G3252^2)</f>
        <v>4.12117367162736E-007</v>
      </c>
      <c r="I3252" s="25" t="n">
        <f aca="false">IF(G3252="","",C3252/C3251-1)</f>
        <v>0.000642169783348301</v>
      </c>
      <c r="J3252" s="17" t="n">
        <f aca="false">AVERAGE(C3053:C3252)</f>
        <v>29435.07925</v>
      </c>
      <c r="K3252" s="17" t="n">
        <f aca="false">MAX(K3251,C3252)</f>
        <v>67510.06</v>
      </c>
      <c r="L3252" s="25" t="n">
        <f aca="false">C3252/K3252-1</f>
        <v>-0.439124183862375</v>
      </c>
      <c r="M3252" s="25" t="n">
        <f aca="false">IF(COUNT(G3223:G3252)&lt;20,"",_xlfn.STDEV.S(G3223:G3252)*SQRT($R$3))</f>
        <v>0.430385460292845</v>
      </c>
      <c r="N3252" s="25" t="n">
        <f aca="false">IF(A3252-7&lt;$R$2,"",C3252/INDEX(Clean_Data!$C$2:$C$4314,MATCH(A3252-7,Clean_Data!$A$2:$A$4314,1))-1)</f>
        <v>0.0112408282693077</v>
      </c>
      <c r="O3252" s="25" t="n">
        <f aca="false">IF(A3252-30&lt;$R$2,"",C3252/INDEX(Clean_Data!$C$2:$C$4314,MATCH(A3252-30,Clean_Data!$A$2:$A$4314,1))-1)</f>
        <v>0.0979910681274938</v>
      </c>
    </row>
    <row r="3253" customFormat="false" ht="15" hidden="false" customHeight="false" outlineLevel="0" collapsed="false">
      <c r="A3253" s="16" t="n">
        <v>45260</v>
      </c>
      <c r="B3253" s="23" t="n">
        <f aca="false">YEAR(A3253)</f>
        <v>2023</v>
      </c>
      <c r="C3253" s="17" t="n">
        <v>37743</v>
      </c>
      <c r="D3253" s="23" t="n">
        <f aca="false">A3253-A3252</f>
        <v>1</v>
      </c>
      <c r="E3253" s="24" t="n">
        <f aca="false">LN(C3253)</f>
        <v>10.5385553070192</v>
      </c>
      <c r="F3253" s="25" t="n">
        <f aca="false">LN(C3253/C3252)</f>
        <v>-0.00322083620145154</v>
      </c>
      <c r="G3253" s="25" t="n">
        <f aca="false">IF(AND(D3253=1,A3253&gt;=$R$2),F3253,"")</f>
        <v>-0.00322083620145154</v>
      </c>
      <c r="H3253" s="27" t="n">
        <f aca="false">IF(G3253="","",G3253^2)</f>
        <v>1.03737858365808E-005</v>
      </c>
      <c r="I3253" s="25" t="n">
        <f aca="false">IF(G3253="","",C3253/C3252-1)</f>
        <v>-0.00321565487276299</v>
      </c>
      <c r="J3253" s="17" t="n">
        <f aca="false">AVERAGE(C3054:C3253)</f>
        <v>29489.13735</v>
      </c>
      <c r="K3253" s="17" t="n">
        <f aca="false">MAX(K3252,C3253)</f>
        <v>67510.06</v>
      </c>
      <c r="L3253" s="25" t="n">
        <f aca="false">C3253/K3253-1</f>
        <v>-0.440927766913553</v>
      </c>
      <c r="M3253" s="25" t="n">
        <f aca="false">IF(COUNT(G3224:G3253)&lt;20,"",_xlfn.STDEV.S(G3224:G3253)*SQRT($R$3))</f>
        <v>0.430869026975139</v>
      </c>
      <c r="N3253" s="25" t="n">
        <f aca="false">IF(A3253-7&lt;$R$2,"",C3253/INDEX(Clean_Data!$C$2:$C$4314,MATCH(A3253-7,Clean_Data!$A$2:$A$4314,1))-1)</f>
        <v>0.0119309346345649</v>
      </c>
      <c r="O3253" s="25" t="n">
        <f aca="false">IF(A3253-30&lt;$R$2,"",C3253/INDEX(Clean_Data!$C$2:$C$4314,MATCH(A3253-30,Clean_Data!$A$2:$A$4314,1))-1)</f>
        <v>0.0887022800355835</v>
      </c>
    </row>
    <row r="3254" customFormat="false" ht="15" hidden="false" customHeight="false" outlineLevel="0" collapsed="false">
      <c r="A3254" s="16" t="n">
        <v>45261</v>
      </c>
      <c r="B3254" s="23" t="n">
        <f aca="false">YEAR(A3254)</f>
        <v>2023</v>
      </c>
      <c r="C3254" s="17" t="n">
        <v>38714</v>
      </c>
      <c r="D3254" s="23" t="n">
        <f aca="false">A3254-A3253</f>
        <v>1</v>
      </c>
      <c r="E3254" s="24" t="n">
        <f aca="false">LN(C3254)</f>
        <v>10.5639565707055</v>
      </c>
      <c r="F3254" s="25" t="n">
        <f aca="false">LN(C3254/C3253)</f>
        <v>0.0254012636862504</v>
      </c>
      <c r="G3254" s="25" t="n">
        <f aca="false">IF(AND(D3254=1,A3254&gt;=$R$2),F3254,"")</f>
        <v>0.0254012636862504</v>
      </c>
      <c r="H3254" s="27" t="n">
        <f aca="false">IF(G3254="","",G3254^2)</f>
        <v>0.000645224196858425</v>
      </c>
      <c r="I3254" s="25" t="n">
        <f aca="false">IF(G3254="","",C3254/C3253-1)</f>
        <v>0.0257266248045995</v>
      </c>
      <c r="J3254" s="17" t="n">
        <f aca="false">AVERAGE(C3055:C3254)</f>
        <v>29546.81585</v>
      </c>
      <c r="K3254" s="17" t="n">
        <f aca="false">MAX(K3253,C3254)</f>
        <v>67510.06</v>
      </c>
      <c r="L3254" s="25" t="n">
        <f aca="false">C3254/K3254-1</f>
        <v>-0.426544725334269</v>
      </c>
      <c r="M3254" s="25" t="n">
        <f aca="false">IF(COUNT(G3225:G3254)&lt;20,"",_xlfn.STDEV.S(G3225:G3254)*SQRT($R$3))</f>
        <v>0.43244540804985</v>
      </c>
      <c r="N3254" s="25" t="n">
        <f aca="false">IF(A3254-7&lt;$R$2,"",C3254/INDEX(Clean_Data!$C$2:$C$4314,MATCH(A3254-7,Clean_Data!$A$2:$A$4314,1))-1)</f>
        <v>0.0256467318074474</v>
      </c>
      <c r="O3254" s="25" t="n">
        <f aca="false">IF(A3254-30&lt;$R$2,"",C3254/INDEX(Clean_Data!$C$2:$C$4314,MATCH(A3254-30,Clean_Data!$A$2:$A$4314,1))-1)</f>
        <v>0.0914751096930511</v>
      </c>
    </row>
    <row r="3255" customFormat="false" ht="15" hidden="false" customHeight="false" outlineLevel="0" collapsed="false">
      <c r="A3255" s="16" t="n">
        <v>45262</v>
      </c>
      <c r="B3255" s="23" t="n">
        <f aca="false">YEAR(A3255)</f>
        <v>2023</v>
      </c>
      <c r="C3255" s="17" t="n">
        <v>39467.65</v>
      </c>
      <c r="D3255" s="23" t="n">
        <f aca="false">A3255-A3254</f>
        <v>1</v>
      </c>
      <c r="E3255" s="24" t="n">
        <f aca="false">LN(C3255)</f>
        <v>10.5832366279941</v>
      </c>
      <c r="F3255" s="25" t="n">
        <f aca="false">LN(C3255/C3254)</f>
        <v>0.0192800572885952</v>
      </c>
      <c r="G3255" s="25" t="n">
        <f aca="false">IF(AND(D3255=1,A3255&gt;=$R$2),F3255,"")</f>
        <v>0.0192800572885952</v>
      </c>
      <c r="H3255" s="27" t="n">
        <f aca="false">IF(G3255="","",G3255^2)</f>
        <v>0.000371720609051512</v>
      </c>
      <c r="I3255" s="25" t="n">
        <f aca="false">IF(G3255="","",C3255/C3254-1)</f>
        <v>0.019467117838508</v>
      </c>
      <c r="J3255" s="17" t="n">
        <f aca="false">AVERAGE(C3056:C3255)</f>
        <v>29608.9487</v>
      </c>
      <c r="K3255" s="17" t="n">
        <f aca="false">MAX(K3254,C3255)</f>
        <v>67510.06</v>
      </c>
      <c r="L3255" s="25" t="n">
        <f aca="false">C3255/K3255-1</f>
        <v>-0.415381203927237</v>
      </c>
      <c r="M3255" s="25" t="n">
        <f aca="false">IF(COUNT(G3226:G3255)&lt;20,"",_xlfn.STDEV.S(G3226:G3255)*SQRT($R$3))</f>
        <v>0.430999645173115</v>
      </c>
      <c r="N3255" s="25" t="n">
        <f aca="false">IF(A3255-7&lt;$R$2,"",C3255/INDEX(Clean_Data!$C$2:$C$4314,MATCH(A3255-7,Clean_Data!$A$2:$A$4314,1))-1)</f>
        <v>0.0440693883219692</v>
      </c>
      <c r="O3255" s="25" t="n">
        <f aca="false">IF(A3255-30&lt;$R$2,"",C3255/INDEX(Clean_Data!$C$2:$C$4314,MATCH(A3255-30,Clean_Data!$A$2:$A$4314,1))-1)</f>
        <v>0.129737156596847</v>
      </c>
    </row>
    <row r="3256" customFormat="false" ht="15" hidden="false" customHeight="false" outlineLevel="0" collapsed="false">
      <c r="A3256" s="16" t="n">
        <v>45263</v>
      </c>
      <c r="B3256" s="23" t="n">
        <f aca="false">YEAR(A3256)</f>
        <v>2023</v>
      </c>
      <c r="C3256" s="17" t="n">
        <v>40028.84</v>
      </c>
      <c r="D3256" s="23" t="n">
        <f aca="false">A3256-A3255</f>
        <v>1</v>
      </c>
      <c r="E3256" s="24" t="n">
        <f aca="false">LN(C3256)</f>
        <v>10.5973554733004</v>
      </c>
      <c r="F3256" s="25" t="n">
        <f aca="false">LN(C3256/C3255)</f>
        <v>0.0141188453063545</v>
      </c>
      <c r="G3256" s="25" t="n">
        <f aca="false">IF(AND(D3256=1,A3256&gt;=$R$2),F3256,"")</f>
        <v>0.0141188453063545</v>
      </c>
      <c r="H3256" s="27" t="n">
        <f aca="false">IF(G3256="","",G3256^2)</f>
        <v>0.00019934179278477</v>
      </c>
      <c r="I3256" s="25" t="n">
        <f aca="false">IF(G3256="","",C3256/C3255-1)</f>
        <v>0.0142189869424705</v>
      </c>
      <c r="J3256" s="17" t="n">
        <f aca="false">AVERAGE(C3057:C3256)</f>
        <v>29672.00725</v>
      </c>
      <c r="K3256" s="17" t="n">
        <f aca="false">MAX(K3255,C3256)</f>
        <v>67510.06</v>
      </c>
      <c r="L3256" s="25" t="n">
        <f aca="false">C3256/K3256-1</f>
        <v>-0.407068516899556</v>
      </c>
      <c r="M3256" s="25" t="n">
        <f aca="false">IF(COUNT(G3227:G3256)&lt;20,"",_xlfn.STDEV.S(G3227:G3256)*SQRT($R$3))</f>
        <v>0.430884563107601</v>
      </c>
      <c r="N3256" s="25" t="n">
        <f aca="false">IF(A3256-7&lt;$R$2,"",C3256/INDEX(Clean_Data!$C$2:$C$4314,MATCH(A3256-7,Clean_Data!$A$2:$A$4314,1))-1)</f>
        <v>0.068275540344783</v>
      </c>
      <c r="O3256" s="25" t="n">
        <f aca="false">IF(A3256-30&lt;$R$2,"",C3256/INDEX(Clean_Data!$C$2:$C$4314,MATCH(A3256-30,Clean_Data!$A$2:$A$4314,1))-1)</f>
        <v>0.152376316037207</v>
      </c>
    </row>
    <row r="3257" customFormat="false" ht="15" hidden="false" customHeight="false" outlineLevel="0" collapsed="false">
      <c r="A3257" s="16" t="n">
        <v>45264</v>
      </c>
      <c r="B3257" s="23" t="n">
        <f aca="false">YEAR(A3257)</f>
        <v>2023</v>
      </c>
      <c r="C3257" s="17" t="n">
        <v>41856.31</v>
      </c>
      <c r="D3257" s="23" t="n">
        <f aca="false">A3257-A3256</f>
        <v>1</v>
      </c>
      <c r="E3257" s="24" t="n">
        <f aca="false">LN(C3257)</f>
        <v>10.641997841135</v>
      </c>
      <c r="F3257" s="25" t="n">
        <f aca="false">LN(C3257/C3256)</f>
        <v>0.0446423678345686</v>
      </c>
      <c r="G3257" s="25" t="n">
        <f aca="false">IF(AND(D3257=1,A3257&gt;=$R$2),F3257,"")</f>
        <v>0.0446423678345686</v>
      </c>
      <c r="H3257" s="27" t="n">
        <f aca="false">IF(G3257="","",G3257^2)</f>
        <v>0.00199294100587693</v>
      </c>
      <c r="I3257" s="25" t="n">
        <f aca="false">IF(G3257="","",C3257/C3256-1)</f>
        <v>0.0456538335859846</v>
      </c>
      <c r="J3257" s="17" t="n">
        <f aca="false">AVERAGE(C3058:C3257)</f>
        <v>29747.14135</v>
      </c>
      <c r="K3257" s="17" t="n">
        <f aca="false">MAX(K3256,C3257)</f>
        <v>67510.06</v>
      </c>
      <c r="L3257" s="25" t="n">
        <f aca="false">C3257/K3257-1</f>
        <v>-0.379998921642197</v>
      </c>
      <c r="M3257" s="25" t="n">
        <f aca="false">IF(COUNT(G3228:G3257)&lt;20,"",_xlfn.STDEV.S(G3228:G3257)*SQRT($R$3))</f>
        <v>0.452581310381861</v>
      </c>
      <c r="N3257" s="25" t="n">
        <f aca="false">IF(A3257-7&lt;$R$2,"",C3257/INDEX(Clean_Data!$C$2:$C$4314,MATCH(A3257-7,Clean_Data!$A$2:$A$4314,1))-1)</f>
        <v>0.123828581968989</v>
      </c>
      <c r="O3257" s="25" t="n">
        <f aca="false">IF(A3257-30&lt;$R$2,"",C3257/INDEX(Clean_Data!$C$2:$C$4314,MATCH(A3257-30,Clean_Data!$A$2:$A$4314,1))-1)</f>
        <v>0.192657358598091</v>
      </c>
    </row>
    <row r="3258" customFormat="false" ht="15" hidden="false" customHeight="false" outlineLevel="0" collapsed="false">
      <c r="A3258" s="16" t="n">
        <v>45265</v>
      </c>
      <c r="B3258" s="23" t="n">
        <f aca="false">YEAR(A3258)</f>
        <v>2023</v>
      </c>
      <c r="C3258" s="17" t="n">
        <v>44060.06</v>
      </c>
      <c r="D3258" s="23" t="n">
        <f aca="false">A3258-A3257</f>
        <v>1</v>
      </c>
      <c r="E3258" s="24" t="n">
        <f aca="false">LN(C3258)</f>
        <v>10.6933089821348</v>
      </c>
      <c r="F3258" s="25" t="n">
        <f aca="false">LN(C3258/C3257)</f>
        <v>0.0513111409997893</v>
      </c>
      <c r="G3258" s="25" t="n">
        <f aca="false">IF(AND(D3258=1,A3258&gt;=$R$2),F3258,"")</f>
        <v>0.0513111409997893</v>
      </c>
      <c r="H3258" s="27" t="n">
        <f aca="false">IF(G3258="","",G3258^2)</f>
        <v>0.00263283319070026</v>
      </c>
      <c r="I3258" s="25" t="n">
        <f aca="false">IF(G3258="","",C3258/C3257-1)</f>
        <v>0.0526503650226216</v>
      </c>
      <c r="J3258" s="17" t="n">
        <f aca="false">AVERAGE(C3059:C3258)</f>
        <v>29833.0517</v>
      </c>
      <c r="K3258" s="17" t="n">
        <f aca="false">MAX(K3257,C3258)</f>
        <v>67510.06</v>
      </c>
      <c r="L3258" s="25" t="n">
        <f aca="false">C3258/K3258-1</f>
        <v>-0.34735563855224</v>
      </c>
      <c r="M3258" s="25" t="n">
        <f aca="false">IF(COUNT(G3229:G3258)&lt;20,"",_xlfn.STDEV.S(G3229:G3258)*SQRT($R$3))</f>
        <v>0.478309490944529</v>
      </c>
      <c r="N3258" s="25" t="n">
        <f aca="false">IF(A3258-7&lt;$R$2,"",C3258/INDEX(Clean_Data!$C$2:$C$4314,MATCH(A3258-7,Clean_Data!$A$2:$A$4314,1))-1)</f>
        <v>0.164363752449098</v>
      </c>
      <c r="O3258" s="25" t="n">
        <f aca="false">IF(A3258-30&lt;$R$2,"",C3258/INDEX(Clean_Data!$C$2:$C$4314,MATCH(A3258-30,Clean_Data!$A$2:$A$4314,1))-1)</f>
        <v>0.258288672618636</v>
      </c>
    </row>
    <row r="3259" customFormat="false" ht="15" hidden="false" customHeight="false" outlineLevel="0" collapsed="false">
      <c r="A3259" s="16" t="n">
        <v>45266</v>
      </c>
      <c r="B3259" s="23" t="n">
        <f aca="false">YEAR(A3259)</f>
        <v>2023</v>
      </c>
      <c r="C3259" s="17" t="n">
        <v>43778.51</v>
      </c>
      <c r="D3259" s="23" t="n">
        <f aca="false">A3259-A3258</f>
        <v>1</v>
      </c>
      <c r="E3259" s="24" t="n">
        <f aca="false">LN(C3259)</f>
        <v>10.6868983366923</v>
      </c>
      <c r="F3259" s="25" t="n">
        <f aca="false">LN(C3259/C3258)</f>
        <v>-0.00641064544249831</v>
      </c>
      <c r="G3259" s="25" t="n">
        <f aca="false">IF(AND(D3259=1,A3259&gt;=$R$2),F3259,"")</f>
        <v>-0.00641064544249831</v>
      </c>
      <c r="H3259" s="27" t="n">
        <f aca="false">IF(G3259="","",G3259^2)</f>
        <v>4.10963749894243E-005</v>
      </c>
      <c r="I3259" s="25" t="n">
        <f aca="false">IF(G3259="","",C3259/C3258-1)</f>
        <v>-0.00639014109377056</v>
      </c>
      <c r="J3259" s="17" t="n">
        <f aca="false">AVERAGE(C3060:C3259)</f>
        <v>29916.36135</v>
      </c>
      <c r="K3259" s="17" t="n">
        <f aca="false">MAX(K3258,C3259)</f>
        <v>67510.06</v>
      </c>
      <c r="L3259" s="25" t="n">
        <f aca="false">C3259/K3259-1</f>
        <v>-0.351526128105944</v>
      </c>
      <c r="M3259" s="25" t="n">
        <f aca="false">IF(COUNT(G3230:G3259)&lt;20,"",_xlfn.STDEV.S(G3230:G3259)*SQRT($R$3))</f>
        <v>0.480362954463012</v>
      </c>
      <c r="N3259" s="25" t="n">
        <f aca="false">IF(A3259-7&lt;$R$2,"",C3259/INDEX(Clean_Data!$C$2:$C$4314,MATCH(A3259-7,Clean_Data!$A$2:$A$4314,1))-1)</f>
        <v>0.156180839387335</v>
      </c>
      <c r="O3259" s="25" t="n">
        <f aca="false">IF(A3259-30&lt;$R$2,"",C3259/INDEX(Clean_Data!$C$2:$C$4314,MATCH(A3259-30,Clean_Data!$A$2:$A$4314,1))-1)</f>
        <v>0.248532966613013</v>
      </c>
    </row>
    <row r="3260" customFormat="false" ht="15" hidden="false" customHeight="false" outlineLevel="0" collapsed="false">
      <c r="A3260" s="16" t="n">
        <v>45267</v>
      </c>
      <c r="B3260" s="23" t="n">
        <f aca="false">YEAR(A3260)</f>
        <v>2023</v>
      </c>
      <c r="C3260" s="17" t="n">
        <v>43305.91</v>
      </c>
      <c r="D3260" s="23" t="n">
        <f aca="false">A3260-A3259</f>
        <v>1</v>
      </c>
      <c r="E3260" s="24" t="n">
        <f aca="false">LN(C3260)</f>
        <v>10.6760443942841</v>
      </c>
      <c r="F3260" s="25" t="n">
        <f aca="false">LN(C3260/C3259)</f>
        <v>-0.0108539424081877</v>
      </c>
      <c r="G3260" s="25" t="n">
        <f aca="false">IF(AND(D3260=1,A3260&gt;=$R$2),F3260,"")</f>
        <v>-0.0108539424081877</v>
      </c>
      <c r="H3260" s="27" t="n">
        <f aca="false">IF(G3260="","",G3260^2)</f>
        <v>0.000117808065800255</v>
      </c>
      <c r="I3260" s="25" t="n">
        <f aca="false">IF(G3260="","",C3260/C3259-1)</f>
        <v>-0.01079525091192</v>
      </c>
      <c r="J3260" s="17" t="n">
        <f aca="false">AVERAGE(C3061:C3260)</f>
        <v>29999.14165</v>
      </c>
      <c r="K3260" s="17" t="n">
        <f aca="false">MAX(K3259,C3260)</f>
        <v>67510.06</v>
      </c>
      <c r="L3260" s="25" t="n">
        <f aca="false">C3260/K3260-1</f>
        <v>-0.358526566262865</v>
      </c>
      <c r="M3260" s="25" t="n">
        <f aca="false">IF(COUNT(G3231:G3260)&lt;20,"",_xlfn.STDEV.S(G3231:G3260)*SQRT($R$3))</f>
        <v>0.484420607475685</v>
      </c>
      <c r="N3260" s="25" t="n">
        <f aca="false">IF(A3260-7&lt;$R$2,"",C3260/INDEX(Clean_Data!$C$2:$C$4314,MATCH(A3260-7,Clean_Data!$A$2:$A$4314,1))-1)</f>
        <v>0.14738918474949</v>
      </c>
      <c r="O3260" s="25" t="n">
        <f aca="false">IF(A3260-30&lt;$R$2,"",C3260/INDEX(Clean_Data!$C$2:$C$4314,MATCH(A3260-30,Clean_Data!$A$2:$A$4314,1))-1)</f>
        <v>0.222607242324105</v>
      </c>
    </row>
    <row r="3261" customFormat="false" ht="15" hidden="false" customHeight="false" outlineLevel="0" collapsed="false">
      <c r="A3261" s="16" t="n">
        <v>45268</v>
      </c>
      <c r="B3261" s="23" t="n">
        <f aca="false">YEAR(A3261)</f>
        <v>2023</v>
      </c>
      <c r="C3261" s="17" t="n">
        <v>44223.94</v>
      </c>
      <c r="D3261" s="23" t="n">
        <f aca="false">A3261-A3260</f>
        <v>1</v>
      </c>
      <c r="E3261" s="24" t="n">
        <f aca="false">LN(C3261)</f>
        <v>10.697021550397</v>
      </c>
      <c r="F3261" s="25" t="n">
        <f aca="false">LN(C3261/C3260)</f>
        <v>0.0209771561129312</v>
      </c>
      <c r="G3261" s="25" t="n">
        <f aca="false">IF(AND(D3261=1,A3261&gt;=$R$2),F3261,"")</f>
        <v>0.0209771561129312</v>
      </c>
      <c r="H3261" s="27" t="n">
        <f aca="false">IF(G3261="","",G3261^2)</f>
        <v>0.000440041078586287</v>
      </c>
      <c r="I3261" s="25" t="n">
        <f aca="false">IF(G3261="","",C3261/C3260-1)</f>
        <v>0.0211987232227657</v>
      </c>
      <c r="J3261" s="17" t="n">
        <f aca="false">AVERAGE(C3062:C3261)</f>
        <v>30085.98865</v>
      </c>
      <c r="K3261" s="17" t="n">
        <f aca="false">MAX(K3260,C3261)</f>
        <v>67510.06</v>
      </c>
      <c r="L3261" s="25" t="n">
        <f aca="false">C3261/K3261-1</f>
        <v>-0.344928148486315</v>
      </c>
      <c r="M3261" s="25" t="n">
        <f aca="false">IF(COUNT(G3232:G3261)&lt;20,"",_xlfn.STDEV.S(G3232:G3261)*SQRT($R$3))</f>
        <v>0.48688410162059</v>
      </c>
      <c r="N3261" s="25" t="n">
        <f aca="false">IF(A3261-7&lt;$R$2,"",C3261/INDEX(Clean_Data!$C$2:$C$4314,MATCH(A3261-7,Clean_Data!$A$2:$A$4314,1))-1)</f>
        <v>0.14232422379501</v>
      </c>
      <c r="O3261" s="25" t="n">
        <f aca="false">IF(A3261-30&lt;$R$2,"",C3261/INDEX(Clean_Data!$C$2:$C$4314,MATCH(A3261-30,Clean_Data!$A$2:$A$4314,1))-1)</f>
        <v>0.242885102670813</v>
      </c>
    </row>
    <row r="3262" customFormat="false" ht="15" hidden="false" customHeight="false" outlineLevel="0" collapsed="false">
      <c r="A3262" s="16" t="n">
        <v>45269</v>
      </c>
      <c r="B3262" s="23" t="n">
        <f aca="false">YEAR(A3262)</f>
        <v>2023</v>
      </c>
      <c r="C3262" s="17" t="n">
        <v>43734.7</v>
      </c>
      <c r="D3262" s="23" t="n">
        <f aca="false">A3262-A3261</f>
        <v>1</v>
      </c>
      <c r="E3262" s="24" t="n">
        <f aca="false">LN(C3262)</f>
        <v>10.6858971163357</v>
      </c>
      <c r="F3262" s="25" t="n">
        <f aca="false">LN(C3262/C3261)</f>
        <v>-0.0111244340612989</v>
      </c>
      <c r="G3262" s="25" t="n">
        <f aca="false">IF(AND(D3262=1,A3262&gt;=$R$2),F3262,"")</f>
        <v>-0.0111244340612989</v>
      </c>
      <c r="H3262" s="27" t="n">
        <f aca="false">IF(G3262="","",G3262^2)</f>
        <v>0.000123753033184187</v>
      </c>
      <c r="I3262" s="25" t="n">
        <f aca="false">IF(G3262="","",C3262/C3261-1)</f>
        <v>-0.011062786355083</v>
      </c>
      <c r="J3262" s="17" t="n">
        <f aca="false">AVERAGE(C3063:C3262)</f>
        <v>30168.5434</v>
      </c>
      <c r="K3262" s="17" t="n">
        <f aca="false">MAX(K3261,C3262)</f>
        <v>67510.06</v>
      </c>
      <c r="L3262" s="25" t="n">
        <f aca="false">C3262/K3262-1</f>
        <v>-0.352175068426839</v>
      </c>
      <c r="M3262" s="25" t="n">
        <f aca="false">IF(COUNT(G3233:G3262)&lt;20,"",_xlfn.STDEV.S(G3233:G3262)*SQRT($R$3))</f>
        <v>0.48374913834495</v>
      </c>
      <c r="N3262" s="25" t="n">
        <f aca="false">IF(A3262-7&lt;$R$2,"",C3262/INDEX(Clean_Data!$C$2:$C$4314,MATCH(A3262-7,Clean_Data!$A$2:$A$4314,1))-1)</f>
        <v>0.108115127199111</v>
      </c>
      <c r="O3262" s="25" t="n">
        <f aca="false">IF(A3262-30&lt;$R$2,"",C3262/INDEX(Clean_Data!$C$2:$C$4314,MATCH(A3262-30,Clean_Data!$A$2:$A$4314,1))-1)</f>
        <v>0.192678889425214</v>
      </c>
    </row>
    <row r="3263" customFormat="false" ht="15" hidden="false" customHeight="false" outlineLevel="0" collapsed="false">
      <c r="A3263" s="16" t="n">
        <v>45270</v>
      </c>
      <c r="B3263" s="23" t="n">
        <f aca="false">YEAR(A3263)</f>
        <v>2023</v>
      </c>
      <c r="C3263" s="17" t="n">
        <v>43773.63</v>
      </c>
      <c r="D3263" s="23" t="n">
        <f aca="false">A3263-A3262</f>
        <v>1</v>
      </c>
      <c r="E3263" s="24" t="n">
        <f aca="false">LN(C3263)</f>
        <v>10.6867868602623</v>
      </c>
      <c r="F3263" s="25" t="n">
        <f aca="false">LN(C3263/C3262)</f>
        <v>0.000889743926509186</v>
      </c>
      <c r="G3263" s="25" t="n">
        <f aca="false">IF(AND(D3263=1,A3263&gt;=$R$2),F3263,"")</f>
        <v>0.000889743926509186</v>
      </c>
      <c r="H3263" s="27" t="n">
        <f aca="false">IF(G3263="","",G3263^2)</f>
        <v>7.91644254759984E-007</v>
      </c>
      <c r="I3263" s="25" t="n">
        <f aca="false">IF(G3263="","",C3263/C3262-1)</f>
        <v>0.000890139866056128</v>
      </c>
      <c r="J3263" s="17" t="n">
        <f aca="false">AVERAGE(C3064:C3263)</f>
        <v>30255.8034</v>
      </c>
      <c r="K3263" s="17" t="n">
        <f aca="false">MAX(K3262,C3263)</f>
        <v>67510.06</v>
      </c>
      <c r="L3263" s="25" t="n">
        <f aca="false">C3263/K3263-1</f>
        <v>-0.351598413629021</v>
      </c>
      <c r="M3263" s="25" t="n">
        <f aca="false">IF(COUNT(G3234:G3263)&lt;20,"",_xlfn.STDEV.S(G3234:G3263)*SQRT($R$3))</f>
        <v>0.482282871072784</v>
      </c>
      <c r="N3263" s="25" t="n">
        <f aca="false">IF(A3263-7&lt;$R$2,"",C3263/INDEX(Clean_Data!$C$2:$C$4314,MATCH(A3263-7,Clean_Data!$A$2:$A$4314,1))-1)</f>
        <v>0.0935522987925705</v>
      </c>
      <c r="O3263" s="25" t="n">
        <f aca="false">IF(A3263-30&lt;$R$2,"",C3263/INDEX(Clean_Data!$C$2:$C$4314,MATCH(A3263-30,Clean_Data!$A$2:$A$4314,1))-1)</f>
        <v>0.173372994715836</v>
      </c>
    </row>
    <row r="3264" customFormat="false" ht="15" hidden="false" customHeight="false" outlineLevel="0" collapsed="false">
      <c r="A3264" s="16" t="n">
        <v>45271</v>
      </c>
      <c r="B3264" s="23" t="n">
        <f aca="false">YEAR(A3264)</f>
        <v>2023</v>
      </c>
      <c r="C3264" s="17" t="n">
        <v>41205.53</v>
      </c>
      <c r="D3264" s="23" t="n">
        <f aca="false">A3264-A3263</f>
        <v>1</v>
      </c>
      <c r="E3264" s="24" t="n">
        <f aca="false">LN(C3264)</f>
        <v>10.6263277496314</v>
      </c>
      <c r="F3264" s="25" t="n">
        <f aca="false">LN(C3264/C3263)</f>
        <v>-0.0604591106308067</v>
      </c>
      <c r="G3264" s="25" t="n">
        <f aca="false">IF(AND(D3264=1,A3264&gt;=$R$2),F3264,"")</f>
        <v>-0.0604591106308067</v>
      </c>
      <c r="H3264" s="27" t="n">
        <f aca="false">IF(G3264="","",G3264^2)</f>
        <v>0.00365530405826812</v>
      </c>
      <c r="I3264" s="25" t="n">
        <f aca="false">IF(G3264="","",C3264/C3263-1)</f>
        <v>-0.0586677412862493</v>
      </c>
      <c r="J3264" s="17" t="n">
        <f aca="false">AVERAGE(C3065:C3264)</f>
        <v>30329.38855</v>
      </c>
      <c r="K3264" s="17" t="n">
        <f aca="false">MAX(K3263,C3264)</f>
        <v>67510.06</v>
      </c>
      <c r="L3264" s="25" t="n">
        <f aca="false">C3264/K3264-1</f>
        <v>-0.389638670147827</v>
      </c>
      <c r="M3264" s="25" t="n">
        <f aca="false">IF(COUNT(G3235:G3264)&lt;20,"",_xlfn.STDEV.S(G3235:G3264)*SQRT($R$3))</f>
        <v>0.533513447917783</v>
      </c>
      <c r="N3264" s="25" t="n">
        <f aca="false">IF(A3264-7&lt;$R$2,"",C3264/INDEX(Clean_Data!$C$2:$C$4314,MATCH(A3264-7,Clean_Data!$A$2:$A$4314,1))-1)</f>
        <v>-0.0155479544183421</v>
      </c>
      <c r="O3264" s="25" t="n">
        <f aca="false">IF(A3264-30&lt;$R$2,"",C3264/INDEX(Clean_Data!$C$2:$C$4314,MATCH(A3264-30,Clean_Data!$A$2:$A$4314,1))-1)</f>
        <v>0.108973215162797</v>
      </c>
    </row>
    <row r="3265" customFormat="false" ht="15" hidden="false" customHeight="false" outlineLevel="0" collapsed="false">
      <c r="A3265" s="16" t="n">
        <v>45272</v>
      </c>
      <c r="B3265" s="23" t="n">
        <f aca="false">YEAR(A3265)</f>
        <v>2023</v>
      </c>
      <c r="C3265" s="17" t="n">
        <v>41452.65</v>
      </c>
      <c r="D3265" s="23" t="n">
        <f aca="false">A3265-A3264</f>
        <v>1</v>
      </c>
      <c r="E3265" s="24" t="n">
        <f aca="false">LN(C3265)</f>
        <v>10.6323070909686</v>
      </c>
      <c r="F3265" s="25" t="n">
        <f aca="false">LN(C3265/C3264)</f>
        <v>0.00597934133713528</v>
      </c>
      <c r="G3265" s="25" t="n">
        <f aca="false">IF(AND(D3265=1,A3265&gt;=$R$2),F3265,"")</f>
        <v>0.00597934133713528</v>
      </c>
      <c r="H3265" s="27" t="n">
        <f aca="false">IF(G3265="","",G3265^2)</f>
        <v>3.57525228259747E-005</v>
      </c>
      <c r="I3265" s="25" t="n">
        <f aca="false">IF(G3265="","",C3265/C3264-1)</f>
        <v>0.00599725328129508</v>
      </c>
      <c r="J3265" s="17" t="n">
        <f aca="false">AVERAGE(C3066:C3265)</f>
        <v>30403.0115</v>
      </c>
      <c r="K3265" s="17" t="n">
        <f aca="false">MAX(K3264,C3265)</f>
        <v>67510.06</v>
      </c>
      <c r="L3265" s="25" t="n">
        <f aca="false">C3265/K3265-1</f>
        <v>-0.385978178659595</v>
      </c>
      <c r="M3265" s="25" t="n">
        <f aca="false">IF(COUNT(G3236:G3265)&lt;20,"",_xlfn.STDEV.S(G3236:G3265)*SQRT($R$3))</f>
        <v>0.53325314647456</v>
      </c>
      <c r="N3265" s="25" t="n">
        <f aca="false">IF(A3265-7&lt;$R$2,"",C3265/INDEX(Clean_Data!$C$2:$C$4314,MATCH(A3265-7,Clean_Data!$A$2:$A$4314,1))-1)</f>
        <v>-0.0591785394754342</v>
      </c>
      <c r="O3265" s="25" t="n">
        <f aca="false">IF(A3265-30&lt;$R$2,"",C3265/INDEX(Clean_Data!$C$2:$C$4314,MATCH(A3265-30,Clean_Data!$A$2:$A$4314,1))-1)</f>
        <v>0.117522714320145</v>
      </c>
    </row>
    <row r="3266" customFormat="false" ht="15" hidden="false" customHeight="false" outlineLevel="0" collapsed="false">
      <c r="A3266" s="16" t="n">
        <v>45273</v>
      </c>
      <c r="B3266" s="23" t="n">
        <f aca="false">YEAR(A3266)</f>
        <v>2023</v>
      </c>
      <c r="C3266" s="17" t="n">
        <v>42927.11</v>
      </c>
      <c r="D3266" s="23" t="n">
        <f aca="false">A3266-A3265</f>
        <v>1</v>
      </c>
      <c r="E3266" s="24" t="n">
        <f aca="false">LN(C3266)</f>
        <v>10.6672588400614</v>
      </c>
      <c r="F3266" s="25" t="n">
        <f aca="false">LN(C3266/C3265)</f>
        <v>0.0349517490927871</v>
      </c>
      <c r="G3266" s="25" t="n">
        <f aca="false">IF(AND(D3266=1,A3266&gt;=$R$2),F3266,"")</f>
        <v>0.0349517490927871</v>
      </c>
      <c r="H3266" s="27" t="n">
        <f aca="false">IF(G3266="","",G3266^2)</f>
        <v>0.00122162476464514</v>
      </c>
      <c r="I3266" s="25" t="n">
        <f aca="false">IF(G3266="","",C3266/C3265-1)</f>
        <v>0.0355697404146658</v>
      </c>
      <c r="J3266" s="17" t="n">
        <f aca="false">AVERAGE(C3067:C3266)</f>
        <v>30483.22825</v>
      </c>
      <c r="K3266" s="17" t="n">
        <f aca="false">MAX(K3265,C3266)</f>
        <v>67510.06</v>
      </c>
      <c r="L3266" s="25" t="n">
        <f aca="false">C3266/K3266-1</f>
        <v>-0.364137581865577</v>
      </c>
      <c r="M3266" s="25" t="n">
        <f aca="false">IF(COUNT(G3237:G3266)&lt;20,"",_xlfn.STDEV.S(G3237:G3266)*SQRT($R$3))</f>
        <v>0.538662909973886</v>
      </c>
      <c r="N3266" s="25" t="n">
        <f aca="false">IF(A3266-7&lt;$R$2,"",C3266/INDEX(Clean_Data!$C$2:$C$4314,MATCH(A3266-7,Clean_Data!$A$2:$A$4314,1))-1)</f>
        <v>-0.0194478980668826</v>
      </c>
      <c r="O3266" s="25" t="n">
        <f aca="false">IF(A3266-30&lt;$R$2,"",C3266/INDEX(Clean_Data!$C$2:$C$4314,MATCH(A3266-30,Clean_Data!$A$2:$A$4314,1))-1)</f>
        <v>0.177038122644497</v>
      </c>
    </row>
    <row r="3267" customFormat="false" ht="15" hidden="false" customHeight="false" outlineLevel="0" collapsed="false">
      <c r="A3267" s="16" t="n">
        <v>45274</v>
      </c>
      <c r="B3267" s="23" t="n">
        <f aca="false">YEAR(A3267)</f>
        <v>2023</v>
      </c>
      <c r="C3267" s="17" t="n">
        <v>43031.34</v>
      </c>
      <c r="D3267" s="23" t="n">
        <f aca="false">A3267-A3266</f>
        <v>1</v>
      </c>
      <c r="E3267" s="24" t="n">
        <f aca="false">LN(C3267)</f>
        <v>10.6696839664121</v>
      </c>
      <c r="F3267" s="25" t="n">
        <f aca="false">LN(C3267/C3266)</f>
        <v>0.00242512635077636</v>
      </c>
      <c r="G3267" s="25" t="n">
        <f aca="false">IF(AND(D3267=1,A3267&gt;=$R$2),F3267,"")</f>
        <v>0.00242512635077636</v>
      </c>
      <c r="H3267" s="27" t="n">
        <f aca="false">IF(G3267="","",G3267^2)</f>
        <v>5.88123781722987E-006</v>
      </c>
      <c r="I3267" s="25" t="n">
        <f aca="false">IF(G3267="","",C3267/C3266-1)</f>
        <v>0.00242806934825102</v>
      </c>
      <c r="J3267" s="17" t="n">
        <f aca="false">AVERAGE(C3068:C3267)</f>
        <v>30557.88785</v>
      </c>
      <c r="K3267" s="17" t="n">
        <f aca="false">MAX(K3266,C3267)</f>
        <v>67510.06</v>
      </c>
      <c r="L3267" s="25" t="n">
        <f aca="false">C3267/K3267-1</f>
        <v>-0.3625936638184</v>
      </c>
      <c r="M3267" s="25" t="n">
        <f aca="false">IF(COUNT(G3238:G3267)&lt;20,"",_xlfn.STDEV.S(G3238:G3267)*SQRT($R$3))</f>
        <v>0.527175821353553</v>
      </c>
      <c r="N3267" s="25" t="n">
        <f aca="false">IF(A3267-7&lt;$R$2,"",C3267/INDEX(Clean_Data!$C$2:$C$4314,MATCH(A3267-7,Clean_Data!$A$2:$A$4314,1))-1)</f>
        <v>-0.00634024316773407</v>
      </c>
      <c r="O3267" s="25" t="n">
        <f aca="false">IF(A3267-30&lt;$R$2,"",C3267/INDEX(Clean_Data!$C$2:$C$4314,MATCH(A3267-30,Clean_Data!$A$2:$A$4314,1))-1)</f>
        <v>0.210350239643572</v>
      </c>
    </row>
    <row r="3268" customFormat="false" ht="15" hidden="false" customHeight="false" outlineLevel="0" collapsed="false">
      <c r="A3268" s="16" t="n">
        <v>45275</v>
      </c>
      <c r="B3268" s="23" t="n">
        <f aca="false">YEAR(A3268)</f>
        <v>2023</v>
      </c>
      <c r="C3268" s="17" t="n">
        <v>41939.81</v>
      </c>
      <c r="D3268" s="23" t="n">
        <f aca="false">A3268-A3267</f>
        <v>1</v>
      </c>
      <c r="E3268" s="24" t="n">
        <f aca="false">LN(C3268)</f>
        <v>10.6439907741643</v>
      </c>
      <c r="F3268" s="25" t="n">
        <f aca="false">LN(C3268/C3267)</f>
        <v>-0.0256931922478512</v>
      </c>
      <c r="G3268" s="25" t="n">
        <f aca="false">IF(AND(D3268=1,A3268&gt;=$R$2),F3268,"")</f>
        <v>-0.0256931922478512</v>
      </c>
      <c r="H3268" s="27" t="n">
        <f aca="false">IF(G3268="","",G3268^2)</f>
        <v>0.000660140127885042</v>
      </c>
      <c r="I3268" s="25" t="n">
        <f aca="false">IF(G3268="","",C3268/C3267-1)</f>
        <v>-0.0253659309703114</v>
      </c>
      <c r="J3268" s="17" t="n">
        <f aca="false">AVERAGE(C3069:C3268)</f>
        <v>30628.8103</v>
      </c>
      <c r="K3268" s="17" t="n">
        <f aca="false">MAX(K3267,C3268)</f>
        <v>67510.06</v>
      </c>
      <c r="L3268" s="25" t="n">
        <f aca="false">C3268/K3268-1</f>
        <v>-0.378762068942021</v>
      </c>
      <c r="M3268" s="25" t="n">
        <f aca="false">IF(COUNT(G3239:G3268)&lt;20,"",_xlfn.STDEV.S(G3239:G3268)*SQRT($R$3))</f>
        <v>0.496702762470658</v>
      </c>
      <c r="N3268" s="25" t="n">
        <f aca="false">IF(A3268-7&lt;$R$2,"",C3268/INDEX(Clean_Data!$C$2:$C$4314,MATCH(A3268-7,Clean_Data!$A$2:$A$4314,1))-1)</f>
        <v>-0.0516491746325634</v>
      </c>
      <c r="O3268" s="25" t="n">
        <f aca="false">IF(A3268-30&lt;$R$2,"",C3268/INDEX(Clean_Data!$C$2:$C$4314,MATCH(A3268-30,Clean_Data!$A$2:$A$4314,1))-1)</f>
        <v>0.107283125710206</v>
      </c>
    </row>
    <row r="3269" customFormat="false" ht="15" hidden="false" customHeight="false" outlineLevel="0" collapsed="false">
      <c r="A3269" s="16" t="n">
        <v>45276</v>
      </c>
      <c r="B3269" s="23" t="n">
        <f aca="false">YEAR(A3269)</f>
        <v>2023</v>
      </c>
      <c r="C3269" s="17" t="n">
        <v>42230</v>
      </c>
      <c r="D3269" s="23" t="n">
        <f aca="false">A3269-A3268</f>
        <v>1</v>
      </c>
      <c r="E3269" s="24" t="n">
        <f aca="false">LN(C3269)</f>
        <v>10.650886147928</v>
      </c>
      <c r="F3269" s="25" t="n">
        <f aca="false">LN(C3269/C3268)</f>
        <v>0.00689537376369448</v>
      </c>
      <c r="G3269" s="25" t="n">
        <f aca="false">IF(AND(D3269=1,A3269&gt;=$R$2),F3269,"")</f>
        <v>0.00689537376369448</v>
      </c>
      <c r="H3269" s="27" t="n">
        <f aca="false">IF(G3269="","",G3269^2)</f>
        <v>4.75461793410462E-005</v>
      </c>
      <c r="I3269" s="25" t="n">
        <f aca="false">IF(G3269="","",C3269/C3268-1)</f>
        <v>0.00691920158913462</v>
      </c>
      <c r="J3269" s="17" t="n">
        <f aca="false">AVERAGE(C3070:C3269)</f>
        <v>30701.47705</v>
      </c>
      <c r="K3269" s="17" t="n">
        <f aca="false">MAX(K3268,C3269)</f>
        <v>67510.06</v>
      </c>
      <c r="L3269" s="25" t="n">
        <f aca="false">C3269/K3269-1</f>
        <v>-0.374463598462214</v>
      </c>
      <c r="M3269" s="25" t="n">
        <f aca="false">IF(COUNT(G3240:G3269)&lt;20,"",_xlfn.STDEV.S(G3240:G3269)*SQRT($R$3))</f>
        <v>0.46275512276434</v>
      </c>
      <c r="N3269" s="25" t="n">
        <f aca="false">IF(A3269-7&lt;$R$2,"",C3269/INDEX(Clean_Data!$C$2:$C$4314,MATCH(A3269-7,Clean_Data!$A$2:$A$4314,1))-1)</f>
        <v>-0.0344051748382862</v>
      </c>
      <c r="O3269" s="25" t="n">
        <f aca="false">IF(A3269-30&lt;$R$2,"",C3269/INDEX(Clean_Data!$C$2:$C$4314,MATCH(A3269-30,Clean_Data!$A$2:$A$4314,1))-1)</f>
        <v>0.168187135667661</v>
      </c>
    </row>
    <row r="3270" customFormat="false" ht="15" hidden="false" customHeight="false" outlineLevel="0" collapsed="false">
      <c r="A3270" s="16" t="n">
        <v>45277</v>
      </c>
      <c r="B3270" s="23" t="n">
        <f aca="false">YEAR(A3270)</f>
        <v>2023</v>
      </c>
      <c r="C3270" s="17" t="n">
        <v>41387.55</v>
      </c>
      <c r="D3270" s="23" t="n">
        <f aca="false">A3270-A3269</f>
        <v>1</v>
      </c>
      <c r="E3270" s="24" t="n">
        <f aca="false">LN(C3270)</f>
        <v>10.630735389949</v>
      </c>
      <c r="F3270" s="25" t="n">
        <f aca="false">LN(C3270/C3269)</f>
        <v>-0.0201507579789859</v>
      </c>
      <c r="G3270" s="25" t="n">
        <f aca="false">IF(AND(D3270=1,A3270&gt;=$R$2),F3270,"")</f>
        <v>-0.0201507579789859</v>
      </c>
      <c r="H3270" s="27" t="n">
        <f aca="false">IF(G3270="","",G3270^2)</f>
        <v>0.000406053047127663</v>
      </c>
      <c r="I3270" s="25" t="n">
        <f aca="false">IF(G3270="","",C3270/C3269-1)</f>
        <v>-0.0199490883258346</v>
      </c>
      <c r="J3270" s="17" t="n">
        <f aca="false">AVERAGE(C3071:C3270)</f>
        <v>30772.3003</v>
      </c>
      <c r="K3270" s="17" t="n">
        <f aca="false">MAX(K3269,C3270)</f>
        <v>67510.06</v>
      </c>
      <c r="L3270" s="25" t="n">
        <f aca="false">C3270/K3270-1</f>
        <v>-0.386942479387516</v>
      </c>
      <c r="M3270" s="25" t="n">
        <f aca="false">IF(COUNT(G3241:G3270)&lt;20,"",_xlfn.STDEV.S(G3241:G3270)*SQRT($R$3))</f>
        <v>0.470071315305222</v>
      </c>
      <c r="N3270" s="25" t="n">
        <f aca="false">IF(A3270-7&lt;$R$2,"",C3270/INDEX(Clean_Data!$C$2:$C$4314,MATCH(A3270-7,Clean_Data!$A$2:$A$4314,1))-1)</f>
        <v>-0.0545095300526823</v>
      </c>
      <c r="O3270" s="25" t="n">
        <f aca="false">IF(A3270-30&lt;$R$2,"",C3270/INDEX(Clean_Data!$C$2:$C$4314,MATCH(A3270-30,Clean_Data!$A$2:$A$4314,1))-1)</f>
        <v>0.129986130298745</v>
      </c>
    </row>
    <row r="3271" customFormat="false" ht="15" hidden="false" customHeight="false" outlineLevel="0" collapsed="false">
      <c r="A3271" s="16" t="n">
        <v>45278</v>
      </c>
      <c r="B3271" s="23" t="n">
        <f aca="false">YEAR(A3271)</f>
        <v>2023</v>
      </c>
      <c r="C3271" s="17" t="n">
        <v>42638.28</v>
      </c>
      <c r="D3271" s="23" t="n">
        <f aca="false">A3271-A3270</f>
        <v>1</v>
      </c>
      <c r="E3271" s="24" t="n">
        <f aca="false">LN(C3271)</f>
        <v>10.6605077203151</v>
      </c>
      <c r="F3271" s="25" t="n">
        <f aca="false">LN(C3271/C3270)</f>
        <v>0.029772330366066</v>
      </c>
      <c r="G3271" s="25" t="n">
        <f aca="false">IF(AND(D3271=1,A3271&gt;=$R$2),F3271,"")</f>
        <v>0.029772330366066</v>
      </c>
      <c r="H3271" s="27" t="n">
        <f aca="false">IF(G3271="","",G3271^2)</f>
        <v>0.000886391655426176</v>
      </c>
      <c r="I3271" s="25" t="n">
        <f aca="false">IF(G3271="","",C3271/C3270-1)</f>
        <v>0.0302199574509725</v>
      </c>
      <c r="J3271" s="17" t="n">
        <f aca="false">AVERAGE(C3072:C3271)</f>
        <v>30851.3062</v>
      </c>
      <c r="K3271" s="17" t="n">
        <f aca="false">MAX(K3270,C3271)</f>
        <v>67510.06</v>
      </c>
      <c r="L3271" s="25" t="n">
        <f aca="false">C3271/K3271-1</f>
        <v>-0.368415907199609</v>
      </c>
      <c r="M3271" s="25" t="n">
        <f aca="false">IF(COUNT(G3242:G3271)&lt;20,"",_xlfn.STDEV.S(G3242:G3271)*SQRT($R$3))</f>
        <v>0.478101567042171</v>
      </c>
      <c r="N3271" s="25" t="n">
        <f aca="false">IF(A3271-7&lt;$R$2,"",C3271/INDEX(Clean_Data!$C$2:$C$4314,MATCH(A3271-7,Clean_Data!$A$2:$A$4314,1))-1)</f>
        <v>0.0347708183828723</v>
      </c>
      <c r="O3271" s="25" t="n">
        <f aca="false">IF(A3271-30&lt;$R$2,"",C3271/INDEX(Clean_Data!$C$2:$C$4314,MATCH(A3271-30,Clean_Data!$A$2:$A$4314,1))-1)</f>
        <v>0.165121988875697</v>
      </c>
    </row>
    <row r="3272" customFormat="false" ht="15" hidden="false" customHeight="false" outlineLevel="0" collapsed="false">
      <c r="A3272" s="16" t="n">
        <v>45279</v>
      </c>
      <c r="B3272" s="23" t="n">
        <f aca="false">YEAR(A3272)</f>
        <v>2023</v>
      </c>
      <c r="C3272" s="17" t="n">
        <v>42252.2</v>
      </c>
      <c r="D3272" s="23" t="n">
        <f aca="false">A3272-A3271</f>
        <v>1</v>
      </c>
      <c r="E3272" s="24" t="n">
        <f aca="false">LN(C3272)</f>
        <v>10.6514117024356</v>
      </c>
      <c r="F3272" s="25" t="n">
        <f aca="false">LN(C3272/C3271)</f>
        <v>-0.00909601787948009</v>
      </c>
      <c r="G3272" s="25" t="n">
        <f aca="false">IF(AND(D3272=1,A3272&gt;=$R$2),F3272,"")</f>
        <v>-0.00909601787948009</v>
      </c>
      <c r="H3272" s="27" t="n">
        <f aca="false">IF(G3272="","",G3272^2)</f>
        <v>8.27375412638214E-005</v>
      </c>
      <c r="I3272" s="25" t="n">
        <f aca="false">IF(G3272="","",C3272/C3271-1)</f>
        <v>-0.00905477425449619</v>
      </c>
      <c r="J3272" s="17" t="n">
        <f aca="false">AVERAGE(C3073:C3272)</f>
        <v>30926.31475</v>
      </c>
      <c r="K3272" s="17" t="n">
        <f aca="false">MAX(K3271,C3272)</f>
        <v>67510.06</v>
      </c>
      <c r="L3272" s="25" t="n">
        <f aca="false">C3272/K3272-1</f>
        <v>-0.374134758582647</v>
      </c>
      <c r="M3272" s="25" t="n">
        <f aca="false">IF(COUNT(G3243:G3272)&lt;20,"",_xlfn.STDEV.S(G3243:G3272)*SQRT($R$3))</f>
        <v>0.476776498456302</v>
      </c>
      <c r="N3272" s="25" t="n">
        <f aca="false">IF(A3272-7&lt;$R$2,"",C3272/INDEX(Clean_Data!$C$2:$C$4314,MATCH(A3272-7,Clean_Data!$A$2:$A$4314,1))-1)</f>
        <v>0.0192882722817478</v>
      </c>
      <c r="O3272" s="25" t="n">
        <f aca="false">IF(A3272-30&lt;$R$2,"",C3272/INDEX(Clean_Data!$C$2:$C$4314,MATCH(A3272-30,Clean_Data!$A$2:$A$4314,1))-1)</f>
        <v>0.12996396070658</v>
      </c>
    </row>
    <row r="3273" customFormat="false" ht="15" hidden="false" customHeight="false" outlineLevel="0" collapsed="false">
      <c r="A3273" s="16" t="n">
        <v>45280</v>
      </c>
      <c r="B3273" s="23" t="n">
        <f aca="false">YEAR(A3273)</f>
        <v>2023</v>
      </c>
      <c r="C3273" s="17" t="n">
        <v>43647.01</v>
      </c>
      <c r="D3273" s="23" t="n">
        <f aca="false">A3273-A3272</f>
        <v>1</v>
      </c>
      <c r="E3273" s="24" t="n">
        <f aca="false">LN(C3273)</f>
        <v>10.6838900594943</v>
      </c>
      <c r="F3273" s="25" t="n">
        <f aca="false">LN(C3273/C3272)</f>
        <v>0.0324783570587039</v>
      </c>
      <c r="G3273" s="25" t="n">
        <f aca="false">IF(AND(D3273=1,A3273&gt;=$R$2),F3273,"")</f>
        <v>0.0324783570587039</v>
      </c>
      <c r="H3273" s="27" t="n">
        <f aca="false">IF(G3273="","",G3273^2)</f>
        <v>0.00105484367723266</v>
      </c>
      <c r="I3273" s="25" t="n">
        <f aca="false">IF(G3273="","",C3273/C3272-1)</f>
        <v>0.0330115354940099</v>
      </c>
      <c r="J3273" s="17" t="n">
        <f aca="false">AVERAGE(C3074:C3273)</f>
        <v>31009.18135</v>
      </c>
      <c r="K3273" s="17" t="n">
        <f aca="false">MAX(K3272,C3273)</f>
        <v>67510.06</v>
      </c>
      <c r="L3273" s="25" t="n">
        <f aca="false">C3273/K3273-1</f>
        <v>-0.353473985951131</v>
      </c>
      <c r="M3273" s="25" t="n">
        <f aca="false">IF(COUNT(G3244:G3273)&lt;20,"",_xlfn.STDEV.S(G3244:G3273)*SQRT($R$3))</f>
        <v>0.486872509274064</v>
      </c>
      <c r="N3273" s="25" t="n">
        <f aca="false">IF(A3273-7&lt;$R$2,"",C3273/INDEX(Clean_Data!$C$2:$C$4314,MATCH(A3273-7,Clean_Data!$A$2:$A$4314,1))-1)</f>
        <v>0.0167702880534004</v>
      </c>
      <c r="O3273" s="25" t="n">
        <f aca="false">IF(A3273-30&lt;$R$2,"",C3273/INDEX(Clean_Data!$C$2:$C$4314,MATCH(A3273-30,Clean_Data!$A$2:$A$4314,1))-1)</f>
        <v>0.164663166478458</v>
      </c>
    </row>
    <row r="3274" customFormat="false" ht="15" hidden="false" customHeight="false" outlineLevel="0" collapsed="false">
      <c r="A3274" s="16" t="n">
        <v>45281</v>
      </c>
      <c r="B3274" s="23" t="n">
        <f aca="false">YEAR(A3274)</f>
        <v>2023</v>
      </c>
      <c r="C3274" s="17" t="n">
        <v>43876.98</v>
      </c>
      <c r="D3274" s="23" t="n">
        <f aca="false">A3274-A3273</f>
        <v>1</v>
      </c>
      <c r="E3274" s="24" t="n">
        <f aca="false">LN(C3274)</f>
        <v>10.689145087955</v>
      </c>
      <c r="F3274" s="25" t="n">
        <f aca="false">LN(C3274/C3273)</f>
        <v>0.0052550284607554</v>
      </c>
      <c r="G3274" s="25" t="n">
        <f aca="false">IF(AND(D3274=1,A3274&gt;=$R$2),F3274,"")</f>
        <v>0.0052550284607554</v>
      </c>
      <c r="H3274" s="27" t="n">
        <f aca="false">IF(G3274="","",G3274^2)</f>
        <v>2.76153241233493E-005</v>
      </c>
      <c r="I3274" s="25" t="n">
        <f aca="false">IF(G3274="","",C3274/C3273-1)</f>
        <v>0.00526886034117813</v>
      </c>
      <c r="J3274" s="17" t="n">
        <f aca="false">AVERAGE(C3075:C3274)</f>
        <v>31093.0279</v>
      </c>
      <c r="K3274" s="17" t="n">
        <f aca="false">MAX(K3273,C3274)</f>
        <v>67510.06</v>
      </c>
      <c r="L3274" s="25" t="n">
        <f aca="false">C3274/K3274-1</f>
        <v>-0.350067530676169</v>
      </c>
      <c r="M3274" s="25" t="n">
        <f aca="false">IF(COUNT(G3245:G3274)&lt;20,"",_xlfn.STDEV.S(G3245:G3274)*SQRT($R$3))</f>
        <v>0.44827369506328</v>
      </c>
      <c r="N3274" s="25" t="n">
        <f aca="false">IF(A3274-7&lt;$R$2,"",C3274/INDEX(Clean_Data!$C$2:$C$4314,MATCH(A3274-7,Clean_Data!$A$2:$A$4314,1))-1)</f>
        <v>0.0196517236042384</v>
      </c>
      <c r="O3274" s="25" t="n">
        <f aca="false">IF(A3274-30&lt;$R$2,"",C3274/INDEX(Clean_Data!$C$2:$C$4314,MATCH(A3274-30,Clean_Data!$A$2:$A$4314,1))-1)</f>
        <v>0.227871466478313</v>
      </c>
    </row>
    <row r="3275" customFormat="false" ht="15" hidden="false" customHeight="false" outlineLevel="0" collapsed="false">
      <c r="A3275" s="16" t="n">
        <v>45282</v>
      </c>
      <c r="B3275" s="23" t="n">
        <f aca="false">YEAR(A3275)</f>
        <v>2023</v>
      </c>
      <c r="C3275" s="17" t="n">
        <v>44015.6</v>
      </c>
      <c r="D3275" s="23" t="n">
        <f aca="false">A3275-A3274</f>
        <v>1</v>
      </c>
      <c r="E3275" s="24" t="n">
        <f aca="false">LN(C3275)</f>
        <v>10.6922993955186</v>
      </c>
      <c r="F3275" s="25" t="n">
        <f aca="false">LN(C3275/C3274)</f>
        <v>0.00315430756350746</v>
      </c>
      <c r="G3275" s="25" t="n">
        <f aca="false">IF(AND(D3275=1,A3275&gt;=$R$2),F3275,"")</f>
        <v>0.00315430756350746</v>
      </c>
      <c r="H3275" s="27" t="n">
        <f aca="false">IF(G3275="","",G3275^2)</f>
        <v>9.9496562052004E-006</v>
      </c>
      <c r="I3275" s="25" t="n">
        <f aca="false">IF(G3275="","",C3275/C3274-1)</f>
        <v>0.00315928762645012</v>
      </c>
      <c r="J3275" s="17" t="n">
        <f aca="false">AVERAGE(C3076:C3275)</f>
        <v>31184.3497</v>
      </c>
      <c r="K3275" s="17" t="n">
        <f aca="false">MAX(K3274,C3275)</f>
        <v>67510.06</v>
      </c>
      <c r="L3275" s="25" t="n">
        <f aca="false">C3275/K3275-1</f>
        <v>-0.348014207067806</v>
      </c>
      <c r="M3275" s="25" t="n">
        <f aca="false">IF(COUNT(G3246:G3275)&lt;20,"",_xlfn.STDEV.S(G3246:G3275)*SQRT($R$3))</f>
        <v>0.424610435400184</v>
      </c>
      <c r="N3275" s="25" t="n">
        <f aca="false">IF(A3275-7&lt;$R$2,"",C3275/INDEX(Clean_Data!$C$2:$C$4314,MATCH(A3275-7,Clean_Data!$A$2:$A$4314,1))-1)</f>
        <v>0.0494945017633603</v>
      </c>
      <c r="O3275" s="25" t="n">
        <f aca="false">IF(A3275-30&lt;$R$2,"",C3275/INDEX(Clean_Data!$C$2:$C$4314,MATCH(A3275-30,Clean_Data!$A$2:$A$4314,1))-1)</f>
        <v>0.175509148896508</v>
      </c>
    </row>
    <row r="3276" customFormat="false" ht="15" hidden="false" customHeight="false" outlineLevel="0" collapsed="false">
      <c r="A3276" s="16" t="n">
        <v>45283</v>
      </c>
      <c r="B3276" s="23" t="n">
        <f aca="false">YEAR(A3276)</f>
        <v>2023</v>
      </c>
      <c r="C3276" s="17" t="n">
        <v>43715.59</v>
      </c>
      <c r="D3276" s="23" t="n">
        <f aca="false">A3276-A3275</f>
        <v>1</v>
      </c>
      <c r="E3276" s="24" t="n">
        <f aca="false">LN(C3276)</f>
        <v>10.6854600680354</v>
      </c>
      <c r="F3276" s="25" t="n">
        <f aca="false">LN(C3276/C3275)</f>
        <v>-0.00683932748314671</v>
      </c>
      <c r="G3276" s="25" t="n">
        <f aca="false">IF(AND(D3276=1,A3276&gt;=$R$2),F3276,"")</f>
        <v>-0.00683932748314671</v>
      </c>
      <c r="H3276" s="27" t="n">
        <f aca="false">IF(G3276="","",G3276^2)</f>
        <v>4.67764004217259E-005</v>
      </c>
      <c r="I3276" s="25" t="n">
        <f aca="false">IF(G3276="","",C3276/C3275-1)</f>
        <v>-0.00681599251174592</v>
      </c>
      <c r="J3276" s="17" t="n">
        <f aca="false">AVERAGE(C3077:C3276)</f>
        <v>31266.69865</v>
      </c>
      <c r="K3276" s="17" t="n">
        <f aca="false">MAX(K3275,C3276)</f>
        <v>67510.06</v>
      </c>
      <c r="L3276" s="25" t="n">
        <f aca="false">C3276/K3276-1</f>
        <v>-0.352458137350196</v>
      </c>
      <c r="M3276" s="25" t="n">
        <f aca="false">IF(COUNT(G3247:G3276)&lt;20,"",_xlfn.STDEV.S(G3247:G3276)*SQRT($R$3))</f>
        <v>0.425541777618689</v>
      </c>
      <c r="N3276" s="25" t="n">
        <f aca="false">IF(A3276-7&lt;$R$2,"",C3276/INDEX(Clean_Data!$C$2:$C$4314,MATCH(A3276-7,Clean_Data!$A$2:$A$4314,1))-1)</f>
        <v>0.0351785460573051</v>
      </c>
      <c r="O3276" s="25" t="n">
        <f aca="false">IF(A3276-30&lt;$R$2,"",C3276/INDEX(Clean_Data!$C$2:$C$4314,MATCH(A3276-30,Clean_Data!$A$2:$A$4314,1))-1)</f>
        <v>0.172062577081881</v>
      </c>
    </row>
    <row r="3277" customFormat="false" ht="15" hidden="false" customHeight="false" outlineLevel="0" collapsed="false">
      <c r="A3277" s="16" t="n">
        <v>45284</v>
      </c>
      <c r="B3277" s="23" t="n">
        <f aca="false">YEAR(A3277)</f>
        <v>2023</v>
      </c>
      <c r="C3277" s="17" t="n">
        <v>43006.55</v>
      </c>
      <c r="D3277" s="23" t="n">
        <f aca="false">A3277-A3276</f>
        <v>1</v>
      </c>
      <c r="E3277" s="24" t="n">
        <f aca="false">LN(C3277)</f>
        <v>10.6691077086567</v>
      </c>
      <c r="F3277" s="25" t="n">
        <f aca="false">LN(C3277/C3276)</f>
        <v>-0.0163523593786775</v>
      </c>
      <c r="G3277" s="25" t="n">
        <f aca="false">IF(AND(D3277=1,A3277&gt;=$R$2),F3277,"")</f>
        <v>-0.0163523593786775</v>
      </c>
      <c r="H3277" s="27" t="n">
        <f aca="false">IF(G3277="","",G3277^2)</f>
        <v>0.000267399657249424</v>
      </c>
      <c r="I3277" s="25" t="n">
        <f aca="false">IF(G3277="","",C3277/C3276-1)</f>
        <v>-0.0162193853497115</v>
      </c>
      <c r="J3277" s="17" t="n">
        <f aca="false">AVERAGE(C3078:C3277)</f>
        <v>31349.99295</v>
      </c>
      <c r="K3277" s="17" t="n">
        <f aca="false">MAX(K3276,C3277)</f>
        <v>67510.06</v>
      </c>
      <c r="L3277" s="25" t="n">
        <f aca="false">C3277/K3277-1</f>
        <v>-0.362960868350584</v>
      </c>
      <c r="M3277" s="25" t="n">
        <f aca="false">IF(COUNT(G3248:G3277)&lt;20,"",_xlfn.STDEV.S(G3248:G3277)*SQRT($R$3))</f>
        <v>0.431382136975111</v>
      </c>
      <c r="N3277" s="25" t="n">
        <f aca="false">IF(A3277-7&lt;$R$2,"",C3277/INDEX(Clean_Data!$C$2:$C$4314,MATCH(A3277-7,Clean_Data!$A$2:$A$4314,1))-1)</f>
        <v>0.0391180439528311</v>
      </c>
      <c r="O3277" s="25" t="n">
        <f aca="false">IF(A3277-30&lt;$R$2,"",C3277/INDEX(Clean_Data!$C$2:$C$4314,MATCH(A3277-30,Clean_Data!$A$2:$A$4314,1))-1)</f>
        <v>0.139368896363423</v>
      </c>
    </row>
    <row r="3278" customFormat="false" ht="15" hidden="false" customHeight="false" outlineLevel="0" collapsed="false">
      <c r="A3278" s="16" t="n">
        <v>45285</v>
      </c>
      <c r="B3278" s="23" t="n">
        <f aca="false">YEAR(A3278)</f>
        <v>2023</v>
      </c>
      <c r="C3278" s="17" t="n">
        <v>43603.68</v>
      </c>
      <c r="D3278" s="23" t="n">
        <f aca="false">A3278-A3277</f>
        <v>1</v>
      </c>
      <c r="E3278" s="24" t="n">
        <f aca="false">LN(C3278)</f>
        <v>10.6828968294451</v>
      </c>
      <c r="F3278" s="25" t="n">
        <f aca="false">LN(C3278/C3277)</f>
        <v>0.0137891207883297</v>
      </c>
      <c r="G3278" s="25" t="n">
        <f aca="false">IF(AND(D3278=1,A3278&gt;=$R$2),F3278,"")</f>
        <v>0.0137891207883297</v>
      </c>
      <c r="H3278" s="27" t="n">
        <f aca="false">IF(G3278="","",G3278^2)</f>
        <v>0.000190139852115145</v>
      </c>
      <c r="I3278" s="25" t="n">
        <f aca="false">IF(G3278="","",C3278/C3277-1)</f>
        <v>0.0138846292018309</v>
      </c>
      <c r="J3278" s="17" t="n">
        <f aca="false">AVERAGE(C3079:C3278)</f>
        <v>31435.4873</v>
      </c>
      <c r="K3278" s="17" t="n">
        <f aca="false">MAX(K3277,C3278)</f>
        <v>67510.06</v>
      </c>
      <c r="L3278" s="25" t="n">
        <f aca="false">C3278/K3278-1</f>
        <v>-0.354115816220575</v>
      </c>
      <c r="M3278" s="25" t="n">
        <f aca="false">IF(COUNT(G3249:G3278)&lt;20,"",_xlfn.STDEV.S(G3249:G3278)*SQRT($R$3))</f>
        <v>0.43248671496453</v>
      </c>
      <c r="N3278" s="25" t="n">
        <f aca="false">IF(A3278-7&lt;$R$2,"",C3278/INDEX(Clean_Data!$C$2:$C$4314,MATCH(A3278-7,Clean_Data!$A$2:$A$4314,1))-1)</f>
        <v>0.0226416262569691</v>
      </c>
      <c r="O3278" s="25" t="n">
        <f aca="false">IF(A3278-30&lt;$R$2,"",C3278/INDEX(Clean_Data!$C$2:$C$4314,MATCH(A3278-30,Clean_Data!$A$2:$A$4314,1))-1)</f>
        <v>0.153483105940863</v>
      </c>
    </row>
    <row r="3279" customFormat="false" ht="15" hidden="false" customHeight="false" outlineLevel="0" collapsed="false">
      <c r="A3279" s="16" t="n">
        <v>45286</v>
      </c>
      <c r="B3279" s="23" t="n">
        <f aca="false">YEAR(A3279)</f>
        <v>2023</v>
      </c>
      <c r="C3279" s="17" t="n">
        <v>42520.26</v>
      </c>
      <c r="D3279" s="23" t="n">
        <f aca="false">A3279-A3278</f>
        <v>1</v>
      </c>
      <c r="E3279" s="24" t="n">
        <f aca="false">LN(C3279)</f>
        <v>10.6577359472067</v>
      </c>
      <c r="F3279" s="25" t="n">
        <f aca="false">LN(C3279/C3278)</f>
        <v>-0.0251608822383518</v>
      </c>
      <c r="G3279" s="25" t="n">
        <f aca="false">IF(AND(D3279=1,A3279&gt;=$R$2),F3279,"")</f>
        <v>-0.0251608822383518</v>
      </c>
      <c r="H3279" s="27" t="n">
        <f aca="false">IF(G3279="","",G3279^2)</f>
        <v>0.000633069995012208</v>
      </c>
      <c r="I3279" s="25" t="n">
        <f aca="false">IF(G3279="","",C3279/C3278-1)</f>
        <v>-0.0248469853920587</v>
      </c>
      <c r="J3279" s="17" t="n">
        <f aca="false">AVERAGE(C3080:C3279)</f>
        <v>31515.6726</v>
      </c>
      <c r="K3279" s="17" t="n">
        <f aca="false">MAX(K3278,C3279)</f>
        <v>67510.06</v>
      </c>
      <c r="L3279" s="25" t="n">
        <f aca="false">C3279/K3279-1</f>
        <v>-0.370164091099904</v>
      </c>
      <c r="M3279" s="25" t="n">
        <f aca="false">IF(COUNT(G3250:G3279)&lt;20,"",_xlfn.STDEV.S(G3250:G3279)*SQRT($R$3))</f>
        <v>0.442589669604771</v>
      </c>
      <c r="N3279" s="25" t="n">
        <f aca="false">IF(A3279-7&lt;$R$2,"",C3279/INDEX(Clean_Data!$C$2:$C$4314,MATCH(A3279-7,Clean_Data!$A$2:$A$4314,1))-1)</f>
        <v>0.00634428503131201</v>
      </c>
      <c r="O3279" s="25" t="n">
        <f aca="false">IF(A3279-30&lt;$R$2,"",C3279/INDEX(Clean_Data!$C$2:$C$4314,MATCH(A3279-30,Clean_Data!$A$2:$A$4314,1))-1)</f>
        <v>0.13476567712431</v>
      </c>
    </row>
    <row r="3280" customFormat="false" ht="15" hidden="false" customHeight="false" outlineLevel="0" collapsed="false">
      <c r="A3280" s="16" t="n">
        <v>45287</v>
      </c>
      <c r="B3280" s="23" t="n">
        <f aca="false">YEAR(A3280)</f>
        <v>2023</v>
      </c>
      <c r="C3280" s="17" t="n">
        <v>43444.45</v>
      </c>
      <c r="D3280" s="23" t="n">
        <f aca="false">A3280-A3279</f>
        <v>1</v>
      </c>
      <c r="E3280" s="24" t="n">
        <f aca="false">LN(C3280)</f>
        <v>10.6792383895085</v>
      </c>
      <c r="F3280" s="25" t="n">
        <f aca="false">LN(C3280/C3279)</f>
        <v>0.0215024423018037</v>
      </c>
      <c r="G3280" s="25" t="n">
        <f aca="false">IF(AND(D3280=1,A3280&gt;=$R$2),F3280,"")</f>
        <v>0.0215024423018037</v>
      </c>
      <c r="H3280" s="27" t="n">
        <f aca="false">IF(G3280="","",G3280^2)</f>
        <v>0.000462355024942396</v>
      </c>
      <c r="I3280" s="25" t="n">
        <f aca="false">IF(G3280="","",C3280/C3279-1)</f>
        <v>0.021735285720266</v>
      </c>
      <c r="J3280" s="17" t="n">
        <f aca="false">AVERAGE(C3081:C3280)</f>
        <v>31603.73955</v>
      </c>
      <c r="K3280" s="17" t="n">
        <f aca="false">MAX(K3279,C3280)</f>
        <v>67510.06</v>
      </c>
      <c r="L3280" s="25" t="n">
        <f aca="false">C3280/K3280-1</f>
        <v>-0.356474427663077</v>
      </c>
      <c r="M3280" s="25" t="n">
        <f aca="false">IF(COUNT(G3251:G3280)&lt;20,"",_xlfn.STDEV.S(G3251:G3280)*SQRT($R$3))</f>
        <v>0.444974196592549</v>
      </c>
      <c r="N3280" s="25" t="n">
        <f aca="false">IF(A3280-7&lt;$R$2,"",C3280/INDEX(Clean_Data!$C$2:$C$4314,MATCH(A3280-7,Clean_Data!$A$2:$A$4314,1))-1)</f>
        <v>-0.00464086772495997</v>
      </c>
      <c r="O3280" s="25" t="n">
        <f aca="false">IF(A3280-30&lt;$R$2,"",C3280/INDEX(Clean_Data!$C$2:$C$4314,MATCH(A3280-30,Clean_Data!$A$2:$A$4314,1))-1)</f>
        <v>0.166469634755731</v>
      </c>
    </row>
    <row r="3281" customFormat="false" ht="15" hidden="false" customHeight="false" outlineLevel="0" collapsed="false">
      <c r="A3281" s="16" t="n">
        <v>45288</v>
      </c>
      <c r="B3281" s="23" t="n">
        <f aca="false">YEAR(A3281)</f>
        <v>2023</v>
      </c>
      <c r="C3281" s="17" t="n">
        <v>42613.04</v>
      </c>
      <c r="D3281" s="23" t="n">
        <f aca="false">A3281-A3280</f>
        <v>1</v>
      </c>
      <c r="E3281" s="24" t="n">
        <f aca="false">LN(C3281)</f>
        <v>10.6599155887038</v>
      </c>
      <c r="F3281" s="25" t="n">
        <f aca="false">LN(C3281/C3280)</f>
        <v>-0.0193228008047189</v>
      </c>
      <c r="G3281" s="25" t="n">
        <f aca="false">IF(AND(D3281=1,A3281&gt;=$R$2),F3281,"")</f>
        <v>-0.0193228008047189</v>
      </c>
      <c r="H3281" s="27" t="n">
        <f aca="false">IF(G3281="","",G3281^2)</f>
        <v>0.000373370630938844</v>
      </c>
      <c r="I3281" s="25" t="n">
        <f aca="false">IF(G3281="","",C3281/C3280-1)</f>
        <v>-0.0191373121307784</v>
      </c>
      <c r="J3281" s="17" t="n">
        <f aca="false">AVERAGE(C3082:C3281)</f>
        <v>31687.07105</v>
      </c>
      <c r="K3281" s="17" t="n">
        <f aca="false">MAX(K3280,C3281)</f>
        <v>67510.06</v>
      </c>
      <c r="L3281" s="25" t="n">
        <f aca="false">C3281/K3281-1</f>
        <v>-0.368789777405027</v>
      </c>
      <c r="M3281" s="25" t="n">
        <f aca="false">IF(COUNT(G3252:G3281)&lt;20,"",_xlfn.STDEV.S(G3252:G3281)*SQRT($R$3))</f>
        <v>0.451172435448703</v>
      </c>
      <c r="N3281" s="25" t="n">
        <f aca="false">IF(A3281-7&lt;$R$2,"",C3281/INDEX(Clean_Data!$C$2:$C$4314,MATCH(A3281-7,Clean_Data!$A$2:$A$4314,1))-1)</f>
        <v>-0.0288064493043961</v>
      </c>
      <c r="O3281" s="25" t="n">
        <f aca="false">IF(A3281-30&lt;$R$2,"",C3281/INDEX(Clean_Data!$C$2:$C$4314,MATCH(A3281-30,Clean_Data!$A$2:$A$4314,1))-1)</f>
        <v>0.12612373105401</v>
      </c>
    </row>
    <row r="3282" customFormat="false" ht="15" hidden="false" customHeight="false" outlineLevel="0" collapsed="false">
      <c r="A3282" s="16" t="n">
        <v>45289</v>
      </c>
      <c r="B3282" s="23" t="n">
        <f aca="false">YEAR(A3282)</f>
        <v>2023</v>
      </c>
      <c r="C3282" s="17" t="n">
        <v>42056.3</v>
      </c>
      <c r="D3282" s="23" t="n">
        <f aca="false">A3282-A3281</f>
        <v>1</v>
      </c>
      <c r="E3282" s="24" t="n">
        <f aca="false">LN(C3282)</f>
        <v>10.6467644758199</v>
      </c>
      <c r="F3282" s="25" t="n">
        <f aca="false">LN(C3282/C3281)</f>
        <v>-0.0131511128839375</v>
      </c>
      <c r="G3282" s="25" t="n">
        <f aca="false">IF(AND(D3282=1,A3282&gt;=$R$2),F3282,"")</f>
        <v>-0.0131511128839375</v>
      </c>
      <c r="H3282" s="27" t="n">
        <f aca="false">IF(G3282="","",G3282^2)</f>
        <v>0.000172951770086068</v>
      </c>
      <c r="I3282" s="25" t="n">
        <f aca="false">IF(G3282="","",C3282/C3281-1)</f>
        <v>-0.0130650148405277</v>
      </c>
      <c r="J3282" s="17" t="n">
        <f aca="false">AVERAGE(C3083:C3282)</f>
        <v>31767.818</v>
      </c>
      <c r="K3282" s="17" t="n">
        <f aca="false">MAX(K3281,C3282)</f>
        <v>67510.06</v>
      </c>
      <c r="L3282" s="25" t="n">
        <f aca="false">C3282/K3282-1</f>
        <v>-0.377036548330723</v>
      </c>
      <c r="M3282" s="25" t="n">
        <f aca="false">IF(COUNT(G3253:G3282)&lt;20,"",_xlfn.STDEV.S(G3253:G3282)*SQRT($R$3))</f>
        <v>0.454997896636419</v>
      </c>
      <c r="N3282" s="25" t="n">
        <f aca="false">IF(A3282-7&lt;$R$2,"",C3282/INDEX(Clean_Data!$C$2:$C$4314,MATCH(A3282-7,Clean_Data!$A$2:$A$4314,1))-1)</f>
        <v>-0.0445137633021019</v>
      </c>
      <c r="O3282" s="25" t="n">
        <f aca="false">IF(A3282-30&lt;$R$2,"",C3282/INDEX(Clean_Data!$C$2:$C$4314,MATCH(A3282-30,Clean_Data!$A$2:$A$4314,1))-1)</f>
        <v>0.110697651325401</v>
      </c>
    </row>
    <row r="3283" customFormat="false" ht="15" hidden="false" customHeight="false" outlineLevel="0" collapsed="false">
      <c r="A3283" s="16" t="n">
        <v>45290</v>
      </c>
      <c r="B3283" s="23" t="n">
        <f aca="false">YEAR(A3283)</f>
        <v>2023</v>
      </c>
      <c r="C3283" s="17" t="n">
        <v>42164.76</v>
      </c>
      <c r="D3283" s="23" t="n">
        <f aca="false">A3283-A3282</f>
        <v>1</v>
      </c>
      <c r="E3283" s="24" t="n">
        <f aca="false">LN(C3283)</f>
        <v>10.649340080068</v>
      </c>
      <c r="F3283" s="25" t="n">
        <f aca="false">LN(C3283/C3282)</f>
        <v>0.00257560424810435</v>
      </c>
      <c r="G3283" s="25" t="n">
        <f aca="false">IF(AND(D3283=1,A3283&gt;=$R$2),F3283,"")</f>
        <v>0.00257560424810435</v>
      </c>
      <c r="H3283" s="27" t="n">
        <f aca="false">IF(G3283="","",G3283^2)</f>
        <v>6.63373724285316E-006</v>
      </c>
      <c r="I3283" s="25" t="n">
        <f aca="false">IF(G3283="","",C3283/C3282-1)</f>
        <v>0.00257892396620729</v>
      </c>
      <c r="J3283" s="17" t="n">
        <f aca="false">AVERAGE(C3084:C3283)</f>
        <v>31848.9766</v>
      </c>
      <c r="K3283" s="17" t="n">
        <f aca="false">MAX(K3282,C3283)</f>
        <v>67510.06</v>
      </c>
      <c r="L3283" s="25" t="n">
        <f aca="false">C3283/K3283-1</f>
        <v>-0.375429972955142</v>
      </c>
      <c r="M3283" s="25" t="n">
        <f aca="false">IF(COUNT(G3254:G3283)&lt;20,"",_xlfn.STDEV.S(G3254:G3283)*SQRT($R$3))</f>
        <v>0.454369109048832</v>
      </c>
      <c r="N3283" s="25" t="n">
        <f aca="false">IF(A3283-7&lt;$R$2,"",C3283/INDEX(Clean_Data!$C$2:$C$4314,MATCH(A3283-7,Clean_Data!$A$2:$A$4314,1))-1)</f>
        <v>-0.035475444801271</v>
      </c>
      <c r="O3283" s="25" t="n">
        <f aca="false">IF(A3283-30&lt;$R$2,"",C3283/INDEX(Clean_Data!$C$2:$C$4314,MATCH(A3283-30,Clean_Data!$A$2:$A$4314,1))-1)</f>
        <v>0.117154439233765</v>
      </c>
    </row>
    <row r="3284" customFormat="false" ht="15" hidden="false" customHeight="false" outlineLevel="0" collapsed="false">
      <c r="A3284" s="16" t="n">
        <v>45291</v>
      </c>
      <c r="B3284" s="23" t="n">
        <f aca="false">YEAR(A3284)</f>
        <v>2023</v>
      </c>
      <c r="C3284" s="17" t="n">
        <v>42300.78</v>
      </c>
      <c r="D3284" s="23" t="n">
        <f aca="false">A3284-A3283</f>
        <v>1</v>
      </c>
      <c r="E3284" s="24" t="n">
        <f aca="false">LN(C3284)</f>
        <v>10.6525608045807</v>
      </c>
      <c r="F3284" s="25" t="n">
        <f aca="false">LN(C3284/C3283)</f>
        <v>0.00322072451271107</v>
      </c>
      <c r="G3284" s="25" t="n">
        <f aca="false">IF(AND(D3284=1,A3284&gt;=$R$2),F3284,"")</f>
        <v>0.00322072451271107</v>
      </c>
      <c r="H3284" s="27" t="n">
        <f aca="false">IF(G3284="","",G3284^2)</f>
        <v>1.03730663867779E-005</v>
      </c>
      <c r="I3284" s="25" t="n">
        <f aca="false">IF(G3284="","",C3284/C3283-1)</f>
        <v>0.00322591661852223</v>
      </c>
      <c r="J3284" s="17" t="n">
        <f aca="false">AVERAGE(C3085:C3284)</f>
        <v>31934.96145</v>
      </c>
      <c r="K3284" s="17" t="n">
        <f aca="false">MAX(K3283,C3284)</f>
        <v>67510.06</v>
      </c>
      <c r="L3284" s="25" t="n">
        <f aca="false">C3284/K3284-1</f>
        <v>-0.373415162125467</v>
      </c>
      <c r="M3284" s="25" t="n">
        <f aca="false">IF(COUNT(G3255:G3284)&lt;20,"",_xlfn.STDEV.S(G3255:G3284)*SQRT($R$3))</f>
        <v>0.447567156533393</v>
      </c>
      <c r="N3284" s="25" t="n">
        <f aca="false">IF(A3284-7&lt;$R$2,"",C3284/INDEX(Clean_Data!$C$2:$C$4314,MATCH(A3284-7,Clean_Data!$A$2:$A$4314,1))-1)</f>
        <v>-0.0164107560359993</v>
      </c>
      <c r="O3284" s="25" t="n">
        <f aca="false">IF(A3284-30&lt;$R$2,"",C3284/INDEX(Clean_Data!$C$2:$C$4314,MATCH(A3284-30,Clean_Data!$A$2:$A$4314,1))-1)</f>
        <v>0.092648137624632</v>
      </c>
    </row>
    <row r="3285" customFormat="false" ht="15" hidden="false" customHeight="false" outlineLevel="0" collapsed="false">
      <c r="A3285" s="16" t="n">
        <v>45292</v>
      </c>
      <c r="B3285" s="23" t="n">
        <f aca="false">YEAR(A3285)</f>
        <v>2024</v>
      </c>
      <c r="C3285" s="17" t="n">
        <v>44229.57</v>
      </c>
      <c r="D3285" s="23" t="n">
        <f aca="false">A3285-A3284</f>
        <v>1</v>
      </c>
      <c r="E3285" s="24" t="n">
        <f aca="false">LN(C3285)</f>
        <v>10.6971488489069</v>
      </c>
      <c r="F3285" s="25" t="n">
        <f aca="false">LN(C3285/C3284)</f>
        <v>0.0445880443262354</v>
      </c>
      <c r="G3285" s="25" t="n">
        <f aca="false">IF(AND(D3285=1,A3285&gt;=$R$2),F3285,"")</f>
        <v>0.0445880443262354</v>
      </c>
      <c r="H3285" s="27" t="n">
        <f aca="false">IF(G3285="","",G3285^2)</f>
        <v>0.00198809369683833</v>
      </c>
      <c r="I3285" s="25" t="n">
        <f aca="false">IF(G3285="","",C3285/C3284-1)</f>
        <v>0.0455970315440992</v>
      </c>
      <c r="J3285" s="17" t="n">
        <f aca="false">AVERAGE(C3086:C3285)</f>
        <v>32028.3975</v>
      </c>
      <c r="K3285" s="17" t="n">
        <f aca="false">MAX(K3284,C3285)</f>
        <v>67510.06</v>
      </c>
      <c r="L3285" s="25" t="n">
        <f aca="false">C3285/K3285-1</f>
        <v>-0.344844753507848</v>
      </c>
      <c r="M3285" s="25" t="n">
        <f aca="false">IF(COUNT(G3256:G3285)&lt;20,"",_xlfn.STDEV.S(G3256:G3285)*SQRT($R$3))</f>
        <v>0.467450642274979</v>
      </c>
      <c r="N3285" s="25" t="n">
        <f aca="false">IF(A3285-7&lt;$R$2,"",C3285/INDEX(Clean_Data!$C$2:$C$4314,MATCH(A3285-7,Clean_Data!$A$2:$A$4314,1))-1)</f>
        <v>0.0143540636937065</v>
      </c>
      <c r="O3285" s="25" t="n">
        <f aca="false">IF(A3285-30&lt;$R$2,"",C3285/INDEX(Clean_Data!$C$2:$C$4314,MATCH(A3285-30,Clean_Data!$A$2:$A$4314,1))-1)</f>
        <v>0.120653750603342</v>
      </c>
    </row>
    <row r="3286" customFormat="false" ht="15" hidden="false" customHeight="false" outlineLevel="0" collapsed="false">
      <c r="A3286" s="16" t="n">
        <v>45293</v>
      </c>
      <c r="B3286" s="23" t="n">
        <f aca="false">YEAR(A3286)</f>
        <v>2024</v>
      </c>
      <c r="C3286" s="17" t="n">
        <v>45030.04</v>
      </c>
      <c r="D3286" s="23" t="n">
        <f aca="false">A3286-A3285</f>
        <v>1</v>
      </c>
      <c r="E3286" s="24" t="n">
        <f aca="false">LN(C3286)</f>
        <v>10.7150851015919</v>
      </c>
      <c r="F3286" s="25" t="n">
        <f aca="false">LN(C3286/C3285)</f>
        <v>0.0179362526850066</v>
      </c>
      <c r="G3286" s="25" t="n">
        <f aca="false">IF(AND(D3286=1,A3286&gt;=$R$2),F3286,"")</f>
        <v>0.0179362526850066</v>
      </c>
      <c r="H3286" s="27" t="n">
        <f aca="false">IF(G3286="","",G3286^2)</f>
        <v>0.000321709160380407</v>
      </c>
      <c r="I3286" s="25" t="n">
        <f aca="false">IF(G3286="","",C3286/C3285-1)</f>
        <v>0.018098073302544</v>
      </c>
      <c r="J3286" s="17" t="n">
        <f aca="false">AVERAGE(C3087:C3286)</f>
        <v>32121.84105</v>
      </c>
      <c r="K3286" s="17" t="n">
        <f aca="false">MAX(K3285,C3286)</f>
        <v>67510.06</v>
      </c>
      <c r="L3286" s="25" t="n">
        <f aca="false">C3286/K3286-1</f>
        <v>-0.332987705832286</v>
      </c>
      <c r="M3286" s="25" t="n">
        <f aca="false">IF(COUNT(G3257:G3286)&lt;20,"",_xlfn.STDEV.S(G3257:G3286)*SQRT($R$3))</f>
        <v>0.468699537638907</v>
      </c>
      <c r="N3286" s="25" t="n">
        <f aca="false">IF(A3286-7&lt;$R$2,"",C3286/INDEX(Clean_Data!$C$2:$C$4314,MATCH(A3286-7,Clean_Data!$A$2:$A$4314,1))-1)</f>
        <v>0.0590255092513545</v>
      </c>
      <c r="O3286" s="25" t="n">
        <f aca="false">IF(A3286-30&lt;$R$2,"",C3286/INDEX(Clean_Data!$C$2:$C$4314,MATCH(A3286-30,Clean_Data!$A$2:$A$4314,1))-1)</f>
        <v>0.124939918318892</v>
      </c>
    </row>
    <row r="3287" customFormat="false" ht="15" hidden="false" customHeight="false" outlineLevel="0" collapsed="false">
      <c r="A3287" s="16" t="n">
        <v>45294</v>
      </c>
      <c r="B3287" s="23" t="n">
        <f aca="false">YEAR(A3287)</f>
        <v>2024</v>
      </c>
      <c r="C3287" s="17" t="n">
        <v>42836.3</v>
      </c>
      <c r="D3287" s="23" t="n">
        <f aca="false">A3287-A3286</f>
        <v>1</v>
      </c>
      <c r="E3287" s="24" t="n">
        <f aca="false">LN(C3287)</f>
        <v>10.6651411529513</v>
      </c>
      <c r="F3287" s="25" t="n">
        <f aca="false">LN(C3287/C3286)</f>
        <v>-0.0499439486406344</v>
      </c>
      <c r="G3287" s="25" t="n">
        <f aca="false">IF(AND(D3287=1,A3287&gt;=$R$2),F3287,"")</f>
        <v>-0.0499439486406344</v>
      </c>
      <c r="H3287" s="27" t="n">
        <f aca="false">IF(G3287="","",G3287^2)</f>
        <v>0.00249439800581833</v>
      </c>
      <c r="I3287" s="25" t="n">
        <f aca="false">IF(G3287="","",C3287/C3286-1)</f>
        <v>-0.0487172563026814</v>
      </c>
      <c r="J3287" s="17" t="n">
        <f aca="false">AVERAGE(C3088:C3287)</f>
        <v>32203.46725</v>
      </c>
      <c r="K3287" s="17" t="n">
        <f aca="false">MAX(K3286,C3287)</f>
        <v>67510.06</v>
      </c>
      <c r="L3287" s="25" t="n">
        <f aca="false">C3287/K3287-1</f>
        <v>-0.365482714724294</v>
      </c>
      <c r="M3287" s="25" t="n">
        <f aca="false">IF(COUNT(G3258:G3287)&lt;20,"",_xlfn.STDEV.S(G3258:G3287)*SQRT($R$3))</f>
        <v>0.48122855890434</v>
      </c>
      <c r="N3287" s="25" t="n">
        <f aca="false">IF(A3287-7&lt;$R$2,"",C3287/INDEX(Clean_Data!$C$2:$C$4314,MATCH(A3287-7,Clean_Data!$A$2:$A$4314,1))-1)</f>
        <v>-0.0139983358058393</v>
      </c>
      <c r="O3287" s="25" t="n">
        <f aca="false">IF(A3287-30&lt;$R$2,"",C3287/INDEX(Clean_Data!$C$2:$C$4314,MATCH(A3287-30,Clean_Data!$A$2:$A$4314,1))-1)</f>
        <v>0.023413196242096</v>
      </c>
    </row>
    <row r="3288" customFormat="false" ht="15" hidden="false" customHeight="false" outlineLevel="0" collapsed="false">
      <c r="A3288" s="16" t="n">
        <v>45295</v>
      </c>
      <c r="B3288" s="23" t="n">
        <f aca="false">YEAR(A3288)</f>
        <v>2024</v>
      </c>
      <c r="C3288" s="17" t="n">
        <v>44230.11</v>
      </c>
      <c r="D3288" s="23" t="n">
        <f aca="false">A3288-A3287</f>
        <v>1</v>
      </c>
      <c r="E3288" s="24" t="n">
        <f aca="false">LN(C3288)</f>
        <v>10.6971610578591</v>
      </c>
      <c r="F3288" s="25" t="n">
        <f aca="false">LN(C3288/C3287)</f>
        <v>0.0320199049077742</v>
      </c>
      <c r="G3288" s="25" t="n">
        <f aca="false">IF(AND(D3288=1,A3288&gt;=$R$2),F3288,"")</f>
        <v>0.0320199049077742</v>
      </c>
      <c r="H3288" s="27" t="n">
        <f aca="false">IF(G3288="","",G3288^2)</f>
        <v>0.0010252743103029</v>
      </c>
      <c r="I3288" s="25" t="n">
        <f aca="false">IF(G3288="","",C3288/C3287-1)</f>
        <v>0.0325380576753827</v>
      </c>
      <c r="J3288" s="17" t="n">
        <f aca="false">AVERAGE(C3089:C3288)</f>
        <v>32292.98645</v>
      </c>
      <c r="K3288" s="17" t="n">
        <f aca="false">MAX(K3287,C3288)</f>
        <v>67510.06</v>
      </c>
      <c r="L3288" s="25" t="n">
        <f aca="false">C3288/K3288-1</f>
        <v>-0.344836754699966</v>
      </c>
      <c r="M3288" s="25" t="n">
        <f aca="false">IF(COUNT(G3259:G3288)&lt;20,"",_xlfn.STDEV.S(G3259:G3288)*SQRT($R$3))</f>
        <v>0.459963414900837</v>
      </c>
      <c r="N3288" s="25" t="n">
        <f aca="false">IF(A3288-7&lt;$R$2,"",C3288/INDEX(Clean_Data!$C$2:$C$4314,MATCH(A3288-7,Clean_Data!$A$2:$A$4314,1))-1)</f>
        <v>0.0379477737331109</v>
      </c>
      <c r="O3288" s="25" t="n">
        <f aca="false">IF(A3288-30&lt;$R$2,"",C3288/INDEX(Clean_Data!$C$2:$C$4314,MATCH(A3288-30,Clean_Data!$A$2:$A$4314,1))-1)</f>
        <v>0.00385950450362538</v>
      </c>
    </row>
    <row r="3289" customFormat="false" ht="15" hidden="false" customHeight="false" outlineLevel="0" collapsed="false">
      <c r="A3289" s="16" t="n">
        <v>45296</v>
      </c>
      <c r="B3289" s="23" t="n">
        <f aca="false">YEAR(A3289)</f>
        <v>2024</v>
      </c>
      <c r="C3289" s="17" t="n">
        <v>44174.5</v>
      </c>
      <c r="D3289" s="23" t="n">
        <f aca="false">A3289-A3288</f>
        <v>1</v>
      </c>
      <c r="E3289" s="24" t="n">
        <f aca="false">LN(C3289)</f>
        <v>10.6959029785047</v>
      </c>
      <c r="F3289" s="25" t="n">
        <f aca="false">LN(C3289/C3288)</f>
        <v>-0.00125807935434117</v>
      </c>
      <c r="G3289" s="25" t="n">
        <f aca="false">IF(AND(D3289=1,A3289&gt;=$R$2),F3289,"")</f>
        <v>-0.00125807935434117</v>
      </c>
      <c r="H3289" s="27" t="n">
        <f aca="false">IF(G3289="","",G3289^2)</f>
        <v>1.58276366181951E-006</v>
      </c>
      <c r="I3289" s="25" t="n">
        <f aca="false">IF(G3289="","",C3289/C3288-1)</f>
        <v>-0.00125728830427962</v>
      </c>
      <c r="J3289" s="17" t="n">
        <f aca="false">AVERAGE(C3090:C3289)</f>
        <v>32379.748</v>
      </c>
      <c r="K3289" s="17" t="n">
        <f aca="false">MAX(K3288,C3289)</f>
        <v>67510.06</v>
      </c>
      <c r="L3289" s="25" t="n">
        <f aca="false">C3289/K3289-1</f>
        <v>-0.345660483785676</v>
      </c>
      <c r="M3289" s="25" t="n">
        <f aca="false">IF(COUNT(G3260:G3289)&lt;20,"",_xlfn.STDEV.S(G3260:G3289)*SQRT($R$3))</f>
        <v>0.459392233370245</v>
      </c>
      <c r="N3289" s="25" t="n">
        <f aca="false">IF(A3289-7&lt;$R$2,"",C3289/INDEX(Clean_Data!$C$2:$C$4314,MATCH(A3289-7,Clean_Data!$A$2:$A$4314,1))-1)</f>
        <v>0.0503658191519463</v>
      </c>
      <c r="O3289" s="25" t="n">
        <f aca="false">IF(A3289-30&lt;$R$2,"",C3289/INDEX(Clean_Data!$C$2:$C$4314,MATCH(A3289-30,Clean_Data!$A$2:$A$4314,1))-1)</f>
        <v>0.00904530556202121</v>
      </c>
    </row>
    <row r="3290" customFormat="false" ht="15" hidden="false" customHeight="false" outlineLevel="0" collapsed="false">
      <c r="A3290" s="16" t="n">
        <v>45297</v>
      </c>
      <c r="B3290" s="23" t="n">
        <f aca="false">YEAR(A3290)</f>
        <v>2024</v>
      </c>
      <c r="C3290" s="17" t="n">
        <v>44000</v>
      </c>
      <c r="D3290" s="23" t="n">
        <f aca="false">A3290-A3289</f>
        <v>1</v>
      </c>
      <c r="E3290" s="24" t="n">
        <f aca="false">LN(C3290)</f>
        <v>10.6919449129004</v>
      </c>
      <c r="F3290" s="25" t="n">
        <f aca="false">LN(C3290/C3289)</f>
        <v>-0.00395806560431439</v>
      </c>
      <c r="G3290" s="25" t="n">
        <f aca="false">IF(AND(D3290=1,A3290&gt;=$R$2),F3290,"")</f>
        <v>-0.00395806560431439</v>
      </c>
      <c r="H3290" s="27" t="n">
        <f aca="false">IF(G3290="","",G3290^2)</f>
        <v>1.56662833280566E-005</v>
      </c>
      <c r="I3290" s="25" t="n">
        <f aca="false">IF(G3290="","",C3290/C3289-1)</f>
        <v>-0.0039502427871283</v>
      </c>
      <c r="J3290" s="17" t="n">
        <f aca="false">AVERAGE(C3091:C3290)</f>
        <v>32458.17295</v>
      </c>
      <c r="K3290" s="17" t="n">
        <f aca="false">MAX(K3289,C3290)</f>
        <v>67510.06</v>
      </c>
      <c r="L3290" s="25" t="n">
        <f aca="false">C3290/K3290-1</f>
        <v>-0.348245283739934</v>
      </c>
      <c r="M3290" s="25" t="n">
        <f aca="false">IF(COUNT(G3261:G3290)&lt;20,"",_xlfn.STDEV.S(G3261:G3290)*SQRT($R$3))</f>
        <v>0.457912211466985</v>
      </c>
      <c r="N3290" s="25" t="n">
        <f aca="false">IF(A3290-7&lt;$R$2,"",C3290/INDEX(Clean_Data!$C$2:$C$4314,MATCH(A3290-7,Clean_Data!$A$2:$A$4314,1))-1)</f>
        <v>0.0435254463680097</v>
      </c>
      <c r="O3290" s="25" t="n">
        <f aca="false">IF(A3290-30&lt;$R$2,"",C3290/INDEX(Clean_Data!$C$2:$C$4314,MATCH(A3290-30,Clean_Data!$A$2:$A$4314,1))-1)</f>
        <v>0.0160276045463539</v>
      </c>
    </row>
    <row r="3291" customFormat="false" ht="15" hidden="false" customHeight="false" outlineLevel="0" collapsed="false">
      <c r="A3291" s="16" t="n">
        <v>45298</v>
      </c>
      <c r="B3291" s="23" t="n">
        <f aca="false">YEAR(A3291)</f>
        <v>2024</v>
      </c>
      <c r="C3291" s="17" t="n">
        <v>43923.68</v>
      </c>
      <c r="D3291" s="23" t="n">
        <f aca="false">A3291-A3290</f>
        <v>1</v>
      </c>
      <c r="E3291" s="24" t="n">
        <f aca="false">LN(C3291)</f>
        <v>10.6902088613801</v>
      </c>
      <c r="F3291" s="25" t="n">
        <f aca="false">LN(C3291/C3290)</f>
        <v>-0.00173605152032404</v>
      </c>
      <c r="G3291" s="25" t="n">
        <f aca="false">IF(AND(D3291=1,A3291&gt;=$R$2),F3291,"")</f>
        <v>-0.00173605152032404</v>
      </c>
      <c r="H3291" s="27" t="n">
        <f aca="false">IF(G3291="","",G3291^2)</f>
        <v>3.01387488121942E-006</v>
      </c>
      <c r="I3291" s="25" t="n">
        <f aca="false">IF(G3291="","",C3291/C3290-1)</f>
        <v>-0.00173454545454543</v>
      </c>
      <c r="J3291" s="17" t="n">
        <f aca="false">AVERAGE(C3092:C3291)</f>
        <v>32527.80025</v>
      </c>
      <c r="K3291" s="17" t="n">
        <f aca="false">MAX(K3290,C3291)</f>
        <v>67510.06</v>
      </c>
      <c r="L3291" s="25" t="n">
        <f aca="false">C3291/K3291-1</f>
        <v>-0.349375781920502</v>
      </c>
      <c r="M3291" s="25" t="n">
        <f aca="false">IF(COUNT(G3262:G3291)&lt;20,"",_xlfn.STDEV.S(G3262:G3291)*SQRT($R$3))</f>
        <v>0.451962031018</v>
      </c>
      <c r="N3291" s="25" t="n">
        <f aca="false">IF(A3291-7&lt;$R$2,"",C3291/INDEX(Clean_Data!$C$2:$C$4314,MATCH(A3291-7,Clean_Data!$A$2:$A$4314,1))-1)</f>
        <v>0.0383657228070027</v>
      </c>
      <c r="O3291" s="25" t="n">
        <f aca="false">IF(A3291-30&lt;$R$2,"",C3291/INDEX(Clean_Data!$C$2:$C$4314,MATCH(A3291-30,Clean_Data!$A$2:$A$4314,1))-1)</f>
        <v>-0.00678953526076609</v>
      </c>
    </row>
    <row r="3292" customFormat="false" ht="15" hidden="false" customHeight="false" outlineLevel="0" collapsed="false">
      <c r="A3292" s="16" t="n">
        <v>45299</v>
      </c>
      <c r="B3292" s="23" t="n">
        <f aca="false">YEAR(A3292)</f>
        <v>2024</v>
      </c>
      <c r="C3292" s="17" t="n">
        <v>47000.31</v>
      </c>
      <c r="D3292" s="23" t="n">
        <f aca="false">A3292-A3291</f>
        <v>1</v>
      </c>
      <c r="E3292" s="24" t="n">
        <f aca="false">LN(C3292)</f>
        <v>10.7579094764151</v>
      </c>
      <c r="F3292" s="25" t="n">
        <f aca="false">LN(C3292/C3291)</f>
        <v>0.0677006150350504</v>
      </c>
      <c r="G3292" s="25" t="n">
        <f aca="false">IF(AND(D3292=1,A3292&gt;=$R$2),F3292,"")</f>
        <v>0.0677006150350504</v>
      </c>
      <c r="H3292" s="27" t="n">
        <f aca="false">IF(G3292="","",G3292^2)</f>
        <v>0.0045833732761241</v>
      </c>
      <c r="I3292" s="25" t="n">
        <f aca="false">IF(G3292="","",C3292/C3291-1)</f>
        <v>0.0700449051627732</v>
      </c>
      <c r="J3292" s="17" t="n">
        <f aca="false">AVERAGE(C3093:C3292)</f>
        <v>32613.37535</v>
      </c>
      <c r="K3292" s="17" t="n">
        <f aca="false">MAX(K3291,C3292)</f>
        <v>67510.06</v>
      </c>
      <c r="L3292" s="25" t="n">
        <f aca="false">C3292/K3292-1</f>
        <v>-0.30380287026852</v>
      </c>
      <c r="M3292" s="25" t="n">
        <f aca="false">IF(COUNT(G3263:G3292)&lt;20,"",_xlfn.STDEV.S(G3263:G3292)*SQRT($R$3))</f>
        <v>0.508176356408495</v>
      </c>
      <c r="N3292" s="25" t="n">
        <f aca="false">IF(A3292-7&lt;$R$2,"",C3292/INDEX(Clean_Data!$C$2:$C$4314,MATCH(A3292-7,Clean_Data!$A$2:$A$4314,1))-1)</f>
        <v>0.0626445158747868</v>
      </c>
      <c r="O3292" s="25" t="n">
        <f aca="false">IF(A3292-30&lt;$R$2,"",C3292/INDEX(Clean_Data!$C$2:$C$4314,MATCH(A3292-30,Clean_Data!$A$2:$A$4314,1))-1)</f>
        <v>0.0746686269712609</v>
      </c>
    </row>
    <row r="3293" customFormat="false" ht="15" hidden="false" customHeight="false" outlineLevel="0" collapsed="false">
      <c r="A3293" s="16" t="n">
        <v>45300</v>
      </c>
      <c r="B3293" s="23" t="n">
        <f aca="false">YEAR(A3293)</f>
        <v>2024</v>
      </c>
      <c r="C3293" s="17" t="n">
        <v>46103</v>
      </c>
      <c r="D3293" s="23" t="n">
        <f aca="false">A3293-A3292</f>
        <v>1</v>
      </c>
      <c r="E3293" s="24" t="n">
        <f aca="false">LN(C3293)</f>
        <v>10.7386333027893</v>
      </c>
      <c r="F3293" s="25" t="n">
        <f aca="false">LN(C3293/C3292)</f>
        <v>-0.0192761736258218</v>
      </c>
      <c r="G3293" s="25" t="n">
        <f aca="false">IF(AND(D3293=1,A3293&gt;=$R$2),F3293,"")</f>
        <v>-0.0192761736258218</v>
      </c>
      <c r="H3293" s="27" t="n">
        <f aca="false">IF(G3293="","",G3293^2)</f>
        <v>0.000371570869652826</v>
      </c>
      <c r="I3293" s="25" t="n">
        <f aca="false">IF(G3293="","",C3293/C3292-1)</f>
        <v>-0.0190915762044973</v>
      </c>
      <c r="J3293" s="17" t="n">
        <f aca="false">AVERAGE(C3094:C3293)</f>
        <v>32690.42945</v>
      </c>
      <c r="K3293" s="17" t="n">
        <f aca="false">MAX(K3292,C3293)</f>
        <v>67510.06</v>
      </c>
      <c r="L3293" s="25" t="n">
        <f aca="false">C3293/K3293-1</f>
        <v>-0.317094370824141</v>
      </c>
      <c r="M3293" s="25" t="n">
        <f aca="false">IF(COUNT(G3264:G3293)&lt;20,"",_xlfn.STDEV.S(G3264:G3293)*SQRT($R$3))</f>
        <v>0.513768245384131</v>
      </c>
      <c r="N3293" s="25" t="n">
        <f aca="false">IF(A3293-7&lt;$R$2,"",C3293/INDEX(Clean_Data!$C$2:$C$4314,MATCH(A3293-7,Clean_Data!$A$2:$A$4314,1))-1)</f>
        <v>0.0238276492759055</v>
      </c>
      <c r="O3293" s="25" t="n">
        <f aca="false">IF(A3293-30&lt;$R$2,"",C3293/INDEX(Clean_Data!$C$2:$C$4314,MATCH(A3293-30,Clean_Data!$A$2:$A$4314,1))-1)</f>
        <v>0.0532140012148867</v>
      </c>
    </row>
    <row r="3294" customFormat="false" ht="15" hidden="false" customHeight="false" outlineLevel="0" collapsed="false">
      <c r="A3294" s="16" t="n">
        <v>45301</v>
      </c>
      <c r="B3294" s="23" t="n">
        <f aca="false">YEAR(A3294)</f>
        <v>2024</v>
      </c>
      <c r="C3294" s="17" t="n">
        <v>46590.34</v>
      </c>
      <c r="D3294" s="23" t="n">
        <f aca="false">A3294-A3293</f>
        <v>1</v>
      </c>
      <c r="E3294" s="24" t="n">
        <f aca="false">LN(C3294)</f>
        <v>10.7491485024876</v>
      </c>
      <c r="F3294" s="25" t="n">
        <f aca="false">LN(C3294/C3293)</f>
        <v>0.0105151996982812</v>
      </c>
      <c r="G3294" s="25" t="n">
        <f aca="false">IF(AND(D3294=1,A3294&gt;=$R$2),F3294,"")</f>
        <v>0.0105151996982812</v>
      </c>
      <c r="H3294" s="27" t="n">
        <f aca="false">IF(G3294="","",G3294^2)</f>
        <v>0.000110569424694732</v>
      </c>
      <c r="I3294" s="25" t="n">
        <f aca="false">IF(G3294="","",C3294/C3293-1)</f>
        <v>0.0105706786976985</v>
      </c>
      <c r="J3294" s="17" t="n">
        <f aca="false">AVERAGE(C3095:C3294)</f>
        <v>32770.5977</v>
      </c>
      <c r="K3294" s="17" t="n">
        <f aca="false">MAX(K3293,C3294)</f>
        <v>67510.06</v>
      </c>
      <c r="L3294" s="25" t="n">
        <f aca="false">C3294/K3294-1</f>
        <v>-0.309875594837273</v>
      </c>
      <c r="M3294" s="25" t="n">
        <f aca="false">IF(COUNT(G3265:G3294)&lt;20,"",_xlfn.STDEV.S(G3265:G3294)*SQRT($R$3))</f>
        <v>0.462754854133217</v>
      </c>
      <c r="N3294" s="25" t="n">
        <f aca="false">IF(A3294-7&lt;$R$2,"",C3294/INDEX(Clean_Data!$C$2:$C$4314,MATCH(A3294-7,Clean_Data!$A$2:$A$4314,1))-1)</f>
        <v>0.0876368874062417</v>
      </c>
      <c r="O3294" s="25" t="n">
        <f aca="false">IF(A3294-30&lt;$R$2,"",C3294/INDEX(Clean_Data!$C$2:$C$4314,MATCH(A3294-30,Clean_Data!$A$2:$A$4314,1))-1)</f>
        <v>0.130681731311307</v>
      </c>
    </row>
    <row r="3295" customFormat="false" ht="15" hidden="false" customHeight="false" outlineLevel="0" collapsed="false">
      <c r="A3295" s="16" t="n">
        <v>45302</v>
      </c>
      <c r="B3295" s="23" t="n">
        <f aca="false">YEAR(A3295)</f>
        <v>2024</v>
      </c>
      <c r="C3295" s="17" t="n">
        <v>46324.98</v>
      </c>
      <c r="D3295" s="23" t="n">
        <f aca="false">A3295-A3294</f>
        <v>1</v>
      </c>
      <c r="E3295" s="24" t="n">
        <f aca="false">LN(C3295)</f>
        <v>10.7434366194211</v>
      </c>
      <c r="F3295" s="25" t="n">
        <f aca="false">LN(C3295/C3294)</f>
        <v>-0.00571188306644262</v>
      </c>
      <c r="G3295" s="25" t="n">
        <f aca="false">IF(AND(D3295=1,A3295&gt;=$R$2),F3295,"")</f>
        <v>-0.00571188306644262</v>
      </c>
      <c r="H3295" s="27" t="n">
        <f aca="false">IF(G3295="","",G3295^2)</f>
        <v>3.26256081647139E-005</v>
      </c>
      <c r="I3295" s="25" t="n">
        <f aca="false">IF(G3295="","",C3295/C3294-1)</f>
        <v>-0.00569560127700275</v>
      </c>
      <c r="J3295" s="17" t="n">
        <f aca="false">AVERAGE(C3096:C3295)</f>
        <v>32849.78075</v>
      </c>
      <c r="K3295" s="17" t="n">
        <f aca="false">MAX(K3294,C3295)</f>
        <v>67510.06</v>
      </c>
      <c r="L3295" s="25" t="n">
        <f aca="false">C3295/K3295-1</f>
        <v>-0.313806268280609</v>
      </c>
      <c r="M3295" s="25" t="n">
        <f aca="false">IF(COUNT(G3266:G3295)&lt;20,"",_xlfn.STDEV.S(G3266:G3295)*SQRT($R$3))</f>
        <v>0.463950655653949</v>
      </c>
      <c r="N3295" s="25" t="n">
        <f aca="false">IF(A3295-7&lt;$R$2,"",C3295/INDEX(Clean_Data!$C$2:$C$4314,MATCH(A3295-7,Clean_Data!$A$2:$A$4314,1))-1)</f>
        <v>0.0473629841752599</v>
      </c>
      <c r="O3295" s="25" t="n">
        <f aca="false">IF(A3295-30&lt;$R$2,"",C3295/INDEX(Clean_Data!$C$2:$C$4314,MATCH(A3295-30,Clean_Data!$A$2:$A$4314,1))-1)</f>
        <v>0.117539650661659</v>
      </c>
    </row>
    <row r="3296" customFormat="false" ht="15" hidden="false" customHeight="false" outlineLevel="0" collapsed="false">
      <c r="A3296" s="16" t="n">
        <v>45303</v>
      </c>
      <c r="B3296" s="23" t="n">
        <f aca="false">YEAR(A3296)</f>
        <v>2024</v>
      </c>
      <c r="C3296" s="17" t="n">
        <v>42797.41</v>
      </c>
      <c r="D3296" s="23" t="n">
        <f aca="false">A3296-A3295</f>
        <v>1</v>
      </c>
      <c r="E3296" s="24" t="n">
        <f aca="false">LN(C3296)</f>
        <v>10.6642328657202</v>
      </c>
      <c r="F3296" s="25" t="n">
        <f aca="false">LN(C3296/C3295)</f>
        <v>-0.0792037537009919</v>
      </c>
      <c r="G3296" s="25" t="n">
        <f aca="false">IF(AND(D3296=1,A3296&gt;=$R$2),F3296,"")</f>
        <v>-0.0792037537009919</v>
      </c>
      <c r="H3296" s="27" t="n">
        <f aca="false">IF(G3296="","",G3296^2)</f>
        <v>0.00627323460032738</v>
      </c>
      <c r="I3296" s="25" t="n">
        <f aca="false">IF(G3296="","",C3296/C3295-1)</f>
        <v>-0.0761483329296634</v>
      </c>
      <c r="J3296" s="17" t="n">
        <f aca="false">AVERAGE(C3097:C3296)</f>
        <v>32912.3679</v>
      </c>
      <c r="K3296" s="17" t="n">
        <f aca="false">MAX(K3295,C3296)</f>
        <v>67510.06</v>
      </c>
      <c r="L3296" s="25" t="n">
        <f aca="false">C3296/K3296-1</f>
        <v>-0.366058777017825</v>
      </c>
      <c r="M3296" s="25" t="n">
        <f aca="false">IF(COUNT(G3267:G3296)&lt;20,"",_xlfn.STDEV.S(G3267:G3296)*SQRT($R$3))</f>
        <v>0.532924199233679</v>
      </c>
      <c r="N3296" s="25" t="n">
        <f aca="false">IF(A3296-7&lt;$R$2,"",C3296/INDEX(Clean_Data!$C$2:$C$4314,MATCH(A3296-7,Clean_Data!$A$2:$A$4314,1))-1)</f>
        <v>-0.0311738672763697</v>
      </c>
      <c r="O3296" s="25" t="n">
        <f aca="false">IF(A3296-30&lt;$R$2,"",C3296/INDEX(Clean_Data!$C$2:$C$4314,MATCH(A3296-30,Clean_Data!$A$2:$A$4314,1))-1)</f>
        <v>-0.00302140069527157</v>
      </c>
    </row>
    <row r="3297" customFormat="false" ht="15" hidden="false" customHeight="false" outlineLevel="0" collapsed="false">
      <c r="A3297" s="16" t="n">
        <v>45304</v>
      </c>
      <c r="B3297" s="23" t="n">
        <f aca="false">YEAR(A3297)</f>
        <v>2024</v>
      </c>
      <c r="C3297" s="17" t="n">
        <v>42829.8</v>
      </c>
      <c r="D3297" s="23" t="n">
        <f aca="false">A3297-A3296</f>
        <v>1</v>
      </c>
      <c r="E3297" s="24" t="n">
        <f aca="false">LN(C3297)</f>
        <v>10.6649894009744</v>
      </c>
      <c r="F3297" s="25" t="n">
        <f aca="false">LN(C3297/C3296)</f>
        <v>0.000756535254269101</v>
      </c>
      <c r="G3297" s="25" t="n">
        <f aca="false">IF(AND(D3297=1,A3297&gt;=$R$2),F3297,"")</f>
        <v>0.000756535254269101</v>
      </c>
      <c r="H3297" s="27" t="n">
        <f aca="false">IF(G3297="","",G3297^2)</f>
        <v>5.72345590952013E-007</v>
      </c>
      <c r="I3297" s="25" t="n">
        <f aca="false">IF(G3297="","",C3297/C3296-1)</f>
        <v>0.000756821499244831</v>
      </c>
      <c r="J3297" s="17" t="n">
        <f aca="false">AVERAGE(C3098:C3297)</f>
        <v>32973.0064</v>
      </c>
      <c r="K3297" s="17" t="n">
        <f aca="false">MAX(K3296,C3297)</f>
        <v>67510.06</v>
      </c>
      <c r="L3297" s="25" t="n">
        <f aca="false">C3297/K3297-1</f>
        <v>-0.365578996671015</v>
      </c>
      <c r="M3297" s="25" t="n">
        <f aca="false">IF(COUNT(G3268:G3297)&lt;20,"",_xlfn.STDEV.S(G3268:G3297)*SQRT($R$3))</f>
        <v>0.532856433401913</v>
      </c>
      <c r="N3297" s="25" t="n">
        <f aca="false">IF(A3297-7&lt;$R$2,"",C3297/INDEX(Clean_Data!$C$2:$C$4314,MATCH(A3297-7,Clean_Data!$A$2:$A$4314,1))-1)</f>
        <v>-0.0265954545454545</v>
      </c>
      <c r="O3297" s="25" t="n">
        <f aca="false">IF(A3297-30&lt;$R$2,"",C3297/INDEX(Clean_Data!$C$2:$C$4314,MATCH(A3297-30,Clean_Data!$A$2:$A$4314,1))-1)</f>
        <v>-0.0046835631890616</v>
      </c>
    </row>
    <row r="3298" customFormat="false" ht="15" hidden="false" customHeight="false" outlineLevel="0" collapsed="false">
      <c r="A3298" s="16" t="n">
        <v>45305</v>
      </c>
      <c r="B3298" s="23" t="n">
        <f aca="false">YEAR(A3298)</f>
        <v>2024</v>
      </c>
      <c r="C3298" s="17" t="n">
        <v>41715.82</v>
      </c>
      <c r="D3298" s="23" t="n">
        <f aca="false">A3298-A3297</f>
        <v>1</v>
      </c>
      <c r="E3298" s="24" t="n">
        <f aca="false">LN(C3298)</f>
        <v>10.6386357123406</v>
      </c>
      <c r="F3298" s="25" t="n">
        <f aca="false">LN(C3298/C3297)</f>
        <v>-0.0263536886337933</v>
      </c>
      <c r="G3298" s="25" t="n">
        <f aca="false">IF(AND(D3298=1,A3298&gt;=$R$2),F3298,"")</f>
        <v>-0.0263536886337933</v>
      </c>
      <c r="H3298" s="27" t="n">
        <f aca="false">IF(G3298="","",G3298^2)</f>
        <v>0.000694516904606927</v>
      </c>
      <c r="I3298" s="25" t="n">
        <f aca="false">IF(G3298="","",C3298/C3297-1)</f>
        <v>-0.026009460702595</v>
      </c>
      <c r="J3298" s="17" t="n">
        <f aca="false">AVERAGE(C3099:C3298)</f>
        <v>33031.0725</v>
      </c>
      <c r="K3298" s="17" t="n">
        <f aca="false">MAX(K3297,C3298)</f>
        <v>67510.06</v>
      </c>
      <c r="L3298" s="25" t="n">
        <f aca="false">C3298/K3298-1</f>
        <v>-0.382079944826001</v>
      </c>
      <c r="M3298" s="25" t="n">
        <f aca="false">IF(COUNT(G3269:G3298)&lt;20,"",_xlfn.STDEV.S(G3269:G3298)*SQRT($R$3))</f>
        <v>0.533259661930337</v>
      </c>
      <c r="N3298" s="25" t="n">
        <f aca="false">IF(A3298-7&lt;$R$2,"",C3298/INDEX(Clean_Data!$C$2:$C$4314,MATCH(A3298-7,Clean_Data!$A$2:$A$4314,1))-1)</f>
        <v>-0.0502658247214259</v>
      </c>
      <c r="O3298" s="25" t="n">
        <f aca="false">IF(A3298-30&lt;$R$2,"",C3298/INDEX(Clean_Data!$C$2:$C$4314,MATCH(A3298-30,Clean_Data!$A$2:$A$4314,1))-1)</f>
        <v>-0.00534074904011239</v>
      </c>
    </row>
    <row r="3299" customFormat="false" ht="15" hidden="false" customHeight="false" outlineLevel="0" collapsed="false">
      <c r="A3299" s="16" t="n">
        <v>45306</v>
      </c>
      <c r="B3299" s="23" t="n">
        <f aca="false">YEAR(A3299)</f>
        <v>2024</v>
      </c>
      <c r="C3299" s="17" t="n">
        <v>42500</v>
      </c>
      <c r="D3299" s="23" t="n">
        <f aca="false">A3299-A3298</f>
        <v>1</v>
      </c>
      <c r="E3299" s="24" t="n">
        <f aca="false">LN(C3299)</f>
        <v>10.6572593549125</v>
      </c>
      <c r="F3299" s="25" t="n">
        <f aca="false">LN(C3299/C3298)</f>
        <v>0.0186236425718828</v>
      </c>
      <c r="G3299" s="25" t="n">
        <f aca="false">IF(AND(D3299=1,A3299&gt;=$R$2),F3299,"")</f>
        <v>0.0186236425718828</v>
      </c>
      <c r="H3299" s="27" t="n">
        <f aca="false">IF(G3299="","",G3299^2)</f>
        <v>0.000346840062645247</v>
      </c>
      <c r="I3299" s="25" t="n">
        <f aca="false">IF(G3299="","",C3299/C3298-1)</f>
        <v>0.0187981442052441</v>
      </c>
      <c r="J3299" s="17" t="n">
        <f aca="false">AVERAGE(C3100:C3299)</f>
        <v>33091.3655</v>
      </c>
      <c r="K3299" s="17" t="n">
        <f aca="false">MAX(K3298,C3299)</f>
        <v>67510.06</v>
      </c>
      <c r="L3299" s="25" t="n">
        <f aca="false">C3299/K3299-1</f>
        <v>-0.370464194521528</v>
      </c>
      <c r="M3299" s="25" t="n">
        <f aca="false">IF(COUNT(G3270:G3299)&lt;20,"",_xlfn.STDEV.S(G3270:G3299)*SQRT($R$3))</f>
        <v>0.536775401836459</v>
      </c>
      <c r="N3299" s="25" t="n">
        <f aca="false">IF(A3299-7&lt;$R$2,"",C3299/INDEX(Clean_Data!$C$2:$C$4314,MATCH(A3299-7,Clean_Data!$A$2:$A$4314,1))-1)</f>
        <v>-0.0957506450489368</v>
      </c>
      <c r="O3299" s="25" t="n">
        <f aca="false">IF(A3299-30&lt;$R$2,"",C3299/INDEX(Clean_Data!$C$2:$C$4314,MATCH(A3299-30,Clean_Data!$A$2:$A$4314,1))-1)</f>
        <v>0.00639355908122186</v>
      </c>
    </row>
    <row r="3300" customFormat="false" ht="15" hidden="false" customHeight="false" outlineLevel="0" collapsed="false">
      <c r="A3300" s="16" t="n">
        <v>45307</v>
      </c>
      <c r="B3300" s="23" t="n">
        <f aca="false">YEAR(A3300)</f>
        <v>2024</v>
      </c>
      <c r="C3300" s="17" t="n">
        <v>43152.59</v>
      </c>
      <c r="D3300" s="23" t="n">
        <f aca="false">A3300-A3299</f>
        <v>1</v>
      </c>
      <c r="E3300" s="24" t="n">
        <f aca="false">LN(C3300)</f>
        <v>10.6724977178852</v>
      </c>
      <c r="F3300" s="25" t="n">
        <f aca="false">LN(C3300/C3299)</f>
        <v>0.0152383629727181</v>
      </c>
      <c r="G3300" s="25" t="n">
        <f aca="false">IF(AND(D3300=1,A3300&gt;=$R$2),F3300,"")</f>
        <v>0.0152383629727181</v>
      </c>
      <c r="H3300" s="27" t="n">
        <f aca="false">IF(G3300="","",G3300^2)</f>
        <v>0.000232207706088307</v>
      </c>
      <c r="I3300" s="25" t="n">
        <f aca="false">IF(G3300="","",C3300/C3299-1)</f>
        <v>0.0153550588235294</v>
      </c>
      <c r="J3300" s="17" t="n">
        <f aca="false">AVERAGE(C3101:C3300)</f>
        <v>33154.74935</v>
      </c>
      <c r="K3300" s="17" t="n">
        <f aca="false">MAX(K3299,C3300)</f>
        <v>67510.06</v>
      </c>
      <c r="L3300" s="25" t="n">
        <f aca="false">C3300/K3300-1</f>
        <v>-0.360797635196888</v>
      </c>
      <c r="M3300" s="25" t="n">
        <f aca="false">IF(COUNT(G3271:G3300)&lt;20,"",_xlfn.STDEV.S(G3271:G3300)*SQRT($R$3))</f>
        <v>0.534064698890151</v>
      </c>
      <c r="N3300" s="25" t="n">
        <f aca="false">IF(A3300-7&lt;$R$2,"",C3300/INDEX(Clean_Data!$C$2:$C$4314,MATCH(A3300-7,Clean_Data!$A$2:$A$4314,1))-1)</f>
        <v>-0.0639960523176367</v>
      </c>
      <c r="O3300" s="25" t="n">
        <f aca="false">IF(A3300-30&lt;$R$2,"",C3300/INDEX(Clean_Data!$C$2:$C$4314,MATCH(A3300-30,Clean_Data!$A$2:$A$4314,1))-1)</f>
        <v>0.0426466413208801</v>
      </c>
    </row>
    <row r="3301" customFormat="false" ht="15" hidden="false" customHeight="false" outlineLevel="0" collapsed="false">
      <c r="A3301" s="16" t="n">
        <v>45308</v>
      </c>
      <c r="B3301" s="23" t="n">
        <f aca="false">YEAR(A3301)</f>
        <v>2024</v>
      </c>
      <c r="C3301" s="17" t="n">
        <v>42705.07</v>
      </c>
      <c r="D3301" s="23" t="n">
        <f aca="false">A3301-A3300</f>
        <v>1</v>
      </c>
      <c r="E3301" s="24" t="n">
        <f aca="false">LN(C3301)</f>
        <v>10.6620729275312</v>
      </c>
      <c r="F3301" s="25" t="n">
        <f aca="false">LN(C3301/C3300)</f>
        <v>-0.010424790353998</v>
      </c>
      <c r="G3301" s="25" t="n">
        <f aca="false">IF(AND(D3301=1,A3301&gt;=$R$2),F3301,"")</f>
        <v>-0.010424790353998</v>
      </c>
      <c r="H3301" s="27" t="n">
        <f aca="false">IF(G3301="","",G3301^2)</f>
        <v>0.00010867625392481</v>
      </c>
      <c r="I3301" s="25" t="n">
        <f aca="false">IF(G3301="","",C3301/C3300-1)</f>
        <v>-0.0103706405571484</v>
      </c>
      <c r="J3301" s="17" t="n">
        <f aca="false">AVERAGE(C3102:C3301)</f>
        <v>33215.3497</v>
      </c>
      <c r="K3301" s="17" t="n">
        <f aca="false">MAX(K3300,C3301)</f>
        <v>67510.06</v>
      </c>
      <c r="L3301" s="25" t="n">
        <f aca="false">C3301/K3301-1</f>
        <v>-0.36742657316554</v>
      </c>
      <c r="M3301" s="25" t="n">
        <f aca="false">IF(COUNT(G3272:G3301)&lt;20,"",_xlfn.STDEV.S(G3272:G3301)*SQRT($R$3))</f>
        <v>0.525516226774502</v>
      </c>
      <c r="N3301" s="25" t="n">
        <f aca="false">IF(A3301-7&lt;$R$2,"",C3301/INDEX(Clean_Data!$C$2:$C$4314,MATCH(A3301-7,Clean_Data!$A$2:$A$4314,1))-1)</f>
        <v>-0.083392179580574</v>
      </c>
      <c r="O3301" s="25" t="n">
        <f aca="false">IF(A3301-30&lt;$R$2,"",C3301/INDEX(Clean_Data!$C$2:$C$4314,MATCH(A3301-30,Clean_Data!$A$2:$A$4314,1))-1)</f>
        <v>0.00156643279231705</v>
      </c>
    </row>
    <row r="3302" customFormat="false" ht="15" hidden="false" customHeight="false" outlineLevel="0" collapsed="false">
      <c r="A3302" s="16" t="n">
        <v>45309</v>
      </c>
      <c r="B3302" s="23" t="n">
        <f aca="false">YEAR(A3302)</f>
        <v>2024</v>
      </c>
      <c r="C3302" s="17" t="n">
        <v>41234.95</v>
      </c>
      <c r="D3302" s="23" t="n">
        <f aca="false">A3302-A3301</f>
        <v>1</v>
      </c>
      <c r="E3302" s="24" t="n">
        <f aca="false">LN(C3302)</f>
        <v>10.6270414767046</v>
      </c>
      <c r="F3302" s="25" t="n">
        <f aca="false">LN(C3302/C3301)</f>
        <v>-0.0350314508266515</v>
      </c>
      <c r="G3302" s="25" t="n">
        <f aca="false">IF(AND(D3302=1,A3302&gt;=$R$2),F3302,"")</f>
        <v>-0.0350314508266515</v>
      </c>
      <c r="H3302" s="27" t="n">
        <f aca="false">IF(G3302="","",G3302^2)</f>
        <v>0.00122720254702011</v>
      </c>
      <c r="I3302" s="25" t="n">
        <f aca="false">IF(G3302="","",C3302/C3301-1)</f>
        <v>-0.0344249523534326</v>
      </c>
      <c r="J3302" s="17" t="n">
        <f aca="false">AVERAGE(C3103:C3302)</f>
        <v>33268.4444</v>
      </c>
      <c r="K3302" s="17" t="n">
        <f aca="false">MAX(K3301,C3302)</f>
        <v>67510.06</v>
      </c>
      <c r="L3302" s="25" t="n">
        <f aca="false">C3302/K3302-1</f>
        <v>-0.389202883244364</v>
      </c>
      <c r="M3302" s="25" t="n">
        <f aca="false">IF(COUNT(G3273:G3302)&lt;20,"",_xlfn.STDEV.S(G3273:G3302)*SQRT($R$3))</f>
        <v>0.538816886812539</v>
      </c>
      <c r="N3302" s="25" t="n">
        <f aca="false">IF(A3302-7&lt;$R$2,"",C3302/INDEX(Clean_Data!$C$2:$C$4314,MATCH(A3302-7,Clean_Data!$A$2:$A$4314,1))-1)</f>
        <v>-0.109876571992044</v>
      </c>
      <c r="O3302" s="25" t="n">
        <f aca="false">IF(A3302-30&lt;$R$2,"",C3302/INDEX(Clean_Data!$C$2:$C$4314,MATCH(A3302-30,Clean_Data!$A$2:$A$4314,1))-1)</f>
        <v>-0.0240756694325976</v>
      </c>
    </row>
    <row r="3303" customFormat="false" ht="15" hidden="false" customHeight="false" outlineLevel="0" collapsed="false">
      <c r="A3303" s="16" t="n">
        <v>45310</v>
      </c>
      <c r="B3303" s="23" t="n">
        <f aca="false">YEAR(A3303)</f>
        <v>2024</v>
      </c>
      <c r="C3303" s="17" t="n">
        <v>41633.68</v>
      </c>
      <c r="D3303" s="23" t="n">
        <f aca="false">A3303-A3302</f>
        <v>1</v>
      </c>
      <c r="E3303" s="24" t="n">
        <f aca="false">LN(C3303)</f>
        <v>10.6366647340722</v>
      </c>
      <c r="F3303" s="25" t="n">
        <f aca="false">LN(C3303/C3302)</f>
        <v>0.00962325736764523</v>
      </c>
      <c r="G3303" s="25" t="n">
        <f aca="false">IF(AND(D3303=1,A3303&gt;=$R$2),F3303,"")</f>
        <v>0.00962325736764523</v>
      </c>
      <c r="H3303" s="27" t="n">
        <f aca="false">IF(G3303="","",G3303^2)</f>
        <v>9.26070823639382E-005</v>
      </c>
      <c r="I3303" s="25" t="n">
        <f aca="false">IF(G3303="","",C3303/C3302-1)</f>
        <v>0.00966970979715032</v>
      </c>
      <c r="J3303" s="17" t="n">
        <f aca="false">AVERAGE(C3104:C3303)</f>
        <v>33320.79685</v>
      </c>
      <c r="K3303" s="17" t="n">
        <f aca="false">MAX(K3302,C3303)</f>
        <v>67510.06</v>
      </c>
      <c r="L3303" s="25" t="n">
        <f aca="false">C3303/K3303-1</f>
        <v>-0.383296652380401</v>
      </c>
      <c r="M3303" s="25" t="n">
        <f aca="false">IF(COUNT(G3274:G3303)&lt;20,"",_xlfn.STDEV.S(G3274:G3303)*SQRT($R$3))</f>
        <v>0.526807578844243</v>
      </c>
      <c r="N3303" s="25" t="n">
        <f aca="false">IF(A3303-7&lt;$R$2,"",C3303/INDEX(Clean_Data!$C$2:$C$4314,MATCH(A3303-7,Clean_Data!$A$2:$A$4314,1))-1)</f>
        <v>-0.0271915987439427</v>
      </c>
      <c r="O3303" s="25" t="n">
        <f aca="false">IF(A3303-30&lt;$R$2,"",C3303/INDEX(Clean_Data!$C$2:$C$4314,MATCH(A3303-30,Clean_Data!$A$2:$A$4314,1))-1)</f>
        <v>-0.0461275583367566</v>
      </c>
    </row>
    <row r="3304" customFormat="false" ht="15" hidden="false" customHeight="false" outlineLevel="0" collapsed="false">
      <c r="A3304" s="16" t="n">
        <v>45311</v>
      </c>
      <c r="B3304" s="23" t="n">
        <f aca="false">YEAR(A3304)</f>
        <v>2024</v>
      </c>
      <c r="C3304" s="17" t="n">
        <v>41664.79</v>
      </c>
      <c r="D3304" s="23" t="n">
        <f aca="false">A3304-A3303</f>
        <v>1</v>
      </c>
      <c r="E3304" s="24" t="n">
        <f aca="false">LN(C3304)</f>
        <v>10.637411686602</v>
      </c>
      <c r="F3304" s="25" t="n">
        <f aca="false">LN(C3304/C3303)</f>
        <v>0.000746952529775213</v>
      </c>
      <c r="G3304" s="25" t="n">
        <f aca="false">IF(AND(D3304=1,A3304&gt;=$R$2),F3304,"")</f>
        <v>0.000746952529775213</v>
      </c>
      <c r="H3304" s="27" t="n">
        <f aca="false">IF(G3304="","",G3304^2)</f>
        <v>5.57938081737591E-007</v>
      </c>
      <c r="I3304" s="25" t="n">
        <f aca="false">IF(G3304="","",C3304/C3303-1)</f>
        <v>0.000747231568287932</v>
      </c>
      <c r="J3304" s="17" t="n">
        <f aca="false">AVERAGE(C3105:C3304)</f>
        <v>33375.28625</v>
      </c>
      <c r="K3304" s="17" t="n">
        <f aca="false">MAX(K3303,C3304)</f>
        <v>67510.06</v>
      </c>
      <c r="L3304" s="25" t="n">
        <f aca="false">C3304/K3304-1</f>
        <v>-0.382835832170791</v>
      </c>
      <c r="M3304" s="25" t="n">
        <f aca="false">IF(COUNT(G3275:G3304)&lt;20,"",_xlfn.STDEV.S(G3275:G3304)*SQRT($R$3))</f>
        <v>0.526306481745899</v>
      </c>
      <c r="N3304" s="25" t="n">
        <f aca="false">IF(A3304-7&lt;$R$2,"",C3304/INDEX(Clean_Data!$C$2:$C$4314,MATCH(A3304-7,Clean_Data!$A$2:$A$4314,1))-1)</f>
        <v>-0.0272009208541717</v>
      </c>
      <c r="O3304" s="25" t="n">
        <f aca="false">IF(A3304-30&lt;$R$2,"",C3304/INDEX(Clean_Data!$C$2:$C$4314,MATCH(A3304-30,Clean_Data!$A$2:$A$4314,1))-1)</f>
        <v>-0.0504180096260044</v>
      </c>
    </row>
    <row r="3305" customFormat="false" ht="15" hidden="false" customHeight="false" outlineLevel="0" collapsed="false">
      <c r="A3305" s="16" t="n">
        <v>45312</v>
      </c>
      <c r="B3305" s="23" t="n">
        <f aca="false">YEAR(A3305)</f>
        <v>2024</v>
      </c>
      <c r="C3305" s="17" t="n">
        <v>41565.85</v>
      </c>
      <c r="D3305" s="23" t="n">
        <f aca="false">A3305-A3304</f>
        <v>1</v>
      </c>
      <c r="E3305" s="24" t="n">
        <f aca="false">LN(C3305)</f>
        <v>10.6350341956538</v>
      </c>
      <c r="F3305" s="25" t="n">
        <f aca="false">LN(C3305/C3304)</f>
        <v>-0.00237749094815455</v>
      </c>
      <c r="G3305" s="25" t="n">
        <f aca="false">IF(AND(D3305=1,A3305&gt;=$R$2),F3305,"")</f>
        <v>-0.00237749094815455</v>
      </c>
      <c r="H3305" s="27" t="n">
        <f aca="false">IF(G3305="","",G3305^2)</f>
        <v>5.65246320855683E-006</v>
      </c>
      <c r="I3305" s="25" t="n">
        <f aca="false">IF(G3305="","",C3305/C3304-1)</f>
        <v>-0.00237466695499966</v>
      </c>
      <c r="J3305" s="17" t="n">
        <f aca="false">AVERAGE(C3106:C3305)</f>
        <v>33430.65195</v>
      </c>
      <c r="K3305" s="17" t="n">
        <f aca="false">MAX(K3304,C3305)</f>
        <v>67510.06</v>
      </c>
      <c r="L3305" s="25" t="n">
        <f aca="false">C3305/K3305-1</f>
        <v>-0.384301391525944</v>
      </c>
      <c r="M3305" s="25" t="n">
        <f aca="false">IF(COUNT(G3276:G3305)&lt;20,"",_xlfn.STDEV.S(G3276:G3305)*SQRT($R$3))</f>
        <v>0.526014697611985</v>
      </c>
      <c r="N3305" s="25" t="n">
        <f aca="false">IF(A3305-7&lt;$R$2,"",C3305/INDEX(Clean_Data!$C$2:$C$4314,MATCH(A3305-7,Clean_Data!$A$2:$A$4314,1))-1)</f>
        <v>-0.00359503900438729</v>
      </c>
      <c r="O3305" s="25" t="n">
        <f aca="false">IF(A3305-30&lt;$R$2,"",C3305/INDEX(Clean_Data!$C$2:$C$4314,MATCH(A3305-30,Clean_Data!$A$2:$A$4314,1))-1)</f>
        <v>-0.0556564036387099</v>
      </c>
    </row>
    <row r="3306" customFormat="false" ht="15" hidden="false" customHeight="false" outlineLevel="0" collapsed="false">
      <c r="A3306" s="16" t="n">
        <v>45313</v>
      </c>
      <c r="B3306" s="23" t="n">
        <f aca="false">YEAR(A3306)</f>
        <v>2024</v>
      </c>
      <c r="C3306" s="17" t="n">
        <v>39547.64</v>
      </c>
      <c r="D3306" s="23" t="n">
        <f aca="false">A3306-A3305</f>
        <v>1</v>
      </c>
      <c r="E3306" s="24" t="n">
        <f aca="false">LN(C3306)</f>
        <v>10.5852613001132</v>
      </c>
      <c r="F3306" s="25" t="n">
        <f aca="false">LN(C3306/C3305)</f>
        <v>-0.0497728955405949</v>
      </c>
      <c r="G3306" s="25" t="n">
        <f aca="false">IF(AND(D3306=1,A3306&gt;=$R$2),F3306,"")</f>
        <v>-0.0497728955405949</v>
      </c>
      <c r="H3306" s="27" t="n">
        <f aca="false">IF(G3306="","",G3306^2)</f>
        <v>0.00247734113049497</v>
      </c>
      <c r="I3306" s="25" t="n">
        <f aca="false">IF(G3306="","",C3306/C3305-1)</f>
        <v>-0.0485545225226959</v>
      </c>
      <c r="J3306" s="17" t="n">
        <f aca="false">AVERAGE(C3107:C3306)</f>
        <v>33478.8357</v>
      </c>
      <c r="K3306" s="17" t="n">
        <f aca="false">MAX(K3305,C3306)</f>
        <v>67510.06</v>
      </c>
      <c r="L3306" s="25" t="n">
        <f aca="false">C3306/K3306-1</f>
        <v>-0.414196343478291</v>
      </c>
      <c r="M3306" s="25" t="n">
        <f aca="false">IF(COUNT(G3277:G3306)&lt;20,"",_xlfn.STDEV.S(G3277:G3306)*SQRT($R$3))</f>
        <v>0.551766939162419</v>
      </c>
      <c r="N3306" s="25" t="n">
        <f aca="false">IF(A3306-7&lt;$R$2,"",C3306/INDEX(Clean_Data!$C$2:$C$4314,MATCH(A3306-7,Clean_Data!$A$2:$A$4314,1))-1)</f>
        <v>-0.0694672941176471</v>
      </c>
      <c r="O3306" s="25" t="n">
        <f aca="false">IF(A3306-30&lt;$R$2,"",C3306/INDEX(Clean_Data!$C$2:$C$4314,MATCH(A3306-30,Clean_Data!$A$2:$A$4314,1))-1)</f>
        <v>-0.0953424167442324</v>
      </c>
    </row>
    <row r="3307" customFormat="false" ht="15" hidden="false" customHeight="false" outlineLevel="0" collapsed="false">
      <c r="A3307" s="16" t="n">
        <v>45314</v>
      </c>
      <c r="B3307" s="23" t="n">
        <f aca="false">YEAR(A3307)</f>
        <v>2024</v>
      </c>
      <c r="C3307" s="17" t="n">
        <v>39866.78</v>
      </c>
      <c r="D3307" s="23" t="n">
        <f aca="false">A3307-A3306</f>
        <v>1</v>
      </c>
      <c r="E3307" s="24" t="n">
        <f aca="false">LN(C3307)</f>
        <v>10.5932986746359</v>
      </c>
      <c r="F3307" s="25" t="n">
        <f aca="false">LN(C3307/C3306)</f>
        <v>0.00803737452263463</v>
      </c>
      <c r="G3307" s="25" t="n">
        <f aca="false">IF(AND(D3307=1,A3307&gt;=$R$2),F3307,"")</f>
        <v>0.00803737452263463</v>
      </c>
      <c r="H3307" s="27" t="n">
        <f aca="false">IF(G3307="","",G3307^2)</f>
        <v>6.45993892170963E-005</v>
      </c>
      <c r="I3307" s="25" t="n">
        <f aca="false">IF(G3307="","",C3307/C3306-1)</f>
        <v>0.00806976092631562</v>
      </c>
      <c r="J3307" s="17" t="n">
        <f aca="false">AVERAGE(C3108:C3307)</f>
        <v>33526.48295</v>
      </c>
      <c r="K3307" s="17" t="n">
        <f aca="false">MAX(K3306,C3307)</f>
        <v>67510.06</v>
      </c>
      <c r="L3307" s="25" t="n">
        <f aca="false">C3307/K3307-1</f>
        <v>-0.409469048020399</v>
      </c>
      <c r="M3307" s="25" t="n">
        <f aca="false">IF(COUNT(G3278:G3307)&lt;20,"",_xlfn.STDEV.S(G3278:G3307)*SQRT($R$3))</f>
        <v>0.551085532723957</v>
      </c>
      <c r="N3307" s="25" t="n">
        <f aca="false">IF(A3307-7&lt;$R$2,"",C3307/INDEX(Clean_Data!$C$2:$C$4314,MATCH(A3307-7,Clean_Data!$A$2:$A$4314,1))-1)</f>
        <v>-0.0761439811608063</v>
      </c>
      <c r="O3307" s="25" t="n">
        <f aca="false">IF(A3307-30&lt;$R$2,"",C3307/INDEX(Clean_Data!$C$2:$C$4314,MATCH(A3307-30,Clean_Data!$A$2:$A$4314,1))-1)</f>
        <v>-0.0730067861755943</v>
      </c>
    </row>
    <row r="3308" customFormat="false" ht="15" hidden="false" customHeight="false" outlineLevel="0" collapsed="false">
      <c r="A3308" s="16" t="n">
        <v>45315</v>
      </c>
      <c r="B3308" s="23" t="n">
        <f aca="false">YEAR(A3308)</f>
        <v>2024</v>
      </c>
      <c r="C3308" s="17" t="n">
        <v>40051.8</v>
      </c>
      <c r="D3308" s="23" t="n">
        <f aca="false">A3308-A3307</f>
        <v>1</v>
      </c>
      <c r="E3308" s="24" t="n">
        <f aca="false">LN(C3308)</f>
        <v>10.5979288953068</v>
      </c>
      <c r="F3308" s="25" t="n">
        <f aca="false">LN(C3308/C3307)</f>
        <v>0.00463022067090428</v>
      </c>
      <c r="G3308" s="25" t="n">
        <f aca="false">IF(AND(D3308=1,A3308&gt;=$R$2),F3308,"")</f>
        <v>0.00463022067090428</v>
      </c>
      <c r="H3308" s="27" t="n">
        <f aca="false">IF(G3308="","",G3308^2)</f>
        <v>2.14389434612693E-005</v>
      </c>
      <c r="I3308" s="25" t="n">
        <f aca="false">IF(G3308="","",C3308/C3307-1)</f>
        <v>0.00464095670631037</v>
      </c>
      <c r="J3308" s="17" t="n">
        <f aca="false">AVERAGE(C3109:C3308)</f>
        <v>33575.23445</v>
      </c>
      <c r="K3308" s="17" t="n">
        <f aca="false">MAX(K3307,C3308)</f>
        <v>67510.06</v>
      </c>
      <c r="L3308" s="25" t="n">
        <f aca="false">C3308/K3308-1</f>
        <v>-0.406728419438525</v>
      </c>
      <c r="M3308" s="25" t="n">
        <f aca="false">IF(COUNT(G3279:G3308)&lt;20,"",_xlfn.STDEV.S(G3279:G3308)*SQRT($R$3))</f>
        <v>0.548592900051391</v>
      </c>
      <c r="N3308" s="25" t="n">
        <f aca="false">IF(A3308-7&lt;$R$2,"",C3308/INDEX(Clean_Data!$C$2:$C$4314,MATCH(A3308-7,Clean_Data!$A$2:$A$4314,1))-1)</f>
        <v>-0.0621300936867683</v>
      </c>
      <c r="O3308" s="25" t="n">
        <f aca="false">IF(A3308-30&lt;$R$2,"",C3308/INDEX(Clean_Data!$C$2:$C$4314,MATCH(A3308-30,Clean_Data!$A$2:$A$4314,1))-1)</f>
        <v>-0.0814582622384166</v>
      </c>
    </row>
    <row r="3309" customFormat="false" ht="15" hidden="false" customHeight="false" outlineLevel="0" collapsed="false">
      <c r="A3309" s="16" t="n">
        <v>45316</v>
      </c>
      <c r="B3309" s="23" t="n">
        <f aca="false">YEAR(A3309)</f>
        <v>2024</v>
      </c>
      <c r="C3309" s="17" t="n">
        <v>39944.5</v>
      </c>
      <c r="D3309" s="23" t="n">
        <f aca="false">A3309-A3308</f>
        <v>1</v>
      </c>
      <c r="E3309" s="24" t="n">
        <f aca="false">LN(C3309)</f>
        <v>10.5952462696266</v>
      </c>
      <c r="F3309" s="25" t="n">
        <f aca="false">LN(C3309/C3308)</f>
        <v>-0.00268262568015089</v>
      </c>
      <c r="G3309" s="25" t="n">
        <f aca="false">IF(AND(D3309=1,A3309&gt;=$R$2),F3309,"")</f>
        <v>-0.00268262568015089</v>
      </c>
      <c r="H3309" s="27" t="n">
        <f aca="false">IF(G3309="","",G3309^2)</f>
        <v>7.19648053980503E-006</v>
      </c>
      <c r="I3309" s="25" t="n">
        <f aca="false">IF(G3309="","",C3309/C3308-1)</f>
        <v>-0.00267903065530151</v>
      </c>
      <c r="J3309" s="17" t="n">
        <f aca="false">AVERAGE(C3110:C3309)</f>
        <v>33624.10145</v>
      </c>
      <c r="K3309" s="17" t="n">
        <f aca="false">MAX(K3308,C3309)</f>
        <v>67510.06</v>
      </c>
      <c r="L3309" s="25" t="n">
        <f aca="false">C3309/K3309-1</f>
        <v>-0.408317812189769</v>
      </c>
      <c r="M3309" s="25" t="n">
        <f aca="false">IF(COUNT(G3280:G3309)&lt;20,"",_xlfn.STDEV.S(G3280:G3309)*SQRT($R$3))</f>
        <v>0.542648505300397</v>
      </c>
      <c r="N3309" s="25" t="n">
        <f aca="false">IF(A3309-7&lt;$R$2,"",C3309/INDEX(Clean_Data!$C$2:$C$4314,MATCH(A3309-7,Clean_Data!$A$2:$A$4314,1))-1)</f>
        <v>-0.031295054316787</v>
      </c>
      <c r="O3309" s="25" t="n">
        <f aca="false">IF(A3309-30&lt;$R$2,"",C3309/INDEX(Clean_Data!$C$2:$C$4314,MATCH(A3309-30,Clean_Data!$A$2:$A$4314,1))-1)</f>
        <v>-0.0605772401203568</v>
      </c>
    </row>
    <row r="3310" customFormat="false" ht="15" hidden="false" customHeight="false" outlineLevel="0" collapsed="false">
      <c r="A3310" s="16" t="n">
        <v>45317</v>
      </c>
      <c r="B3310" s="23" t="n">
        <f aca="false">YEAR(A3310)</f>
        <v>2024</v>
      </c>
      <c r="C3310" s="17" t="n">
        <v>41792.29</v>
      </c>
      <c r="D3310" s="23" t="n">
        <f aca="false">A3310-A3309</f>
        <v>1</v>
      </c>
      <c r="E3310" s="24" t="n">
        <f aca="false">LN(C3310)</f>
        <v>10.6404671517391</v>
      </c>
      <c r="F3310" s="25" t="n">
        <f aca="false">LN(C3310/C3309)</f>
        <v>0.0452208821124969</v>
      </c>
      <c r="G3310" s="25" t="n">
        <f aca="false">IF(AND(D3310=1,A3310&gt;=$R$2),F3310,"")</f>
        <v>0.0452208821124969</v>
      </c>
      <c r="H3310" s="27" t="n">
        <f aca="false">IF(G3310="","",G3310^2)</f>
        <v>0.00204492817903234</v>
      </c>
      <c r="I3310" s="25" t="n">
        <f aca="false">IF(G3310="","",C3310/C3309-1)</f>
        <v>0.0462589342713013</v>
      </c>
      <c r="J3310" s="17" t="n">
        <f aca="false">AVERAGE(C3111:C3310)</f>
        <v>33680.9253</v>
      </c>
      <c r="K3310" s="17" t="n">
        <f aca="false">MAX(K3309,C3310)</f>
        <v>67510.06</v>
      </c>
      <c r="L3310" s="25" t="n">
        <f aca="false">C3310/K3310-1</f>
        <v>-0.380947224754355</v>
      </c>
      <c r="M3310" s="25" t="n">
        <f aca="false">IF(COUNT(G3281:G3310)&lt;20,"",_xlfn.STDEV.S(G3281:G3310)*SQRT($R$3))</f>
        <v>0.561599167188338</v>
      </c>
      <c r="N3310" s="25" t="n">
        <f aca="false">IF(A3310-7&lt;$R$2,"",C3310/INDEX(Clean_Data!$C$2:$C$4314,MATCH(A3310-7,Clean_Data!$A$2:$A$4314,1))-1)</f>
        <v>0.0038096560284846</v>
      </c>
      <c r="O3310" s="25" t="n">
        <f aca="false">IF(A3310-30&lt;$R$2,"",C3310/INDEX(Clean_Data!$C$2:$C$4314,MATCH(A3310-30,Clean_Data!$A$2:$A$4314,1))-1)</f>
        <v>-0.0380292534489445</v>
      </c>
    </row>
    <row r="3311" customFormat="false" ht="15" hidden="false" customHeight="false" outlineLevel="0" collapsed="false">
      <c r="A3311" s="16" t="n">
        <v>45318</v>
      </c>
      <c r="B3311" s="23" t="n">
        <f aca="false">YEAR(A3311)</f>
        <v>2024</v>
      </c>
      <c r="C3311" s="17" t="n">
        <v>42144.13</v>
      </c>
      <c r="D3311" s="23" t="n">
        <f aca="false">A3311-A3310</f>
        <v>1</v>
      </c>
      <c r="E3311" s="24" t="n">
        <f aca="false">LN(C3311)</f>
        <v>10.6488506892004</v>
      </c>
      <c r="F3311" s="25" t="n">
        <f aca="false">LN(C3311/C3310)</f>
        <v>0.00838353746122776</v>
      </c>
      <c r="G3311" s="25" t="n">
        <f aca="false">IF(AND(D3311=1,A3311&gt;=$R$2),F3311,"")</f>
        <v>0.00838353746122776</v>
      </c>
      <c r="H3311" s="27" t="n">
        <f aca="false">IF(G3311="","",G3311^2)</f>
        <v>7.02837003638092E-005</v>
      </c>
      <c r="I3311" s="25" t="n">
        <f aca="false">IF(G3311="","",C3311/C3310-1)</f>
        <v>0.00841877772191935</v>
      </c>
      <c r="J3311" s="17" t="n">
        <f aca="false">AVERAGE(C3112:C3311)</f>
        <v>33738.46485</v>
      </c>
      <c r="K3311" s="17" t="n">
        <f aca="false">MAX(K3310,C3311)</f>
        <v>67510.06</v>
      </c>
      <c r="L3311" s="25" t="n">
        <f aca="false">C3311/K3311-1</f>
        <v>-0.375735557041425</v>
      </c>
      <c r="M3311" s="25" t="n">
        <f aca="false">IF(COUNT(G3282:G3311)&lt;20,"",_xlfn.STDEV.S(G3282:G3311)*SQRT($R$3))</f>
        <v>0.558711196611662</v>
      </c>
      <c r="N3311" s="25" t="n">
        <f aca="false">IF(A3311-7&lt;$R$2,"",C3311/INDEX(Clean_Data!$C$2:$C$4314,MATCH(A3311-7,Clean_Data!$A$2:$A$4314,1))-1)</f>
        <v>0.0115046781707047</v>
      </c>
      <c r="O3311" s="25" t="n">
        <f aca="false">IF(A3311-30&lt;$R$2,"",C3311/INDEX(Clean_Data!$C$2:$C$4314,MATCH(A3311-30,Clean_Data!$A$2:$A$4314,1))-1)</f>
        <v>-0.0110039086627005</v>
      </c>
    </row>
    <row r="3312" customFormat="false" ht="15" hidden="false" customHeight="false" outlineLevel="0" collapsed="false">
      <c r="A3312" s="16" t="n">
        <v>45319</v>
      </c>
      <c r="B3312" s="23" t="n">
        <f aca="false">YEAR(A3312)</f>
        <v>2024</v>
      </c>
      <c r="C3312" s="17" t="n">
        <v>41991.74</v>
      </c>
      <c r="D3312" s="23" t="n">
        <f aca="false">A3312-A3311</f>
        <v>1</v>
      </c>
      <c r="E3312" s="24" t="n">
        <f aca="false">LN(C3312)</f>
        <v>10.6452282112574</v>
      </c>
      <c r="F3312" s="25" t="n">
        <f aca="false">LN(C3312/C3311)</f>
        <v>-0.00362247794294695</v>
      </c>
      <c r="G3312" s="25" t="n">
        <f aca="false">IF(AND(D3312=1,A3312&gt;=$R$2),F3312,"")</f>
        <v>-0.00362247794294695</v>
      </c>
      <c r="H3312" s="27" t="n">
        <f aca="false">IF(G3312="","",G3312^2)</f>
        <v>1.31223464471372E-005</v>
      </c>
      <c r="I3312" s="25" t="n">
        <f aca="false">IF(G3312="","",C3312/C3311-1)</f>
        <v>-0.00361592468512217</v>
      </c>
      <c r="J3312" s="17" t="n">
        <f aca="false">AVERAGE(C3113:C3312)</f>
        <v>33796.5285</v>
      </c>
      <c r="K3312" s="17" t="n">
        <f aca="false">MAX(K3311,C3312)</f>
        <v>67510.06</v>
      </c>
      <c r="L3312" s="25" t="n">
        <f aca="false">C3312/K3312-1</f>
        <v>-0.377992850250763</v>
      </c>
      <c r="M3312" s="25" t="n">
        <f aca="false">IF(COUNT(G3283:G3312)&lt;20,"",_xlfn.STDEV.S(G3283:G3312)*SQRT($R$3))</f>
        <v>0.556953256579421</v>
      </c>
      <c r="N3312" s="25" t="n">
        <f aca="false">IF(A3312-7&lt;$R$2,"",C3312/INDEX(Clean_Data!$C$2:$C$4314,MATCH(A3312-7,Clean_Data!$A$2:$A$4314,1))-1)</f>
        <v>0.0102461515883832</v>
      </c>
      <c r="O3312" s="25" t="n">
        <f aca="false">IF(A3312-30&lt;$R$2,"",C3312/INDEX(Clean_Data!$C$2:$C$4314,MATCH(A3312-30,Clean_Data!$A$2:$A$4314,1))-1)</f>
        <v>-0.00153508511209988</v>
      </c>
    </row>
    <row r="3313" customFormat="false" ht="15" hidden="false" customHeight="false" outlineLevel="0" collapsed="false">
      <c r="A3313" s="16" t="n">
        <v>45320</v>
      </c>
      <c r="B3313" s="23" t="n">
        <f aca="false">YEAR(A3313)</f>
        <v>2024</v>
      </c>
      <c r="C3313" s="17" t="n">
        <v>43272.35</v>
      </c>
      <c r="D3313" s="23" t="n">
        <f aca="false">A3313-A3312</f>
        <v>1</v>
      </c>
      <c r="E3313" s="24" t="n">
        <f aca="false">LN(C3313)</f>
        <v>10.6752691418898</v>
      </c>
      <c r="F3313" s="25" t="n">
        <f aca="false">LN(C3313/C3312)</f>
        <v>0.0300409306323715</v>
      </c>
      <c r="G3313" s="25" t="n">
        <f aca="false">IF(AND(D3313=1,A3313&gt;=$R$2),F3313,"")</f>
        <v>0.0300409306323715</v>
      </c>
      <c r="H3313" s="27" t="n">
        <f aca="false">IF(G3313="","",G3313^2)</f>
        <v>0.000902457513258954</v>
      </c>
      <c r="I3313" s="25" t="n">
        <f aca="false">IF(G3313="","",C3313/C3312-1)</f>
        <v>0.0304967119724022</v>
      </c>
      <c r="J3313" s="17" t="n">
        <f aca="false">AVERAGE(C3114:C3313)</f>
        <v>33855.5326</v>
      </c>
      <c r="K3313" s="17" t="n">
        <f aca="false">MAX(K3312,C3313)</f>
        <v>67510.06</v>
      </c>
      <c r="L3313" s="25" t="n">
        <f aca="false">C3313/K3313-1</f>
        <v>-0.359023677360085</v>
      </c>
      <c r="M3313" s="25" t="n">
        <f aca="false">IF(COUNT(G3284:G3313)&lt;20,"",_xlfn.STDEV.S(G3284:G3313)*SQRT($R$3))</f>
        <v>0.566737046477462</v>
      </c>
      <c r="N3313" s="25" t="n">
        <f aca="false">IF(A3313-7&lt;$R$2,"",C3313/INDEX(Clean_Data!$C$2:$C$4314,MATCH(A3313-7,Clean_Data!$A$2:$A$4314,1))-1)</f>
        <v>0.0941828640090787</v>
      </c>
      <c r="O3313" s="25" t="n">
        <f aca="false">IF(A3313-30&lt;$R$2,"",C3313/INDEX(Clean_Data!$C$2:$C$4314,MATCH(A3313-30,Clean_Data!$A$2:$A$4314,1))-1)</f>
        <v>0.0262681442986987</v>
      </c>
    </row>
    <row r="3314" customFormat="false" ht="15" hidden="false" customHeight="false" outlineLevel="0" collapsed="false">
      <c r="A3314" s="16" t="n">
        <v>45321</v>
      </c>
      <c r="B3314" s="23" t="n">
        <f aca="false">YEAR(A3314)</f>
        <v>2024</v>
      </c>
      <c r="C3314" s="17" t="n">
        <v>42985.96</v>
      </c>
      <c r="D3314" s="23" t="n">
        <f aca="false">A3314-A3313</f>
        <v>1</v>
      </c>
      <c r="E3314" s="24" t="n">
        <f aca="false">LN(C3314)</f>
        <v>10.6686288297313</v>
      </c>
      <c r="F3314" s="25" t="n">
        <f aca="false">LN(C3314/C3313)</f>
        <v>-0.00664031215852034</v>
      </c>
      <c r="G3314" s="25" t="n">
        <f aca="false">IF(AND(D3314=1,A3314&gt;=$R$2),F3314,"")</f>
        <v>-0.00664031215852034</v>
      </c>
      <c r="H3314" s="27" t="n">
        <f aca="false">IF(G3314="","",G3314^2)</f>
        <v>4.4093745562593E-005</v>
      </c>
      <c r="I3314" s="25" t="n">
        <f aca="false">IF(G3314="","",C3314/C3313-1)</f>
        <v>-0.0066183140042082</v>
      </c>
      <c r="J3314" s="17" t="n">
        <f aca="false">AVERAGE(C3115:C3314)</f>
        <v>33918.8983</v>
      </c>
      <c r="K3314" s="17" t="n">
        <f aca="false">MAX(K3313,C3314)</f>
        <v>67510.06</v>
      </c>
      <c r="L3314" s="25" t="n">
        <f aca="false">C3314/K3314-1</f>
        <v>-0.363265859932579</v>
      </c>
      <c r="M3314" s="25" t="n">
        <f aca="false">IF(COUNT(G3285:G3314)&lt;20,"",_xlfn.STDEV.S(G3285:G3314)*SQRT($R$3))</f>
        <v>0.567264525164554</v>
      </c>
      <c r="N3314" s="25" t="n">
        <f aca="false">IF(A3314-7&lt;$R$2,"",C3314/INDEX(Clean_Data!$C$2:$C$4314,MATCH(A3314-7,Clean_Data!$A$2:$A$4314,1))-1)</f>
        <v>0.0782400785817163</v>
      </c>
      <c r="O3314" s="25" t="n">
        <f aca="false">IF(A3314-30&lt;$R$2,"",C3314/INDEX(Clean_Data!$C$2:$C$4314,MATCH(A3314-30,Clean_Data!$A$2:$A$4314,1))-1)</f>
        <v>0.0161978100640225</v>
      </c>
    </row>
    <row r="3315" customFormat="false" ht="15" hidden="false" customHeight="false" outlineLevel="0" collapsed="false">
      <c r="A3315" s="16" t="n">
        <v>45322</v>
      </c>
      <c r="B3315" s="23" t="n">
        <f aca="false">YEAR(A3315)</f>
        <v>2024</v>
      </c>
      <c r="C3315" s="17" t="n">
        <v>42599.49</v>
      </c>
      <c r="D3315" s="23" t="n">
        <f aca="false">A3315-A3314</f>
        <v>1</v>
      </c>
      <c r="E3315" s="24" t="n">
        <f aca="false">LN(C3315)</f>
        <v>10.6595975603548</v>
      </c>
      <c r="F3315" s="25" t="n">
        <f aca="false">LN(C3315/C3314)</f>
        <v>-0.00903126937645206</v>
      </c>
      <c r="G3315" s="25" t="n">
        <f aca="false">IF(AND(D3315=1,A3315&gt;=$R$2),F3315,"")</f>
        <v>-0.00903126937645206</v>
      </c>
      <c r="H3315" s="27" t="n">
        <f aca="false">IF(G3315="","",G3315^2)</f>
        <v>8.15638265500409E-005</v>
      </c>
      <c r="I3315" s="25" t="n">
        <f aca="false">IF(G3315="","",C3315/C3314-1)</f>
        <v>-0.00899060995729772</v>
      </c>
      <c r="J3315" s="17" t="n">
        <f aca="false">AVERAGE(C3116:C3315)</f>
        <v>33980.3924</v>
      </c>
      <c r="K3315" s="17" t="n">
        <f aca="false">MAX(K3314,C3315)</f>
        <v>67510.06</v>
      </c>
      <c r="L3315" s="25" t="n">
        <f aca="false">C3315/K3315-1</f>
        <v>-0.368990488232421</v>
      </c>
      <c r="M3315" s="25" t="n">
        <f aca="false">IF(COUNT(G3286:G3315)&lt;20,"",_xlfn.STDEV.S(G3286:G3315)*SQRT($R$3))</f>
        <v>0.545261209176843</v>
      </c>
      <c r="N3315" s="25" t="n">
        <f aca="false">IF(A3315-7&lt;$R$2,"",C3315/INDEX(Clean_Data!$C$2:$C$4314,MATCH(A3315-7,Clean_Data!$A$2:$A$4314,1))-1)</f>
        <v>0.0636098752116008</v>
      </c>
      <c r="O3315" s="25" t="n">
        <f aca="false">IF(A3315-30&lt;$R$2,"",C3315/INDEX(Clean_Data!$C$2:$C$4314,MATCH(A3315-30,Clean_Data!$A$2:$A$4314,1))-1)</f>
        <v>-0.0368549818594213</v>
      </c>
    </row>
    <row r="3316" customFormat="false" ht="15" hidden="false" customHeight="false" outlineLevel="0" collapsed="false">
      <c r="A3316" s="16" t="n">
        <v>45323</v>
      </c>
      <c r="B3316" s="23" t="n">
        <f aca="false">YEAR(A3316)</f>
        <v>2024</v>
      </c>
      <c r="C3316" s="17" t="n">
        <v>43090.14</v>
      </c>
      <c r="D3316" s="23" t="n">
        <f aca="false">A3316-A3315</f>
        <v>1</v>
      </c>
      <c r="E3316" s="24" t="n">
        <f aca="false">LN(C3316)</f>
        <v>10.6710494796183</v>
      </c>
      <c r="F3316" s="25" t="n">
        <f aca="false">LN(C3316/C3315)</f>
        <v>0.0114519192634851</v>
      </c>
      <c r="G3316" s="25" t="n">
        <f aca="false">IF(AND(D3316=1,A3316&gt;=$R$2),F3316,"")</f>
        <v>0.0114519192634851</v>
      </c>
      <c r="H3316" s="27" t="n">
        <f aca="false">IF(G3316="","",G3316^2)</f>
        <v>0.000131146454817382</v>
      </c>
      <c r="I3316" s="25" t="n">
        <f aca="false">IF(G3316="","",C3316/C3315-1)</f>
        <v>0.0115177435222817</v>
      </c>
      <c r="J3316" s="17" t="n">
        <f aca="false">AVERAGE(C3117:C3316)</f>
        <v>34044.6625</v>
      </c>
      <c r="K3316" s="17" t="n">
        <f aca="false">MAX(K3315,C3316)</f>
        <v>67510.06</v>
      </c>
      <c r="L3316" s="25" t="n">
        <f aca="false">C3316/K3316-1</f>
        <v>-0.361722682515761</v>
      </c>
      <c r="M3316" s="25" t="n">
        <f aca="false">IF(COUNT(G3287:G3316)&lt;20,"",_xlfn.STDEV.S(G3287:G3316)*SQRT($R$3))</f>
        <v>0.542852993362294</v>
      </c>
      <c r="N3316" s="25" t="n">
        <f aca="false">IF(A3316-7&lt;$R$2,"",C3316/INDEX(Clean_Data!$C$2:$C$4314,MATCH(A3316-7,Clean_Data!$A$2:$A$4314,1))-1)</f>
        <v>0.0787502659940667</v>
      </c>
      <c r="O3316" s="25" t="n">
        <f aca="false">IF(A3316-30&lt;$R$2,"",C3316/INDEX(Clean_Data!$C$2:$C$4314,MATCH(A3316-30,Clean_Data!$A$2:$A$4314,1))-1)</f>
        <v>-0.043080130508434</v>
      </c>
    </row>
    <row r="3317" customFormat="false" ht="15" hidden="false" customHeight="false" outlineLevel="0" collapsed="false">
      <c r="A3317" s="16" t="n">
        <v>45324</v>
      </c>
      <c r="B3317" s="23" t="n">
        <f aca="false">YEAR(A3317)</f>
        <v>2024</v>
      </c>
      <c r="C3317" s="17" t="n">
        <v>43187.41</v>
      </c>
      <c r="D3317" s="23" t="n">
        <f aca="false">A3317-A3316</f>
        <v>1</v>
      </c>
      <c r="E3317" s="24" t="n">
        <f aca="false">LN(C3317)</f>
        <v>10.6733042965715</v>
      </c>
      <c r="F3317" s="25" t="n">
        <f aca="false">LN(C3317/C3316)</f>
        <v>0.00225481695323238</v>
      </c>
      <c r="G3317" s="25" t="n">
        <f aca="false">IF(AND(D3317=1,A3317&gt;=$R$2),F3317,"")</f>
        <v>0.00225481695323238</v>
      </c>
      <c r="H3317" s="27" t="n">
        <f aca="false">IF(G3317="","",G3317^2)</f>
        <v>5.08419949258416E-006</v>
      </c>
      <c r="I3317" s="25" t="n">
        <f aca="false">IF(G3317="","",C3317/C3316-1)</f>
        <v>0.00225736096471274</v>
      </c>
      <c r="J3317" s="17" t="n">
        <f aca="false">AVERAGE(C3118:C3317)</f>
        <v>34109.84755</v>
      </c>
      <c r="K3317" s="17" t="n">
        <f aca="false">MAX(K3316,C3317)</f>
        <v>67510.06</v>
      </c>
      <c r="L3317" s="25" t="n">
        <f aca="false">C3317/K3317-1</f>
        <v>-0.360281860214611</v>
      </c>
      <c r="M3317" s="25" t="n">
        <f aca="false">IF(COUNT(G3288:G3317)&lt;20,"",_xlfn.STDEV.S(G3288:G3317)*SQRT($R$3))</f>
        <v>0.513949357917427</v>
      </c>
      <c r="N3317" s="25" t="n">
        <f aca="false">IF(A3317-7&lt;$R$2,"",C3317/INDEX(Clean_Data!$C$2:$C$4314,MATCH(A3317-7,Clean_Data!$A$2:$A$4314,1))-1)</f>
        <v>0.0333822339000807</v>
      </c>
      <c r="O3317" s="25" t="n">
        <f aca="false">IF(A3317-30&lt;$R$2,"",C3317/INDEX(Clean_Data!$C$2:$C$4314,MATCH(A3317-30,Clean_Data!$A$2:$A$4314,1))-1)</f>
        <v>0.00819655292357191</v>
      </c>
    </row>
    <row r="3318" customFormat="false" ht="15" hidden="false" customHeight="false" outlineLevel="0" collapsed="false">
      <c r="A3318" s="16" t="n">
        <v>45325</v>
      </c>
      <c r="B3318" s="23" t="n">
        <f aca="false">YEAR(A3318)</f>
        <v>2024</v>
      </c>
      <c r="C3318" s="17" t="n">
        <v>42987.78</v>
      </c>
      <c r="D3318" s="23" t="n">
        <f aca="false">A3318-A3317</f>
        <v>1</v>
      </c>
      <c r="E3318" s="24" t="n">
        <f aca="false">LN(C3318)</f>
        <v>10.6686711682407</v>
      </c>
      <c r="F3318" s="25" t="n">
        <f aca="false">LN(C3318/C3317)</f>
        <v>-0.00463312833084897</v>
      </c>
      <c r="G3318" s="25" t="n">
        <f aca="false">IF(AND(D3318=1,A3318&gt;=$R$2),F3318,"")</f>
        <v>-0.00463312833084897</v>
      </c>
      <c r="H3318" s="27" t="n">
        <f aca="false">IF(G3318="","",G3318^2)</f>
        <v>2.14658781301154E-005</v>
      </c>
      <c r="I3318" s="25" t="n">
        <f aca="false">IF(G3318="","",C3318/C3317-1)</f>
        <v>-0.00462241194829705</v>
      </c>
      <c r="J3318" s="17" t="n">
        <f aca="false">AVERAGE(C3119:C3318)</f>
        <v>34175.4822</v>
      </c>
      <c r="K3318" s="17" t="n">
        <f aca="false">MAX(K3317,C3318)</f>
        <v>67510.06</v>
      </c>
      <c r="L3318" s="25" t="n">
        <f aca="false">C3318/K3318-1</f>
        <v>-0.363238900987497</v>
      </c>
      <c r="M3318" s="25" t="n">
        <f aca="false">IF(COUNT(G3289:G3318)&lt;20,"",_xlfn.STDEV.S(G3289:G3318)*SQRT($R$3))</f>
        <v>0.501195799005728</v>
      </c>
      <c r="N3318" s="25" t="n">
        <f aca="false">IF(A3318-7&lt;$R$2,"",C3318/INDEX(Clean_Data!$C$2:$C$4314,MATCH(A3318-7,Clean_Data!$A$2:$A$4314,1))-1)</f>
        <v>0.0200182089415537</v>
      </c>
      <c r="O3318" s="25" t="n">
        <f aca="false">IF(A3318-30&lt;$R$2,"",C3318/INDEX(Clean_Data!$C$2:$C$4314,MATCH(A3318-30,Clean_Data!$A$2:$A$4314,1))-1)</f>
        <v>-0.028087879501091</v>
      </c>
    </row>
    <row r="3319" customFormat="false" ht="15" hidden="false" customHeight="false" outlineLevel="0" collapsed="false">
      <c r="A3319" s="16" t="n">
        <v>45326</v>
      </c>
      <c r="B3319" s="23" t="n">
        <f aca="false">YEAR(A3319)</f>
        <v>2024</v>
      </c>
      <c r="C3319" s="17" t="n">
        <v>42566.63</v>
      </c>
      <c r="D3319" s="23" t="n">
        <f aca="false">A3319-A3318</f>
        <v>1</v>
      </c>
      <c r="E3319" s="24" t="n">
        <f aca="false">LN(C3319)</f>
        <v>10.6588258919583</v>
      </c>
      <c r="F3319" s="25" t="n">
        <f aca="false">LN(C3319/C3318)</f>
        <v>-0.00984527628242321</v>
      </c>
      <c r="G3319" s="25" t="n">
        <f aca="false">IF(AND(D3319=1,A3319&gt;=$R$2),F3319,"")</f>
        <v>-0.00984527628242321</v>
      </c>
      <c r="H3319" s="27" t="n">
        <f aca="false">IF(G3319="","",G3319^2)</f>
        <v>9.69294650772451E-005</v>
      </c>
      <c r="I3319" s="25" t="n">
        <f aca="false">IF(G3319="","",C3319/C3318-1)</f>
        <v>-0.00979697020874304</v>
      </c>
      <c r="J3319" s="17" t="n">
        <f aca="false">AVERAGE(C3120:C3319)</f>
        <v>34238.7225</v>
      </c>
      <c r="K3319" s="17" t="n">
        <f aca="false">MAX(K3318,C3319)</f>
        <v>67510.06</v>
      </c>
      <c r="L3319" s="25" t="n">
        <f aca="false">C3319/K3319-1</f>
        <v>-0.369477230504609</v>
      </c>
      <c r="M3319" s="25" t="n">
        <f aca="false">IF(COUNT(G3290:G3319)&lt;20,"",_xlfn.STDEV.S(G3290:G3319)*SQRT($R$3))</f>
        <v>0.502156415645596</v>
      </c>
      <c r="N3319" s="25" t="n">
        <f aca="false">IF(A3319-7&lt;$R$2,"",C3319/INDEX(Clean_Data!$C$2:$C$4314,MATCH(A3319-7,Clean_Data!$A$2:$A$4314,1))-1)</f>
        <v>0.0136905496176152</v>
      </c>
      <c r="O3319" s="25" t="n">
        <f aca="false">IF(A3319-30&lt;$R$2,"",C3319/INDEX(Clean_Data!$C$2:$C$4314,MATCH(A3319-30,Clean_Data!$A$2:$A$4314,1))-1)</f>
        <v>-0.0363981482529514</v>
      </c>
    </row>
    <row r="3320" customFormat="false" ht="15" hidden="false" customHeight="false" outlineLevel="0" collapsed="false">
      <c r="A3320" s="16" t="n">
        <v>45327</v>
      </c>
      <c r="B3320" s="23" t="n">
        <f aca="false">YEAR(A3320)</f>
        <v>2024</v>
      </c>
      <c r="C3320" s="17" t="n">
        <v>42654.6</v>
      </c>
      <c r="D3320" s="23" t="n">
        <f aca="false">A3320-A3319</f>
        <v>1</v>
      </c>
      <c r="E3320" s="24" t="n">
        <f aca="false">LN(C3320)</f>
        <v>10.6608904017346</v>
      </c>
      <c r="F3320" s="25" t="n">
        <f aca="false">LN(C3320/C3319)</f>
        <v>0.00206450977638976</v>
      </c>
      <c r="G3320" s="25" t="n">
        <f aca="false">IF(AND(D3320=1,A3320&gt;=$R$2),F3320,"")</f>
        <v>0.00206450977638976</v>
      </c>
      <c r="H3320" s="27" t="n">
        <f aca="false">IF(G3320="","",G3320^2)</f>
        <v>4.26220061680889E-006</v>
      </c>
      <c r="I3320" s="25" t="n">
        <f aca="false">IF(G3320="","",C3320/C3319-1)</f>
        <v>0.00206664234401455</v>
      </c>
      <c r="J3320" s="17" t="n">
        <f aca="false">AVERAGE(C3121:C3320)</f>
        <v>34302.956</v>
      </c>
      <c r="K3320" s="17" t="n">
        <f aca="false">MAX(K3319,C3320)</f>
        <v>67510.06</v>
      </c>
      <c r="L3320" s="25" t="n">
        <f aca="false">C3320/K3320-1</f>
        <v>-0.368174165450305</v>
      </c>
      <c r="M3320" s="25" t="n">
        <f aca="false">IF(COUNT(G3291:G3320)&lt;20,"",_xlfn.STDEV.S(G3291:G3320)*SQRT($R$3))</f>
        <v>0.502184906782383</v>
      </c>
      <c r="N3320" s="25" t="n">
        <f aca="false">IF(A3320-7&lt;$R$2,"",C3320/INDEX(Clean_Data!$C$2:$C$4314,MATCH(A3320-7,Clean_Data!$A$2:$A$4314,1))-1)</f>
        <v>-0.014275859758021</v>
      </c>
      <c r="O3320" s="25" t="n">
        <f aca="false">IF(A3320-30&lt;$R$2,"",C3320/INDEX(Clean_Data!$C$2:$C$4314,MATCH(A3320-30,Clean_Data!$A$2:$A$4314,1))-1)</f>
        <v>-0.0305772727272727</v>
      </c>
    </row>
    <row r="3321" customFormat="false" ht="15" hidden="false" customHeight="false" outlineLevel="0" collapsed="false">
      <c r="A3321" s="16" t="n">
        <v>45328</v>
      </c>
      <c r="B3321" s="23" t="n">
        <f aca="false">YEAR(A3321)</f>
        <v>2024</v>
      </c>
      <c r="C3321" s="17" t="n">
        <v>43093.37</v>
      </c>
      <c r="D3321" s="23" t="n">
        <f aca="false">A3321-A3320</f>
        <v>1</v>
      </c>
      <c r="E3321" s="24" t="n">
        <f aca="false">LN(C3321)</f>
        <v>10.6711244359528</v>
      </c>
      <c r="F3321" s="25" t="n">
        <f aca="false">LN(C3321/C3320)</f>
        <v>0.0102340342181396</v>
      </c>
      <c r="G3321" s="25" t="n">
        <f aca="false">IF(AND(D3321=1,A3321&gt;=$R$2),F3321,"")</f>
        <v>0.0102340342181396</v>
      </c>
      <c r="H3321" s="27" t="n">
        <f aca="false">IF(G3321="","",G3321^2)</f>
        <v>0.000104735456378052</v>
      </c>
      <c r="I3321" s="25" t="n">
        <f aca="false">IF(G3321="","",C3321/C3320-1)</f>
        <v>0.0102865810487029</v>
      </c>
      <c r="J3321" s="17" t="n">
        <f aca="false">AVERAGE(C3122:C3321)</f>
        <v>34368.88715</v>
      </c>
      <c r="K3321" s="17" t="n">
        <f aca="false">MAX(K3320,C3321)</f>
        <v>67510.06</v>
      </c>
      <c r="L3321" s="25" t="n">
        <f aca="false">C3321/K3321-1</f>
        <v>-0.361674837794545</v>
      </c>
      <c r="M3321" s="25" t="n">
        <f aca="false">IF(COUNT(G3292:G3321)&lt;20,"",_xlfn.STDEV.S(G3292:G3321)*SQRT($R$3))</f>
        <v>0.503708014455708</v>
      </c>
      <c r="N3321" s="25" t="n">
        <f aca="false">IF(A3321-7&lt;$R$2,"",C3321/INDEX(Clean_Data!$C$2:$C$4314,MATCH(A3321-7,Clean_Data!$A$2:$A$4314,1))-1)</f>
        <v>0.00249872283880603</v>
      </c>
      <c r="O3321" s="25" t="n">
        <f aca="false">IF(A3321-30&lt;$R$2,"",C3321/INDEX(Clean_Data!$C$2:$C$4314,MATCH(A3321-30,Clean_Data!$A$2:$A$4314,1))-1)</f>
        <v>-0.0189034707474419</v>
      </c>
    </row>
    <row r="3322" customFormat="false" ht="15" hidden="false" customHeight="false" outlineLevel="0" collapsed="false">
      <c r="A3322" s="16" t="n">
        <v>45329</v>
      </c>
      <c r="B3322" s="23" t="n">
        <f aca="false">YEAR(A3322)</f>
        <v>2024</v>
      </c>
      <c r="C3322" s="17" t="n">
        <v>44393.14</v>
      </c>
      <c r="D3322" s="23" t="n">
        <f aca="false">A3322-A3321</f>
        <v>1</v>
      </c>
      <c r="E3322" s="24" t="n">
        <f aca="false">LN(C3322)</f>
        <v>10.7008402319788</v>
      </c>
      <c r="F3322" s="25" t="n">
        <f aca="false">LN(C3322/C3321)</f>
        <v>0.0297157960259737</v>
      </c>
      <c r="G3322" s="25" t="n">
        <f aca="false">IF(AND(D3322=1,A3322&gt;=$R$2),F3322,"")</f>
        <v>0.0297157960259737</v>
      </c>
      <c r="H3322" s="27" t="n">
        <f aca="false">IF(G3322="","",G3322^2)</f>
        <v>0.000883028533457276</v>
      </c>
      <c r="I3322" s="25" t="n">
        <f aca="false">IF(G3322="","",C3322/C3321-1)</f>
        <v>0.0301617162918564</v>
      </c>
      <c r="J3322" s="17" t="n">
        <f aca="false">AVERAGE(C3123:C3322)</f>
        <v>34441.8224</v>
      </c>
      <c r="K3322" s="17" t="n">
        <f aca="false">MAX(K3321,C3322)</f>
        <v>67510.06</v>
      </c>
      <c r="L3322" s="25" t="n">
        <f aca="false">C3322/K3322-1</f>
        <v>-0.342421855350151</v>
      </c>
      <c r="M3322" s="25" t="n">
        <f aca="false">IF(COUNT(G3293:G3322)&lt;20,"",_xlfn.STDEV.S(G3293:G3322)*SQRT($R$3))</f>
        <v>0.453800465251537</v>
      </c>
      <c r="N3322" s="25" t="n">
        <f aca="false">IF(A3322-7&lt;$R$2,"",C3322/INDEX(Clean_Data!$C$2:$C$4314,MATCH(A3322-7,Clean_Data!$A$2:$A$4314,1))-1)</f>
        <v>0.0421049641674114</v>
      </c>
      <c r="O3322" s="25" t="n">
        <f aca="false">IF(A3322-30&lt;$R$2,"",C3322/INDEX(Clean_Data!$C$2:$C$4314,MATCH(A3322-30,Clean_Data!$A$2:$A$4314,1))-1)</f>
        <v>-0.0554713362528885</v>
      </c>
    </row>
    <row r="3323" customFormat="false" ht="15" hidden="false" customHeight="false" outlineLevel="0" collapsed="false">
      <c r="A3323" s="16" t="n">
        <v>45330</v>
      </c>
      <c r="B3323" s="23" t="n">
        <f aca="false">YEAR(A3323)</f>
        <v>2024</v>
      </c>
      <c r="C3323" s="17" t="n">
        <v>45345.8</v>
      </c>
      <c r="D3323" s="23" t="n">
        <f aca="false">A3323-A3322</f>
        <v>1</v>
      </c>
      <c r="E3323" s="24" t="n">
        <f aca="false">LN(C3323)</f>
        <v>10.7220728382445</v>
      </c>
      <c r="F3323" s="25" t="n">
        <f aca="false">LN(C3323/C3322)</f>
        <v>0.0212326062657492</v>
      </c>
      <c r="G3323" s="25" t="n">
        <f aca="false">IF(AND(D3323=1,A3323&gt;=$R$2),F3323,"")</f>
        <v>0.0212326062657492</v>
      </c>
      <c r="H3323" s="27" t="n">
        <f aca="false">IF(G3323="","",G3323^2)</f>
        <v>0.00045082356883633</v>
      </c>
      <c r="I3323" s="25" t="n">
        <f aca="false">IF(G3323="","",C3323/C3322-1)</f>
        <v>0.0214596219145571</v>
      </c>
      <c r="J3323" s="17" t="n">
        <f aca="false">AVERAGE(C3124:C3323)</f>
        <v>34518.13755</v>
      </c>
      <c r="K3323" s="17" t="n">
        <f aca="false">MAX(K3322,C3323)</f>
        <v>67510.06</v>
      </c>
      <c r="L3323" s="25" t="n">
        <f aca="false">C3323/K3323-1</f>
        <v>-0.328310476986689</v>
      </c>
      <c r="M3323" s="25" t="n">
        <f aca="false">IF(COUNT(G3294:G3323)&lt;20,"",_xlfn.STDEV.S(G3294:G3323)*SQRT($R$3))</f>
        <v>0.456271514190502</v>
      </c>
      <c r="N3323" s="25" t="n">
        <f aca="false">IF(A3323-7&lt;$R$2,"",C3323/INDEX(Clean_Data!$C$2:$C$4314,MATCH(A3323-7,Clean_Data!$A$2:$A$4314,1))-1)</f>
        <v>0.0523474743874122</v>
      </c>
      <c r="O3323" s="25" t="n">
        <f aca="false">IF(A3323-30&lt;$R$2,"",C3323/INDEX(Clean_Data!$C$2:$C$4314,MATCH(A3323-30,Clean_Data!$A$2:$A$4314,1))-1)</f>
        <v>-0.0164240938767541</v>
      </c>
    </row>
    <row r="3324" customFormat="false" ht="15" hidden="false" customHeight="false" outlineLevel="0" collapsed="false">
      <c r="A3324" s="16" t="n">
        <v>45331</v>
      </c>
      <c r="B3324" s="23" t="n">
        <f aca="false">YEAR(A3324)</f>
        <v>2024</v>
      </c>
      <c r="C3324" s="17" t="n">
        <v>47154.45</v>
      </c>
      <c r="D3324" s="23" t="n">
        <f aca="false">A3324-A3323</f>
        <v>1</v>
      </c>
      <c r="E3324" s="24" t="n">
        <f aca="false">LN(C3324)</f>
        <v>10.7611836632476</v>
      </c>
      <c r="F3324" s="25" t="n">
        <f aca="false">LN(C3324/C3323)</f>
        <v>0.0391108250030638</v>
      </c>
      <c r="G3324" s="25" t="n">
        <f aca="false">IF(AND(D3324=1,A3324&gt;=$R$2),F3324,"")</f>
        <v>0.0391108250030638</v>
      </c>
      <c r="H3324" s="27" t="n">
        <f aca="false">IF(G3324="","",G3324^2)</f>
        <v>0.00152965663242028</v>
      </c>
      <c r="I3324" s="25" t="n">
        <f aca="false">IF(G3324="","",C3324/C3323-1)</f>
        <v>0.0398857226027547</v>
      </c>
      <c r="J3324" s="17" t="n">
        <f aca="false">AVERAGE(C3125:C3324)</f>
        <v>34608.0535</v>
      </c>
      <c r="K3324" s="17" t="n">
        <f aca="false">MAX(K3323,C3324)</f>
        <v>67510.06</v>
      </c>
      <c r="L3324" s="25" t="n">
        <f aca="false">C3324/K3324-1</f>
        <v>-0.301519654996604</v>
      </c>
      <c r="M3324" s="25" t="n">
        <f aca="false">IF(COUNT(G3295:G3324)&lt;20,"",_xlfn.STDEV.S(G3295:G3324)*SQRT($R$3))</f>
        <v>0.475498590955569</v>
      </c>
      <c r="N3324" s="25" t="n">
        <f aca="false">IF(A3324-7&lt;$R$2,"",C3324/INDEX(Clean_Data!$C$2:$C$4314,MATCH(A3324-7,Clean_Data!$A$2:$A$4314,1))-1)</f>
        <v>0.0918563998165205</v>
      </c>
      <c r="O3324" s="25" t="n">
        <f aca="false">IF(A3324-30&lt;$R$2,"",C3324/INDEX(Clean_Data!$C$2:$C$4314,MATCH(A3324-30,Clean_Data!$A$2:$A$4314,1))-1)</f>
        <v>0.0121078747225283</v>
      </c>
    </row>
    <row r="3325" customFormat="false" ht="15" hidden="false" customHeight="false" outlineLevel="0" collapsed="false">
      <c r="A3325" s="16" t="n">
        <v>45332</v>
      </c>
      <c r="B3325" s="23" t="n">
        <f aca="false">YEAR(A3325)</f>
        <v>2024</v>
      </c>
      <c r="C3325" s="17" t="n">
        <v>47798.39</v>
      </c>
      <c r="D3325" s="23" t="n">
        <f aca="false">A3325-A3324</f>
        <v>1</v>
      </c>
      <c r="E3325" s="24" t="n">
        <f aca="false">LN(C3325)</f>
        <v>10.7747472359039</v>
      </c>
      <c r="F3325" s="25" t="n">
        <f aca="false">LN(C3325/C3324)</f>
        <v>0.0135635726563534</v>
      </c>
      <c r="G3325" s="25" t="n">
        <f aca="false">IF(AND(D3325=1,A3325&gt;=$R$2),F3325,"")</f>
        <v>0.0135635726563534</v>
      </c>
      <c r="H3325" s="27" t="n">
        <f aca="false">IF(G3325="","",G3325^2)</f>
        <v>0.000183970503204179</v>
      </c>
      <c r="I3325" s="25" t="n">
        <f aca="false">IF(G3325="","",C3325/C3324-1)</f>
        <v>0.0136559752048853</v>
      </c>
      <c r="J3325" s="17" t="n">
        <f aca="false">AVERAGE(C3126:C3325)</f>
        <v>34700.93675</v>
      </c>
      <c r="K3325" s="17" t="n">
        <f aca="false">MAX(K3324,C3325)</f>
        <v>67510.06</v>
      </c>
      <c r="L3325" s="25" t="n">
        <f aca="false">C3325/K3325-1</f>
        <v>-0.291981224724137</v>
      </c>
      <c r="M3325" s="25" t="n">
        <f aca="false">IF(COUNT(G3296:G3325)&lt;20,"",_xlfn.STDEV.S(G3296:G3325)*SQRT($R$3))</f>
        <v>0.477130211020617</v>
      </c>
      <c r="N3325" s="25" t="n">
        <f aca="false">IF(A3325-7&lt;$R$2,"",C3325/INDEX(Clean_Data!$C$2:$C$4314,MATCH(A3325-7,Clean_Data!$A$2:$A$4314,1))-1)</f>
        <v>0.111906453415366</v>
      </c>
      <c r="O3325" s="25" t="n">
        <f aca="false">IF(A3325-30&lt;$R$2,"",C3325/INDEX(Clean_Data!$C$2:$C$4314,MATCH(A3325-30,Clean_Data!$A$2:$A$4314,1))-1)</f>
        <v>0.0318059500511387</v>
      </c>
    </row>
    <row r="3326" customFormat="false" ht="15" hidden="false" customHeight="false" outlineLevel="0" collapsed="false">
      <c r="A3326" s="16" t="n">
        <v>45333</v>
      </c>
      <c r="B3326" s="23" t="n">
        <f aca="false">YEAR(A3326)</f>
        <v>2024</v>
      </c>
      <c r="C3326" s="17" t="n">
        <v>48312.28</v>
      </c>
      <c r="D3326" s="23" t="n">
        <f aca="false">A3326-A3325</f>
        <v>1</v>
      </c>
      <c r="E3326" s="24" t="n">
        <f aca="false">LN(C3326)</f>
        <v>10.7854410516325</v>
      </c>
      <c r="F3326" s="25" t="n">
        <f aca="false">LN(C3326/C3325)</f>
        <v>0.0106938157285481</v>
      </c>
      <c r="G3326" s="25" t="n">
        <f aca="false">IF(AND(D3326=1,A3326&gt;=$R$2),F3326,"")</f>
        <v>0.0106938157285481</v>
      </c>
      <c r="H3326" s="27" t="n">
        <f aca="false">IF(G3326="","",G3326^2)</f>
        <v>0.000114357694836142</v>
      </c>
      <c r="I3326" s="25" t="n">
        <f aca="false">IF(G3326="","",C3326/C3325-1)</f>
        <v>0.0107511989420563</v>
      </c>
      <c r="J3326" s="17" t="n">
        <f aca="false">AVERAGE(C3127:C3326)</f>
        <v>34795.7407</v>
      </c>
      <c r="K3326" s="17" t="n">
        <f aca="false">MAX(K3325,C3326)</f>
        <v>67510.06</v>
      </c>
      <c r="L3326" s="25" t="n">
        <f aca="false">C3326/K3326-1</f>
        <v>-0.284369174016435</v>
      </c>
      <c r="M3326" s="25" t="n">
        <f aca="false">IF(COUNT(G3297:G3326)&lt;20,"",_xlfn.STDEV.S(G3297:G3326)*SQRT($R$3))</f>
        <v>0.379978938866522</v>
      </c>
      <c r="N3326" s="25" t="n">
        <f aca="false">IF(A3326-7&lt;$R$2,"",C3326/INDEX(Clean_Data!$C$2:$C$4314,MATCH(A3326-7,Clean_Data!$A$2:$A$4314,1))-1)</f>
        <v>0.134980147594489</v>
      </c>
      <c r="O3326" s="25" t="n">
        <f aca="false">IF(A3326-30&lt;$R$2,"",C3326/INDEX(Clean_Data!$C$2:$C$4314,MATCH(A3326-30,Clean_Data!$A$2:$A$4314,1))-1)</f>
        <v>0.128859900634174</v>
      </c>
    </row>
    <row r="3327" customFormat="false" ht="15" hidden="false" customHeight="false" outlineLevel="0" collapsed="false">
      <c r="A3327" s="16" t="n">
        <v>45334</v>
      </c>
      <c r="B3327" s="23" t="n">
        <f aca="false">YEAR(A3327)</f>
        <v>2024</v>
      </c>
      <c r="C3327" s="17" t="n">
        <v>49961</v>
      </c>
      <c r="D3327" s="23" t="n">
        <f aca="false">A3327-A3326</f>
        <v>1</v>
      </c>
      <c r="E3327" s="24" t="n">
        <f aca="false">LN(C3327)</f>
        <v>10.818997980052</v>
      </c>
      <c r="F3327" s="25" t="n">
        <f aca="false">LN(C3327/C3326)</f>
        <v>0.0335569284195308</v>
      </c>
      <c r="G3327" s="25" t="n">
        <f aca="false">IF(AND(D3327=1,A3327&gt;=$R$2),F3327,"")</f>
        <v>0.0335569284195308</v>
      </c>
      <c r="H3327" s="27" t="n">
        <f aca="false">IF(G3327="","",G3327^2)</f>
        <v>0.00112606744495352</v>
      </c>
      <c r="I3327" s="25" t="n">
        <f aca="false">IF(G3327="","",C3327/C3326-1)</f>
        <v>0.0341263132271961</v>
      </c>
      <c r="J3327" s="17" t="n">
        <f aca="false">AVERAGE(C3128:C3327)</f>
        <v>34899.4799</v>
      </c>
      <c r="K3327" s="17" t="n">
        <f aca="false">MAX(K3326,C3327)</f>
        <v>67510.06</v>
      </c>
      <c r="L3327" s="25" t="n">
        <f aca="false">C3327/K3327-1</f>
        <v>-0.259947332293883</v>
      </c>
      <c r="M3327" s="25" t="n">
        <f aca="false">IF(COUNT(G3298:G3327)&lt;20,"",_xlfn.STDEV.S(G3298:G3327)*SQRT($R$3))</f>
        <v>0.393398559997338</v>
      </c>
      <c r="N3327" s="25" t="n">
        <f aca="false">IF(A3327-7&lt;$R$2,"",C3327/INDEX(Clean_Data!$C$2:$C$4314,MATCH(A3327-7,Clean_Data!$A$2:$A$4314,1))-1)</f>
        <v>0.171292193573495</v>
      </c>
      <c r="O3327" s="25" t="n">
        <f aca="false">IF(A3327-30&lt;$R$2,"",C3327/INDEX(Clean_Data!$C$2:$C$4314,MATCH(A3327-30,Clean_Data!$A$2:$A$4314,1))-1)</f>
        <v>0.16650089423719</v>
      </c>
    </row>
    <row r="3328" customFormat="false" ht="15" hidden="false" customHeight="false" outlineLevel="0" collapsed="false">
      <c r="A3328" s="16" t="n">
        <v>45335</v>
      </c>
      <c r="B3328" s="23" t="n">
        <f aca="false">YEAR(A3328)</f>
        <v>2024</v>
      </c>
      <c r="C3328" s="17" t="n">
        <v>49691.47</v>
      </c>
      <c r="D3328" s="23" t="n">
        <f aca="false">A3328-A3327</f>
        <v>1</v>
      </c>
      <c r="E3328" s="24" t="n">
        <f aca="false">LN(C3328)</f>
        <v>10.813588567576</v>
      </c>
      <c r="F3328" s="25" t="n">
        <f aca="false">LN(C3328/C3327)</f>
        <v>-0.00540941247603428</v>
      </c>
      <c r="G3328" s="25" t="n">
        <f aca="false">IF(AND(D3328=1,A3328&gt;=$R$2),F3328,"")</f>
        <v>-0.00540941247603428</v>
      </c>
      <c r="H3328" s="27" t="n">
        <f aca="false">IF(G3328="","",G3328^2)</f>
        <v>2.92617433358753E-005</v>
      </c>
      <c r="I3328" s="25" t="n">
        <f aca="false">IF(G3328="","",C3328/C3327-1)</f>
        <v>-0.00539480795020109</v>
      </c>
      <c r="J3328" s="17" t="n">
        <f aca="false">AVERAGE(C3129:C3328)</f>
        <v>35001.38115</v>
      </c>
      <c r="K3328" s="17" t="n">
        <f aca="false">MAX(K3327,C3328)</f>
        <v>67510.06</v>
      </c>
      <c r="L3328" s="25" t="n">
        <f aca="false">C3328/K3328-1</f>
        <v>-0.263939774309192</v>
      </c>
      <c r="M3328" s="25" t="n">
        <f aca="false">IF(COUNT(G3299:G3328)&lt;20,"",_xlfn.STDEV.S(G3299:G3328)*SQRT($R$3))</f>
        <v>0.378812374174649</v>
      </c>
      <c r="N3328" s="25" t="n">
        <f aca="false">IF(A3328-7&lt;$R$2,"",C3328/INDEX(Clean_Data!$C$2:$C$4314,MATCH(A3328-7,Clean_Data!$A$2:$A$4314,1))-1)</f>
        <v>0.153111719969916</v>
      </c>
      <c r="O3328" s="25" t="n">
        <f aca="false">IF(A3328-30&lt;$R$2,"",C3328/INDEX(Clean_Data!$C$2:$C$4314,MATCH(A3328-30,Clean_Data!$A$2:$A$4314,1))-1)</f>
        <v>0.19119005691366</v>
      </c>
    </row>
    <row r="3329" customFormat="false" ht="15" hidden="false" customHeight="false" outlineLevel="0" collapsed="false">
      <c r="A3329" s="16" t="n">
        <v>45336</v>
      </c>
      <c r="B3329" s="23" t="n">
        <f aca="false">YEAR(A3329)</f>
        <v>2024</v>
      </c>
      <c r="C3329" s="17" t="n">
        <v>51833.46</v>
      </c>
      <c r="D3329" s="23" t="n">
        <f aca="false">A3329-A3328</f>
        <v>1</v>
      </c>
      <c r="E3329" s="24" t="n">
        <f aca="false">LN(C3329)</f>
        <v>10.8557911656602</v>
      </c>
      <c r="F3329" s="25" t="n">
        <f aca="false">LN(C3329/C3328)</f>
        <v>0.0422025980842617</v>
      </c>
      <c r="G3329" s="25" t="n">
        <f aca="false">IF(AND(D3329=1,A3329&gt;=$R$2),F3329,"")</f>
        <v>0.0422025980842617</v>
      </c>
      <c r="H3329" s="27" t="n">
        <f aca="false">IF(G3329="","",G3329^2)</f>
        <v>0.00178105928506172</v>
      </c>
      <c r="I3329" s="25" t="n">
        <f aca="false">IF(G3329="","",C3329/C3328-1)</f>
        <v>0.0431057885790056</v>
      </c>
      <c r="J3329" s="17" t="n">
        <f aca="false">AVERAGE(C3130:C3329)</f>
        <v>35113.75905</v>
      </c>
      <c r="K3329" s="17" t="n">
        <f aca="false">MAX(K3328,C3329)</f>
        <v>67510.06</v>
      </c>
      <c r="L3329" s="25" t="n">
        <f aca="false">C3329/K3329-1</f>
        <v>-0.232211317839149</v>
      </c>
      <c r="M3329" s="25" t="n">
        <f aca="false">IF(COUNT(G3300:G3329)&lt;20,"",_xlfn.STDEV.S(G3300:G3329)*SQRT($R$3))</f>
        <v>0.397310413543076</v>
      </c>
      <c r="N3329" s="25" t="n">
        <f aca="false">IF(A3329-7&lt;$R$2,"",C3329/INDEX(Clean_Data!$C$2:$C$4314,MATCH(A3329-7,Clean_Data!$A$2:$A$4314,1))-1)</f>
        <v>0.167600669833222</v>
      </c>
      <c r="O3329" s="25" t="n">
        <f aca="false">IF(A3329-30&lt;$R$2,"",C3329/INDEX(Clean_Data!$C$2:$C$4314,MATCH(A3329-30,Clean_Data!$A$2:$A$4314,1))-1)</f>
        <v>0.219610823529412</v>
      </c>
    </row>
    <row r="3330" customFormat="false" ht="15" hidden="false" customHeight="false" outlineLevel="0" collapsed="false">
      <c r="A3330" s="16" t="n">
        <v>45337</v>
      </c>
      <c r="B3330" s="23" t="n">
        <f aca="false">YEAR(A3330)</f>
        <v>2024</v>
      </c>
      <c r="C3330" s="17" t="n">
        <v>51935.86</v>
      </c>
      <c r="D3330" s="23" t="n">
        <f aca="false">A3330-A3329</f>
        <v>1</v>
      </c>
      <c r="E3330" s="24" t="n">
        <f aca="false">LN(C3330)</f>
        <v>10.8577647746853</v>
      </c>
      <c r="F3330" s="25" t="n">
        <f aca="false">LN(C3330/C3329)</f>
        <v>0.00197360902506565</v>
      </c>
      <c r="G3330" s="25" t="n">
        <f aca="false">IF(AND(D3330=1,A3330&gt;=$R$2),F3330,"")</f>
        <v>0.00197360902506565</v>
      </c>
      <c r="H3330" s="27" t="n">
        <f aca="false">IF(G3330="","",G3330^2)</f>
        <v>3.89513258382057E-006</v>
      </c>
      <c r="I3330" s="25" t="n">
        <f aca="false">IF(G3330="","",C3330/C3329-1)</f>
        <v>0.00197555787323478</v>
      </c>
      <c r="J3330" s="17" t="n">
        <f aca="false">AVERAGE(C3131:C3330)</f>
        <v>35227.0491</v>
      </c>
      <c r="K3330" s="17" t="n">
        <f aca="false">MAX(K3329,C3330)</f>
        <v>67510.06</v>
      </c>
      <c r="L3330" s="25" t="n">
        <f aca="false">C3330/K3330-1</f>
        <v>-0.230694506863125</v>
      </c>
      <c r="M3330" s="25" t="n">
        <f aca="false">IF(COUNT(G3301:G3330)&lt;20,"",_xlfn.STDEV.S(G3301:G3330)*SQRT($R$3))</f>
        <v>0.396380945180598</v>
      </c>
      <c r="N3330" s="25" t="n">
        <f aca="false">IF(A3330-7&lt;$R$2,"",C3330/INDEX(Clean_Data!$C$2:$C$4314,MATCH(A3330-7,Clean_Data!$A$2:$A$4314,1))-1)</f>
        <v>0.145329005111829</v>
      </c>
      <c r="O3330" s="25" t="n">
        <f aca="false">IF(A3330-30&lt;$R$2,"",C3330/INDEX(Clean_Data!$C$2:$C$4314,MATCH(A3330-30,Clean_Data!$A$2:$A$4314,1))-1)</f>
        <v>0.203539810704294</v>
      </c>
    </row>
    <row r="3331" customFormat="false" ht="15" hidden="false" customHeight="false" outlineLevel="0" collapsed="false">
      <c r="A3331" s="16" t="n">
        <v>45338</v>
      </c>
      <c r="B3331" s="23" t="n">
        <f aca="false">YEAR(A3331)</f>
        <v>2024</v>
      </c>
      <c r="C3331" s="17" t="n">
        <v>52181.12</v>
      </c>
      <c r="D3331" s="23" t="n">
        <f aca="false">A3331-A3330</f>
        <v>1</v>
      </c>
      <c r="E3331" s="24" t="n">
        <f aca="false">LN(C3331)</f>
        <v>10.8624760226229</v>
      </c>
      <c r="F3331" s="25" t="n">
        <f aca="false">LN(C3331/C3330)</f>
        <v>0.00471124793758264</v>
      </c>
      <c r="G3331" s="25" t="n">
        <f aca="false">IF(AND(D3331=1,A3331&gt;=$R$2),F3331,"")</f>
        <v>0.00471124793758264</v>
      </c>
      <c r="H3331" s="27" t="n">
        <f aca="false">IF(G3331="","",G3331^2)</f>
        <v>2.21958571293767E-005</v>
      </c>
      <c r="I3331" s="25" t="n">
        <f aca="false">IF(G3331="","",C3331/C3330-1)</f>
        <v>0.00472236331505838</v>
      </c>
      <c r="J3331" s="17" t="n">
        <f aca="false">AVERAGE(C3132:C3331)</f>
        <v>35341.83815</v>
      </c>
      <c r="K3331" s="17" t="n">
        <f aca="false">MAX(K3330,C3331)</f>
        <v>67510.06</v>
      </c>
      <c r="L3331" s="25" t="n">
        <f aca="false">C3331/K3331-1</f>
        <v>-0.227061566824263</v>
      </c>
      <c r="M3331" s="25" t="n">
        <f aca="false">IF(COUNT(G3302:G3331)&lt;20,"",_xlfn.STDEV.S(G3302:G3331)*SQRT($R$3))</f>
        <v>0.391893250533342</v>
      </c>
      <c r="N3331" s="25" t="n">
        <f aca="false">IF(A3331-7&lt;$R$2,"",C3331/INDEX(Clean_Data!$C$2:$C$4314,MATCH(A3331-7,Clean_Data!$A$2:$A$4314,1))-1)</f>
        <v>0.106600119394882</v>
      </c>
      <c r="O3331" s="25" t="n">
        <f aca="false">IF(A3331-30&lt;$R$2,"",C3331/INDEX(Clean_Data!$C$2:$C$4314,MATCH(A3331-30,Clean_Data!$A$2:$A$4314,1))-1)</f>
        <v>0.221895198860463</v>
      </c>
    </row>
    <row r="3332" customFormat="false" ht="15" hidden="false" customHeight="false" outlineLevel="0" collapsed="false">
      <c r="A3332" s="16" t="n">
        <v>45339</v>
      </c>
      <c r="B3332" s="23" t="n">
        <f aca="false">YEAR(A3332)</f>
        <v>2024</v>
      </c>
      <c r="C3332" s="17" t="n">
        <v>51677.7</v>
      </c>
      <c r="D3332" s="23" t="n">
        <f aca="false">A3332-A3331</f>
        <v>1</v>
      </c>
      <c r="E3332" s="24" t="n">
        <f aca="false">LN(C3332)</f>
        <v>10.8527816328222</v>
      </c>
      <c r="F3332" s="25" t="n">
        <f aca="false">LN(C3332/C3331)</f>
        <v>-0.00969438980072247</v>
      </c>
      <c r="G3332" s="25" t="n">
        <f aca="false">IF(AND(D3332=1,A3332&gt;=$R$2),F3332,"")</f>
        <v>-0.00969438980072247</v>
      </c>
      <c r="H3332" s="27" t="n">
        <f aca="false">IF(G3332="","",G3332^2)</f>
        <v>9.39811936083518E-005</v>
      </c>
      <c r="I3332" s="25" t="n">
        <f aca="false">IF(G3332="","",C3332/C3331-1)</f>
        <v>-0.00964755068499879</v>
      </c>
      <c r="J3332" s="17" t="n">
        <f aca="false">AVERAGE(C3133:C3332)</f>
        <v>35451.58225</v>
      </c>
      <c r="K3332" s="17" t="n">
        <f aca="false">MAX(K3331,C3332)</f>
        <v>67510.06</v>
      </c>
      <c r="L3332" s="25" t="n">
        <f aca="false">C3332/K3332-1</f>
        <v>-0.234518529534709</v>
      </c>
      <c r="M3332" s="25" t="n">
        <f aca="false">IF(COUNT(G3303:G3332)&lt;20,"",_xlfn.STDEV.S(G3303:G3332)*SQRT($R$3))</f>
        <v>0.36713416384479</v>
      </c>
      <c r="N3332" s="25" t="n">
        <f aca="false">IF(A3332-7&lt;$R$2,"",C3332/INDEX(Clean_Data!$C$2:$C$4314,MATCH(A3332-7,Clean_Data!$A$2:$A$4314,1))-1)</f>
        <v>0.0811598465973435</v>
      </c>
      <c r="O3332" s="25" t="n">
        <f aca="false">IF(A3332-30&lt;$R$2,"",C3332/INDEX(Clean_Data!$C$2:$C$4314,MATCH(A3332-30,Clean_Data!$A$2:$A$4314,1))-1)</f>
        <v>0.253249973626742</v>
      </c>
    </row>
    <row r="3333" customFormat="false" ht="15" hidden="false" customHeight="false" outlineLevel="0" collapsed="false">
      <c r="A3333" s="16" t="n">
        <v>45340</v>
      </c>
      <c r="B3333" s="23" t="n">
        <f aca="false">YEAR(A3333)</f>
        <v>2024</v>
      </c>
      <c r="C3333" s="17" t="n">
        <v>52160.7</v>
      </c>
      <c r="D3333" s="23" t="n">
        <f aca="false">A3333-A3332</f>
        <v>1</v>
      </c>
      <c r="E3333" s="24" t="n">
        <f aca="false">LN(C3333)</f>
        <v>10.8620846167559</v>
      </c>
      <c r="F3333" s="25" t="n">
        <f aca="false">LN(C3333/C3332)</f>
        <v>0.00930298393372316</v>
      </c>
      <c r="G3333" s="25" t="n">
        <f aca="false">IF(AND(D3333=1,A3333&gt;=$R$2),F3333,"")</f>
        <v>0.00930298393372316</v>
      </c>
      <c r="H3333" s="27" t="n">
        <f aca="false">IF(G3333="","",G3333^2)</f>
        <v>8.65455100711112E-005</v>
      </c>
      <c r="I3333" s="25" t="n">
        <f aca="false">IF(G3333="","",C3333/C3332-1)</f>
        <v>0.00934639119001046</v>
      </c>
      <c r="J3333" s="17" t="n">
        <f aca="false">AVERAGE(C3134:C3333)</f>
        <v>35566.6066</v>
      </c>
      <c r="K3333" s="17" t="n">
        <f aca="false">MAX(K3332,C3333)</f>
        <v>67510.06</v>
      </c>
      <c r="L3333" s="25" t="n">
        <f aca="false">C3333/K3333-1</f>
        <v>-0.227364040263036</v>
      </c>
      <c r="M3333" s="25" t="n">
        <f aca="false">IF(COUNT(G3304:G3333)&lt;20,"",_xlfn.STDEV.S(G3304:G3333)*SQRT($R$3))</f>
        <v>0.367112821004903</v>
      </c>
      <c r="N3333" s="25" t="n">
        <f aca="false">IF(A3333-7&lt;$R$2,"",C3333/INDEX(Clean_Data!$C$2:$C$4314,MATCH(A3333-7,Clean_Data!$A$2:$A$4314,1))-1)</f>
        <v>0.0796571803276516</v>
      </c>
      <c r="O3333" s="25" t="n">
        <f aca="false">IF(A3333-30&lt;$R$2,"",C3333/INDEX(Clean_Data!$C$2:$C$4314,MATCH(A3333-30,Clean_Data!$A$2:$A$4314,1))-1)</f>
        <v>0.252848655223367</v>
      </c>
    </row>
    <row r="3334" customFormat="false" ht="15" hidden="false" customHeight="false" outlineLevel="0" collapsed="false">
      <c r="A3334" s="16" t="n">
        <v>45341</v>
      </c>
      <c r="B3334" s="23" t="n">
        <f aca="false">YEAR(A3334)</f>
        <v>2024</v>
      </c>
      <c r="C3334" s="17" t="n">
        <v>51766.22</v>
      </c>
      <c r="D3334" s="23" t="n">
        <f aca="false">A3334-A3333</f>
        <v>1</v>
      </c>
      <c r="E3334" s="24" t="n">
        <f aca="false">LN(C3334)</f>
        <v>10.8544930919704</v>
      </c>
      <c r="F3334" s="25" t="n">
        <f aca="false">LN(C3334/C3333)</f>
        <v>-0.00759152478548235</v>
      </c>
      <c r="G3334" s="25" t="n">
        <f aca="false">IF(AND(D3334=1,A3334&gt;=$R$2),F3334,"")</f>
        <v>-0.00759152478548235</v>
      </c>
      <c r="H3334" s="27" t="n">
        <f aca="false">IF(G3334="","",G3334^2)</f>
        <v>5.76312485685929E-005</v>
      </c>
      <c r="I3334" s="25" t="n">
        <f aca="false">IF(G3334="","",C3334/C3333-1)</f>
        <v>-0.0075627819411932</v>
      </c>
      <c r="J3334" s="17" t="n">
        <f aca="false">AVERAGE(C3135:C3334)</f>
        <v>35679.597</v>
      </c>
      <c r="K3334" s="17" t="n">
        <f aca="false">MAX(K3333,C3334)</f>
        <v>67510.06</v>
      </c>
      <c r="L3334" s="25" t="n">
        <f aca="false">C3334/K3334-1</f>
        <v>-0.233207317546452</v>
      </c>
      <c r="M3334" s="25" t="n">
        <f aca="false">IF(COUNT(G3305:G3334)&lt;20,"",_xlfn.STDEV.S(G3305:G3334)*SQRT($R$3))</f>
        <v>0.37018667440424</v>
      </c>
      <c r="N3334" s="25" t="n">
        <f aca="false">IF(A3334-7&lt;$R$2,"",C3334/INDEX(Clean_Data!$C$2:$C$4314,MATCH(A3334-7,Clean_Data!$A$2:$A$4314,1))-1)</f>
        <v>0.0361325834150639</v>
      </c>
      <c r="O3334" s="25" t="n">
        <f aca="false">IF(A3334-30&lt;$R$2,"",C3334/INDEX(Clean_Data!$C$2:$C$4314,MATCH(A3334-30,Clean_Data!$A$2:$A$4314,1))-1)</f>
        <v>0.242445239733598</v>
      </c>
    </row>
    <row r="3335" customFormat="false" ht="15" hidden="false" customHeight="false" outlineLevel="0" collapsed="false">
      <c r="A3335" s="16" t="n">
        <v>45342</v>
      </c>
      <c r="B3335" s="23" t="n">
        <f aca="false">YEAR(A3335)</f>
        <v>2024</v>
      </c>
      <c r="C3335" s="17" t="n">
        <v>52284.38</v>
      </c>
      <c r="D3335" s="23" t="n">
        <f aca="false">A3335-A3334</f>
        <v>1</v>
      </c>
      <c r="E3335" s="24" t="n">
        <f aca="false">LN(C3335)</f>
        <v>10.8644529438769</v>
      </c>
      <c r="F3335" s="25" t="n">
        <f aca="false">LN(C3335/C3334)</f>
        <v>0.00995985190648819</v>
      </c>
      <c r="G3335" s="25" t="n">
        <f aca="false">IF(AND(D3335=1,A3335&gt;=$R$2),F3335,"")</f>
        <v>0.00995985190648819</v>
      </c>
      <c r="H3335" s="27" t="n">
        <f aca="false">IF(G3335="","",G3335^2)</f>
        <v>9.91986499991764E-005</v>
      </c>
      <c r="I3335" s="25" t="n">
        <f aca="false">IF(G3335="","",C3335/C3334-1)</f>
        <v>0.0100096163096319</v>
      </c>
      <c r="J3335" s="17" t="n">
        <f aca="false">AVERAGE(C3136:C3335)</f>
        <v>35795.6504</v>
      </c>
      <c r="K3335" s="17" t="n">
        <f aca="false">MAX(K3334,C3335)</f>
        <v>67510.06</v>
      </c>
      <c r="L3335" s="25" t="n">
        <f aca="false">C3335/K3335-1</f>
        <v>-0.225532017006058</v>
      </c>
      <c r="M3335" s="25" t="n">
        <f aca="false">IF(COUNT(G3306:G3335)&lt;20,"",_xlfn.STDEV.S(G3306:G3335)*SQRT($R$3))</f>
        <v>0.368652242049031</v>
      </c>
      <c r="N3335" s="25" t="n">
        <f aca="false">IF(A3335-7&lt;$R$2,"",C3335/INDEX(Clean_Data!$C$2:$C$4314,MATCH(A3335-7,Clean_Data!$A$2:$A$4314,1))-1)</f>
        <v>0.0521801830374509</v>
      </c>
      <c r="O3335" s="25" t="n">
        <f aca="false">IF(A3335-30&lt;$R$2,"",C3335/INDEX(Clean_Data!$C$2:$C$4314,MATCH(A3335-30,Clean_Data!$A$2:$A$4314,1))-1)</f>
        <v>0.257868659007334</v>
      </c>
    </row>
    <row r="3336" customFormat="false" ht="15" hidden="false" customHeight="false" outlineLevel="0" collapsed="false">
      <c r="A3336" s="16" t="n">
        <v>45343</v>
      </c>
      <c r="B3336" s="23" t="n">
        <f aca="false">YEAR(A3336)</f>
        <v>2024</v>
      </c>
      <c r="C3336" s="17" t="n">
        <v>51833.99</v>
      </c>
      <c r="D3336" s="23" t="n">
        <f aca="false">A3336-A3335</f>
        <v>1</v>
      </c>
      <c r="E3336" s="24" t="n">
        <f aca="false">LN(C3336)</f>
        <v>10.8558013906634</v>
      </c>
      <c r="F3336" s="25" t="n">
        <f aca="false">LN(C3336/C3335)</f>
        <v>-0.00865155321353159</v>
      </c>
      <c r="G3336" s="25" t="n">
        <f aca="false">IF(AND(D3336=1,A3336&gt;=$R$2),F3336,"")</f>
        <v>-0.00865155321353159</v>
      </c>
      <c r="H3336" s="27" t="n">
        <f aca="false">IF(G3336="","",G3336^2)</f>
        <v>7.48493730065688E-005</v>
      </c>
      <c r="I3336" s="25" t="n">
        <f aca="false">IF(G3336="","",C3336/C3335-1)</f>
        <v>-0.00861423622121937</v>
      </c>
      <c r="J3336" s="17" t="n">
        <f aca="false">AVERAGE(C3137:C3336)</f>
        <v>35909.5918</v>
      </c>
      <c r="K3336" s="17" t="n">
        <f aca="false">MAX(K3335,C3336)</f>
        <v>67510.06</v>
      </c>
      <c r="L3336" s="25" t="n">
        <f aca="false">C3336/K3336-1</f>
        <v>-0.232203467157339</v>
      </c>
      <c r="M3336" s="25" t="n">
        <f aca="false">IF(COUNT(G3307:G3336)&lt;20,"",_xlfn.STDEV.S(G3307:G3336)*SQRT($R$3))</f>
        <v>0.311513881954044</v>
      </c>
      <c r="N3336" s="25" t="n">
        <f aca="false">IF(A3336-7&lt;$R$2,"",C3336/INDEX(Clean_Data!$C$2:$C$4314,MATCH(A3336-7,Clean_Data!$A$2:$A$4314,1))-1)</f>
        <v>1.0225055398605E-005</v>
      </c>
      <c r="O3336" s="25" t="n">
        <f aca="false">IF(A3336-30&lt;$R$2,"",C3336/INDEX(Clean_Data!$C$2:$C$4314,MATCH(A3336-30,Clean_Data!$A$2:$A$4314,1))-1)</f>
        <v>0.310672141245344</v>
      </c>
    </row>
    <row r="3337" customFormat="false" ht="15" hidden="false" customHeight="false" outlineLevel="0" collapsed="false">
      <c r="A3337" s="16" t="n">
        <v>45344</v>
      </c>
      <c r="B3337" s="23" t="n">
        <f aca="false">YEAR(A3337)</f>
        <v>2024</v>
      </c>
      <c r="C3337" s="17" t="n">
        <v>51262.51</v>
      </c>
      <c r="D3337" s="23" t="n">
        <f aca="false">A3337-A3336</f>
        <v>1</v>
      </c>
      <c r="E3337" s="24" t="n">
        <f aca="false">LN(C3337)</f>
        <v>10.8447149647747</v>
      </c>
      <c r="F3337" s="25" t="n">
        <f aca="false">LN(C3337/C3336)</f>
        <v>-0.0110864258886891</v>
      </c>
      <c r="G3337" s="25" t="n">
        <f aca="false">IF(AND(D3337=1,A3337&gt;=$R$2),F3337,"")</f>
        <v>-0.0110864258886891</v>
      </c>
      <c r="H3337" s="27" t="n">
        <f aca="false">IF(G3337="","",G3337^2)</f>
        <v>0.000122908838985395</v>
      </c>
      <c r="I3337" s="25" t="n">
        <f aca="false">IF(G3337="","",C3337/C3336-1)</f>
        <v>-0.0110251979444376</v>
      </c>
      <c r="J3337" s="17" t="n">
        <f aca="false">AVERAGE(C3138:C3337)</f>
        <v>36020.70215</v>
      </c>
      <c r="K3337" s="17" t="n">
        <f aca="false">MAX(K3336,C3337)</f>
        <v>67510.06</v>
      </c>
      <c r="L3337" s="25" t="n">
        <f aca="false">C3337/K3337-1</f>
        <v>-0.240668575912982</v>
      </c>
      <c r="M3337" s="25" t="n">
        <f aca="false">IF(COUNT(G3308:G3337)&lt;20,"",_xlfn.STDEV.S(G3308:G3337)*SQRT($R$3))</f>
        <v>0.319315761860186</v>
      </c>
      <c r="N3337" s="25" t="n">
        <f aca="false">IF(A3337-7&lt;$R$2,"",C3337/INDEX(Clean_Data!$C$2:$C$4314,MATCH(A3337-7,Clean_Data!$A$2:$A$4314,1))-1)</f>
        <v>-0.0129650303277927</v>
      </c>
      <c r="O3337" s="25" t="n">
        <f aca="false">IF(A3337-30&lt;$R$2,"",C3337/INDEX(Clean_Data!$C$2:$C$4314,MATCH(A3337-30,Clean_Data!$A$2:$A$4314,1))-1)</f>
        <v>0.285845257630539</v>
      </c>
    </row>
    <row r="3338" customFormat="false" ht="15" hidden="false" customHeight="false" outlineLevel="0" collapsed="false">
      <c r="A3338" s="16" t="n">
        <v>45345</v>
      </c>
      <c r="B3338" s="23" t="n">
        <f aca="false">YEAR(A3338)</f>
        <v>2024</v>
      </c>
      <c r="C3338" s="17" t="n">
        <v>50751.19</v>
      </c>
      <c r="D3338" s="23" t="n">
        <f aca="false">A3338-A3337</f>
        <v>1</v>
      </c>
      <c r="E3338" s="24" t="n">
        <f aca="false">LN(C3338)</f>
        <v>10.834690344905</v>
      </c>
      <c r="F3338" s="25" t="n">
        <f aca="false">LN(C3338/C3337)</f>
        <v>-0.0100246198696785</v>
      </c>
      <c r="G3338" s="25" t="n">
        <f aca="false">IF(AND(D3338=1,A3338&gt;=$R$2),F3338,"")</f>
        <v>-0.0100246198696785</v>
      </c>
      <c r="H3338" s="27" t="n">
        <f aca="false">IF(G3338="","",G3338^2)</f>
        <v>0.000100493003531553</v>
      </c>
      <c r="I3338" s="25" t="n">
        <f aca="false">IF(G3338="","",C3338/C3337-1)</f>
        <v>-0.00997454084866312</v>
      </c>
      <c r="J3338" s="17" t="n">
        <f aca="false">AVERAGE(C3139:C3338)</f>
        <v>36128.56305</v>
      </c>
      <c r="K3338" s="17" t="n">
        <f aca="false">MAX(K3337,C3338)</f>
        <v>67510.06</v>
      </c>
      <c r="L3338" s="25" t="n">
        <f aca="false">C3338/K3338-1</f>
        <v>-0.248242558220212</v>
      </c>
      <c r="M3338" s="25" t="n">
        <f aca="false">IF(COUNT(G3309:G3338)&lt;20,"",_xlfn.STDEV.S(G3309:G3338)*SQRT($R$3))</f>
        <v>0.325513451899311</v>
      </c>
      <c r="N3338" s="25" t="n">
        <f aca="false">IF(A3338-7&lt;$R$2,"",C3338/INDEX(Clean_Data!$C$2:$C$4314,MATCH(A3338-7,Clean_Data!$A$2:$A$4314,1))-1)</f>
        <v>-0.0274032063704267</v>
      </c>
      <c r="O3338" s="25" t="n">
        <f aca="false">IF(A3338-30&lt;$R$2,"",C3338/INDEX(Clean_Data!$C$2:$C$4314,MATCH(A3338-30,Clean_Data!$A$2:$A$4314,1))-1)</f>
        <v>0.267138805247205</v>
      </c>
    </row>
    <row r="3339" customFormat="false" ht="15" hidden="false" customHeight="false" outlineLevel="0" collapsed="false">
      <c r="A3339" s="16" t="n">
        <v>45346</v>
      </c>
      <c r="B3339" s="23" t="n">
        <f aca="false">YEAR(A3339)</f>
        <v>2024</v>
      </c>
      <c r="C3339" s="17" t="n">
        <v>51553.18</v>
      </c>
      <c r="D3339" s="23" t="n">
        <f aca="false">A3339-A3338</f>
        <v>1</v>
      </c>
      <c r="E3339" s="24" t="n">
        <f aca="false">LN(C3339)</f>
        <v>10.8503691752244</v>
      </c>
      <c r="F3339" s="25" t="n">
        <f aca="false">LN(C3339/C3338)</f>
        <v>0.0156788303193722</v>
      </c>
      <c r="G3339" s="25" t="n">
        <f aca="false">IF(AND(D3339=1,A3339&gt;=$R$2),F3339,"")</f>
        <v>0.0156788303193722</v>
      </c>
      <c r="H3339" s="27" t="n">
        <f aca="false">IF(G3339="","",G3339^2)</f>
        <v>0.000245825720183665</v>
      </c>
      <c r="I3339" s="25" t="n">
        <f aca="false">IF(G3339="","",C3339/C3338-1)</f>
        <v>0.0158023880819347</v>
      </c>
      <c r="J3339" s="17" t="n">
        <f aca="false">AVERAGE(C3140:C3339)</f>
        <v>36237.45685</v>
      </c>
      <c r="K3339" s="17" t="n">
        <f aca="false">MAX(K3338,C3339)</f>
        <v>67510.06</v>
      </c>
      <c r="L3339" s="25" t="n">
        <f aca="false">C3339/K3339-1</f>
        <v>-0.236362995381725</v>
      </c>
      <c r="M3339" s="25" t="n">
        <f aca="false">IF(COUNT(G3310:G3339)&lt;20,"",_xlfn.STDEV.S(G3310:G3339)*SQRT($R$3))</f>
        <v>0.324304297572541</v>
      </c>
      <c r="N3339" s="25" t="n">
        <f aca="false">IF(A3339-7&lt;$R$2,"",C3339/INDEX(Clean_Data!$C$2:$C$4314,MATCH(A3339-7,Clean_Data!$A$2:$A$4314,1))-1)</f>
        <v>-0.00240954996062126</v>
      </c>
      <c r="O3339" s="25" t="n">
        <f aca="false">IF(A3339-30&lt;$R$2,"",C3339/INDEX(Clean_Data!$C$2:$C$4314,MATCH(A3339-30,Clean_Data!$A$2:$A$4314,1))-1)</f>
        <v>0.290620235576863</v>
      </c>
    </row>
    <row r="3340" customFormat="false" ht="15" hidden="false" customHeight="false" outlineLevel="0" collapsed="false">
      <c r="A3340" s="16" t="n">
        <v>45347</v>
      </c>
      <c r="B3340" s="23" t="n">
        <f aca="false">YEAR(A3340)</f>
        <v>2024</v>
      </c>
      <c r="C3340" s="17" t="n">
        <v>51729.95</v>
      </c>
      <c r="D3340" s="23" t="n">
        <f aca="false">A3340-A3339</f>
        <v>1</v>
      </c>
      <c r="E3340" s="24" t="n">
        <f aca="false">LN(C3340)</f>
        <v>10.85379219644</v>
      </c>
      <c r="F3340" s="25" t="n">
        <f aca="false">LN(C3340/C3339)</f>
        <v>0.00342302121560861</v>
      </c>
      <c r="G3340" s="25" t="n">
        <f aca="false">IF(AND(D3340=1,A3340&gt;=$R$2),F3340,"")</f>
        <v>0.00342302121560861</v>
      </c>
      <c r="H3340" s="27" t="n">
        <f aca="false">IF(G3340="","",G3340^2)</f>
        <v>1.17170742425066E-005</v>
      </c>
      <c r="I3340" s="25" t="n">
        <f aca="false">IF(G3340="","",C3340/C3339-1)</f>
        <v>0.00342888644308648</v>
      </c>
      <c r="J3340" s="17" t="n">
        <f aca="false">AVERAGE(C3141:C3340)</f>
        <v>36348.2989</v>
      </c>
      <c r="K3340" s="17" t="n">
        <f aca="false">MAX(K3339,C3340)</f>
        <v>67510.06</v>
      </c>
      <c r="L3340" s="25" t="n">
        <f aca="false">C3340/K3340-1</f>
        <v>-0.233744570809151</v>
      </c>
      <c r="M3340" s="25" t="n">
        <f aca="false">IF(COUNT(G3311:G3340)&lt;20,"",_xlfn.STDEV.S(G3311:G3340)*SQRT($R$3))</f>
        <v>0.296306447433377</v>
      </c>
      <c r="N3340" s="25" t="n">
        <f aca="false">IF(A3340-7&lt;$R$2,"",C3340/INDEX(Clean_Data!$C$2:$C$4314,MATCH(A3340-7,Clean_Data!$A$2:$A$4314,1))-1)</f>
        <v>-0.00825813303885881</v>
      </c>
      <c r="O3340" s="25" t="n">
        <f aca="false">IF(A3340-30&lt;$R$2,"",C3340/INDEX(Clean_Data!$C$2:$C$4314,MATCH(A3340-30,Clean_Data!$A$2:$A$4314,1))-1)</f>
        <v>0.237786921941822</v>
      </c>
    </row>
    <row r="3341" customFormat="false" ht="15" hidden="false" customHeight="false" outlineLevel="0" collapsed="false">
      <c r="A3341" s="16" t="n">
        <v>45348</v>
      </c>
      <c r="B3341" s="23" t="n">
        <f aca="false">YEAR(A3341)</f>
        <v>2024</v>
      </c>
      <c r="C3341" s="17" t="n">
        <v>54559</v>
      </c>
      <c r="D3341" s="23" t="n">
        <f aca="false">A3341-A3340</f>
        <v>1</v>
      </c>
      <c r="E3341" s="24" t="n">
        <f aca="false">LN(C3341)</f>
        <v>10.9070379639036</v>
      </c>
      <c r="F3341" s="25" t="n">
        <f aca="false">LN(C3341/C3340)</f>
        <v>0.0532457674636577</v>
      </c>
      <c r="G3341" s="25" t="n">
        <f aca="false">IF(AND(D3341=1,A3341&gt;=$R$2),F3341,"")</f>
        <v>0.0532457674636577</v>
      </c>
      <c r="H3341" s="27" t="n">
        <f aca="false">IF(G3341="","",G3341^2)</f>
        <v>0.00283511175279391</v>
      </c>
      <c r="I3341" s="25" t="n">
        <f aca="false">IF(G3341="","",C3341/C3340-1)</f>
        <v>0.0546888214660946</v>
      </c>
      <c r="J3341" s="17" t="n">
        <f aca="false">AVERAGE(C3142:C3341)</f>
        <v>36474.00345</v>
      </c>
      <c r="K3341" s="17" t="n">
        <f aca="false">MAX(K3340,C3341)</f>
        <v>67510.06</v>
      </c>
      <c r="L3341" s="25" t="n">
        <f aca="false">C3341/K3341-1</f>
        <v>-0.191838964444706</v>
      </c>
      <c r="M3341" s="25" t="n">
        <f aca="false">IF(COUNT(G3312:G3341)&lt;20,"",_xlfn.STDEV.S(G3312:G3341)*SQRT($R$3))</f>
        <v>0.337226384971733</v>
      </c>
      <c r="N3341" s="25" t="n">
        <f aca="false">IF(A3341-7&lt;$R$2,"",C3341/INDEX(Clean_Data!$C$2:$C$4314,MATCH(A3341-7,Clean_Data!$A$2:$A$4314,1))-1)</f>
        <v>0.0539498537849585</v>
      </c>
      <c r="O3341" s="25" t="n">
        <f aca="false">IF(A3341-30&lt;$R$2,"",C3341/INDEX(Clean_Data!$C$2:$C$4314,MATCH(A3341-30,Clean_Data!$A$2:$A$4314,1))-1)</f>
        <v>0.294581238241245</v>
      </c>
    </row>
    <row r="3342" customFormat="false" ht="15" hidden="false" customHeight="false" outlineLevel="0" collapsed="false">
      <c r="A3342" s="16" t="n">
        <v>45349</v>
      </c>
      <c r="B3342" s="23" t="n">
        <f aca="false">YEAR(A3342)</f>
        <v>2024</v>
      </c>
      <c r="C3342" s="17" t="n">
        <v>57064.29</v>
      </c>
      <c r="D3342" s="23" t="n">
        <f aca="false">A3342-A3341</f>
        <v>1</v>
      </c>
      <c r="E3342" s="24" t="n">
        <f aca="false">LN(C3342)</f>
        <v>10.9519338059581</v>
      </c>
      <c r="F3342" s="25" t="n">
        <f aca="false">LN(C3342/C3341)</f>
        <v>0.044895842054511</v>
      </c>
      <c r="G3342" s="25" t="n">
        <f aca="false">IF(AND(D3342=1,A3342&gt;=$R$2),F3342,"")</f>
        <v>0.044895842054511</v>
      </c>
      <c r="H3342" s="27" t="n">
        <f aca="false">IF(G3342="","",G3342^2)</f>
        <v>0.0020156366337836</v>
      </c>
      <c r="I3342" s="25" t="n">
        <f aca="false">IF(G3342="","",C3342/C3341-1)</f>
        <v>0.0459189134698217</v>
      </c>
      <c r="J3342" s="17" t="n">
        <f aca="false">AVERAGE(C3143:C3342)</f>
        <v>36612.32465</v>
      </c>
      <c r="K3342" s="17" t="n">
        <f aca="false">MAX(K3341,C3342)</f>
        <v>67510.06</v>
      </c>
      <c r="L3342" s="25" t="n">
        <f aca="false">C3342/K3342-1</f>
        <v>-0.154729087783361</v>
      </c>
      <c r="M3342" s="25" t="n">
        <f aca="false">IF(COUNT(G3313:G3342)&lt;20,"",_xlfn.STDEV.S(G3313:G3342)*SQRT($R$3))</f>
        <v>0.356969299539529</v>
      </c>
      <c r="N3342" s="25" t="n">
        <f aca="false">IF(A3342-7&lt;$R$2,"",C3342/INDEX(Clean_Data!$C$2:$C$4314,MATCH(A3342-7,Clean_Data!$A$2:$A$4314,1))-1)</f>
        <v>0.0914213767094494</v>
      </c>
      <c r="O3342" s="25" t="n">
        <f aca="false">IF(A3342-30&lt;$R$2,"",C3342/INDEX(Clean_Data!$C$2:$C$4314,MATCH(A3342-30,Clean_Data!$A$2:$A$4314,1))-1)</f>
        <v>0.358940829791764</v>
      </c>
    </row>
    <row r="3343" customFormat="false" ht="15" hidden="false" customHeight="false" outlineLevel="0" collapsed="false">
      <c r="A3343" s="16" t="n">
        <v>45350</v>
      </c>
      <c r="B3343" s="23" t="n">
        <f aca="false">YEAR(A3343)</f>
        <v>2024</v>
      </c>
      <c r="C3343" s="17" t="n">
        <v>62479.39</v>
      </c>
      <c r="D3343" s="23" t="n">
        <f aca="false">A3343-A3342</f>
        <v>1</v>
      </c>
      <c r="E3343" s="24" t="n">
        <f aca="false">LN(C3343)</f>
        <v>11.0425920213417</v>
      </c>
      <c r="F3343" s="25" t="n">
        <f aca="false">LN(C3343/C3342)</f>
        <v>0.0906582153835694</v>
      </c>
      <c r="G3343" s="25" t="n">
        <f aca="false">IF(AND(D3343=1,A3343&gt;=$R$2),F3343,"")</f>
        <v>0.0906582153835694</v>
      </c>
      <c r="H3343" s="27" t="n">
        <f aca="false">IF(G3343="","",G3343^2)</f>
        <v>0.00821891201653366</v>
      </c>
      <c r="I3343" s="25" t="n">
        <f aca="false">IF(G3343="","",C3343/C3342-1)</f>
        <v>0.0948947231271957</v>
      </c>
      <c r="J3343" s="17" t="n">
        <f aca="false">AVERAGE(C3144:C3343)</f>
        <v>36777.6367</v>
      </c>
      <c r="K3343" s="17" t="n">
        <f aca="false">MAX(K3342,C3343)</f>
        <v>67510.06</v>
      </c>
      <c r="L3343" s="25" t="n">
        <f aca="false">C3343/K3343-1</f>
        <v>-0.0745173386010914</v>
      </c>
      <c r="M3343" s="25" t="n">
        <f aca="false">IF(COUNT(G3314:G3343)&lt;20,"",_xlfn.STDEV.S(G3314:G3343)*SQRT($R$3))</f>
        <v>0.449857766663304</v>
      </c>
      <c r="N3343" s="25" t="n">
        <f aca="false">IF(A3343-7&lt;$R$2,"",C3343/INDEX(Clean_Data!$C$2:$C$4314,MATCH(A3343-7,Clean_Data!$A$2:$A$4314,1))-1)</f>
        <v>0.205374890105894</v>
      </c>
      <c r="O3343" s="25" t="n">
        <f aca="false">IF(A3343-30&lt;$R$2,"",C3343/INDEX(Clean_Data!$C$2:$C$4314,MATCH(A3343-30,Clean_Data!$A$2:$A$4314,1))-1)</f>
        <v>0.443864037890246</v>
      </c>
    </row>
    <row r="3344" customFormat="false" ht="15" hidden="false" customHeight="false" outlineLevel="0" collapsed="false">
      <c r="A3344" s="16" t="n">
        <v>45351</v>
      </c>
      <c r="B3344" s="23" t="n">
        <f aca="false">YEAR(A3344)</f>
        <v>2024</v>
      </c>
      <c r="C3344" s="17" t="n">
        <v>61240.13</v>
      </c>
      <c r="D3344" s="23" t="n">
        <f aca="false">A3344-A3343</f>
        <v>1</v>
      </c>
      <c r="E3344" s="24" t="n">
        <f aca="false">LN(C3344)</f>
        <v>11.0225579725649</v>
      </c>
      <c r="F3344" s="25" t="n">
        <f aca="false">LN(C3344/C3343)</f>
        <v>-0.0200340487767829</v>
      </c>
      <c r="G3344" s="25" t="n">
        <f aca="false">IF(AND(D3344=1,A3344&gt;=$R$2),F3344,"")</f>
        <v>-0.0200340487767829</v>
      </c>
      <c r="H3344" s="27" t="n">
        <f aca="false">IF(G3344="","",G3344^2)</f>
        <v>0.000401363110390516</v>
      </c>
      <c r="I3344" s="25" t="n">
        <f aca="false">IF(G3344="","",C3344/C3343-1)</f>
        <v>-0.0198347006908999</v>
      </c>
      <c r="J3344" s="17" t="n">
        <f aca="false">AVERAGE(C3145:C3344)</f>
        <v>36937.49955</v>
      </c>
      <c r="K3344" s="17" t="n">
        <f aca="false">MAX(K3343,C3344)</f>
        <v>67510.06</v>
      </c>
      <c r="L3344" s="25" t="n">
        <f aca="false">C3344/K3344-1</f>
        <v>-0.0928740101845562</v>
      </c>
      <c r="M3344" s="25" t="n">
        <f aca="false">IF(COUNT(G3315:G3344)&lt;20,"",_xlfn.STDEV.S(G3315:G3344)*SQRT($R$3))</f>
        <v>0.459261955656391</v>
      </c>
      <c r="N3344" s="25" t="n">
        <f aca="false">IF(A3344-7&lt;$R$2,"",C3344/INDEX(Clean_Data!$C$2:$C$4314,MATCH(A3344-7,Clean_Data!$A$2:$A$4314,1))-1)</f>
        <v>0.194637757690757</v>
      </c>
      <c r="O3344" s="25" t="n">
        <f aca="false">IF(A3344-30&lt;$R$2,"",C3344/INDEX(Clean_Data!$C$2:$C$4314,MATCH(A3344-30,Clean_Data!$A$2:$A$4314,1))-1)</f>
        <v>0.424654235941224</v>
      </c>
    </row>
    <row r="3345" customFormat="false" ht="15" hidden="false" customHeight="false" outlineLevel="0" collapsed="false">
      <c r="A3345" s="16" t="n">
        <v>45352</v>
      </c>
      <c r="B3345" s="23" t="n">
        <f aca="false">YEAR(A3345)</f>
        <v>2024</v>
      </c>
      <c r="C3345" s="17" t="n">
        <v>62468.47</v>
      </c>
      <c r="D3345" s="23" t="n">
        <f aca="false">A3345-A3344</f>
        <v>1</v>
      </c>
      <c r="E3345" s="24" t="n">
        <f aca="false">LN(C3345)</f>
        <v>11.0424172284316</v>
      </c>
      <c r="F3345" s="25" t="n">
        <f aca="false">LN(C3345/C3344)</f>
        <v>0.0198592558667194</v>
      </c>
      <c r="G3345" s="25" t="n">
        <f aca="false">IF(AND(D3345=1,A3345&gt;=$R$2),F3345,"")</f>
        <v>0.0198592558667194</v>
      </c>
      <c r="H3345" s="27" t="n">
        <f aca="false">IF(G3345="","",G3345^2)</f>
        <v>0.000394390043579827</v>
      </c>
      <c r="I3345" s="25" t="n">
        <f aca="false">IF(G3345="","",C3345/C3344-1)</f>
        <v>0.0200577627774468</v>
      </c>
      <c r="J3345" s="17" t="n">
        <f aca="false">AVERAGE(C3146:C3345)</f>
        <v>37102.85515</v>
      </c>
      <c r="K3345" s="17" t="n">
        <f aca="false">MAX(K3344,C3345)</f>
        <v>67510.06</v>
      </c>
      <c r="L3345" s="25" t="n">
        <f aca="false">C3345/K3345-1</f>
        <v>-0.0746790922715814</v>
      </c>
      <c r="M3345" s="25" t="n">
        <f aca="false">IF(COUNT(G3316:G3345)&lt;20,"",_xlfn.STDEV.S(G3316:G3345)*SQRT($R$3))</f>
        <v>0.453793896375755</v>
      </c>
      <c r="N3345" s="25" t="n">
        <f aca="false">IF(A3345-7&lt;$R$2,"",C3345/INDEX(Clean_Data!$C$2:$C$4314,MATCH(A3345-7,Clean_Data!$A$2:$A$4314,1))-1)</f>
        <v>0.230876950865586</v>
      </c>
      <c r="O3345" s="25" t="n">
        <f aca="false">IF(A3345-30&lt;$R$2,"",C3345/INDEX(Clean_Data!$C$2:$C$4314,MATCH(A3345-30,Clean_Data!$A$2:$A$4314,1))-1)</f>
        <v>0.466413565045028</v>
      </c>
    </row>
    <row r="3346" customFormat="false" ht="15" hidden="false" customHeight="false" outlineLevel="0" collapsed="false">
      <c r="A3346" s="16" t="n">
        <v>45353</v>
      </c>
      <c r="B3346" s="23" t="n">
        <f aca="false">YEAR(A3346)</f>
        <v>2024</v>
      </c>
      <c r="C3346" s="17" t="n">
        <v>62026.06</v>
      </c>
      <c r="D3346" s="23" t="n">
        <f aca="false">A3346-A3345</f>
        <v>1</v>
      </c>
      <c r="E3346" s="24" t="n">
        <f aca="false">LN(C3346)</f>
        <v>11.0353098982971</v>
      </c>
      <c r="F3346" s="25" t="n">
        <f aca="false">LN(C3346/C3345)</f>
        <v>-0.00710733013456173</v>
      </c>
      <c r="G3346" s="25" t="n">
        <f aca="false">IF(AND(D3346=1,A3346&gt;=$R$2),F3346,"")</f>
        <v>-0.00710733013456173</v>
      </c>
      <c r="H3346" s="27" t="n">
        <f aca="false">IF(G3346="","",G3346^2)</f>
        <v>5.05141416416492E-005</v>
      </c>
      <c r="I3346" s="25" t="n">
        <f aca="false">IF(G3346="","",C3346/C3345-1)</f>
        <v>-0.0070821327943521</v>
      </c>
      <c r="J3346" s="17" t="n">
        <f aca="false">AVERAGE(C3147:C3346)</f>
        <v>37267.15565</v>
      </c>
      <c r="K3346" s="17" t="n">
        <f aca="false">MAX(K3345,C3346)</f>
        <v>67510.06</v>
      </c>
      <c r="L3346" s="25" t="n">
        <f aca="false">C3346/K3346-1</f>
        <v>-0.0812323378175045</v>
      </c>
      <c r="M3346" s="25" t="n">
        <f aca="false">IF(COUNT(G3317:G3346)&lt;20,"",_xlfn.STDEV.S(G3317:G3346)*SQRT($R$3))</f>
        <v>0.459054543338042</v>
      </c>
      <c r="N3346" s="25" t="n">
        <f aca="false">IF(A3346-7&lt;$R$2,"",C3346/INDEX(Clean_Data!$C$2:$C$4314,MATCH(A3346-7,Clean_Data!$A$2:$A$4314,1))-1)</f>
        <v>0.203147119149585</v>
      </c>
      <c r="O3346" s="25" t="n">
        <f aca="false">IF(A3346-30&lt;$R$2,"",C3346/INDEX(Clean_Data!$C$2:$C$4314,MATCH(A3346-30,Clean_Data!$A$2:$A$4314,1))-1)</f>
        <v>0.439449024765294</v>
      </c>
    </row>
    <row r="3347" customFormat="false" ht="15" hidden="false" customHeight="false" outlineLevel="0" collapsed="false">
      <c r="A3347" s="16" t="n">
        <v>45354</v>
      </c>
      <c r="B3347" s="23" t="n">
        <f aca="false">YEAR(A3347)</f>
        <v>2024</v>
      </c>
      <c r="C3347" s="17" t="n">
        <v>63209.21</v>
      </c>
      <c r="D3347" s="23" t="n">
        <f aca="false">A3347-A3346</f>
        <v>1</v>
      </c>
      <c r="E3347" s="24" t="n">
        <f aca="false">LN(C3347)</f>
        <v>11.0542052973658</v>
      </c>
      <c r="F3347" s="25" t="n">
        <f aca="false">LN(C3347/C3346)</f>
        <v>0.0188953990686956</v>
      </c>
      <c r="G3347" s="25" t="n">
        <f aca="false">IF(AND(D3347=1,A3347&gt;=$R$2),F3347,"")</f>
        <v>0.0188953990686956</v>
      </c>
      <c r="H3347" s="27" t="n">
        <f aca="false">IF(G3347="","",G3347^2)</f>
        <v>0.000357036105965263</v>
      </c>
      <c r="I3347" s="25" t="n">
        <f aca="false">IF(G3347="","",C3347/C3346-1)</f>
        <v>0.0190750468432139</v>
      </c>
      <c r="J3347" s="17" t="n">
        <f aca="false">AVERAGE(C3148:C3347)</f>
        <v>37439.73005</v>
      </c>
      <c r="K3347" s="17" t="n">
        <f aca="false">MAX(K3346,C3347)</f>
        <v>67510.06</v>
      </c>
      <c r="L3347" s="25" t="n">
        <f aca="false">C3347/K3347-1</f>
        <v>-0.0637068016233432</v>
      </c>
      <c r="M3347" s="25" t="n">
        <f aca="false">IF(COUNT(G3318:G3347)&lt;20,"",_xlfn.STDEV.S(G3318:G3347)*SQRT($R$3))</f>
        <v>0.458212339502703</v>
      </c>
      <c r="N3347" s="25" t="n">
        <f aca="false">IF(A3347-7&lt;$R$2,"",C3347/INDEX(Clean_Data!$C$2:$C$4314,MATCH(A3347-7,Clean_Data!$A$2:$A$4314,1))-1)</f>
        <v>0.221907425002344</v>
      </c>
      <c r="O3347" s="25" t="n">
        <f aca="false">IF(A3347-30&lt;$R$2,"",C3347/INDEX(Clean_Data!$C$2:$C$4314,MATCH(A3347-30,Clean_Data!$A$2:$A$4314,1))-1)</f>
        <v>0.463602702732115</v>
      </c>
    </row>
    <row r="3348" customFormat="false" ht="15" hidden="false" customHeight="false" outlineLevel="0" collapsed="false">
      <c r="A3348" s="16" t="n">
        <v>45355</v>
      </c>
      <c r="B3348" s="23" t="n">
        <f aca="false">YEAR(A3348)</f>
        <v>2024</v>
      </c>
      <c r="C3348" s="17" t="n">
        <v>68277.61</v>
      </c>
      <c r="D3348" s="23" t="n">
        <f aca="false">A3348-A3347</f>
        <v>1</v>
      </c>
      <c r="E3348" s="24" t="n">
        <f aca="false">LN(C3348)</f>
        <v>11.1313371733666</v>
      </c>
      <c r="F3348" s="25" t="n">
        <f aca="false">LN(C3348/C3347)</f>
        <v>0.077131876000866</v>
      </c>
      <c r="G3348" s="25" t="n">
        <f aca="false">IF(AND(D3348=1,A3348&gt;=$R$2),F3348,"")</f>
        <v>0.077131876000866</v>
      </c>
      <c r="H3348" s="27" t="n">
        <f aca="false">IF(G3348="","",G3348^2)</f>
        <v>0.00594932629541297</v>
      </c>
      <c r="I3348" s="25" t="n">
        <f aca="false">IF(G3348="","",C3348/C3347-1)</f>
        <v>0.0801845174144718</v>
      </c>
      <c r="J3348" s="17" t="n">
        <f aca="false">AVERAGE(C3149:C3348)</f>
        <v>37648.1132</v>
      </c>
      <c r="K3348" s="17" t="n">
        <f aca="false">MAX(K3347,C3348)</f>
        <v>68277.61</v>
      </c>
      <c r="L3348" s="25" t="n">
        <f aca="false">C3348/K3348-1</f>
        <v>0</v>
      </c>
      <c r="M3348" s="25" t="n">
        <f aca="false">IF(COUNT(G3319:G3348)&lt;20,"",_xlfn.STDEV.S(G3319:G3348)*SQRT($R$3))</f>
        <v>0.505599000084666</v>
      </c>
      <c r="N3348" s="25" t="n">
        <f aca="false">IF(A3348-7&lt;$R$2,"",C3348/INDEX(Clean_Data!$C$2:$C$4314,MATCH(A3348-7,Clean_Data!$A$2:$A$4314,1))-1)</f>
        <v>0.251445407723749</v>
      </c>
      <c r="O3348" s="25" t="n">
        <f aca="false">IF(A3348-30&lt;$R$2,"",C3348/INDEX(Clean_Data!$C$2:$C$4314,MATCH(A3348-30,Clean_Data!$A$2:$A$4314,1))-1)</f>
        <v>0.588302768833376</v>
      </c>
    </row>
    <row r="3349" customFormat="false" ht="15" hidden="false" customHeight="false" outlineLevel="0" collapsed="false">
      <c r="A3349" s="16" t="n">
        <v>45356</v>
      </c>
      <c r="B3349" s="23" t="n">
        <f aca="false">YEAR(A3349)</f>
        <v>2024</v>
      </c>
      <c r="C3349" s="17" t="n">
        <v>63893.71</v>
      </c>
      <c r="D3349" s="23" t="n">
        <f aca="false">A3349-A3348</f>
        <v>1</v>
      </c>
      <c r="E3349" s="24" t="n">
        <f aca="false">LN(C3349)</f>
        <v>11.0649762004658</v>
      </c>
      <c r="F3349" s="25" t="n">
        <f aca="false">LN(C3349/C3348)</f>
        <v>-0.0663609729008396</v>
      </c>
      <c r="G3349" s="25" t="n">
        <f aca="false">IF(AND(D3349=1,A3349&gt;=$R$2),F3349,"")</f>
        <v>-0.0663609729008396</v>
      </c>
      <c r="H3349" s="27" t="n">
        <f aca="false">IF(G3349="","",G3349^2)</f>
        <v>0.00440377872434596</v>
      </c>
      <c r="I3349" s="25" t="n">
        <f aca="false">IF(G3349="","",C3349/C3348-1)</f>
        <v>-0.0642069925997703</v>
      </c>
      <c r="J3349" s="17" t="n">
        <f aca="false">AVERAGE(C3150:C3349)</f>
        <v>37837.3618</v>
      </c>
      <c r="K3349" s="17" t="n">
        <f aca="false">MAX(K3348,C3349)</f>
        <v>68277.61</v>
      </c>
      <c r="L3349" s="25" t="n">
        <f aca="false">C3349/K3349-1</f>
        <v>-0.0642069925997703</v>
      </c>
      <c r="M3349" s="25" t="n">
        <f aca="false">IF(COUNT(G3320:G3349)&lt;20,"",_xlfn.STDEV.S(G3320:G3349)*SQRT($R$3))</f>
        <v>0.574836853444441</v>
      </c>
      <c r="N3349" s="25" t="n">
        <f aca="false">IF(A3349-7&lt;$R$2,"",C3349/INDEX(Clean_Data!$C$2:$C$4314,MATCH(A3349-7,Clean_Data!$A$2:$A$4314,1))-1)</f>
        <v>0.119679400199319</v>
      </c>
      <c r="O3349" s="25" t="n">
        <f aca="false">IF(A3349-30&lt;$R$2,"",C3349/INDEX(Clean_Data!$C$2:$C$4314,MATCH(A3349-30,Clean_Data!$A$2:$A$4314,1))-1)</f>
        <v>0.501028152804204</v>
      </c>
    </row>
    <row r="3350" customFormat="false" ht="15" hidden="false" customHeight="false" outlineLevel="0" collapsed="false">
      <c r="A3350" s="16" t="n">
        <v>45357</v>
      </c>
      <c r="B3350" s="23" t="n">
        <f aca="false">YEAR(A3350)</f>
        <v>2024</v>
      </c>
      <c r="C3350" s="17" t="n">
        <v>66092.71</v>
      </c>
      <c r="D3350" s="23" t="n">
        <f aca="false">A3350-A3349</f>
        <v>1</v>
      </c>
      <c r="E3350" s="24" t="n">
        <f aca="false">LN(C3350)</f>
        <v>11.0988137323144</v>
      </c>
      <c r="F3350" s="25" t="n">
        <f aca="false">LN(C3350/C3349)</f>
        <v>0.0338375318485976</v>
      </c>
      <c r="G3350" s="25" t="n">
        <f aca="false">IF(AND(D3350=1,A3350&gt;=$R$2),F3350,"")</f>
        <v>0.0338375318485976</v>
      </c>
      <c r="H3350" s="27" t="n">
        <f aca="false">IF(G3350="","",G3350^2)</f>
        <v>0.00114497856160486</v>
      </c>
      <c r="I3350" s="25" t="n">
        <f aca="false">IF(G3350="","",C3350/C3349-1)</f>
        <v>0.03441653333325</v>
      </c>
      <c r="J3350" s="17" t="n">
        <f aca="false">AVERAGE(C3151:C3350)</f>
        <v>38037.41915</v>
      </c>
      <c r="K3350" s="17" t="n">
        <f aca="false">MAX(K3349,C3350)</f>
        <v>68277.61</v>
      </c>
      <c r="L3350" s="25" t="n">
        <f aca="false">C3350/K3350-1</f>
        <v>-0.0320002413675581</v>
      </c>
      <c r="M3350" s="25" t="n">
        <f aca="false">IF(COUNT(G3321:G3350)&lt;20,"",_xlfn.STDEV.S(G3321:G3350)*SQRT($R$3))</f>
        <v>0.577531944677777</v>
      </c>
      <c r="N3350" s="25" t="n">
        <f aca="false">IF(A3350-7&lt;$R$2,"",C3350/INDEX(Clean_Data!$C$2:$C$4314,MATCH(A3350-7,Clean_Data!$A$2:$A$4314,1))-1)</f>
        <v>0.0578321907432196</v>
      </c>
      <c r="O3350" s="25" t="n">
        <f aca="false">IF(A3350-30&lt;$R$2,"",C3350/INDEX(Clean_Data!$C$2:$C$4314,MATCH(A3350-30,Clean_Data!$A$2:$A$4314,1))-1)</f>
        <v>0.549486104663975</v>
      </c>
    </row>
    <row r="3351" customFormat="false" ht="15" hidden="false" customHeight="false" outlineLevel="0" collapsed="false">
      <c r="A3351" s="16" t="n">
        <v>45358</v>
      </c>
      <c r="B3351" s="23" t="n">
        <f aca="false">YEAR(A3351)</f>
        <v>2024</v>
      </c>
      <c r="C3351" s="17" t="n">
        <v>66914.79</v>
      </c>
      <c r="D3351" s="23" t="n">
        <f aca="false">A3351-A3350</f>
        <v>1</v>
      </c>
      <c r="E3351" s="24" t="n">
        <f aca="false">LN(C3351)</f>
        <v>11.1111752979158</v>
      </c>
      <c r="F3351" s="25" t="n">
        <f aca="false">LN(C3351/C3350)</f>
        <v>0.0123615656013514</v>
      </c>
      <c r="G3351" s="25" t="n">
        <f aca="false">IF(AND(D3351=1,A3351&gt;=$R$2),F3351,"")</f>
        <v>0.0123615656013514</v>
      </c>
      <c r="H3351" s="27" t="n">
        <f aca="false">IF(G3351="","",G3351^2)</f>
        <v>0.000152808304116514</v>
      </c>
      <c r="I3351" s="25" t="n">
        <f aca="false">IF(G3351="","",C3351/C3350-1)</f>
        <v>0.0124382855537317</v>
      </c>
      <c r="J3351" s="17" t="n">
        <f aca="false">AVERAGE(C3152:C3351)</f>
        <v>38241.0571</v>
      </c>
      <c r="K3351" s="17" t="n">
        <f aca="false">MAX(K3350,C3351)</f>
        <v>68277.61</v>
      </c>
      <c r="L3351" s="25" t="n">
        <f aca="false">C3351/K3351-1</f>
        <v>-0.0199599839537442</v>
      </c>
      <c r="M3351" s="25" t="n">
        <f aca="false">IF(COUNT(G3322:G3351)&lt;20,"",_xlfn.STDEV.S(G3322:G3351)*SQRT($R$3))</f>
        <v>0.577377290280342</v>
      </c>
      <c r="N3351" s="25" t="n">
        <f aca="false">IF(A3351-7&lt;$R$2,"",C3351/INDEX(Clean_Data!$C$2:$C$4314,MATCH(A3351-7,Clean_Data!$A$2:$A$4314,1))-1)</f>
        <v>0.0926624420947506</v>
      </c>
      <c r="O3351" s="25" t="n">
        <f aca="false">IF(A3351-30&lt;$R$2,"",C3351/INDEX(Clean_Data!$C$2:$C$4314,MATCH(A3351-30,Clean_Data!$A$2:$A$4314,1))-1)</f>
        <v>0.552786194256796</v>
      </c>
    </row>
    <row r="3352" customFormat="false" ht="15" hidden="false" customHeight="false" outlineLevel="0" collapsed="false">
      <c r="A3352" s="16" t="n">
        <v>45359</v>
      </c>
      <c r="B3352" s="23" t="n">
        <f aca="false">YEAR(A3352)</f>
        <v>2024</v>
      </c>
      <c r="C3352" s="17" t="n">
        <v>68313.7</v>
      </c>
      <c r="D3352" s="23" t="n">
        <f aca="false">A3352-A3351</f>
        <v>1</v>
      </c>
      <c r="E3352" s="24" t="n">
        <f aca="false">LN(C3352)</f>
        <v>11.1318656110958</v>
      </c>
      <c r="F3352" s="25" t="n">
        <f aca="false">LN(C3352/C3351)</f>
        <v>0.0206903131800524</v>
      </c>
      <c r="G3352" s="25" t="n">
        <f aca="false">IF(AND(D3352=1,A3352&gt;=$R$2),F3352,"")</f>
        <v>0.0206903131800524</v>
      </c>
      <c r="H3352" s="27" t="n">
        <f aca="false">IF(G3352="","",G3352^2)</f>
        <v>0.000428089059488648</v>
      </c>
      <c r="I3352" s="25" t="n">
        <f aca="false">IF(G3352="","",C3352/C3351-1)</f>
        <v>0.0209058415934653</v>
      </c>
      <c r="J3352" s="17" t="n">
        <f aca="false">AVERAGE(C3153:C3352)</f>
        <v>38451.9847</v>
      </c>
      <c r="K3352" s="17" t="n">
        <f aca="false">MAX(K3351,C3352)</f>
        <v>68313.7</v>
      </c>
      <c r="L3352" s="25" t="n">
        <f aca="false">C3352/K3352-1</f>
        <v>0</v>
      </c>
      <c r="M3352" s="25" t="n">
        <f aca="false">IF(COUNT(G3323:G3352)&lt;20,"",_xlfn.STDEV.S(G3323:G3352)*SQRT($R$3))</f>
        <v>0.575271196453902</v>
      </c>
      <c r="N3352" s="25" t="n">
        <f aca="false">IF(A3352-7&lt;$R$2,"",C3352/INDEX(Clean_Data!$C$2:$C$4314,MATCH(A3352-7,Clean_Data!$A$2:$A$4314,1))-1)</f>
        <v>0.0935708846398831</v>
      </c>
      <c r="O3352" s="25" t="n">
        <f aca="false">IF(A3352-30&lt;$R$2,"",C3352/INDEX(Clean_Data!$C$2:$C$4314,MATCH(A3352-30,Clean_Data!$A$2:$A$4314,1))-1)</f>
        <v>0.53883460372481</v>
      </c>
    </row>
    <row r="3353" customFormat="false" ht="15" hidden="false" customHeight="false" outlineLevel="0" collapsed="false">
      <c r="A3353" s="16" t="n">
        <v>45360</v>
      </c>
      <c r="B3353" s="23" t="n">
        <f aca="false">YEAR(A3353)</f>
        <v>2024</v>
      </c>
      <c r="C3353" s="17" t="n">
        <v>68503.25</v>
      </c>
      <c r="D3353" s="23" t="n">
        <f aca="false">A3353-A3352</f>
        <v>1</v>
      </c>
      <c r="E3353" s="24" t="n">
        <f aca="false">LN(C3353)</f>
        <v>11.1346364683803</v>
      </c>
      <c r="F3353" s="25" t="n">
        <f aca="false">LN(C3353/C3352)</f>
        <v>0.00277085728449393</v>
      </c>
      <c r="G3353" s="25" t="n">
        <f aca="false">IF(AND(D3353=1,A3353&gt;=$R$2),F3353,"")</f>
        <v>0.00277085728449393</v>
      </c>
      <c r="H3353" s="27" t="n">
        <f aca="false">IF(G3353="","",G3353^2)</f>
        <v>7.67765009103305E-006</v>
      </c>
      <c r="I3353" s="25" t="n">
        <f aca="false">IF(G3353="","",C3353/C3352-1)</f>
        <v>0.00277469965760901</v>
      </c>
      <c r="J3353" s="17" t="n">
        <f aca="false">AVERAGE(C3154:C3353)</f>
        <v>38664.30885</v>
      </c>
      <c r="K3353" s="17" t="n">
        <f aca="false">MAX(K3352,C3353)</f>
        <v>68503.25</v>
      </c>
      <c r="L3353" s="25" t="n">
        <f aca="false">C3353/K3353-1</f>
        <v>0</v>
      </c>
      <c r="M3353" s="25" t="n">
        <f aca="false">IF(COUNT(G3324:G3353)&lt;20,"",_xlfn.STDEV.S(G3324:G3353)*SQRT($R$3))</f>
        <v>0.576101897857887</v>
      </c>
      <c r="N3353" s="25" t="n">
        <f aca="false">IF(A3353-7&lt;$R$2,"",C3353/INDEX(Clean_Data!$C$2:$C$4314,MATCH(A3353-7,Clean_Data!$A$2:$A$4314,1))-1)</f>
        <v>0.104426913461858</v>
      </c>
      <c r="O3353" s="25" t="n">
        <f aca="false">IF(A3353-30&lt;$R$2,"",C3353/INDEX(Clean_Data!$C$2:$C$4314,MATCH(A3353-30,Clean_Data!$A$2:$A$4314,1))-1)</f>
        <v>0.510685664383471</v>
      </c>
    </row>
    <row r="3354" customFormat="false" ht="15" hidden="false" customHeight="false" outlineLevel="0" collapsed="false">
      <c r="A3354" s="16" t="n">
        <v>45361</v>
      </c>
      <c r="B3354" s="23" t="n">
        <f aca="false">YEAR(A3354)</f>
        <v>2024</v>
      </c>
      <c r="C3354" s="17" t="n">
        <v>68997.88</v>
      </c>
      <c r="D3354" s="23" t="n">
        <f aca="false">A3354-A3353</f>
        <v>1</v>
      </c>
      <c r="E3354" s="24" t="n">
        <f aca="false">LN(C3354)</f>
        <v>11.1418310584697</v>
      </c>
      <c r="F3354" s="25" t="n">
        <f aca="false">LN(C3354/C3353)</f>
        <v>0.00719459008940348</v>
      </c>
      <c r="G3354" s="25" t="n">
        <f aca="false">IF(AND(D3354=1,A3354&gt;=$R$2),F3354,"")</f>
        <v>0.00719459008940348</v>
      </c>
      <c r="H3354" s="27" t="n">
        <f aca="false">IF(G3354="","",G3354^2)</f>
        <v>5.17621265545428E-005</v>
      </c>
      <c r="I3354" s="25" t="n">
        <f aca="false">IF(G3354="","",C3354/C3353-1)</f>
        <v>0.00722053333236028</v>
      </c>
      <c r="J3354" s="17" t="n">
        <f aca="false">AVERAGE(C3155:C3354)</f>
        <v>38877.15055</v>
      </c>
      <c r="K3354" s="17" t="n">
        <f aca="false">MAX(K3353,C3354)</f>
        <v>68997.88</v>
      </c>
      <c r="L3354" s="25" t="n">
        <f aca="false">C3354/K3354-1</f>
        <v>0</v>
      </c>
      <c r="M3354" s="25" t="n">
        <f aca="false">IF(COUNT(G3325:G3354)&lt;20,"",_xlfn.STDEV.S(G3325:G3354)*SQRT($R$3))</f>
        <v>0.569134009674227</v>
      </c>
      <c r="N3354" s="25" t="n">
        <f aca="false">IF(A3354-7&lt;$R$2,"",C3354/INDEX(Clean_Data!$C$2:$C$4314,MATCH(A3354-7,Clean_Data!$A$2:$A$4314,1))-1)</f>
        <v>0.0915795340584071</v>
      </c>
      <c r="O3354" s="25" t="n">
        <f aca="false">IF(A3354-30&lt;$R$2,"",C3354/INDEX(Clean_Data!$C$2:$C$4314,MATCH(A3354-30,Clean_Data!$A$2:$A$4314,1))-1)</f>
        <v>0.463231571993736</v>
      </c>
    </row>
    <row r="3355" customFormat="false" ht="15" hidden="false" customHeight="false" outlineLevel="0" collapsed="false">
      <c r="A3355" s="16" t="n">
        <v>45362</v>
      </c>
      <c r="B3355" s="23" t="n">
        <f aca="false">YEAR(A3355)</f>
        <v>2024</v>
      </c>
      <c r="C3355" s="17" t="n">
        <v>72202.19</v>
      </c>
      <c r="D3355" s="23" t="n">
        <f aca="false">A3355-A3354</f>
        <v>1</v>
      </c>
      <c r="E3355" s="24" t="n">
        <f aca="false">LN(C3355)</f>
        <v>11.1872256568309</v>
      </c>
      <c r="F3355" s="25" t="n">
        <f aca="false">LN(C3355/C3354)</f>
        <v>0.0453945983611677</v>
      </c>
      <c r="G3355" s="25" t="n">
        <f aca="false">IF(AND(D3355=1,A3355&gt;=$R$2),F3355,"")</f>
        <v>0.0453945983611677</v>
      </c>
      <c r="H3355" s="27" t="n">
        <f aca="false">IF(G3355="","",G3355^2)</f>
        <v>0.00206066956037173</v>
      </c>
      <c r="I3355" s="25" t="n">
        <f aca="false">IF(G3355="","",C3355/C3354-1)</f>
        <v>0.0464407022360687</v>
      </c>
      <c r="J3355" s="17" t="n">
        <f aca="false">AVERAGE(C3156:C3355)</f>
        <v>39107.3209</v>
      </c>
      <c r="K3355" s="17" t="n">
        <f aca="false">MAX(K3354,C3355)</f>
        <v>72202.19</v>
      </c>
      <c r="L3355" s="25" t="n">
        <f aca="false">C3355/K3355-1</f>
        <v>0</v>
      </c>
      <c r="M3355" s="25" t="n">
        <f aca="false">IF(COUNT(G3326:G3355)&lt;20,"",_xlfn.STDEV.S(G3326:G3355)*SQRT($R$3))</f>
        <v>0.580467335414174</v>
      </c>
      <c r="N3355" s="25" t="n">
        <f aca="false">IF(A3355-7&lt;$R$2,"",C3355/INDEX(Clean_Data!$C$2:$C$4314,MATCH(A3355-7,Clean_Data!$A$2:$A$4314,1))-1)</f>
        <v>0.0574797506825444</v>
      </c>
      <c r="O3355" s="25" t="n">
        <f aca="false">IF(A3355-30&lt;$R$2,"",C3355/INDEX(Clean_Data!$C$2:$C$4314,MATCH(A3355-30,Clean_Data!$A$2:$A$4314,1))-1)</f>
        <v>0.510556945537287</v>
      </c>
    </row>
    <row r="3356" customFormat="false" ht="15" hidden="false" customHeight="false" outlineLevel="0" collapsed="false">
      <c r="A3356" s="16" t="n">
        <v>45363</v>
      </c>
      <c r="B3356" s="23" t="n">
        <f aca="false">YEAR(A3356)</f>
        <v>2024</v>
      </c>
      <c r="C3356" s="17" t="n">
        <v>71471.62</v>
      </c>
      <c r="D3356" s="23" t="n">
        <f aca="false">A3356-A3355</f>
        <v>1</v>
      </c>
      <c r="E3356" s="24" t="n">
        <f aca="false">LN(C3356)</f>
        <v>11.1770557268104</v>
      </c>
      <c r="F3356" s="25" t="n">
        <f aca="false">LN(C3356/C3355)</f>
        <v>-0.0101699300205113</v>
      </c>
      <c r="G3356" s="25" t="n">
        <f aca="false">IF(AND(D3356=1,A3356&gt;=$R$2),F3356,"")</f>
        <v>-0.0101699300205113</v>
      </c>
      <c r="H3356" s="27" t="n">
        <f aca="false">IF(G3356="","",G3356^2)</f>
        <v>0.000103427476622097</v>
      </c>
      <c r="I3356" s="25" t="n">
        <f aca="false">IF(G3356="","",C3356/C3355-1)</f>
        <v>-0.0101183911457534</v>
      </c>
      <c r="J3356" s="17" t="n">
        <f aca="false">AVERAGE(C3157:C3356)</f>
        <v>39334.4071</v>
      </c>
      <c r="K3356" s="17" t="n">
        <f aca="false">MAX(K3355,C3356)</f>
        <v>72202.19</v>
      </c>
      <c r="L3356" s="25" t="n">
        <f aca="false">C3356/K3356-1</f>
        <v>-0.0101183911457534</v>
      </c>
      <c r="M3356" s="25" t="n">
        <f aca="false">IF(COUNT(G3327:G3356)&lt;20,"",_xlfn.STDEV.S(G3327:G3356)*SQRT($R$3))</f>
        <v>0.586381385836046</v>
      </c>
      <c r="N3356" s="25" t="n">
        <f aca="false">IF(A3356-7&lt;$R$2,"",C3356/INDEX(Clean_Data!$C$2:$C$4314,MATCH(A3356-7,Clean_Data!$A$2:$A$4314,1))-1)</f>
        <v>0.118601815421268</v>
      </c>
      <c r="O3356" s="25" t="n">
        <f aca="false">IF(A3356-30&lt;$R$2,"",C3356/INDEX(Clean_Data!$C$2:$C$4314,MATCH(A3356-30,Clean_Data!$A$2:$A$4314,1))-1)</f>
        <v>0.479367564519828</v>
      </c>
    </row>
    <row r="3357" customFormat="false" ht="15" hidden="false" customHeight="false" outlineLevel="0" collapsed="false">
      <c r="A3357" s="16" t="n">
        <v>45364</v>
      </c>
      <c r="B3357" s="23" t="n">
        <f aca="false">YEAR(A3357)</f>
        <v>2024</v>
      </c>
      <c r="C3357" s="17" t="n">
        <v>73098.48</v>
      </c>
      <c r="D3357" s="23" t="n">
        <f aca="false">A3357-A3356</f>
        <v>1</v>
      </c>
      <c r="E3357" s="24" t="n">
        <f aca="false">LN(C3357)</f>
        <v>11.199562852088</v>
      </c>
      <c r="F3357" s="25" t="n">
        <f aca="false">LN(C3357/C3356)</f>
        <v>0.0225071252776706</v>
      </c>
      <c r="G3357" s="25" t="n">
        <f aca="false">IF(AND(D3357=1,A3357&gt;=$R$2),F3357,"")</f>
        <v>0.0225071252776706</v>
      </c>
      <c r="H3357" s="27" t="n">
        <f aca="false">IF(G3357="","",G3357^2)</f>
        <v>0.000506570688264758</v>
      </c>
      <c r="I3357" s="25" t="n">
        <f aca="false">IF(G3357="","",C3357/C3356-1)</f>
        <v>0.0227623216040158</v>
      </c>
      <c r="J3357" s="17" t="n">
        <f aca="false">AVERAGE(C3158:C3357)</f>
        <v>39569.87875</v>
      </c>
      <c r="K3357" s="17" t="n">
        <f aca="false">MAX(K3356,C3357)</f>
        <v>73098.48</v>
      </c>
      <c r="L3357" s="25" t="n">
        <f aca="false">C3357/K3357-1</f>
        <v>0</v>
      </c>
      <c r="M3357" s="25" t="n">
        <f aca="false">IF(COUNT(G3328:G3357)&lt;20,"",_xlfn.STDEV.S(G3328:G3357)*SQRT($R$3))</f>
        <v>0.582774153322564</v>
      </c>
      <c r="N3357" s="25" t="n">
        <f aca="false">IF(A3357-7&lt;$R$2,"",C3357/INDEX(Clean_Data!$C$2:$C$4314,MATCH(A3357-7,Clean_Data!$A$2:$A$4314,1))-1)</f>
        <v>0.105999133641214</v>
      </c>
      <c r="O3357" s="25" t="n">
        <f aca="false">IF(A3357-30&lt;$R$2,"",C3357/INDEX(Clean_Data!$C$2:$C$4314,MATCH(A3357-30,Clean_Data!$A$2:$A$4314,1))-1)</f>
        <v>0.463110826444627</v>
      </c>
    </row>
    <row r="3358" customFormat="false" ht="15" hidden="false" customHeight="false" outlineLevel="0" collapsed="false">
      <c r="A3358" s="16" t="n">
        <v>45365</v>
      </c>
      <c r="B3358" s="23" t="n">
        <f aca="false">YEAR(A3358)</f>
        <v>2024</v>
      </c>
      <c r="C3358" s="17" t="n">
        <v>71456.55</v>
      </c>
      <c r="D3358" s="23" t="n">
        <f aca="false">A3358-A3357</f>
        <v>1</v>
      </c>
      <c r="E3358" s="24" t="n">
        <f aca="false">LN(C3358)</f>
        <v>11.1768448516546</v>
      </c>
      <c r="F3358" s="25" t="n">
        <f aca="false">LN(C3358/C3357)</f>
        <v>-0.0227180004334335</v>
      </c>
      <c r="G3358" s="25" t="n">
        <f aca="false">IF(AND(D3358=1,A3358&gt;=$R$2),F3358,"")</f>
        <v>-0.0227180004334335</v>
      </c>
      <c r="H3358" s="27" t="n">
        <f aca="false">IF(G3358="","",G3358^2)</f>
        <v>0.000516107543693487</v>
      </c>
      <c r="I3358" s="25" t="n">
        <f aca="false">IF(G3358="","",C3358/C3357-1)</f>
        <v>-0.0224618897684329</v>
      </c>
      <c r="J3358" s="17" t="n">
        <f aca="false">AVERAGE(C3159:C3358)</f>
        <v>39796.7151</v>
      </c>
      <c r="K3358" s="17" t="n">
        <f aca="false">MAX(K3357,C3358)</f>
        <v>73098.48</v>
      </c>
      <c r="L3358" s="25" t="n">
        <f aca="false">C3358/K3358-1</f>
        <v>-0.0224618897684329</v>
      </c>
      <c r="M3358" s="25" t="n">
        <f aca="false">IF(COUNT(G3329:G3358)&lt;20,"",_xlfn.STDEV.S(G3329:G3358)*SQRT($R$3))</f>
        <v>0.59258301012051</v>
      </c>
      <c r="N3358" s="25" t="n">
        <f aca="false">IF(A3358-7&lt;$R$2,"",C3358/INDEX(Clean_Data!$C$2:$C$4314,MATCH(A3358-7,Clean_Data!$A$2:$A$4314,1))-1)</f>
        <v>0.067873783957179</v>
      </c>
      <c r="O3358" s="25" t="n">
        <f aca="false">IF(A3358-30&lt;$R$2,"",C3358/INDEX(Clean_Data!$C$2:$C$4314,MATCH(A3358-30,Clean_Data!$A$2:$A$4314,1))-1)</f>
        <v>0.438004349639888</v>
      </c>
    </row>
    <row r="3359" customFormat="false" ht="15" hidden="false" customHeight="false" outlineLevel="0" collapsed="false">
      <c r="A3359" s="16" t="n">
        <v>45366</v>
      </c>
      <c r="B3359" s="23" t="n">
        <f aca="false">YEAR(A3359)</f>
        <v>2024</v>
      </c>
      <c r="C3359" s="17" t="n">
        <v>69492.42</v>
      </c>
      <c r="D3359" s="23" t="n">
        <f aca="false">A3359-A3358</f>
        <v>1</v>
      </c>
      <c r="E3359" s="24" t="n">
        <f aca="false">LN(C3359)</f>
        <v>11.1489729608567</v>
      </c>
      <c r="F3359" s="25" t="n">
        <f aca="false">LN(C3359/C3358)</f>
        <v>-0.0278718907979075</v>
      </c>
      <c r="G3359" s="25" t="n">
        <f aca="false">IF(AND(D3359=1,A3359&gt;=$R$2),F3359,"")</f>
        <v>-0.0278718907979075</v>
      </c>
      <c r="H3359" s="27" t="n">
        <f aca="false">IF(G3359="","",G3359^2)</f>
        <v>0.000776842296650478</v>
      </c>
      <c r="I3359" s="25" t="n">
        <f aca="false">IF(G3359="","",C3359/C3358-1)</f>
        <v>-0.0274870533212142</v>
      </c>
      <c r="J3359" s="17" t="n">
        <f aca="false">AVERAGE(C3160:C3359)</f>
        <v>40013.66465</v>
      </c>
      <c r="K3359" s="17" t="n">
        <f aca="false">MAX(K3358,C3359)</f>
        <v>73098.48</v>
      </c>
      <c r="L3359" s="25" t="n">
        <f aca="false">C3359/K3359-1</f>
        <v>-0.0493315319278869</v>
      </c>
      <c r="M3359" s="25" t="n">
        <f aca="false">IF(COUNT(G3330:G3359)&lt;20,"",_xlfn.STDEV.S(G3330:G3359)*SQRT($R$3))</f>
        <v>0.598175566440948</v>
      </c>
      <c r="N3359" s="25" t="n">
        <f aca="false">IF(A3359-7&lt;$R$2,"",C3359/INDEX(Clean_Data!$C$2:$C$4314,MATCH(A3359-7,Clean_Data!$A$2:$A$4314,1))-1)</f>
        <v>0.0172545184933623</v>
      </c>
      <c r="O3359" s="25" t="n">
        <f aca="false">IF(A3359-30&lt;$R$2,"",C3359/INDEX(Clean_Data!$C$2:$C$4314,MATCH(A3359-30,Clean_Data!$A$2:$A$4314,1))-1)</f>
        <v>0.340686498643926</v>
      </c>
    </row>
    <row r="3360" customFormat="false" ht="15" hidden="false" customHeight="false" outlineLevel="0" collapsed="false">
      <c r="A3360" s="16" t="n">
        <v>45367</v>
      </c>
      <c r="B3360" s="23" t="n">
        <f aca="false">YEAR(A3360)</f>
        <v>2024</v>
      </c>
      <c r="C3360" s="17" t="n">
        <v>65521.12</v>
      </c>
      <c r="D3360" s="23" t="n">
        <f aca="false">A3360-A3359</f>
        <v>1</v>
      </c>
      <c r="E3360" s="24" t="n">
        <f aca="false">LN(C3360)</f>
        <v>11.0901278123979</v>
      </c>
      <c r="F3360" s="25" t="n">
        <f aca="false">LN(C3360/C3359)</f>
        <v>-0.0588451484587459</v>
      </c>
      <c r="G3360" s="25" t="n">
        <f aca="false">IF(AND(D3360=1,A3360&gt;=$R$2),F3360,"")</f>
        <v>-0.0588451484587459</v>
      </c>
      <c r="H3360" s="27" t="n">
        <f aca="false">IF(G3360="","",G3360^2)</f>
        <v>0.00346275149713184</v>
      </c>
      <c r="I3360" s="25" t="n">
        <f aca="false">IF(G3360="","",C3360/C3359-1)</f>
        <v>-0.0571472399435794</v>
      </c>
      <c r="J3360" s="17" t="n">
        <f aca="false">AVERAGE(C3161:C3360)</f>
        <v>40202.70185</v>
      </c>
      <c r="K3360" s="17" t="n">
        <f aca="false">MAX(K3359,C3360)</f>
        <v>73098.48</v>
      </c>
      <c r="L3360" s="25" t="n">
        <f aca="false">C3360/K3360-1</f>
        <v>-0.103659610979599</v>
      </c>
      <c r="M3360" s="25" t="n">
        <f aca="false">IF(COUNT(G3331:G3360)&lt;20,"",_xlfn.STDEV.S(G3331:G3360)*SQRT($R$3))</f>
        <v>0.644016806972083</v>
      </c>
      <c r="N3360" s="25" t="n">
        <f aca="false">IF(A3360-7&lt;$R$2,"",C3360/INDEX(Clean_Data!$C$2:$C$4314,MATCH(A3360-7,Clean_Data!$A$2:$A$4314,1))-1)</f>
        <v>-0.0435326791064657</v>
      </c>
      <c r="O3360" s="25" t="n">
        <f aca="false">IF(A3360-30&lt;$R$2,"",C3360/INDEX(Clean_Data!$C$2:$C$4314,MATCH(A3360-30,Clean_Data!$A$2:$A$4314,1))-1)</f>
        <v>0.26157764596562</v>
      </c>
    </row>
    <row r="3361" customFormat="false" ht="15" hidden="false" customHeight="false" outlineLevel="0" collapsed="false">
      <c r="A3361" s="16" t="n">
        <v>45368</v>
      </c>
      <c r="B3361" s="23" t="n">
        <f aca="false">YEAR(A3361)</f>
        <v>2024</v>
      </c>
      <c r="C3361" s="17" t="n">
        <v>68360.1</v>
      </c>
      <c r="D3361" s="23" t="n">
        <f aca="false">A3361-A3360</f>
        <v>1</v>
      </c>
      <c r="E3361" s="24" t="n">
        <f aca="false">LN(C3361)</f>
        <v>11.1325446000722</v>
      </c>
      <c r="F3361" s="25" t="n">
        <f aca="false">LN(C3361/C3360)</f>
        <v>0.0424167876742817</v>
      </c>
      <c r="G3361" s="25" t="n">
        <f aca="false">IF(AND(D3361=1,A3361&gt;=$R$2),F3361,"")</f>
        <v>0.0424167876742817</v>
      </c>
      <c r="H3361" s="27" t="n">
        <f aca="false">IF(G3361="","",G3361^2)</f>
        <v>0.00179918387660509</v>
      </c>
      <c r="I3361" s="25" t="n">
        <f aca="false">IF(G3361="","",C3361/C3360-1)</f>
        <v>0.0433292349092935</v>
      </c>
      <c r="J3361" s="17" t="n">
        <f aca="false">AVERAGE(C3162:C3361)</f>
        <v>40408.0168</v>
      </c>
      <c r="K3361" s="17" t="n">
        <f aca="false">MAX(K3360,C3361)</f>
        <v>73098.48</v>
      </c>
      <c r="L3361" s="25" t="n">
        <f aca="false">C3361/K3361-1</f>
        <v>-0.0648218677050465</v>
      </c>
      <c r="M3361" s="25" t="n">
        <f aca="false">IF(COUNT(G3332:G3361)&lt;20,"",_xlfn.STDEV.S(G3332:G3361)*SQRT($R$3))</f>
        <v>0.655114665860791</v>
      </c>
      <c r="N3361" s="25" t="n">
        <f aca="false">IF(A3361-7&lt;$R$2,"",C3361/INDEX(Clean_Data!$C$2:$C$4314,MATCH(A3361-7,Clean_Data!$A$2:$A$4314,1))-1)</f>
        <v>-0.00924347240813772</v>
      </c>
      <c r="O3361" s="25" t="n">
        <f aca="false">IF(A3361-30&lt;$R$2,"",C3361/INDEX(Clean_Data!$C$2:$C$4314,MATCH(A3361-30,Clean_Data!$A$2:$A$4314,1))-1)</f>
        <v>0.310054287834374</v>
      </c>
    </row>
    <row r="3362" customFormat="false" ht="15" hidden="false" customHeight="false" outlineLevel="0" collapsed="false">
      <c r="A3362" s="16" t="n">
        <v>45369</v>
      </c>
      <c r="B3362" s="23" t="n">
        <f aca="false">YEAR(A3362)</f>
        <v>2024</v>
      </c>
      <c r="C3362" s="17" t="n">
        <v>67566.95</v>
      </c>
      <c r="D3362" s="23" t="n">
        <f aca="false">A3362-A3361</f>
        <v>1</v>
      </c>
      <c r="E3362" s="24" t="n">
        <f aca="false">LN(C3362)</f>
        <v>11.1208742371524</v>
      </c>
      <c r="F3362" s="25" t="n">
        <f aca="false">LN(C3362/C3361)</f>
        <v>-0.011670362919791</v>
      </c>
      <c r="G3362" s="25" t="n">
        <f aca="false">IF(AND(D3362=1,A3362&gt;=$R$2),F3362,"")</f>
        <v>-0.011670362919791</v>
      </c>
      <c r="H3362" s="27" t="n">
        <f aca="false">IF(G3362="","",G3362^2)</f>
        <v>0.000136197370679632</v>
      </c>
      <c r="I3362" s="25" t="n">
        <f aca="false">IF(G3362="","",C3362/C3361-1)</f>
        <v>-0.0116025283754706</v>
      </c>
      <c r="J3362" s="17" t="n">
        <f aca="false">AVERAGE(C3163:C3362)</f>
        <v>40616.239</v>
      </c>
      <c r="K3362" s="17" t="n">
        <f aca="false">MAX(K3361,C3362)</f>
        <v>73098.48</v>
      </c>
      <c r="L3362" s="25" t="n">
        <f aca="false">C3362/K3362-1</f>
        <v>-0.0756722985211183</v>
      </c>
      <c r="M3362" s="25" t="n">
        <f aca="false">IF(COUNT(G3333:G3362)&lt;20,"",_xlfn.STDEV.S(G3333:G3362)*SQRT($R$3))</f>
        <v>0.655860276812957</v>
      </c>
      <c r="N3362" s="25" t="n">
        <f aca="false">IF(A3362-7&lt;$R$2,"",C3362/INDEX(Clean_Data!$C$2:$C$4314,MATCH(A3362-7,Clean_Data!$A$2:$A$4314,1))-1)</f>
        <v>-0.0641980527183456</v>
      </c>
      <c r="O3362" s="25" t="n">
        <f aca="false">IF(A3362-30&lt;$R$2,"",C3362/INDEX(Clean_Data!$C$2:$C$4314,MATCH(A3362-30,Clean_Data!$A$2:$A$4314,1))-1)</f>
        <v>0.307468211627066</v>
      </c>
    </row>
    <row r="3363" customFormat="false" ht="15" hidden="false" customHeight="false" outlineLevel="0" collapsed="false">
      <c r="A3363" s="16" t="n">
        <v>45370</v>
      </c>
      <c r="B3363" s="23" t="n">
        <f aca="false">YEAR(A3363)</f>
        <v>2024</v>
      </c>
      <c r="C3363" s="17" t="n">
        <v>61977.96</v>
      </c>
      <c r="D3363" s="23" t="n">
        <f aca="false">A3363-A3362</f>
        <v>1</v>
      </c>
      <c r="E3363" s="24" t="n">
        <f aca="false">LN(C3363)</f>
        <v>11.0345341169569</v>
      </c>
      <c r="F3363" s="25" t="n">
        <f aca="false">LN(C3363/C3362)</f>
        <v>-0.086340120195543</v>
      </c>
      <c r="G3363" s="25" t="n">
        <f aca="false">IF(AND(D3363=1,A3363&gt;=$R$2),F3363,"")</f>
        <v>-0.086340120195543</v>
      </c>
      <c r="H3363" s="27" t="n">
        <f aca="false">IF(G3363="","",G3363^2)</f>
        <v>0.00745461635538082</v>
      </c>
      <c r="I3363" s="25" t="n">
        <f aca="false">IF(G3363="","",C3363/C3362-1)</f>
        <v>-0.0827178080407655</v>
      </c>
      <c r="J3363" s="17" t="n">
        <f aca="false">AVERAGE(C3164:C3363)</f>
        <v>40797.1187</v>
      </c>
      <c r="K3363" s="17" t="n">
        <f aca="false">MAX(K3362,C3363)</f>
        <v>73098.48</v>
      </c>
      <c r="L3363" s="25" t="n">
        <f aca="false">C3363/K3363-1</f>
        <v>-0.15213065989881</v>
      </c>
      <c r="M3363" s="25" t="n">
        <f aca="false">IF(COUNT(G3334:G3363)&lt;20,"",_xlfn.STDEV.S(G3334:G3363)*SQRT($R$3))</f>
        <v>0.735231947414272</v>
      </c>
      <c r="N3363" s="25" t="n">
        <f aca="false">IF(A3363-7&lt;$R$2,"",C3363/INDEX(Clean_Data!$C$2:$C$4314,MATCH(A3363-7,Clean_Data!$A$2:$A$4314,1))-1)</f>
        <v>-0.132831185301243</v>
      </c>
      <c r="O3363" s="25" t="n">
        <f aca="false">IF(A3363-30&lt;$R$2,"",C3363/INDEX(Clean_Data!$C$2:$C$4314,MATCH(A3363-30,Clean_Data!$A$2:$A$4314,1))-1)</f>
        <v>0.188211814642058</v>
      </c>
    </row>
    <row r="3364" customFormat="false" ht="15" hidden="false" customHeight="false" outlineLevel="0" collapsed="false">
      <c r="A3364" s="16" t="n">
        <v>45371</v>
      </c>
      <c r="B3364" s="23" t="n">
        <f aca="false">YEAR(A3364)</f>
        <v>2024</v>
      </c>
      <c r="C3364" s="17" t="n">
        <v>67862.33</v>
      </c>
      <c r="D3364" s="23" t="n">
        <f aca="false">A3364-A3363</f>
        <v>1</v>
      </c>
      <c r="E3364" s="24" t="n">
        <f aca="false">LN(C3364)</f>
        <v>11.1252363731452</v>
      </c>
      <c r="F3364" s="25" t="n">
        <f aca="false">LN(C3364/C3363)</f>
        <v>0.0907022561882877</v>
      </c>
      <c r="G3364" s="25" t="n">
        <f aca="false">IF(AND(D3364=1,A3364&gt;=$R$2),F3364,"")</f>
        <v>0.0907022561882877</v>
      </c>
      <c r="H3364" s="27" t="n">
        <f aca="false">IF(G3364="","",G3364^2)</f>
        <v>0.00822689927764577</v>
      </c>
      <c r="I3364" s="25" t="n">
        <f aca="false">IF(G3364="","",C3364/C3363-1)</f>
        <v>0.0949429442337244</v>
      </c>
      <c r="J3364" s="17" t="n">
        <f aca="false">AVERAGE(C3165:C3364)</f>
        <v>41007.0732</v>
      </c>
      <c r="K3364" s="17" t="n">
        <f aca="false">MAX(K3363,C3364)</f>
        <v>73098.48</v>
      </c>
      <c r="L3364" s="25" t="n">
        <f aca="false">C3364/K3364-1</f>
        <v>-0.0716314484240985</v>
      </c>
      <c r="M3364" s="25" t="n">
        <f aca="false">IF(COUNT(G3335:G3364)&lt;20,"",_xlfn.STDEV.S(G3335:G3364)*SQRT($R$3))</f>
        <v>0.790638756676167</v>
      </c>
      <c r="N3364" s="25" t="n">
        <f aca="false">IF(A3364-7&lt;$R$2,"",C3364/INDEX(Clean_Data!$C$2:$C$4314,MATCH(A3364-7,Clean_Data!$A$2:$A$4314,1))-1)</f>
        <v>-0.0716314484240985</v>
      </c>
      <c r="O3364" s="25" t="n">
        <f aca="false">IF(A3364-30&lt;$R$2,"",C3364/INDEX(Clean_Data!$C$2:$C$4314,MATCH(A3364-30,Clean_Data!$A$2:$A$4314,1))-1)</f>
        <v>0.31093848459478</v>
      </c>
    </row>
    <row r="3365" customFormat="false" ht="15" hidden="false" customHeight="false" outlineLevel="0" collapsed="false">
      <c r="A3365" s="16" t="n">
        <v>45372</v>
      </c>
      <c r="B3365" s="23" t="n">
        <f aca="false">YEAR(A3365)</f>
        <v>2024</v>
      </c>
      <c r="C3365" s="17" t="n">
        <v>65505.11</v>
      </c>
      <c r="D3365" s="23" t="n">
        <f aca="false">A3365-A3364</f>
        <v>1</v>
      </c>
      <c r="E3365" s="24" t="n">
        <f aca="false">LN(C3365)</f>
        <v>11.0898834338475</v>
      </c>
      <c r="F3365" s="25" t="n">
        <f aca="false">LN(C3365/C3364)</f>
        <v>-0.0353529392976931</v>
      </c>
      <c r="G3365" s="25" t="n">
        <f aca="false">IF(AND(D3365=1,A3365&gt;=$R$2),F3365,"")</f>
        <v>-0.0353529392976931</v>
      </c>
      <c r="H3365" s="27" t="n">
        <f aca="false">IF(G3365="","",G3365^2)</f>
        <v>0.00124983031698637</v>
      </c>
      <c r="I3365" s="25" t="n">
        <f aca="false">IF(G3365="","",C3365/C3364-1)</f>
        <v>-0.0347353237060973</v>
      </c>
      <c r="J3365" s="17" t="n">
        <f aca="false">AVERAGE(C3166:C3365)</f>
        <v>41204.73555</v>
      </c>
      <c r="K3365" s="17" t="n">
        <f aca="false">MAX(K3364,C3365)</f>
        <v>73098.48</v>
      </c>
      <c r="L3365" s="25" t="n">
        <f aca="false">C3365/K3365-1</f>
        <v>-0.103878630581648</v>
      </c>
      <c r="M3365" s="25" t="n">
        <f aca="false">IF(COUNT(G3336:G3365)&lt;20,"",_xlfn.STDEV.S(G3336:G3365)*SQRT($R$3))</f>
        <v>0.805620420873182</v>
      </c>
      <c r="N3365" s="25" t="n">
        <f aca="false">IF(A3365-7&lt;$R$2,"",C3365/INDEX(Clean_Data!$C$2:$C$4314,MATCH(A3365-7,Clean_Data!$A$2:$A$4314,1))-1)</f>
        <v>-0.0832875362720422</v>
      </c>
      <c r="O3365" s="25" t="n">
        <f aca="false">IF(A3365-30&lt;$R$2,"",C3365/INDEX(Clean_Data!$C$2:$C$4314,MATCH(A3365-30,Clean_Data!$A$2:$A$4314,1))-1)</f>
        <v>0.252861944619024</v>
      </c>
    </row>
    <row r="3366" customFormat="false" ht="15" hidden="false" customHeight="false" outlineLevel="0" collapsed="false">
      <c r="A3366" s="16" t="n">
        <v>45373</v>
      </c>
      <c r="B3366" s="23" t="n">
        <f aca="false">YEAR(A3366)</f>
        <v>2024</v>
      </c>
      <c r="C3366" s="17" t="n">
        <v>63712.44</v>
      </c>
      <c r="D3366" s="23" t="n">
        <f aca="false">A3366-A3365</f>
        <v>1</v>
      </c>
      <c r="E3366" s="24" t="n">
        <f aca="false">LN(C3366)</f>
        <v>11.0621351129174</v>
      </c>
      <c r="F3366" s="25" t="n">
        <f aca="false">LN(C3366/C3365)</f>
        <v>-0.0277483209300621</v>
      </c>
      <c r="G3366" s="25" t="n">
        <f aca="false">IF(AND(D3366=1,A3366&gt;=$R$2),F3366,"")</f>
        <v>-0.0277483209300621</v>
      </c>
      <c r="H3366" s="27" t="n">
        <f aca="false">IF(G3366="","",G3366^2)</f>
        <v>0.000769969314437723</v>
      </c>
      <c r="I3366" s="25" t="n">
        <f aca="false">IF(G3366="","",C3366/C3365-1)</f>
        <v>-0.0273668725997102</v>
      </c>
      <c r="J3366" s="17" t="n">
        <f aca="false">AVERAGE(C3167:C3366)</f>
        <v>41394.2238</v>
      </c>
      <c r="K3366" s="17" t="n">
        <f aca="false">MAX(K3365,C3366)</f>
        <v>73098.48</v>
      </c>
      <c r="L3366" s="25" t="n">
        <f aca="false">C3366/K3366-1</f>
        <v>-0.128402669932398</v>
      </c>
      <c r="M3366" s="25" t="n">
        <f aca="false">IF(COUNT(G3337:G3366)&lt;20,"",_xlfn.STDEV.S(G3337:G3366)*SQRT($R$3))</f>
        <v>0.813161989612632</v>
      </c>
      <c r="N3366" s="25" t="n">
        <f aca="false">IF(A3366-7&lt;$R$2,"",C3366/INDEX(Clean_Data!$C$2:$C$4314,MATCH(A3366-7,Clean_Data!$A$2:$A$4314,1))-1)</f>
        <v>-0.0831742512348829</v>
      </c>
      <c r="O3366" s="25" t="n">
        <f aca="false">IF(A3366-30&lt;$R$2,"",C3366/INDEX(Clean_Data!$C$2:$C$4314,MATCH(A3366-30,Clean_Data!$A$2:$A$4314,1))-1)</f>
        <v>0.229163334715309</v>
      </c>
    </row>
    <row r="3367" customFormat="false" ht="15" hidden="false" customHeight="false" outlineLevel="0" collapsed="false">
      <c r="A3367" s="16" t="n">
        <v>45374</v>
      </c>
      <c r="B3367" s="23" t="n">
        <f aca="false">YEAR(A3367)</f>
        <v>2024</v>
      </c>
      <c r="C3367" s="17" t="n">
        <v>64032.45</v>
      </c>
      <c r="D3367" s="23" t="n">
        <f aca="false">A3367-A3366</f>
        <v>1</v>
      </c>
      <c r="E3367" s="24" t="n">
        <f aca="false">LN(C3367)</f>
        <v>11.0671452650949</v>
      </c>
      <c r="F3367" s="25" t="n">
        <f aca="false">LN(C3367/C3366)</f>
        <v>0.00501015217747333</v>
      </c>
      <c r="G3367" s="25" t="n">
        <f aca="false">IF(AND(D3367=1,A3367&gt;=$R$2),F3367,"")</f>
        <v>0.00501015217747333</v>
      </c>
      <c r="H3367" s="27" t="n">
        <f aca="false">IF(G3367="","",G3367^2)</f>
        <v>2.51016248414407E-005</v>
      </c>
      <c r="I3367" s="25" t="n">
        <f aca="false">IF(G3367="","",C3367/C3366-1)</f>
        <v>0.00502272397666759</v>
      </c>
      <c r="J3367" s="17" t="n">
        <f aca="false">AVERAGE(C3168:C3367)</f>
        <v>41585.4959</v>
      </c>
      <c r="K3367" s="17" t="n">
        <f aca="false">MAX(K3366,C3367)</f>
        <v>73098.48</v>
      </c>
      <c r="L3367" s="25" t="n">
        <f aca="false">C3367/K3367-1</f>
        <v>-0.124024877124668</v>
      </c>
      <c r="M3367" s="25" t="n">
        <f aca="false">IF(COUNT(G3338:G3367)&lt;20,"",_xlfn.STDEV.S(G3338:G3367)*SQRT($R$3))</f>
        <v>0.810620679841491</v>
      </c>
      <c r="N3367" s="25" t="n">
        <f aca="false">IF(A3367-7&lt;$R$2,"",C3367/INDEX(Clean_Data!$C$2:$C$4314,MATCH(A3367-7,Clean_Data!$A$2:$A$4314,1))-1)</f>
        <v>-0.0227204602119134</v>
      </c>
      <c r="O3367" s="25" t="n">
        <f aca="false">IF(A3367-30&lt;$R$2,"",C3367/INDEX(Clean_Data!$C$2:$C$4314,MATCH(A3367-30,Clean_Data!$A$2:$A$4314,1))-1)</f>
        <v>0.249108754136307</v>
      </c>
    </row>
    <row r="3368" customFormat="false" ht="15" hidden="false" customHeight="false" outlineLevel="0" collapsed="false">
      <c r="A3368" s="16" t="n">
        <v>45375</v>
      </c>
      <c r="B3368" s="23" t="n">
        <f aca="false">YEAR(A3368)</f>
        <v>2024</v>
      </c>
      <c r="C3368" s="17" t="n">
        <v>67297.56</v>
      </c>
      <c r="D3368" s="23" t="n">
        <f aca="false">A3368-A3367</f>
        <v>1</v>
      </c>
      <c r="E3368" s="24" t="n">
        <f aca="false">LN(C3368)</f>
        <v>11.1168792594035</v>
      </c>
      <c r="F3368" s="25" t="n">
        <f aca="false">LN(C3368/C3367)</f>
        <v>0.0497339943086071</v>
      </c>
      <c r="G3368" s="25" t="n">
        <f aca="false">IF(AND(D3368=1,A3368&gt;=$R$2),F3368,"")</f>
        <v>0.0497339943086071</v>
      </c>
      <c r="H3368" s="27" t="n">
        <f aca="false">IF(G3368="","",G3368^2)</f>
        <v>0.00247347018988857</v>
      </c>
      <c r="I3368" s="25" t="n">
        <f aca="false">IF(G3368="","",C3368/C3367-1)</f>
        <v>0.0509914894713539</v>
      </c>
      <c r="J3368" s="17" t="n">
        <f aca="false">AVERAGE(C3169:C3368)</f>
        <v>41793.2432</v>
      </c>
      <c r="K3368" s="17" t="n">
        <f aca="false">MAX(K3367,C3368)</f>
        <v>73098.48</v>
      </c>
      <c r="L3368" s="25" t="n">
        <f aca="false">C3368/K3368-1</f>
        <v>-0.0793576008694025</v>
      </c>
      <c r="M3368" s="25" t="n">
        <f aca="false">IF(COUNT(G3339:G3368)&lt;20,"",_xlfn.STDEV.S(G3339:G3368)*SQRT($R$3))</f>
        <v>0.821170681439591</v>
      </c>
      <c r="N3368" s="25" t="n">
        <f aca="false">IF(A3368-7&lt;$R$2,"",C3368/INDEX(Clean_Data!$C$2:$C$4314,MATCH(A3368-7,Clean_Data!$A$2:$A$4314,1))-1)</f>
        <v>-0.0155432774381549</v>
      </c>
      <c r="O3368" s="25" t="n">
        <f aca="false">IF(A3368-30&lt;$R$2,"",C3368/INDEX(Clean_Data!$C$2:$C$4314,MATCH(A3368-30,Clean_Data!$A$2:$A$4314,1))-1)</f>
        <v>0.326029202467962</v>
      </c>
    </row>
    <row r="3369" customFormat="false" ht="15" hidden="false" customHeight="false" outlineLevel="0" collapsed="false">
      <c r="A3369" s="16" t="n">
        <v>45376</v>
      </c>
      <c r="B3369" s="23" t="n">
        <f aca="false">YEAR(A3369)</f>
        <v>2024</v>
      </c>
      <c r="C3369" s="17" t="n">
        <v>69914.45</v>
      </c>
      <c r="D3369" s="23" t="n">
        <f aca="false">A3369-A3368</f>
        <v>1</v>
      </c>
      <c r="E3369" s="24" t="n">
        <f aca="false">LN(C3369)</f>
        <v>11.1550276307487</v>
      </c>
      <c r="F3369" s="25" t="n">
        <f aca="false">LN(C3369/C3368)</f>
        <v>0.0381483713452309</v>
      </c>
      <c r="G3369" s="25" t="n">
        <f aca="false">IF(AND(D3369=1,A3369&gt;=$R$2),F3369,"")</f>
        <v>0.0381483713452309</v>
      </c>
      <c r="H3369" s="27" t="n">
        <f aca="false">IF(G3369="","",G3369^2)</f>
        <v>0.00145529823629363</v>
      </c>
      <c r="I3369" s="25" t="n">
        <f aca="false">IF(G3369="","",C3369/C3368-1)</f>
        <v>0.0388853622627625</v>
      </c>
      <c r="J3369" s="17" t="n">
        <f aca="false">AVERAGE(C3170:C3369)</f>
        <v>42011.47865</v>
      </c>
      <c r="K3369" s="17" t="n">
        <f aca="false">MAX(K3368,C3369)</f>
        <v>73098.48</v>
      </c>
      <c r="L3369" s="25" t="n">
        <f aca="false">C3369/K3369-1</f>
        <v>-0.0435580876647503</v>
      </c>
      <c r="M3369" s="25" t="n">
        <f aca="false">IF(COUNT(G3340:G3369)&lt;20,"",_xlfn.STDEV.S(G3340:G3369)*SQRT($R$3))</f>
        <v>0.827050072094913</v>
      </c>
      <c r="N3369" s="25" t="n">
        <f aca="false">IF(A3369-7&lt;$R$2,"",C3369/INDEX(Clean_Data!$C$2:$C$4314,MATCH(A3369-7,Clean_Data!$A$2:$A$4314,1))-1)</f>
        <v>0.0347433175539225</v>
      </c>
      <c r="O3369" s="25" t="n">
        <f aca="false">IF(A3369-30&lt;$R$2,"",C3369/INDEX(Clean_Data!$C$2:$C$4314,MATCH(A3369-30,Clean_Data!$A$2:$A$4314,1))-1)</f>
        <v>0.35616173434888</v>
      </c>
    </row>
    <row r="3370" customFormat="false" ht="15" hidden="false" customHeight="false" outlineLevel="0" collapsed="false">
      <c r="A3370" s="16" t="n">
        <v>45377</v>
      </c>
      <c r="B3370" s="23" t="n">
        <f aca="false">YEAR(A3370)</f>
        <v>2024</v>
      </c>
      <c r="C3370" s="17" t="n">
        <v>69976.26</v>
      </c>
      <c r="D3370" s="23" t="n">
        <f aca="false">A3370-A3369</f>
        <v>1</v>
      </c>
      <c r="E3370" s="24" t="n">
        <f aca="false">LN(C3370)</f>
        <v>11.1559113206524</v>
      </c>
      <c r="F3370" s="25" t="n">
        <f aca="false">LN(C3370/C3369)</f>
        <v>0.000883689903672926</v>
      </c>
      <c r="G3370" s="25" t="n">
        <f aca="false">IF(AND(D3370=1,A3370&gt;=$R$2),F3370,"")</f>
        <v>0.000883689903672926</v>
      </c>
      <c r="H3370" s="27" t="n">
        <f aca="false">IF(G3370="","",G3370^2)</f>
        <v>7.80907845853466E-007</v>
      </c>
      <c r="I3370" s="25" t="n">
        <f aca="false">IF(G3370="","",C3370/C3369-1)</f>
        <v>0.000884080472634663</v>
      </c>
      <c r="J3370" s="17" t="n">
        <f aca="false">AVERAGE(C3171:C3370)</f>
        <v>42231.8282</v>
      </c>
      <c r="K3370" s="17" t="n">
        <f aca="false">MAX(K3369,C3370)</f>
        <v>73098.48</v>
      </c>
      <c r="L3370" s="25" t="n">
        <f aca="false">C3370/K3370-1</f>
        <v>-0.0427125160468453</v>
      </c>
      <c r="M3370" s="25" t="n">
        <f aca="false">IF(COUNT(G3341:G3370)&lt;20,"",_xlfn.STDEV.S(G3341:G3370)*SQRT($R$3))</f>
        <v>0.827357606111408</v>
      </c>
      <c r="N3370" s="25" t="n">
        <f aca="false">IF(A3370-7&lt;$R$2,"",C3370/INDEX(Clean_Data!$C$2:$C$4314,MATCH(A3370-7,Clean_Data!$A$2:$A$4314,1))-1)</f>
        <v>0.129050714157097</v>
      </c>
      <c r="O3370" s="25" t="n">
        <f aca="false">IF(A3370-30&lt;$R$2,"",C3370/INDEX(Clean_Data!$C$2:$C$4314,MATCH(A3370-30,Clean_Data!$A$2:$A$4314,1))-1)</f>
        <v>0.352722359097583</v>
      </c>
    </row>
    <row r="3371" customFormat="false" ht="15" hidden="false" customHeight="false" outlineLevel="0" collapsed="false">
      <c r="A3371" s="16" t="n">
        <v>45378</v>
      </c>
      <c r="B3371" s="23" t="n">
        <f aca="false">YEAR(A3371)</f>
        <v>2024</v>
      </c>
      <c r="C3371" s="17" t="n">
        <v>69372.26</v>
      </c>
      <c r="D3371" s="23" t="n">
        <f aca="false">A3371-A3370</f>
        <v>1</v>
      </c>
      <c r="E3371" s="24" t="n">
        <f aca="false">LN(C3371)</f>
        <v>11.1472423547733</v>
      </c>
      <c r="F3371" s="25" t="n">
        <f aca="false">LN(C3371/C3370)</f>
        <v>-0.00866896587913611</v>
      </c>
      <c r="G3371" s="25" t="n">
        <f aca="false">IF(AND(D3371=1,A3371&gt;=$R$2),F3371,"")</f>
        <v>-0.00866896587913611</v>
      </c>
      <c r="H3371" s="27" t="n">
        <f aca="false">IF(G3371="","",G3371^2)</f>
        <v>7.51509694136262E-005</v>
      </c>
      <c r="I3371" s="25" t="n">
        <f aca="false">IF(G3371="","",C3371/C3370-1)</f>
        <v>-0.00863149873971547</v>
      </c>
      <c r="J3371" s="17" t="n">
        <f aca="false">AVERAGE(C3172:C3371)</f>
        <v>42449.1971</v>
      </c>
      <c r="K3371" s="17" t="n">
        <f aca="false">MAX(K3370,C3371)</f>
        <v>73098.48</v>
      </c>
      <c r="L3371" s="25" t="n">
        <f aca="false">C3371/K3371-1</f>
        <v>-0.0509753417581323</v>
      </c>
      <c r="M3371" s="25" t="n">
        <f aca="false">IF(COUNT(G3342:G3371)&lt;20,"",_xlfn.STDEV.S(G3342:G3371)*SQRT($R$3))</f>
        <v>0.814782434465383</v>
      </c>
      <c r="N3371" s="25" t="n">
        <f aca="false">IF(A3371-7&lt;$R$2,"",C3371/INDEX(Clean_Data!$C$2:$C$4314,MATCH(A3371-7,Clean_Data!$A$2:$A$4314,1))-1)</f>
        <v>0.0222498991708653</v>
      </c>
      <c r="O3371" s="25" t="n">
        <f aca="false">IF(A3371-30&lt;$R$2,"",C3371/INDEX(Clean_Data!$C$2:$C$4314,MATCH(A3371-30,Clean_Data!$A$2:$A$4314,1))-1)</f>
        <v>0.271509008596198</v>
      </c>
    </row>
    <row r="3372" customFormat="false" ht="15" hidden="false" customHeight="false" outlineLevel="0" collapsed="false">
      <c r="A3372" s="16" t="n">
        <v>45379</v>
      </c>
      <c r="B3372" s="23" t="n">
        <f aca="false">YEAR(A3372)</f>
        <v>2024</v>
      </c>
      <c r="C3372" s="17" t="n">
        <v>70770.78</v>
      </c>
      <c r="D3372" s="23" t="n">
        <f aca="false">A3372-A3371</f>
        <v>1</v>
      </c>
      <c r="E3372" s="24" t="n">
        <f aca="false">LN(C3372)</f>
        <v>11.1672014826284</v>
      </c>
      <c r="F3372" s="25" t="n">
        <f aca="false">LN(C3372/C3371)</f>
        <v>0.0199591278551505</v>
      </c>
      <c r="G3372" s="25" t="n">
        <f aca="false">IF(AND(D3372=1,A3372&gt;=$R$2),F3372,"")</f>
        <v>0.0199591278551505</v>
      </c>
      <c r="H3372" s="27" t="n">
        <f aca="false">IF(G3372="","",G3372^2)</f>
        <v>0.000398366784738246</v>
      </c>
      <c r="I3372" s="25" t="n">
        <f aca="false">IF(G3372="","",C3372/C3371-1)</f>
        <v>0.0201596430619386</v>
      </c>
      <c r="J3372" s="17" t="n">
        <f aca="false">AVERAGE(C3173:C3372)</f>
        <v>42673.87435</v>
      </c>
      <c r="K3372" s="17" t="n">
        <f aca="false">MAX(K3371,C3372)</f>
        <v>73098.48</v>
      </c>
      <c r="L3372" s="25" t="n">
        <f aca="false">C3372/K3372-1</f>
        <v>-0.0318433433909979</v>
      </c>
      <c r="M3372" s="25" t="n">
        <f aca="false">IF(COUNT(G3343:G3372)&lt;20,"",_xlfn.STDEV.S(G3343:G3372)*SQRT($R$3))</f>
        <v>0.805158525243635</v>
      </c>
      <c r="N3372" s="25" t="n">
        <f aca="false">IF(A3372-7&lt;$R$2,"",C3372/INDEX(Clean_Data!$C$2:$C$4314,MATCH(A3372-7,Clean_Data!$A$2:$A$4314,1))-1)</f>
        <v>0.0803856370899918</v>
      </c>
      <c r="O3372" s="25" t="n">
        <f aca="false">IF(A3372-30&lt;$R$2,"",C3372/INDEX(Clean_Data!$C$2:$C$4314,MATCH(A3372-30,Clean_Data!$A$2:$A$4314,1))-1)</f>
        <v>0.240193823492766</v>
      </c>
    </row>
    <row r="3373" customFormat="false" ht="15" hidden="false" customHeight="false" outlineLevel="0" collapsed="false">
      <c r="A3373" s="16" t="n">
        <v>45380</v>
      </c>
      <c r="B3373" s="23" t="n">
        <f aca="false">YEAR(A3373)</f>
        <v>2024</v>
      </c>
      <c r="C3373" s="17" t="n">
        <v>69933.54</v>
      </c>
      <c r="D3373" s="23" t="n">
        <f aca="false">A3373-A3372</f>
        <v>1</v>
      </c>
      <c r="E3373" s="24" t="n">
        <f aca="false">LN(C3373)</f>
        <v>11.1553006414673</v>
      </c>
      <c r="F3373" s="25" t="n">
        <f aca="false">LN(C3373/C3372)</f>
        <v>-0.0119008411611413</v>
      </c>
      <c r="G3373" s="25" t="n">
        <f aca="false">IF(AND(D3373=1,A3373&gt;=$R$2),F3373,"")</f>
        <v>-0.0119008411611413</v>
      </c>
      <c r="H3373" s="27" t="n">
        <f aca="false">IF(G3373="","",G3373^2)</f>
        <v>0.000141630020342715</v>
      </c>
      <c r="I3373" s="25" t="n">
        <f aca="false">IF(G3373="","",C3373/C3372-1)</f>
        <v>-0.011830306236557</v>
      </c>
      <c r="J3373" s="17" t="n">
        <f aca="false">AVERAGE(C3174:C3373)</f>
        <v>42897.73365</v>
      </c>
      <c r="K3373" s="17" t="n">
        <f aca="false">MAX(K3372,C3373)</f>
        <v>73098.48</v>
      </c>
      <c r="L3373" s="25" t="n">
        <f aca="false">C3373/K3373-1</f>
        <v>-0.0432969331236437</v>
      </c>
      <c r="M3373" s="25" t="n">
        <f aca="false">IF(COUNT(G3344:G3373)&lt;20,"",_xlfn.STDEV.S(G3344:G3373)*SQRT($R$3))</f>
        <v>0.748819042069453</v>
      </c>
      <c r="N3373" s="25" t="n">
        <f aca="false">IF(A3373-7&lt;$R$2,"",C3373/INDEX(Clean_Data!$C$2:$C$4314,MATCH(A3373-7,Clean_Data!$A$2:$A$4314,1))-1)</f>
        <v>0.0976434115535363</v>
      </c>
      <c r="O3373" s="25" t="n">
        <f aca="false">IF(A3373-30&lt;$R$2,"",C3373/INDEX(Clean_Data!$C$2:$C$4314,MATCH(A3373-30,Clean_Data!$A$2:$A$4314,1))-1)</f>
        <v>0.119305742261568</v>
      </c>
    </row>
    <row r="3374" customFormat="false" ht="15" hidden="false" customHeight="false" outlineLevel="0" collapsed="false">
      <c r="A3374" s="16" t="n">
        <v>45381</v>
      </c>
      <c r="B3374" s="23" t="n">
        <f aca="false">YEAR(A3374)</f>
        <v>2024</v>
      </c>
      <c r="C3374" s="17" t="n">
        <v>69654.17</v>
      </c>
      <c r="D3374" s="23" t="n">
        <f aca="false">A3374-A3373</f>
        <v>1</v>
      </c>
      <c r="E3374" s="24" t="n">
        <f aca="false">LN(C3374)</f>
        <v>11.1512978481983</v>
      </c>
      <c r="F3374" s="25" t="n">
        <f aca="false">LN(C3374/C3373)</f>
        <v>-0.00400279326902986</v>
      </c>
      <c r="G3374" s="25" t="n">
        <f aca="false">IF(AND(D3374=1,A3374&gt;=$R$2),F3374,"")</f>
        <v>-0.00400279326902986</v>
      </c>
      <c r="H3374" s="27" t="n">
        <f aca="false">IF(G3374="","",G3374^2)</f>
        <v>1.60223539545907E-005</v>
      </c>
      <c r="I3374" s="25" t="n">
        <f aca="false">IF(G3374="","",C3374/C3373-1)</f>
        <v>-0.00399479277039305</v>
      </c>
      <c r="J3374" s="17" t="n">
        <f aca="false">AVERAGE(C3175:C3374)</f>
        <v>43116.7427</v>
      </c>
      <c r="K3374" s="17" t="n">
        <f aca="false">MAX(K3373,C3374)</f>
        <v>73098.48</v>
      </c>
      <c r="L3374" s="25" t="n">
        <f aca="false">C3374/K3374-1</f>
        <v>-0.0471187636186142</v>
      </c>
      <c r="M3374" s="25" t="n">
        <f aca="false">IF(COUNT(G3345:G3374)&lt;20,"",_xlfn.STDEV.S(G3345:G3374)*SQRT($R$3))</f>
        <v>0.744483750971531</v>
      </c>
      <c r="N3374" s="25" t="n">
        <f aca="false">IF(A3374-7&lt;$R$2,"",C3374/INDEX(Clean_Data!$C$2:$C$4314,MATCH(A3374-7,Clean_Data!$A$2:$A$4314,1))-1)</f>
        <v>0.0877948602622576</v>
      </c>
      <c r="O3374" s="25" t="n">
        <f aca="false">IF(A3374-30&lt;$R$2,"",C3374/INDEX(Clean_Data!$C$2:$C$4314,MATCH(A3374-30,Clean_Data!$A$2:$A$4314,1))-1)</f>
        <v>0.137394221730098</v>
      </c>
    </row>
    <row r="3375" customFormat="false" ht="15" hidden="false" customHeight="false" outlineLevel="0" collapsed="false">
      <c r="A3375" s="16" t="n">
        <v>45382</v>
      </c>
      <c r="B3375" s="23" t="n">
        <f aca="false">YEAR(A3375)</f>
        <v>2024</v>
      </c>
      <c r="C3375" s="17" t="n">
        <v>71213.11</v>
      </c>
      <c r="D3375" s="23" t="n">
        <f aca="false">A3375-A3374</f>
        <v>1</v>
      </c>
      <c r="E3375" s="24" t="n">
        <f aca="false">LN(C3375)</f>
        <v>11.1734322096638</v>
      </c>
      <c r="F3375" s="25" t="n">
        <f aca="false">LN(C3375/C3374)</f>
        <v>0.0221343614655954</v>
      </c>
      <c r="G3375" s="25" t="n">
        <f aca="false">IF(AND(D3375=1,A3375&gt;=$R$2),F3375,"")</f>
        <v>0.0221343614655954</v>
      </c>
      <c r="H3375" s="27" t="n">
        <f aca="false">IF(G3375="","",G3375^2)</f>
        <v>0.000489929957489635</v>
      </c>
      <c r="I3375" s="25" t="n">
        <f aca="false">IF(G3375="","",C3375/C3374-1)</f>
        <v>0.022381143871214</v>
      </c>
      <c r="J3375" s="17" t="n">
        <f aca="false">AVERAGE(C3176:C3375)</f>
        <v>43341.7276</v>
      </c>
      <c r="K3375" s="17" t="n">
        <f aca="false">MAX(K3374,C3375)</f>
        <v>73098.48</v>
      </c>
      <c r="L3375" s="25" t="n">
        <f aca="false">C3375/K3375-1</f>
        <v>-0.025792191574982</v>
      </c>
      <c r="M3375" s="25" t="n">
        <f aca="false">IF(COUNT(G3346:G3375)&lt;20,"",_xlfn.STDEV.S(G3346:G3375)*SQRT($R$3))</f>
        <v>0.745124556707097</v>
      </c>
      <c r="N3375" s="25" t="n">
        <f aca="false">IF(A3375-7&lt;$R$2,"",C3375/INDEX(Clean_Data!$C$2:$C$4314,MATCH(A3375-7,Clean_Data!$A$2:$A$4314,1))-1)</f>
        <v>0.058182644363332</v>
      </c>
      <c r="O3375" s="25" t="n">
        <f aca="false">IF(A3375-30&lt;$R$2,"",C3375/INDEX(Clean_Data!$C$2:$C$4314,MATCH(A3375-30,Clean_Data!$A$2:$A$4314,1))-1)</f>
        <v>0.139984859561952</v>
      </c>
    </row>
    <row r="3376" customFormat="false" ht="15" hidden="false" customHeight="false" outlineLevel="0" collapsed="false">
      <c r="A3376" s="16" t="n">
        <v>45383</v>
      </c>
      <c r="B3376" s="23" t="n">
        <f aca="false">YEAR(A3376)</f>
        <v>2024</v>
      </c>
      <c r="C3376" s="17" t="n">
        <v>69702.13</v>
      </c>
      <c r="D3376" s="23" t="n">
        <f aca="false">A3376-A3375</f>
        <v>1</v>
      </c>
      <c r="E3376" s="24" t="n">
        <f aca="false">LN(C3376)</f>
        <v>11.1519861558226</v>
      </c>
      <c r="F3376" s="25" t="n">
        <f aca="false">LN(C3376/C3375)</f>
        <v>-0.0214460538412757</v>
      </c>
      <c r="G3376" s="25" t="n">
        <f aca="false">IF(AND(D3376=1,A3376&gt;=$R$2),F3376,"")</f>
        <v>-0.0214460538412757</v>
      </c>
      <c r="H3376" s="27" t="n">
        <f aca="false">IF(G3376="","",G3376^2)</f>
        <v>0.000459933225362895</v>
      </c>
      <c r="I3376" s="25" t="n">
        <f aca="false">IF(G3376="","",C3376/C3375-1)</f>
        <v>-0.0212177224109437</v>
      </c>
      <c r="J3376" s="17" t="n">
        <f aca="false">AVERAGE(C3177:C3376)</f>
        <v>43557.5817</v>
      </c>
      <c r="K3376" s="17" t="n">
        <f aca="false">MAX(K3375,C3376)</f>
        <v>73098.48</v>
      </c>
      <c r="L3376" s="25" t="n">
        <f aca="false">C3376/K3376-1</f>
        <v>-0.0464626624247179</v>
      </c>
      <c r="M3376" s="25" t="n">
        <f aca="false">IF(COUNT(G3347:G3376)&lt;20,"",_xlfn.STDEV.S(G3347:G3376)*SQRT($R$3))</f>
        <v>0.749568987761658</v>
      </c>
      <c r="N3376" s="25" t="n">
        <f aca="false">IF(A3376-7&lt;$R$2,"",C3376/INDEX(Clean_Data!$C$2:$C$4314,MATCH(A3376-7,Clean_Data!$A$2:$A$4314,1))-1)</f>
        <v>-0.00303685432696665</v>
      </c>
      <c r="O3376" s="25" t="n">
        <f aca="false">IF(A3376-30&lt;$R$2,"",C3376/INDEX(Clean_Data!$C$2:$C$4314,MATCH(A3376-30,Clean_Data!$A$2:$A$4314,1))-1)</f>
        <v>0.123755563387389</v>
      </c>
    </row>
    <row r="3377" customFormat="false" ht="15" hidden="false" customHeight="false" outlineLevel="0" collapsed="false">
      <c r="A3377" s="16" t="n">
        <v>45384</v>
      </c>
      <c r="B3377" s="23" t="n">
        <f aca="false">YEAR(A3377)</f>
        <v>2024</v>
      </c>
      <c r="C3377" s="17" t="n">
        <v>65478.7</v>
      </c>
      <c r="D3377" s="23" t="n">
        <f aca="false">A3377-A3376</f>
        <v>1</v>
      </c>
      <c r="E3377" s="24" t="n">
        <f aca="false">LN(C3377)</f>
        <v>11.0894801778976</v>
      </c>
      <c r="F3377" s="25" t="n">
        <f aca="false">LN(C3377/C3376)</f>
        <v>-0.0625059779249298</v>
      </c>
      <c r="G3377" s="25" t="n">
        <f aca="false">IF(AND(D3377=1,A3377&gt;=$R$2),F3377,"")</f>
        <v>-0.0625059779249298</v>
      </c>
      <c r="H3377" s="27" t="n">
        <f aca="false">IF(G3377="","",G3377^2)</f>
        <v>0.00390699727635181</v>
      </c>
      <c r="I3377" s="25" t="n">
        <f aca="false">IF(G3377="","",C3377/C3376-1)</f>
        <v>-0.0605925529105066</v>
      </c>
      <c r="J3377" s="17" t="n">
        <f aca="false">AVERAGE(C3178:C3377)</f>
        <v>43751.8751</v>
      </c>
      <c r="K3377" s="17" t="n">
        <f aca="false">MAX(K3376,C3377)</f>
        <v>73098.48</v>
      </c>
      <c r="L3377" s="25" t="n">
        <f aca="false">C3377/K3377-1</f>
        <v>-0.104239924003892</v>
      </c>
      <c r="M3377" s="25" t="n">
        <f aca="false">IF(COUNT(G3348:G3377)&lt;20,"",_xlfn.STDEV.S(G3348:G3377)*SQRT($R$3))</f>
        <v>0.782127559708107</v>
      </c>
      <c r="N3377" s="25" t="n">
        <f aca="false">IF(A3377-7&lt;$R$2,"",C3377/INDEX(Clean_Data!$C$2:$C$4314,MATCH(A3377-7,Clean_Data!$A$2:$A$4314,1))-1)</f>
        <v>-0.0642726547546267</v>
      </c>
      <c r="O3377" s="25" t="n">
        <f aca="false">IF(A3377-30&lt;$R$2,"",C3377/INDEX(Clean_Data!$C$2:$C$4314,MATCH(A3377-30,Clean_Data!$A$2:$A$4314,1))-1)</f>
        <v>0.035904419624925</v>
      </c>
    </row>
    <row r="3378" customFormat="false" ht="15" hidden="false" customHeight="false" outlineLevel="0" collapsed="false">
      <c r="A3378" s="16" t="n">
        <v>45385</v>
      </c>
      <c r="B3378" s="23" t="n">
        <f aca="false">YEAR(A3378)</f>
        <v>2024</v>
      </c>
      <c r="C3378" s="17" t="n">
        <v>65982.23</v>
      </c>
      <c r="D3378" s="23" t="n">
        <f aca="false">A3378-A3377</f>
        <v>1</v>
      </c>
      <c r="E3378" s="24" t="n">
        <f aca="false">LN(C3378)</f>
        <v>11.0971407423321</v>
      </c>
      <c r="F3378" s="25" t="n">
        <f aca="false">LN(C3378/C3377)</f>
        <v>0.00766056443442958</v>
      </c>
      <c r="G3378" s="25" t="n">
        <f aca="false">IF(AND(D3378=1,A3378&gt;=$R$2),F3378,"")</f>
        <v>0.00766056443442958</v>
      </c>
      <c r="H3378" s="27" t="n">
        <f aca="false">IF(G3378="","",G3378^2)</f>
        <v>5.86842474540473E-005</v>
      </c>
      <c r="I3378" s="25" t="n">
        <f aca="false">IF(G3378="","",C3378/C3377-1)</f>
        <v>0.00768998162761325</v>
      </c>
      <c r="J3378" s="17" t="n">
        <f aca="false">AVERAGE(C3179:C3378)</f>
        <v>43948.9369</v>
      </c>
      <c r="K3378" s="17" t="n">
        <f aca="false">MAX(K3377,C3378)</f>
        <v>73098.48</v>
      </c>
      <c r="L3378" s="25" t="n">
        <f aca="false">C3378/K3378-1</f>
        <v>-0.0973515454767322</v>
      </c>
      <c r="M3378" s="25" t="n">
        <f aca="false">IF(COUNT(G3349:G3378)&lt;20,"",_xlfn.STDEV.S(G3349:G3378)*SQRT($R$3))</f>
        <v>0.733221734938129</v>
      </c>
      <c r="N3378" s="25" t="n">
        <f aca="false">IF(A3378-7&lt;$R$2,"",C3378/INDEX(Clean_Data!$C$2:$C$4314,MATCH(A3378-7,Clean_Data!$A$2:$A$4314,1))-1)</f>
        <v>-0.0488672273326543</v>
      </c>
      <c r="O3378" s="25" t="n">
        <f aca="false">IF(A3378-30&lt;$R$2,"",C3378/INDEX(Clean_Data!$C$2:$C$4314,MATCH(A3378-30,Clean_Data!$A$2:$A$4314,1))-1)</f>
        <v>-0.0336183413567054</v>
      </c>
    </row>
    <row r="3379" customFormat="false" ht="15" hidden="false" customHeight="false" outlineLevel="0" collapsed="false">
      <c r="A3379" s="16" t="n">
        <v>45386</v>
      </c>
      <c r="B3379" s="23" t="n">
        <f aca="false">YEAR(A3379)</f>
        <v>2024</v>
      </c>
      <c r="C3379" s="17" t="n">
        <v>68415.92</v>
      </c>
      <c r="D3379" s="23" t="n">
        <f aca="false">A3379-A3378</f>
        <v>1</v>
      </c>
      <c r="E3379" s="24" t="n">
        <f aca="false">LN(C3379)</f>
        <v>11.1333608250669</v>
      </c>
      <c r="F3379" s="25" t="n">
        <f aca="false">LN(C3379/C3378)</f>
        <v>0.0362200827348431</v>
      </c>
      <c r="G3379" s="25" t="n">
        <f aca="false">IF(AND(D3379=1,A3379&gt;=$R$2),F3379,"")</f>
        <v>0.0362200827348431</v>
      </c>
      <c r="H3379" s="27" t="n">
        <f aca="false">IF(G3379="","",G3379^2)</f>
        <v>0.00131189439331888</v>
      </c>
      <c r="I3379" s="25" t="n">
        <f aca="false">IF(G3379="","",C3379/C3378-1)</f>
        <v>0.0368840216524964</v>
      </c>
      <c r="J3379" s="17" t="n">
        <f aca="false">AVERAGE(C3180:C3379)</f>
        <v>44158.3485</v>
      </c>
      <c r="K3379" s="17" t="n">
        <f aca="false">MAX(K3378,C3379)</f>
        <v>73098.48</v>
      </c>
      <c r="L3379" s="25" t="n">
        <f aca="false">C3379/K3379-1</f>
        <v>-0.0640582403355036</v>
      </c>
      <c r="M3379" s="25" t="n">
        <f aca="false">IF(COUNT(G3350:G3379)&lt;20,"",_xlfn.STDEV.S(G3350:G3379)*SQRT($R$3))</f>
        <v>0.705143718345941</v>
      </c>
      <c r="N3379" s="25" t="n">
        <f aca="false">IF(A3379-7&lt;$R$2,"",C3379/INDEX(Clean_Data!$C$2:$C$4314,MATCH(A3379-7,Clean_Data!$A$2:$A$4314,1))-1)</f>
        <v>-0.0332744672306847</v>
      </c>
      <c r="O3379" s="25" t="n">
        <f aca="false">IF(A3379-30&lt;$R$2,"",C3379/INDEX(Clean_Data!$C$2:$C$4314,MATCH(A3379-30,Clean_Data!$A$2:$A$4314,1))-1)</f>
        <v>0.070777076491567</v>
      </c>
    </row>
    <row r="3380" customFormat="false" ht="15" hidden="false" customHeight="false" outlineLevel="0" collapsed="false">
      <c r="A3380" s="16" t="n">
        <v>45387</v>
      </c>
      <c r="B3380" s="23" t="n">
        <f aca="false">YEAR(A3380)</f>
        <v>2024</v>
      </c>
      <c r="C3380" s="17" t="n">
        <v>67878.68</v>
      </c>
      <c r="D3380" s="23" t="n">
        <f aca="false">A3380-A3379</f>
        <v>1</v>
      </c>
      <c r="E3380" s="24" t="n">
        <f aca="false">LN(C3380)</f>
        <v>11.1254772730778</v>
      </c>
      <c r="F3380" s="25" t="n">
        <f aca="false">LN(C3380/C3379)</f>
        <v>-0.00788355198914953</v>
      </c>
      <c r="G3380" s="25" t="n">
        <f aca="false">IF(AND(D3380=1,A3380&gt;=$R$2),F3380,"")</f>
        <v>-0.00788355198914953</v>
      </c>
      <c r="H3380" s="27" t="n">
        <f aca="false">IF(G3380="","",G3380^2)</f>
        <v>6.21503919656236E-005</v>
      </c>
      <c r="I3380" s="25" t="n">
        <f aca="false">IF(G3380="","",C3380/C3379-1)</f>
        <v>-0.00785255829344989</v>
      </c>
      <c r="J3380" s="17" t="n">
        <f aca="false">AVERAGE(C3181:C3380)</f>
        <v>44363.9042</v>
      </c>
      <c r="K3380" s="17" t="n">
        <f aca="false">MAX(K3379,C3380)</f>
        <v>73098.48</v>
      </c>
      <c r="L3380" s="25" t="n">
        <f aca="false">C3380/K3380-1</f>
        <v>-0.071407777562543</v>
      </c>
      <c r="M3380" s="25" t="n">
        <f aca="false">IF(COUNT(G3351:G3380)&lt;20,"",_xlfn.STDEV.S(G3351:G3380)*SQRT($R$3))</f>
        <v>0.696607964469222</v>
      </c>
      <c r="N3380" s="25" t="n">
        <f aca="false">IF(A3380-7&lt;$R$2,"",C3380/INDEX(Clean_Data!$C$2:$C$4314,MATCH(A3380-7,Clean_Data!$A$2:$A$4314,1))-1)</f>
        <v>-0.0293830399547914</v>
      </c>
      <c r="O3380" s="25" t="n">
        <f aca="false">IF(A3380-30&lt;$R$2,"",C3380/INDEX(Clean_Data!$C$2:$C$4314,MATCH(A3380-30,Clean_Data!$A$2:$A$4314,1))-1)</f>
        <v>0.0270221935217967</v>
      </c>
    </row>
    <row r="3381" customFormat="false" ht="15" hidden="false" customHeight="false" outlineLevel="0" collapsed="false">
      <c r="A3381" s="16" t="n">
        <v>45388</v>
      </c>
      <c r="B3381" s="23" t="n">
        <f aca="false">YEAR(A3381)</f>
        <v>2024</v>
      </c>
      <c r="C3381" s="17" t="n">
        <v>68946.12</v>
      </c>
      <c r="D3381" s="23" t="n">
        <f aca="false">A3381-A3380</f>
        <v>1</v>
      </c>
      <c r="E3381" s="24" t="n">
        <f aca="false">LN(C3381)</f>
        <v>11.1410806089767</v>
      </c>
      <c r="F3381" s="25" t="n">
        <f aca="false">LN(C3381/C3380)</f>
        <v>0.0156033358989683</v>
      </c>
      <c r="G3381" s="25" t="n">
        <f aca="false">IF(AND(D3381=1,A3381&gt;=$R$2),F3381,"")</f>
        <v>0.0156033358989683</v>
      </c>
      <c r="H3381" s="27" t="n">
        <f aca="false">IF(G3381="","",G3381^2)</f>
        <v>0.000243464091176032</v>
      </c>
      <c r="I3381" s="25" t="n">
        <f aca="false">IF(G3381="","",C3381/C3380-1)</f>
        <v>0.0157257035640646</v>
      </c>
      <c r="J3381" s="17" t="n">
        <f aca="false">AVERAGE(C3182:C3381)</f>
        <v>44572.63805</v>
      </c>
      <c r="K3381" s="17" t="n">
        <f aca="false">MAX(K3380,C3381)</f>
        <v>73098.48</v>
      </c>
      <c r="L3381" s="25" t="n">
        <f aca="false">C3381/K3381-1</f>
        <v>-0.0568050115405957</v>
      </c>
      <c r="M3381" s="25" t="n">
        <f aca="false">IF(COUNT(G3352:G3381)&lt;20,"",_xlfn.STDEV.S(G3352:G3381)*SQRT($R$3))</f>
        <v>0.697371301398661</v>
      </c>
      <c r="N3381" s="25" t="n">
        <f aca="false">IF(A3381-7&lt;$R$2,"",C3381/INDEX(Clean_Data!$C$2:$C$4314,MATCH(A3381-7,Clean_Data!$A$2:$A$4314,1))-1)</f>
        <v>-0.0101652205460204</v>
      </c>
      <c r="O3381" s="25" t="n">
        <f aca="false">IF(A3381-30&lt;$R$2,"",C3381/INDEX(Clean_Data!$C$2:$C$4314,MATCH(A3381-30,Clean_Data!$A$2:$A$4314,1))-1)</f>
        <v>0.0303569659263669</v>
      </c>
    </row>
    <row r="3382" customFormat="false" ht="15" hidden="false" customHeight="false" outlineLevel="0" collapsed="false">
      <c r="A3382" s="16" t="n">
        <v>45389</v>
      </c>
      <c r="B3382" s="23" t="n">
        <f aca="false">YEAR(A3382)</f>
        <v>2024</v>
      </c>
      <c r="C3382" s="17" t="n">
        <v>69344.77</v>
      </c>
      <c r="D3382" s="23" t="n">
        <f aca="false">A3382-A3381</f>
        <v>1</v>
      </c>
      <c r="E3382" s="24" t="n">
        <f aca="false">LN(C3382)</f>
        <v>11.1468460083354</v>
      </c>
      <c r="F3382" s="25" t="n">
        <f aca="false">LN(C3382/C3381)</f>
        <v>0.00576539935861642</v>
      </c>
      <c r="G3382" s="25" t="n">
        <f aca="false">IF(AND(D3382=1,A3382&gt;=$R$2),F3382,"")</f>
        <v>0.00576539935861642</v>
      </c>
      <c r="H3382" s="27" t="n">
        <f aca="false">IF(G3382="","",G3382^2)</f>
        <v>3.32398297643346E-005</v>
      </c>
      <c r="I3382" s="25" t="n">
        <f aca="false">IF(G3382="","",C3382/C3381-1)</f>
        <v>0.00578205125973752</v>
      </c>
      <c r="J3382" s="17" t="n">
        <f aca="false">AVERAGE(C3183:C3382)</f>
        <v>44783.76485</v>
      </c>
      <c r="K3382" s="17" t="n">
        <f aca="false">MAX(K3381,C3382)</f>
        <v>73098.48</v>
      </c>
      <c r="L3382" s="25" t="n">
        <f aca="false">C3382/K3382-1</f>
        <v>-0.0513514097693959</v>
      </c>
      <c r="M3382" s="25" t="n">
        <f aca="false">IF(COUNT(G3353:G3382)&lt;20,"",_xlfn.STDEV.S(G3353:G3382)*SQRT($R$3))</f>
        <v>0.694001537712276</v>
      </c>
      <c r="N3382" s="25" t="n">
        <f aca="false">IF(A3382-7&lt;$R$2,"",C3382/INDEX(Clean_Data!$C$2:$C$4314,MATCH(A3382-7,Clean_Data!$A$2:$A$4314,1))-1)</f>
        <v>-0.0262358995415311</v>
      </c>
      <c r="O3382" s="25" t="n">
        <f aca="false">IF(A3382-30&lt;$R$2,"",C3382/INDEX(Clean_Data!$C$2:$C$4314,MATCH(A3382-30,Clean_Data!$A$2:$A$4314,1))-1)</f>
        <v>0.0150931657925131</v>
      </c>
    </row>
    <row r="3383" customFormat="false" ht="15" hidden="false" customHeight="false" outlineLevel="0" collapsed="false">
      <c r="A3383" s="16" t="n">
        <v>45390</v>
      </c>
      <c r="B3383" s="23" t="n">
        <f aca="false">YEAR(A3383)</f>
        <v>2024</v>
      </c>
      <c r="C3383" s="17" t="n">
        <v>71607.88</v>
      </c>
      <c r="D3383" s="23" t="n">
        <f aca="false">A3383-A3382</f>
        <v>1</v>
      </c>
      <c r="E3383" s="24" t="n">
        <f aca="false">LN(C3383)</f>
        <v>11.178960402759</v>
      </c>
      <c r="F3383" s="25" t="n">
        <f aca="false">LN(C3383/C3382)</f>
        <v>0.0321143944236065</v>
      </c>
      <c r="G3383" s="25" t="n">
        <f aca="false">IF(AND(D3383=1,A3383&gt;=$R$2),F3383,"")</f>
        <v>0.0321143944236065</v>
      </c>
      <c r="H3383" s="27" t="n">
        <f aca="false">IF(G3383="","",G3383^2)</f>
        <v>0.00103133432919497</v>
      </c>
      <c r="I3383" s="25" t="n">
        <f aca="false">IF(G3383="","",C3383/C3382-1)</f>
        <v>0.0326356263060645</v>
      </c>
      <c r="J3383" s="17" t="n">
        <f aca="false">AVERAGE(C3184:C3383)</f>
        <v>45008.9678</v>
      </c>
      <c r="K3383" s="17" t="n">
        <f aca="false">MAX(K3382,C3383)</f>
        <v>73098.48</v>
      </c>
      <c r="L3383" s="25" t="n">
        <f aca="false">C3383/K3383-1</f>
        <v>-0.0203916688828549</v>
      </c>
      <c r="M3383" s="25" t="n">
        <f aca="false">IF(COUNT(G3354:G3383)&lt;20,"",_xlfn.STDEV.S(G3354:G3383)*SQRT($R$3))</f>
        <v>0.702703355387311</v>
      </c>
      <c r="N3383" s="25" t="n">
        <f aca="false">IF(A3383-7&lt;$R$2,"",C3383/INDEX(Clean_Data!$C$2:$C$4314,MATCH(A3383-7,Clean_Data!$A$2:$A$4314,1))-1)</f>
        <v>0.0273413452357911</v>
      </c>
      <c r="O3383" s="25" t="n">
        <f aca="false">IF(A3383-30&lt;$R$2,"",C3383/INDEX(Clean_Data!$C$2:$C$4314,MATCH(A3383-30,Clean_Data!$A$2:$A$4314,1))-1)</f>
        <v>0.0453209154310197</v>
      </c>
    </row>
    <row r="3384" customFormat="false" ht="15" hidden="false" customHeight="false" outlineLevel="0" collapsed="false">
      <c r="A3384" s="16" t="n">
        <v>45391</v>
      </c>
      <c r="B3384" s="23" t="n">
        <f aca="false">YEAR(A3384)</f>
        <v>2024</v>
      </c>
      <c r="C3384" s="17" t="n">
        <v>69100.81</v>
      </c>
      <c r="D3384" s="23" t="n">
        <f aca="false">A3384-A3383</f>
        <v>1</v>
      </c>
      <c r="E3384" s="24" t="n">
        <f aca="false">LN(C3384)</f>
        <v>11.1433217318289</v>
      </c>
      <c r="F3384" s="25" t="n">
        <f aca="false">LN(C3384/C3383)</f>
        <v>-0.0356386709300754</v>
      </c>
      <c r="G3384" s="25" t="n">
        <f aca="false">IF(AND(D3384=1,A3384&gt;=$R$2),F3384,"")</f>
        <v>-0.0356386709300754</v>
      </c>
      <c r="H3384" s="27" t="n">
        <f aca="false">IF(G3384="","",G3384^2)</f>
        <v>0.0012701148656622</v>
      </c>
      <c r="I3384" s="25" t="n">
        <f aca="false">IF(G3384="","",C3384/C3383-1)</f>
        <v>-0.035011090958146</v>
      </c>
      <c r="J3384" s="17" t="n">
        <f aca="false">AVERAGE(C3185:C3384)</f>
        <v>45221.5587</v>
      </c>
      <c r="K3384" s="17" t="n">
        <f aca="false">MAX(K3383,C3384)</f>
        <v>73098.48</v>
      </c>
      <c r="L3384" s="25" t="n">
        <f aca="false">C3384/K3384-1</f>
        <v>-0.054688825266955</v>
      </c>
      <c r="M3384" s="25" t="n">
        <f aca="false">IF(COUNT(G3355:G3384)&lt;20,"",_xlfn.STDEV.S(G3355:G3384)*SQRT($R$3))</f>
        <v>0.714107657481605</v>
      </c>
      <c r="N3384" s="25" t="n">
        <f aca="false">IF(A3384-7&lt;$R$2,"",C3384/INDEX(Clean_Data!$C$2:$C$4314,MATCH(A3384-7,Clean_Data!$A$2:$A$4314,1))-1)</f>
        <v>0.0553173780175844</v>
      </c>
      <c r="O3384" s="25" t="n">
        <f aca="false">IF(A3384-30&lt;$R$2,"",C3384/INDEX(Clean_Data!$C$2:$C$4314,MATCH(A3384-30,Clean_Data!$A$2:$A$4314,1))-1)</f>
        <v>0.00149178496498714</v>
      </c>
    </row>
    <row r="3385" customFormat="false" ht="15" hidden="false" customHeight="false" outlineLevel="0" collapsed="false">
      <c r="A3385" s="16" t="n">
        <v>45392</v>
      </c>
      <c r="B3385" s="23" t="n">
        <f aca="false">YEAR(A3385)</f>
        <v>2024</v>
      </c>
      <c r="C3385" s="17" t="n">
        <v>70554.77</v>
      </c>
      <c r="D3385" s="23" t="n">
        <f aca="false">A3385-A3384</f>
        <v>1</v>
      </c>
      <c r="E3385" s="24" t="n">
        <f aca="false">LN(C3385)</f>
        <v>11.1641445666184</v>
      </c>
      <c r="F3385" s="25" t="n">
        <f aca="false">LN(C3385/C3384)</f>
        <v>0.020822834789479</v>
      </c>
      <c r="G3385" s="25" t="n">
        <f aca="false">IF(AND(D3385=1,A3385&gt;=$R$2),F3385,"")</f>
        <v>0.020822834789479</v>
      </c>
      <c r="H3385" s="27" t="n">
        <f aca="false">IF(G3385="","",G3385^2)</f>
        <v>0.000433590448669937</v>
      </c>
      <c r="I3385" s="25" t="n">
        <f aca="false">IF(G3385="","",C3385/C3384-1)</f>
        <v>0.0210411426436248</v>
      </c>
      <c r="J3385" s="17" t="n">
        <f aca="false">AVERAGE(C3186:C3385)</f>
        <v>45441.431</v>
      </c>
      <c r="K3385" s="17" t="n">
        <f aca="false">MAX(K3384,C3385)</f>
        <v>73098.48</v>
      </c>
      <c r="L3385" s="25" t="n">
        <f aca="false">C3385/K3385-1</f>
        <v>-0.0347983979967845</v>
      </c>
      <c r="M3385" s="25" t="n">
        <f aca="false">IF(COUNT(G3356:G3385)&lt;20,"",_xlfn.STDEV.S(G3356:G3385)*SQRT($R$3))</f>
        <v>0.699462951064598</v>
      </c>
      <c r="N3385" s="25" t="n">
        <f aca="false">IF(A3385-7&lt;$R$2,"",C3385/INDEX(Clean_Data!$C$2:$C$4314,MATCH(A3385-7,Clean_Data!$A$2:$A$4314,1))-1)</f>
        <v>0.069299567474455</v>
      </c>
      <c r="O3385" s="25" t="n">
        <f aca="false">IF(A3385-30&lt;$R$2,"",C3385/INDEX(Clean_Data!$C$2:$C$4314,MATCH(A3385-30,Clean_Data!$A$2:$A$4314,1))-1)</f>
        <v>-0.0228167594362442</v>
      </c>
    </row>
    <row r="3386" customFormat="false" ht="15" hidden="false" customHeight="false" outlineLevel="0" collapsed="false">
      <c r="A3386" s="16" t="n">
        <v>45393</v>
      </c>
      <c r="B3386" s="23" t="n">
        <f aca="false">YEAR(A3386)</f>
        <v>2024</v>
      </c>
      <c r="C3386" s="17" t="n">
        <v>70001.36</v>
      </c>
      <c r="D3386" s="23" t="n">
        <f aca="false">A3386-A3385</f>
        <v>1</v>
      </c>
      <c r="E3386" s="24" t="n">
        <f aca="false">LN(C3386)</f>
        <v>11.1562699494142</v>
      </c>
      <c r="F3386" s="25" t="n">
        <f aca="false">LN(C3386/C3385)</f>
        <v>-0.00787461720416737</v>
      </c>
      <c r="G3386" s="25" t="n">
        <f aca="false">IF(AND(D3386=1,A3386&gt;=$R$2),F3386,"")</f>
        <v>-0.00787461720416737</v>
      </c>
      <c r="H3386" s="27" t="n">
        <f aca="false">IF(G3386="","",G3386^2)</f>
        <v>6.20095961121688E-005</v>
      </c>
      <c r="I3386" s="25" t="n">
        <f aca="false">IF(G3386="","",C3386/C3385-1)</f>
        <v>-0.00784369362978576</v>
      </c>
      <c r="J3386" s="17" t="n">
        <f aca="false">AVERAGE(C3187:C3386)</f>
        <v>45660.29135</v>
      </c>
      <c r="K3386" s="17" t="n">
        <f aca="false">MAX(K3385,C3386)</f>
        <v>73098.48</v>
      </c>
      <c r="L3386" s="25" t="n">
        <f aca="false">C3386/K3386-1</f>
        <v>-0.0423691436538762</v>
      </c>
      <c r="M3386" s="25" t="n">
        <f aca="false">IF(COUNT(G3357:G3386)&lt;20,"",_xlfn.STDEV.S(G3357:G3386)*SQRT($R$3))</f>
        <v>0.699120424992938</v>
      </c>
      <c r="N3386" s="25" t="n">
        <f aca="false">IF(A3386-7&lt;$R$2,"",C3386/INDEX(Clean_Data!$C$2:$C$4314,MATCH(A3386-7,Clean_Data!$A$2:$A$4314,1))-1)</f>
        <v>0.0231735537576634</v>
      </c>
      <c r="O3386" s="25" t="n">
        <f aca="false">IF(A3386-30&lt;$R$2,"",C3386/INDEX(Clean_Data!$C$2:$C$4314,MATCH(A3386-30,Clean_Data!$A$2:$A$4314,1))-1)</f>
        <v>-0.0205712421237968</v>
      </c>
    </row>
    <row r="3387" customFormat="false" ht="15" hidden="false" customHeight="false" outlineLevel="0" collapsed="false">
      <c r="A3387" s="16" t="n">
        <v>45394</v>
      </c>
      <c r="B3387" s="23" t="n">
        <f aca="false">YEAR(A3387)</f>
        <v>2024</v>
      </c>
      <c r="C3387" s="17" t="n">
        <v>67107.27</v>
      </c>
      <c r="D3387" s="23" t="n">
        <f aca="false">A3387-A3386</f>
        <v>1</v>
      </c>
      <c r="E3387" s="24" t="n">
        <f aca="false">LN(C3387)</f>
        <v>11.1140476628434</v>
      </c>
      <c r="F3387" s="25" t="n">
        <f aca="false">LN(C3387/C3386)</f>
        <v>-0.0422222865707883</v>
      </c>
      <c r="G3387" s="25" t="n">
        <f aca="false">IF(AND(D3387=1,A3387&gt;=$R$2),F3387,"")</f>
        <v>-0.0422222865707883</v>
      </c>
      <c r="H3387" s="27" t="n">
        <f aca="false">IF(G3387="","",G3387^2)</f>
        <v>0.00178272148326577</v>
      </c>
      <c r="I3387" s="25" t="n">
        <f aca="false">IF(G3387="","",C3387/C3386-1)</f>
        <v>-0.0413433396151161</v>
      </c>
      <c r="J3387" s="17" t="n">
        <f aca="false">AVERAGE(C3188:C3387)</f>
        <v>45864.3434</v>
      </c>
      <c r="K3387" s="17" t="n">
        <f aca="false">MAX(K3386,C3387)</f>
        <v>73098.48</v>
      </c>
      <c r="L3387" s="25" t="n">
        <f aca="false">C3387/K3387-1</f>
        <v>-0.0819608013737083</v>
      </c>
      <c r="M3387" s="25" t="n">
        <f aca="false">IF(COUNT(G3358:G3387)&lt;20,"",_xlfn.STDEV.S(G3358:G3387)*SQRT($R$3))</f>
        <v>0.708480412265811</v>
      </c>
      <c r="N3387" s="25" t="n">
        <f aca="false">IF(A3387-7&lt;$R$2,"",C3387/INDEX(Clean_Data!$C$2:$C$4314,MATCH(A3387-7,Clean_Data!$A$2:$A$4314,1))-1)</f>
        <v>-0.0113645403829301</v>
      </c>
      <c r="O3387" s="25" t="n">
        <f aca="false">IF(A3387-30&lt;$R$2,"",C3387/INDEX(Clean_Data!$C$2:$C$4314,MATCH(A3387-30,Clean_Data!$A$2:$A$4314,1))-1)</f>
        <v>-0.0819608013737083</v>
      </c>
    </row>
    <row r="3388" customFormat="false" ht="15" hidden="false" customHeight="false" outlineLevel="0" collapsed="false">
      <c r="A3388" s="16" t="n">
        <v>45395</v>
      </c>
      <c r="B3388" s="23" t="n">
        <f aca="false">YEAR(A3388)</f>
        <v>2024</v>
      </c>
      <c r="C3388" s="17" t="n">
        <v>64034</v>
      </c>
      <c r="D3388" s="23" t="n">
        <f aca="false">A3388-A3387</f>
        <v>1</v>
      </c>
      <c r="E3388" s="24" t="n">
        <f aca="false">LN(C3388)</f>
        <v>11.0671694712785</v>
      </c>
      <c r="F3388" s="25" t="n">
        <f aca="false">LN(C3388/C3387)</f>
        <v>-0.0468781915649188</v>
      </c>
      <c r="G3388" s="25" t="n">
        <f aca="false">IF(AND(D3388=1,A3388&gt;=$R$2),F3388,"")</f>
        <v>-0.0468781915649188</v>
      </c>
      <c r="H3388" s="27" t="n">
        <f aca="false">IF(G3388="","",G3388^2)</f>
        <v>0.00219756484439722</v>
      </c>
      <c r="I3388" s="25" t="n">
        <f aca="false">IF(G3388="","",C3388/C3387-1)</f>
        <v>-0.0457963794384723</v>
      </c>
      <c r="J3388" s="17" t="n">
        <f aca="false">AVERAGE(C3189:C3388)</f>
        <v>46053.51275</v>
      </c>
      <c r="K3388" s="17" t="n">
        <f aca="false">MAX(K3387,C3388)</f>
        <v>73098.48</v>
      </c>
      <c r="L3388" s="25" t="n">
        <f aca="false">C3388/K3388-1</f>
        <v>-0.124003672853389</v>
      </c>
      <c r="M3388" s="25" t="n">
        <f aca="false">IF(COUNT(G3359:G3388)&lt;20,"",_xlfn.STDEV.S(G3359:G3388)*SQRT($R$3))</f>
        <v>0.721892775157544</v>
      </c>
      <c r="N3388" s="25" t="n">
        <f aca="false">IF(A3388-7&lt;$R$2,"",C3388/INDEX(Clean_Data!$C$2:$C$4314,MATCH(A3388-7,Clean_Data!$A$2:$A$4314,1))-1)</f>
        <v>-0.0712457785876856</v>
      </c>
      <c r="O3388" s="25" t="n">
        <f aca="false">IF(A3388-30&lt;$R$2,"",C3388/INDEX(Clean_Data!$C$2:$C$4314,MATCH(A3388-30,Clean_Data!$A$2:$A$4314,1))-1)</f>
        <v>-0.103875012157738</v>
      </c>
    </row>
    <row r="3389" customFormat="false" ht="15" hidden="false" customHeight="false" outlineLevel="0" collapsed="false">
      <c r="A3389" s="16" t="n">
        <v>45396</v>
      </c>
      <c r="B3389" s="23" t="n">
        <f aca="false">YEAR(A3389)</f>
        <v>2024</v>
      </c>
      <c r="C3389" s="17" t="n">
        <v>65643.19</v>
      </c>
      <c r="D3389" s="23" t="n">
        <f aca="false">A3389-A3388</f>
        <v>1</v>
      </c>
      <c r="E3389" s="24" t="n">
        <f aca="false">LN(C3389)</f>
        <v>11.0919891424388</v>
      </c>
      <c r="F3389" s="25" t="n">
        <f aca="false">LN(C3389/C3388)</f>
        <v>0.0248196711602774</v>
      </c>
      <c r="G3389" s="25" t="n">
        <f aca="false">IF(AND(D3389=1,A3389&gt;=$R$2),F3389,"")</f>
        <v>0.0248196711602774</v>
      </c>
      <c r="H3389" s="27" t="n">
        <f aca="false">IF(G3389="","",G3389^2)</f>
        <v>0.000616016076504304</v>
      </c>
      <c r="I3389" s="25" t="n">
        <f aca="false">IF(G3389="","",C3389/C3388-1)</f>
        <v>0.0251302433082425</v>
      </c>
      <c r="J3389" s="17" t="n">
        <f aca="false">AVERAGE(C3190:C3389)</f>
        <v>46249.9696</v>
      </c>
      <c r="K3389" s="17" t="n">
        <f aca="false">MAX(K3388,C3389)</f>
        <v>73098.48</v>
      </c>
      <c r="L3389" s="25" t="n">
        <f aca="false">C3389/K3389-1</f>
        <v>-0.101989672015068</v>
      </c>
      <c r="M3389" s="25" t="n">
        <f aca="false">IF(COUNT(G3360:G3389)&lt;20,"",_xlfn.STDEV.S(G3360:G3389)*SQRT($R$3))</f>
        <v>0.723041626275065</v>
      </c>
      <c r="N3389" s="25" t="n">
        <f aca="false">IF(A3389-7&lt;$R$2,"",C3389/INDEX(Clean_Data!$C$2:$C$4314,MATCH(A3389-7,Clean_Data!$A$2:$A$4314,1))-1)</f>
        <v>-0.053379368047511</v>
      </c>
      <c r="O3389" s="25" t="n">
        <f aca="false">IF(A3389-30&lt;$R$2,"",C3389/INDEX(Clean_Data!$C$2:$C$4314,MATCH(A3389-30,Clean_Data!$A$2:$A$4314,1))-1)</f>
        <v>-0.055390645483349</v>
      </c>
    </row>
    <row r="3390" customFormat="false" ht="15" hidden="false" customHeight="false" outlineLevel="0" collapsed="false">
      <c r="A3390" s="16" t="n">
        <v>45397</v>
      </c>
      <c r="B3390" s="23" t="n">
        <f aca="false">YEAR(A3390)</f>
        <v>2024</v>
      </c>
      <c r="C3390" s="17" t="n">
        <v>63359.28</v>
      </c>
      <c r="D3390" s="23" t="n">
        <f aca="false">A3390-A3389</f>
        <v>1</v>
      </c>
      <c r="E3390" s="24" t="n">
        <f aca="false">LN(C3390)</f>
        <v>11.0565766627874</v>
      </c>
      <c r="F3390" s="25" t="n">
        <f aca="false">LN(C3390/C3389)</f>
        <v>-0.0354124796513855</v>
      </c>
      <c r="G3390" s="25" t="n">
        <f aca="false">IF(AND(D3390=1,A3390&gt;=$R$2),F3390,"")</f>
        <v>-0.0354124796513855</v>
      </c>
      <c r="H3390" s="27" t="n">
        <f aca="false">IF(G3390="","",G3390^2)</f>
        <v>0.00125404371505979</v>
      </c>
      <c r="I3390" s="25" t="n">
        <f aca="false">IF(G3390="","",C3390/C3389-1)</f>
        <v>-0.034792794195407</v>
      </c>
      <c r="J3390" s="17" t="n">
        <f aca="false">AVERAGE(C3191:C3390)</f>
        <v>46431.5869</v>
      </c>
      <c r="K3390" s="17" t="n">
        <f aca="false">MAX(K3389,C3390)</f>
        <v>73098.48</v>
      </c>
      <c r="L3390" s="25" t="n">
        <f aca="false">C3390/K3390-1</f>
        <v>-0.133233960541998</v>
      </c>
      <c r="M3390" s="25" t="n">
        <f aca="false">IF(COUNT(G3361:G3390)&lt;20,"",_xlfn.STDEV.S(G3361:G3390)*SQRT($R$3))</f>
        <v>0.704187464176283</v>
      </c>
      <c r="N3390" s="25" t="n">
        <f aca="false">IF(A3390-7&lt;$R$2,"",C3390/INDEX(Clean_Data!$C$2:$C$4314,MATCH(A3390-7,Clean_Data!$A$2:$A$4314,1))-1)</f>
        <v>-0.115191233143615</v>
      </c>
      <c r="O3390" s="25" t="n">
        <f aca="false">IF(A3390-30&lt;$R$2,"",C3390/INDEX(Clean_Data!$C$2:$C$4314,MATCH(A3390-30,Clean_Data!$A$2:$A$4314,1))-1)</f>
        <v>-0.0329945519856804</v>
      </c>
    </row>
    <row r="3391" customFormat="false" ht="15" hidden="false" customHeight="false" outlineLevel="0" collapsed="false">
      <c r="A3391" s="16" t="n">
        <v>45398</v>
      </c>
      <c r="B3391" s="23" t="n">
        <f aca="false">YEAR(A3391)</f>
        <v>2024</v>
      </c>
      <c r="C3391" s="17" t="n">
        <v>63840</v>
      </c>
      <c r="D3391" s="23" t="n">
        <f aca="false">A3391-A3390</f>
        <v>1</v>
      </c>
      <c r="E3391" s="24" t="n">
        <f aca="false">LN(C3391)</f>
        <v>11.0641352321237</v>
      </c>
      <c r="F3391" s="25" t="n">
        <f aca="false">LN(C3391/C3390)</f>
        <v>0.00755856933631323</v>
      </c>
      <c r="G3391" s="25" t="n">
        <f aca="false">IF(AND(D3391=1,A3391&gt;=$R$2),F3391,"")</f>
        <v>0.00755856933631323</v>
      </c>
      <c r="H3391" s="27" t="n">
        <f aca="false">IF(G3391="","",G3391^2)</f>
        <v>5.71319704118546E-005</v>
      </c>
      <c r="I3391" s="25" t="n">
        <f aca="false">IF(G3391="","",C3391/C3390-1)</f>
        <v>0.00758720743038754</v>
      </c>
      <c r="J3391" s="17" t="n">
        <f aca="false">AVERAGE(C3192:C3391)</f>
        <v>46616.2854</v>
      </c>
      <c r="K3391" s="17" t="n">
        <f aca="false">MAX(K3390,C3391)</f>
        <v>73098.48</v>
      </c>
      <c r="L3391" s="25" t="n">
        <f aca="false">C3391/K3391-1</f>
        <v>-0.126657626807014</v>
      </c>
      <c r="M3391" s="25" t="n">
        <f aca="false">IF(COUNT(G3362:G3391)&lt;20,"",_xlfn.STDEV.S(G3362:G3391)*SQRT($R$3))</f>
        <v>0.687359472948309</v>
      </c>
      <c r="N3391" s="25" t="n">
        <f aca="false">IF(A3391-7&lt;$R$2,"",C3391/INDEX(Clean_Data!$C$2:$C$4314,MATCH(A3391-7,Clean_Data!$A$2:$A$4314,1))-1)</f>
        <v>-0.0761323926593625</v>
      </c>
      <c r="O3391" s="25" t="n">
        <f aca="false">IF(A3391-30&lt;$R$2,"",C3391/INDEX(Clean_Data!$C$2:$C$4314,MATCH(A3391-30,Clean_Data!$A$2:$A$4314,1))-1)</f>
        <v>-0.0661219044442593</v>
      </c>
    </row>
    <row r="3392" customFormat="false" ht="15" hidden="false" customHeight="false" outlineLevel="0" collapsed="false">
      <c r="A3392" s="16" t="n">
        <v>45399</v>
      </c>
      <c r="B3392" s="23" t="n">
        <f aca="false">YEAR(A3392)</f>
        <v>2024</v>
      </c>
      <c r="C3392" s="17" t="n">
        <v>61267.8</v>
      </c>
      <c r="D3392" s="23" t="n">
        <f aca="false">A3392-A3391</f>
        <v>1</v>
      </c>
      <c r="E3392" s="24" t="n">
        <f aca="false">LN(C3392)</f>
        <v>11.0230096984323</v>
      </c>
      <c r="F3392" s="25" t="n">
        <f aca="false">LN(C3392/C3391)</f>
        <v>-0.0411255336913779</v>
      </c>
      <c r="G3392" s="25" t="n">
        <f aca="false">IF(AND(D3392=1,A3392&gt;=$R$2),F3392,"")</f>
        <v>-0.0411255336913779</v>
      </c>
      <c r="H3392" s="27" t="n">
        <f aca="false">IF(G3392="","",G3392^2)</f>
        <v>0.00169130952140066</v>
      </c>
      <c r="I3392" s="25" t="n">
        <f aca="false">IF(G3392="","",C3392/C3391-1)</f>
        <v>-0.0402913533834586</v>
      </c>
      <c r="J3392" s="17" t="n">
        <f aca="false">AVERAGE(C3193:C3392)</f>
        <v>46787.8274</v>
      </c>
      <c r="K3392" s="17" t="n">
        <f aca="false">MAX(K3391,C3392)</f>
        <v>73098.48</v>
      </c>
      <c r="L3392" s="25" t="n">
        <f aca="false">C3392/K3392-1</f>
        <v>-0.161845772990081</v>
      </c>
      <c r="M3392" s="25" t="n">
        <f aca="false">IF(COUNT(G3363:G3392)&lt;20,"",_xlfn.STDEV.S(G3363:G3392)*SQRT($R$3))</f>
        <v>0.69998661205603</v>
      </c>
      <c r="N3392" s="25" t="n">
        <f aca="false">IF(A3392-7&lt;$R$2,"",C3392/INDEX(Clean_Data!$C$2:$C$4314,MATCH(A3392-7,Clean_Data!$A$2:$A$4314,1))-1)</f>
        <v>-0.131627811982096</v>
      </c>
      <c r="O3392" s="25" t="n">
        <f aca="false">IF(A3392-30&lt;$R$2,"",C3392/INDEX(Clean_Data!$C$2:$C$4314,MATCH(A3392-30,Clean_Data!$A$2:$A$4314,1))-1)</f>
        <v>-0.0932282721064069</v>
      </c>
    </row>
    <row r="3393" customFormat="false" ht="15" hidden="false" customHeight="false" outlineLevel="0" collapsed="false">
      <c r="A3393" s="16" t="n">
        <v>45400</v>
      </c>
      <c r="B3393" s="23" t="n">
        <f aca="false">YEAR(A3393)</f>
        <v>2024</v>
      </c>
      <c r="C3393" s="17" t="n">
        <v>63447.36</v>
      </c>
      <c r="D3393" s="23" t="n">
        <f aca="false">A3393-A3392</f>
        <v>1</v>
      </c>
      <c r="E3393" s="24" t="n">
        <f aca="false">LN(C3393)</f>
        <v>11.0579658647119</v>
      </c>
      <c r="F3393" s="25" t="n">
        <f aca="false">LN(C3393/C3392)</f>
        <v>0.0349561662795906</v>
      </c>
      <c r="G3393" s="25" t="n">
        <f aca="false">IF(AND(D3393=1,A3393&gt;=$R$2),F3393,"")</f>
        <v>0.0349561662795906</v>
      </c>
      <c r="H3393" s="27" t="n">
        <f aca="false">IF(G3393="","",G3393^2)</f>
        <v>0.00122193356096639</v>
      </c>
      <c r="I3393" s="25" t="n">
        <f aca="false">IF(G3393="","",C3393/C3392-1)</f>
        <v>0.03557431472976</v>
      </c>
      <c r="J3393" s="17" t="n">
        <f aca="false">AVERAGE(C3194:C3393)</f>
        <v>46965.08975</v>
      </c>
      <c r="K3393" s="17" t="n">
        <f aca="false">MAX(K3392,C3393)</f>
        <v>73098.48</v>
      </c>
      <c r="L3393" s="25" t="n">
        <f aca="false">C3393/K3393-1</f>
        <v>-0.132029010726352</v>
      </c>
      <c r="M3393" s="25" t="n">
        <f aca="false">IF(COUNT(G3364:G3393)&lt;20,"",_xlfn.STDEV.S(G3364:G3393)*SQRT($R$3))</f>
        <v>0.644455745389486</v>
      </c>
      <c r="N3393" s="25" t="n">
        <f aca="false">IF(A3393-7&lt;$R$2,"",C3393/INDEX(Clean_Data!$C$2:$C$4314,MATCH(A3393-7,Clean_Data!$A$2:$A$4314,1))-1)</f>
        <v>-0.0936267523945249</v>
      </c>
      <c r="O3393" s="25" t="n">
        <f aca="false">IF(A3393-30&lt;$R$2,"",C3393/INDEX(Clean_Data!$C$2:$C$4314,MATCH(A3393-30,Clean_Data!$A$2:$A$4314,1))-1)</f>
        <v>0.0237084279637472</v>
      </c>
    </row>
    <row r="3394" customFormat="false" ht="15" hidden="false" customHeight="false" outlineLevel="0" collapsed="false">
      <c r="A3394" s="16" t="n">
        <v>45401</v>
      </c>
      <c r="B3394" s="23" t="n">
        <f aca="false">YEAR(A3394)</f>
        <v>2024</v>
      </c>
      <c r="C3394" s="17" t="n">
        <v>63836.5</v>
      </c>
      <c r="D3394" s="23" t="n">
        <f aca="false">A3394-A3393</f>
        <v>1</v>
      </c>
      <c r="E3394" s="24" t="n">
        <f aca="false">LN(C3394)</f>
        <v>11.0640804060594</v>
      </c>
      <c r="F3394" s="25" t="n">
        <f aca="false">LN(C3394/C3393)</f>
        <v>0.00611454134746246</v>
      </c>
      <c r="G3394" s="25" t="n">
        <f aca="false">IF(AND(D3394=1,A3394&gt;=$R$2),F3394,"")</f>
        <v>0.00611454134746246</v>
      </c>
      <c r="H3394" s="27" t="n">
        <f aca="false">IF(G3394="","",G3394^2)</f>
        <v>3.73876158898281E-005</v>
      </c>
      <c r="I3394" s="25" t="n">
        <f aca="false">IF(G3394="","",C3394/C3393-1)</f>
        <v>0.00613327331507563</v>
      </c>
      <c r="J3394" s="17" t="n">
        <f aca="false">AVERAGE(C3195:C3394)</f>
        <v>47146.68665</v>
      </c>
      <c r="K3394" s="17" t="n">
        <f aca="false">MAX(K3393,C3394)</f>
        <v>73098.48</v>
      </c>
      <c r="L3394" s="25" t="n">
        <f aca="false">C3394/K3394-1</f>
        <v>-0.12670550741958</v>
      </c>
      <c r="M3394" s="25" t="n">
        <f aca="false">IF(COUNT(G3365:G3394)&lt;20,"",_xlfn.STDEV.S(G3365:G3394)*SQRT($R$3))</f>
        <v>0.557592650978128</v>
      </c>
      <c r="N3394" s="25" t="n">
        <f aca="false">IF(A3394-7&lt;$R$2,"",C3394/INDEX(Clean_Data!$C$2:$C$4314,MATCH(A3394-7,Clean_Data!$A$2:$A$4314,1))-1)</f>
        <v>-0.0487394286788898</v>
      </c>
      <c r="O3394" s="25" t="n">
        <f aca="false">IF(A3394-30&lt;$R$2,"",C3394/INDEX(Clean_Data!$C$2:$C$4314,MATCH(A3394-30,Clean_Data!$A$2:$A$4314,1))-1)</f>
        <v>-0.0593234862404518</v>
      </c>
    </row>
    <row r="3395" customFormat="false" ht="15" hidden="false" customHeight="false" outlineLevel="0" collapsed="false">
      <c r="A3395" s="16" t="n">
        <v>45402</v>
      </c>
      <c r="B3395" s="23" t="n">
        <f aca="false">YEAR(A3395)</f>
        <v>2024</v>
      </c>
      <c r="C3395" s="17" t="n">
        <v>64905.95</v>
      </c>
      <c r="D3395" s="23" t="n">
        <f aca="false">A3395-A3394</f>
        <v>1</v>
      </c>
      <c r="E3395" s="24" t="n">
        <f aca="false">LN(C3395)</f>
        <v>11.0806945779968</v>
      </c>
      <c r="F3395" s="25" t="n">
        <f aca="false">LN(C3395/C3394)</f>
        <v>0.0166141719374402</v>
      </c>
      <c r="G3395" s="25" t="n">
        <f aca="false">IF(AND(D3395=1,A3395&gt;=$R$2),F3395,"")</f>
        <v>0.0166141719374402</v>
      </c>
      <c r="H3395" s="27" t="n">
        <f aca="false">IF(G3395="","",G3395^2)</f>
        <v>0.000276030709166827</v>
      </c>
      <c r="I3395" s="25" t="n">
        <f aca="false">IF(G3395="","",C3395/C3394-1)</f>
        <v>0.016752954814252</v>
      </c>
      <c r="J3395" s="17" t="n">
        <f aca="false">AVERAGE(C3196:C3395)</f>
        <v>47334.1068</v>
      </c>
      <c r="K3395" s="17" t="n">
        <f aca="false">MAX(K3394,C3395)</f>
        <v>73098.48</v>
      </c>
      <c r="L3395" s="25" t="n">
        <f aca="false">C3395/K3395-1</f>
        <v>-0.112075244245845</v>
      </c>
      <c r="M3395" s="25" t="n">
        <f aca="false">IF(COUNT(G3366:G3395)&lt;20,"",_xlfn.STDEV.S(G3366:G3395)*SQRT($R$3))</f>
        <v>0.547893054876197</v>
      </c>
      <c r="N3395" s="25" t="n">
        <f aca="false">IF(A3395-7&lt;$R$2,"",C3395/INDEX(Clean_Data!$C$2:$C$4314,MATCH(A3395-7,Clean_Data!$A$2:$A$4314,1))-1)</f>
        <v>0.0136169847268639</v>
      </c>
      <c r="O3395" s="25" t="n">
        <f aca="false">IF(A3395-30&lt;$R$2,"",C3395/INDEX(Clean_Data!$C$2:$C$4314,MATCH(A3395-30,Clean_Data!$A$2:$A$4314,1))-1)</f>
        <v>-0.0091467673285337</v>
      </c>
    </row>
    <row r="3396" customFormat="false" ht="15" hidden="false" customHeight="false" outlineLevel="0" collapsed="false">
      <c r="A3396" s="16" t="n">
        <v>45403</v>
      </c>
      <c r="B3396" s="23" t="n">
        <f aca="false">YEAR(A3396)</f>
        <v>2024</v>
      </c>
      <c r="C3396" s="17" t="n">
        <v>64950.7</v>
      </c>
      <c r="D3396" s="23" t="n">
        <f aca="false">A3396-A3395</f>
        <v>1</v>
      </c>
      <c r="E3396" s="24" t="n">
        <f aca="false">LN(C3396)</f>
        <v>11.0813837995618</v>
      </c>
      <c r="F3396" s="25" t="n">
        <f aca="false">LN(C3396/C3395)</f>
        <v>0.000689221565032622</v>
      </c>
      <c r="G3396" s="25" t="n">
        <f aca="false">IF(AND(D3396=1,A3396&gt;=$R$2),F3396,"")</f>
        <v>0.000689221565032622</v>
      </c>
      <c r="H3396" s="27" t="n">
        <f aca="false">IF(G3396="","",G3396^2)</f>
        <v>4.75026365706017E-007</v>
      </c>
      <c r="I3396" s="25" t="n">
        <f aca="false">IF(G3396="","",C3396/C3395-1)</f>
        <v>0.000689459132791281</v>
      </c>
      <c r="J3396" s="17" t="n">
        <f aca="false">AVERAGE(C3197:C3396)</f>
        <v>47519.94885</v>
      </c>
      <c r="K3396" s="17" t="n">
        <f aca="false">MAX(K3395,C3396)</f>
        <v>73098.48</v>
      </c>
      <c r="L3396" s="25" t="n">
        <f aca="false">C3396/K3396-1</f>
        <v>-0.111463056413759</v>
      </c>
      <c r="M3396" s="25" t="n">
        <f aca="false">IF(COUNT(G3367:G3396)&lt;20,"",_xlfn.STDEV.S(G3367:G3396)*SQRT($R$3))</f>
        <v>0.538870823585937</v>
      </c>
      <c r="N3396" s="25" t="n">
        <f aca="false">IF(A3396-7&lt;$R$2,"",C3396/INDEX(Clean_Data!$C$2:$C$4314,MATCH(A3396-7,Clean_Data!$A$2:$A$4314,1))-1)</f>
        <v>-0.010549304505159</v>
      </c>
      <c r="O3396" s="25" t="n">
        <f aca="false">IF(A3396-30&lt;$R$2,"",C3396/INDEX(Clean_Data!$C$2:$C$4314,MATCH(A3396-30,Clean_Data!$A$2:$A$4314,1))-1)</f>
        <v>0.0194351369999328</v>
      </c>
    </row>
    <row r="3397" customFormat="false" ht="15" hidden="false" customHeight="false" outlineLevel="0" collapsed="false">
      <c r="A3397" s="16" t="n">
        <v>45404</v>
      </c>
      <c r="B3397" s="23" t="n">
        <f aca="false">YEAR(A3397)</f>
        <v>2024</v>
      </c>
      <c r="C3397" s="17" t="n">
        <v>66828.83</v>
      </c>
      <c r="D3397" s="23" t="n">
        <f aca="false">A3397-A3396</f>
        <v>1</v>
      </c>
      <c r="E3397" s="24" t="n">
        <f aca="false">LN(C3397)</f>
        <v>11.1098898532443</v>
      </c>
      <c r="F3397" s="25" t="n">
        <f aca="false">LN(C3397/C3396)</f>
        <v>0.0285060536824396</v>
      </c>
      <c r="G3397" s="25" t="n">
        <f aca="false">IF(AND(D3397=1,A3397&gt;=$R$2),F3397,"")</f>
        <v>0.0285060536824396</v>
      </c>
      <c r="H3397" s="27" t="n">
        <f aca="false">IF(G3397="","",G3397^2)</f>
        <v>0.000812595096546128</v>
      </c>
      <c r="I3397" s="25" t="n">
        <f aca="false">IF(G3397="","",C3397/C3396-1)</f>
        <v>0.0289162395478417</v>
      </c>
      <c r="J3397" s="17" t="n">
        <f aca="false">AVERAGE(C3198:C3397)</f>
        <v>47716.99605</v>
      </c>
      <c r="K3397" s="17" t="n">
        <f aca="false">MAX(K3396,C3397)</f>
        <v>73098.48</v>
      </c>
      <c r="L3397" s="25" t="n">
        <f aca="false">C3397/K3397-1</f>
        <v>-0.0857699093059117</v>
      </c>
      <c r="M3397" s="25" t="n">
        <f aca="false">IF(COUNT(G3368:G3397)&lt;20,"",_xlfn.STDEV.S(G3368:G3397)*SQRT($R$3))</f>
        <v>0.547432391317266</v>
      </c>
      <c r="N3397" s="25" t="n">
        <f aca="false">IF(A3397-7&lt;$R$2,"",C3397/INDEX(Clean_Data!$C$2:$C$4314,MATCH(A3397-7,Clean_Data!$A$2:$A$4314,1))-1)</f>
        <v>0.0547599341406657</v>
      </c>
      <c r="O3397" s="25" t="n">
        <f aca="false">IF(A3397-30&lt;$R$2,"",C3397/INDEX(Clean_Data!$C$2:$C$4314,MATCH(A3397-30,Clean_Data!$A$2:$A$4314,1))-1)</f>
        <v>0.0436712947888143</v>
      </c>
    </row>
    <row r="3398" customFormat="false" ht="15" hidden="false" customHeight="false" outlineLevel="0" collapsed="false">
      <c r="A3398" s="16" t="n">
        <v>45405</v>
      </c>
      <c r="B3398" s="23" t="n">
        <f aca="false">YEAR(A3398)</f>
        <v>2024</v>
      </c>
      <c r="C3398" s="17" t="n">
        <v>66472.3</v>
      </c>
      <c r="D3398" s="23" t="n">
        <f aca="false">A3398-A3397</f>
        <v>1</v>
      </c>
      <c r="E3398" s="24" t="n">
        <f aca="false">LN(C3398)</f>
        <v>11.1045405985131</v>
      </c>
      <c r="F3398" s="25" t="n">
        <f aca="false">LN(C3398/C3397)</f>
        <v>-0.00534925473116415</v>
      </c>
      <c r="G3398" s="25" t="n">
        <f aca="false">IF(AND(D3398=1,A3398&gt;=$R$2),F3398,"")</f>
        <v>-0.00534925473116415</v>
      </c>
      <c r="H3398" s="27" t="n">
        <f aca="false">IF(G3398="","",G3398^2)</f>
        <v>2.8614526178882E-005</v>
      </c>
      <c r="I3398" s="25" t="n">
        <f aca="false">IF(G3398="","",C3398/C3397-1)</f>
        <v>-0.0053349729450598</v>
      </c>
      <c r="J3398" s="17" t="n">
        <f aca="false">AVERAGE(C3199:C3398)</f>
        <v>47909.61195</v>
      </c>
      <c r="K3398" s="17" t="n">
        <f aca="false">MAX(K3397,C3398)</f>
        <v>73098.48</v>
      </c>
      <c r="L3398" s="25" t="n">
        <f aca="false">C3398/K3398-1</f>
        <v>-0.0906473021053241</v>
      </c>
      <c r="M3398" s="25" t="n">
        <f aca="false">IF(COUNT(G3369:G3398)&lt;20,"",_xlfn.STDEV.S(G3369:G3398)*SQRT($R$3))</f>
        <v>0.519243135582007</v>
      </c>
      <c r="N3398" s="25" t="n">
        <f aca="false">IF(A3398-7&lt;$R$2,"",C3398/INDEX(Clean_Data!$C$2:$C$4314,MATCH(A3398-7,Clean_Data!$A$2:$A$4314,1))-1)</f>
        <v>0.041232769423559</v>
      </c>
      <c r="O3398" s="25" t="n">
        <f aca="false">IF(A3398-30&lt;$R$2,"",C3398/INDEX(Clean_Data!$C$2:$C$4314,MATCH(A3398-30,Clean_Data!$A$2:$A$4314,1))-1)</f>
        <v>-0.0122628517289481</v>
      </c>
    </row>
    <row r="3399" customFormat="false" ht="15" hidden="false" customHeight="false" outlineLevel="0" collapsed="false">
      <c r="A3399" s="16" t="n">
        <v>45406</v>
      </c>
      <c r="B3399" s="23" t="n">
        <f aca="false">YEAR(A3399)</f>
        <v>2024</v>
      </c>
      <c r="C3399" s="17" t="n">
        <v>64198.5</v>
      </c>
      <c r="D3399" s="23" t="n">
        <f aca="false">A3399-A3398</f>
        <v>1</v>
      </c>
      <c r="E3399" s="24" t="n">
        <f aca="false">LN(C3399)</f>
        <v>11.0697351249191</v>
      </c>
      <c r="F3399" s="25" t="n">
        <f aca="false">LN(C3399/C3398)</f>
        <v>-0.0348054735939968</v>
      </c>
      <c r="G3399" s="25" t="n">
        <f aca="false">IF(AND(D3399=1,A3399&gt;=$R$2),F3399,"")</f>
        <v>-0.0348054735939968</v>
      </c>
      <c r="H3399" s="27" t="n">
        <f aca="false">IF(G3399="","",G3399^2)</f>
        <v>0.00121142099210241</v>
      </c>
      <c r="I3399" s="25" t="n">
        <f aca="false">IF(G3399="","",C3399/C3398-1)</f>
        <v>-0.0342067297205002</v>
      </c>
      <c r="J3399" s="17" t="n">
        <f aca="false">AVERAGE(C3200:C3399)</f>
        <v>48090.73405</v>
      </c>
      <c r="K3399" s="17" t="n">
        <f aca="false">MAX(K3398,C3399)</f>
        <v>73098.48</v>
      </c>
      <c r="L3399" s="25" t="n">
        <f aca="false">C3399/K3399-1</f>
        <v>-0.121753284062815</v>
      </c>
      <c r="M3399" s="25" t="n">
        <f aca="false">IF(COUNT(G3370:G3399)&lt;20,"",_xlfn.STDEV.S(G3370:G3399)*SQRT($R$3))</f>
        <v>0.513376801347155</v>
      </c>
      <c r="N3399" s="25" t="n">
        <f aca="false">IF(A3399-7&lt;$R$2,"",C3399/INDEX(Clean_Data!$C$2:$C$4314,MATCH(A3399-7,Clean_Data!$A$2:$A$4314,1))-1)</f>
        <v>0.0478342620430308</v>
      </c>
      <c r="O3399" s="25" t="n">
        <f aca="false">IF(A3399-30&lt;$R$2,"",C3399/INDEX(Clean_Data!$C$2:$C$4314,MATCH(A3399-30,Clean_Data!$A$2:$A$4314,1))-1)</f>
        <v>-0.0817563465063373</v>
      </c>
    </row>
    <row r="3400" customFormat="false" ht="15" hidden="false" customHeight="false" outlineLevel="0" collapsed="false">
      <c r="A3400" s="16" t="n">
        <v>45407</v>
      </c>
      <c r="B3400" s="23" t="n">
        <f aca="false">YEAR(A3400)</f>
        <v>2024</v>
      </c>
      <c r="C3400" s="17" t="n">
        <v>64510.14</v>
      </c>
      <c r="D3400" s="23" t="n">
        <f aca="false">A3400-A3399</f>
        <v>1</v>
      </c>
      <c r="E3400" s="24" t="n">
        <f aca="false">LN(C3400)</f>
        <v>11.0745776997301</v>
      </c>
      <c r="F3400" s="25" t="n">
        <f aca="false">LN(C3400/C3399)</f>
        <v>0.00484257481098461</v>
      </c>
      <c r="G3400" s="25" t="n">
        <f aca="false">IF(AND(D3400=1,A3400&gt;=$R$2),F3400,"")</f>
        <v>0.00484257481098461</v>
      </c>
      <c r="H3400" s="27" t="n">
        <f aca="false">IF(G3400="","",G3400^2)</f>
        <v>2.34505307999827E-005</v>
      </c>
      <c r="I3400" s="25" t="n">
        <f aca="false">IF(G3400="","",C3400/C3399-1)</f>
        <v>0.00485431902614542</v>
      </c>
      <c r="J3400" s="17" t="n">
        <f aca="false">AVERAGE(C3201:C3400)</f>
        <v>48273.59665</v>
      </c>
      <c r="K3400" s="17" t="n">
        <f aca="false">MAX(K3399,C3400)</f>
        <v>73098.48</v>
      </c>
      <c r="L3400" s="25" t="n">
        <f aca="false">C3400/K3400-1</f>
        <v>-0.117489994319991</v>
      </c>
      <c r="M3400" s="25" t="n">
        <f aca="false">IF(COUNT(G3371:G3400)&lt;20,"",_xlfn.STDEV.S(G3371:G3400)*SQRT($R$3))</f>
        <v>0.513923939872115</v>
      </c>
      <c r="N3400" s="25" t="n">
        <f aca="false">IF(A3400-7&lt;$R$2,"",C3400/INDEX(Clean_Data!$C$2:$C$4314,MATCH(A3400-7,Clean_Data!$A$2:$A$4314,1))-1)</f>
        <v>0.0167505787474844</v>
      </c>
      <c r="O3400" s="25" t="n">
        <f aca="false">IF(A3400-30&lt;$R$2,"",C3400/INDEX(Clean_Data!$C$2:$C$4314,MATCH(A3400-30,Clean_Data!$A$2:$A$4314,1))-1)</f>
        <v>-0.0781139203495584</v>
      </c>
    </row>
    <row r="3401" customFormat="false" ht="15" hidden="false" customHeight="false" outlineLevel="0" collapsed="false">
      <c r="A3401" s="16" t="n">
        <v>45408</v>
      </c>
      <c r="B3401" s="23" t="n">
        <f aca="false">YEAR(A3401)</f>
        <v>2024</v>
      </c>
      <c r="C3401" s="17" t="n">
        <v>63747.32</v>
      </c>
      <c r="D3401" s="23" t="n">
        <f aca="false">A3401-A3400</f>
        <v>1</v>
      </c>
      <c r="E3401" s="24" t="n">
        <f aca="false">LN(C3401)</f>
        <v>11.0626824229213</v>
      </c>
      <c r="F3401" s="25" t="n">
        <f aca="false">LN(C3401/C3400)</f>
        <v>-0.0118952768087884</v>
      </c>
      <c r="G3401" s="25" t="n">
        <f aca="false">IF(AND(D3401=1,A3401&gt;=$R$2),F3401,"")</f>
        <v>-0.0118952768087884</v>
      </c>
      <c r="H3401" s="27" t="n">
        <f aca="false">IF(G3401="","",G3401^2)</f>
        <v>0.000141497610357698</v>
      </c>
      <c r="I3401" s="25" t="n">
        <f aca="false">IF(G3401="","",C3401/C3400-1)</f>
        <v>-0.0118248076968985</v>
      </c>
      <c r="J3401" s="17" t="n">
        <f aca="false">AVERAGE(C3202:C3401)</f>
        <v>48454.3961</v>
      </c>
      <c r="K3401" s="17" t="n">
        <f aca="false">MAX(K3400,C3401)</f>
        <v>73098.48</v>
      </c>
      <c r="L3401" s="25" t="n">
        <f aca="false">C3401/K3401-1</f>
        <v>-0.127925505427746</v>
      </c>
      <c r="M3401" s="25" t="n">
        <f aca="false">IF(COUNT(G3372:G3401)&lt;20,"",_xlfn.STDEV.S(G3372:G3401)*SQRT($R$3))</f>
        <v>0.514517560873227</v>
      </c>
      <c r="N3401" s="25" t="n">
        <f aca="false">IF(A3401-7&lt;$R$2,"",C3401/INDEX(Clean_Data!$C$2:$C$4314,MATCH(A3401-7,Clean_Data!$A$2:$A$4314,1))-1)</f>
        <v>-0.00139700641482543</v>
      </c>
      <c r="O3401" s="25" t="n">
        <f aca="false">IF(A3401-30&lt;$R$2,"",C3401/INDEX(Clean_Data!$C$2:$C$4314,MATCH(A3401-30,Clean_Data!$A$2:$A$4314,1))-1)</f>
        <v>-0.0810834186460121</v>
      </c>
    </row>
    <row r="3402" customFormat="false" ht="15" hidden="false" customHeight="false" outlineLevel="0" collapsed="false">
      <c r="A3402" s="16" t="n">
        <v>45409</v>
      </c>
      <c r="B3402" s="23" t="n">
        <f aca="false">YEAR(A3402)</f>
        <v>2024</v>
      </c>
      <c r="C3402" s="17" t="n">
        <v>63445.48</v>
      </c>
      <c r="D3402" s="23" t="n">
        <f aca="false">A3402-A3401</f>
        <v>1</v>
      </c>
      <c r="E3402" s="24" t="n">
        <f aca="false">LN(C3402)</f>
        <v>11.0579362334104</v>
      </c>
      <c r="F3402" s="25" t="n">
        <f aca="false">LN(C3402/C3401)</f>
        <v>-0.0047461895109109</v>
      </c>
      <c r="G3402" s="25" t="n">
        <f aca="false">IF(AND(D3402=1,A3402&gt;=$R$2),F3402,"")</f>
        <v>-0.0047461895109109</v>
      </c>
      <c r="H3402" s="27" t="n">
        <f aca="false">IF(G3402="","",G3402^2)</f>
        <v>2.25263148734806E-005</v>
      </c>
      <c r="I3402" s="25" t="n">
        <f aca="false">IF(G3402="","",C3402/C3401-1)</f>
        <v>-0.00473494415137765</v>
      </c>
      <c r="J3402" s="17" t="n">
        <f aca="false">AVERAGE(C3203:C3402)</f>
        <v>48634.66485</v>
      </c>
      <c r="K3402" s="17" t="n">
        <f aca="false">MAX(K3401,C3402)</f>
        <v>73098.48</v>
      </c>
      <c r="L3402" s="25" t="n">
        <f aca="false">C3402/K3402-1</f>
        <v>-0.132054729455387</v>
      </c>
      <c r="M3402" s="25" t="n">
        <f aca="false">IF(COUNT(G3373:G3402)&lt;20,"",_xlfn.STDEV.S(G3373:G3402)*SQRT($R$3))</f>
        <v>0.50792611751231</v>
      </c>
      <c r="N3402" s="25" t="n">
        <f aca="false">IF(A3402-7&lt;$R$2,"",C3402/INDEX(Clean_Data!$C$2:$C$4314,MATCH(A3402-7,Clean_Data!$A$2:$A$4314,1))-1)</f>
        <v>-0.022501326919951</v>
      </c>
      <c r="O3402" s="25" t="n">
        <f aca="false">IF(A3402-30&lt;$R$2,"",C3402/INDEX(Clean_Data!$C$2:$C$4314,MATCH(A3402-30,Clean_Data!$A$2:$A$4314,1))-1)</f>
        <v>-0.103507408000873</v>
      </c>
    </row>
    <row r="3403" customFormat="false" ht="15" hidden="false" customHeight="false" outlineLevel="0" collapsed="false">
      <c r="A3403" s="16" t="n">
        <v>45410</v>
      </c>
      <c r="B3403" s="23" t="n">
        <f aca="false">YEAR(A3403)</f>
        <v>2024</v>
      </c>
      <c r="C3403" s="17" t="n">
        <v>62991.27</v>
      </c>
      <c r="D3403" s="23" t="n">
        <f aca="false">A3403-A3402</f>
        <v>1</v>
      </c>
      <c r="E3403" s="24" t="n">
        <f aca="false">LN(C3403)</f>
        <v>11.0507514243432</v>
      </c>
      <c r="F3403" s="25" t="n">
        <f aca="false">LN(C3403/C3402)</f>
        <v>-0.00718480906721205</v>
      </c>
      <c r="G3403" s="25" t="n">
        <f aca="false">IF(AND(D3403=1,A3403&gt;=$R$2),F3403,"")</f>
        <v>-0.00718480906721205</v>
      </c>
      <c r="H3403" s="27" t="n">
        <f aca="false">IF(G3403="","",G3403^2)</f>
        <v>5.16214813322925E-005</v>
      </c>
      <c r="I3403" s="25" t="n">
        <f aca="false">IF(G3403="","",C3403/C3402-1)</f>
        <v>-0.00715906003075406</v>
      </c>
      <c r="J3403" s="17" t="n">
        <f aca="false">AVERAGE(C3204:C3403)</f>
        <v>48815.36195</v>
      </c>
      <c r="K3403" s="17" t="n">
        <f aca="false">MAX(K3402,C3403)</f>
        <v>73098.48</v>
      </c>
      <c r="L3403" s="25" t="n">
        <f aca="false">C3403/K3403-1</f>
        <v>-0.138268401750625</v>
      </c>
      <c r="M3403" s="25" t="n">
        <f aca="false">IF(COUNT(G3374:G3403)&lt;20,"",_xlfn.STDEV.S(G3374:G3403)*SQRT($R$3))</f>
        <v>0.507226892639439</v>
      </c>
      <c r="N3403" s="25" t="n">
        <f aca="false">IF(A3403-7&lt;$R$2,"",C3403/INDEX(Clean_Data!$C$2:$C$4314,MATCH(A3403-7,Clean_Data!$A$2:$A$4314,1))-1)</f>
        <v>-0.0301679581590345</v>
      </c>
      <c r="O3403" s="25" t="n">
        <f aca="false">IF(A3403-30&lt;$R$2,"",C3403/INDEX(Clean_Data!$C$2:$C$4314,MATCH(A3403-30,Clean_Data!$A$2:$A$4314,1))-1)</f>
        <v>-0.0992695350471319</v>
      </c>
    </row>
    <row r="3404" customFormat="false" ht="15" hidden="false" customHeight="false" outlineLevel="0" collapsed="false">
      <c r="A3404" s="16" t="n">
        <v>45411</v>
      </c>
      <c r="B3404" s="23" t="n">
        <f aca="false">YEAR(A3404)</f>
        <v>2024</v>
      </c>
      <c r="C3404" s="17" t="n">
        <v>63804.4</v>
      </c>
      <c r="D3404" s="23" t="n">
        <f aca="false">A3404-A3403</f>
        <v>1</v>
      </c>
      <c r="E3404" s="24" t="n">
        <f aca="false">LN(C3404)</f>
        <v>11.0635774324721</v>
      </c>
      <c r="F3404" s="25" t="n">
        <f aca="false">LN(C3404/C3403)</f>
        <v>0.0128260081289199</v>
      </c>
      <c r="G3404" s="25" t="n">
        <f aca="false">IF(AND(D3404=1,A3404&gt;=$R$2),F3404,"")</f>
        <v>0.0128260081289199</v>
      </c>
      <c r="H3404" s="27" t="n">
        <f aca="false">IF(G3404="","",G3404^2)</f>
        <v>0.00016450648452312</v>
      </c>
      <c r="I3404" s="25" t="n">
        <f aca="false">IF(G3404="","",C3404/C3403-1)</f>
        <v>0.0129086141619308</v>
      </c>
      <c r="J3404" s="17" t="n">
        <f aca="false">AVERAGE(C3205:C3404)</f>
        <v>49000.65645</v>
      </c>
      <c r="K3404" s="17" t="n">
        <f aca="false">MAX(K3403,C3404)</f>
        <v>73098.48</v>
      </c>
      <c r="L3404" s="25" t="n">
        <f aca="false">C3404/K3404-1</f>
        <v>-0.12714464103768</v>
      </c>
      <c r="M3404" s="25" t="n">
        <f aca="false">IF(COUNT(G3375:G3404)&lt;20,"",_xlfn.STDEV.S(G3375:G3404)*SQRT($R$3))</f>
        <v>0.510397360178721</v>
      </c>
      <c r="N3404" s="25" t="n">
        <f aca="false">IF(A3404-7&lt;$R$2,"",C3404/INDEX(Clean_Data!$C$2:$C$4314,MATCH(A3404-7,Clean_Data!$A$2:$A$4314,1))-1)</f>
        <v>-0.0452563661521532</v>
      </c>
      <c r="O3404" s="25" t="n">
        <f aca="false">IF(A3404-30&lt;$R$2,"",C3404/INDEX(Clean_Data!$C$2:$C$4314,MATCH(A3404-30,Clean_Data!$A$2:$A$4314,1))-1)</f>
        <v>-0.0839830551422837</v>
      </c>
    </row>
    <row r="3405" customFormat="false" ht="15" hidden="false" customHeight="false" outlineLevel="0" collapsed="false">
      <c r="A3405" s="16" t="n">
        <v>45412</v>
      </c>
      <c r="B3405" s="23" t="n">
        <f aca="false">YEAR(A3405)</f>
        <v>2024</v>
      </c>
      <c r="C3405" s="17" t="n">
        <v>60690.8</v>
      </c>
      <c r="D3405" s="23" t="n">
        <f aca="false">A3405-A3404</f>
        <v>1</v>
      </c>
      <c r="E3405" s="24" t="n">
        <f aca="false">LN(C3405)</f>
        <v>11.0135474004863</v>
      </c>
      <c r="F3405" s="25" t="n">
        <f aca="false">LN(C3405/C3404)</f>
        <v>-0.0500300319858027</v>
      </c>
      <c r="G3405" s="25" t="n">
        <f aca="false">IF(AND(D3405=1,A3405&gt;=$R$2),F3405,"")</f>
        <v>-0.0500300319858027</v>
      </c>
      <c r="H3405" s="27" t="n">
        <f aca="false">IF(G3405="","",G3405^2)</f>
        <v>0.00250300410050044</v>
      </c>
      <c r="I3405" s="25" t="n">
        <f aca="false">IF(G3405="","",C3405/C3404-1)</f>
        <v>-0.0487991423788955</v>
      </c>
      <c r="J3405" s="17" t="n">
        <f aca="false">AVERAGE(C3206:C3405)</f>
        <v>49169.81495</v>
      </c>
      <c r="K3405" s="17" t="n">
        <f aca="false">MAX(K3404,C3405)</f>
        <v>73098.48</v>
      </c>
      <c r="L3405" s="25" t="n">
        <f aca="false">C3405/K3405-1</f>
        <v>-0.169739233975864</v>
      </c>
      <c r="M3405" s="25" t="n">
        <f aca="false">IF(COUNT(G3376:G3405)&lt;20,"",_xlfn.STDEV.S(G3376:G3405)*SQRT($R$3))</f>
        <v>0.52758503606087</v>
      </c>
      <c r="N3405" s="25" t="n">
        <f aca="false">IF(A3405-7&lt;$R$2,"",C3405/INDEX(Clean_Data!$C$2:$C$4314,MATCH(A3405-7,Clean_Data!$A$2:$A$4314,1))-1)</f>
        <v>-0.0869760787576178</v>
      </c>
      <c r="O3405" s="25" t="n">
        <f aca="false">IF(A3405-30&lt;$R$2,"",C3405/INDEX(Clean_Data!$C$2:$C$4314,MATCH(A3405-30,Clean_Data!$A$2:$A$4314,1))-1)</f>
        <v>-0.147758046236149</v>
      </c>
    </row>
    <row r="3406" customFormat="false" ht="15" hidden="false" customHeight="false" outlineLevel="0" collapsed="false">
      <c r="A3406" s="16" t="n">
        <v>45413</v>
      </c>
      <c r="B3406" s="23" t="n">
        <f aca="false">YEAR(A3406)</f>
        <v>2024</v>
      </c>
      <c r="C3406" s="17" t="n">
        <v>58278.09</v>
      </c>
      <c r="D3406" s="23" t="n">
        <f aca="false">A3406-A3405</f>
        <v>1</v>
      </c>
      <c r="E3406" s="24" t="n">
        <f aca="false">LN(C3406)</f>
        <v>10.9729814869512</v>
      </c>
      <c r="F3406" s="25" t="n">
        <f aca="false">LN(C3406/C3405)</f>
        <v>-0.0405659135350724</v>
      </c>
      <c r="G3406" s="25" t="n">
        <f aca="false">IF(AND(D3406=1,A3406&gt;=$R$2),F3406,"")</f>
        <v>-0.0405659135350724</v>
      </c>
      <c r="H3406" s="27" t="n">
        <f aca="false">IF(G3406="","",G3406^2)</f>
        <v>0.00164559334093497</v>
      </c>
      <c r="I3406" s="25" t="n">
        <f aca="false">IF(G3406="","",C3406/C3405-1)</f>
        <v>-0.0397541307743514</v>
      </c>
      <c r="J3406" s="17" t="n">
        <f aca="false">AVERAGE(C3207:C3406)</f>
        <v>49326.91895</v>
      </c>
      <c r="K3406" s="17" t="n">
        <f aca="false">MAX(K3405,C3406)</f>
        <v>73098.48</v>
      </c>
      <c r="L3406" s="25" t="n">
        <f aca="false">C3406/K3406-1</f>
        <v>-0.2027455290452</v>
      </c>
      <c r="M3406" s="25" t="n">
        <f aca="false">IF(COUNT(G3377:G3406)&lt;20,"",_xlfn.STDEV.S(G3377:G3406)*SQRT($R$3))</f>
        <v>0.539027378519877</v>
      </c>
      <c r="N3406" s="25" t="n">
        <f aca="false">IF(A3406-7&lt;$R$2,"",C3406/INDEX(Clean_Data!$C$2:$C$4314,MATCH(A3406-7,Clean_Data!$A$2:$A$4314,1))-1)</f>
        <v>-0.0922203789808174</v>
      </c>
      <c r="O3406" s="25" t="n">
        <f aca="false">IF(A3406-30&lt;$R$2,"",C3406/INDEX(Clean_Data!$C$2:$C$4314,MATCH(A3406-30,Clean_Data!$A$2:$A$4314,1))-1)</f>
        <v>-0.163898004264719</v>
      </c>
    </row>
    <row r="3407" customFormat="false" ht="15" hidden="false" customHeight="false" outlineLevel="0" collapsed="false">
      <c r="A3407" s="16" t="n">
        <v>45414</v>
      </c>
      <c r="B3407" s="23" t="n">
        <f aca="false">YEAR(A3407)</f>
        <v>2024</v>
      </c>
      <c r="C3407" s="17" t="n">
        <v>59071.21</v>
      </c>
      <c r="D3407" s="23" t="n">
        <f aca="false">A3407-A3406</f>
        <v>1</v>
      </c>
      <c r="E3407" s="24" t="n">
        <f aca="false">LN(C3407)</f>
        <v>10.9864989442628</v>
      </c>
      <c r="F3407" s="25" t="n">
        <f aca="false">LN(C3407/C3406)</f>
        <v>0.0135174573115696</v>
      </c>
      <c r="G3407" s="25" t="n">
        <f aca="false">IF(AND(D3407=1,A3407&gt;=$R$2),F3407,"")</f>
        <v>0.0135174573115696</v>
      </c>
      <c r="H3407" s="27" t="n">
        <f aca="false">IF(G3407="","",G3407^2)</f>
        <v>0.000182721652170107</v>
      </c>
      <c r="I3407" s="25" t="n">
        <f aca="false">IF(G3407="","",C3407/C3406-1)</f>
        <v>0.013609231187913</v>
      </c>
      <c r="J3407" s="17" t="n">
        <f aca="false">AVERAGE(C3208:C3407)</f>
        <v>49486.4983</v>
      </c>
      <c r="K3407" s="17" t="n">
        <f aca="false">MAX(K3406,C3407)</f>
        <v>73098.48</v>
      </c>
      <c r="L3407" s="25" t="n">
        <f aca="false">C3407/K3407-1</f>
        <v>-0.191895508634379</v>
      </c>
      <c r="M3407" s="25" t="n">
        <f aca="false">IF(COUNT(G3378:G3407)&lt;20,"",_xlfn.STDEV.S(G3378:G3407)*SQRT($R$3))</f>
        <v>0.502662829785608</v>
      </c>
      <c r="N3407" s="25" t="n">
        <f aca="false">IF(A3407-7&lt;$R$2,"",C3407/INDEX(Clean_Data!$C$2:$C$4314,MATCH(A3407-7,Clean_Data!$A$2:$A$4314,1))-1)</f>
        <v>-0.0843112416125589</v>
      </c>
      <c r="O3407" s="25" t="n">
        <f aca="false">IF(A3407-30&lt;$R$2,"",C3407/INDEX(Clean_Data!$C$2:$C$4314,MATCH(A3407-30,Clean_Data!$A$2:$A$4314,1))-1)</f>
        <v>-0.0978560967154204</v>
      </c>
    </row>
    <row r="3408" customFormat="false" ht="15" hidden="false" customHeight="false" outlineLevel="0" collapsed="false">
      <c r="A3408" s="16" t="n">
        <v>45415</v>
      </c>
      <c r="B3408" s="23" t="n">
        <f aca="false">YEAR(A3408)</f>
        <v>2024</v>
      </c>
      <c r="C3408" s="17" t="n">
        <v>62855.86</v>
      </c>
      <c r="D3408" s="23" t="n">
        <f aca="false">A3408-A3407</f>
        <v>1</v>
      </c>
      <c r="E3408" s="24" t="n">
        <f aca="false">LN(C3408)</f>
        <v>11.04859944754</v>
      </c>
      <c r="F3408" s="25" t="n">
        <f aca="false">LN(C3408/C3407)</f>
        <v>0.0621005032771478</v>
      </c>
      <c r="G3408" s="25" t="n">
        <f aca="false">IF(AND(D3408=1,A3408&gt;=$R$2),F3408,"")</f>
        <v>0.0621005032771478</v>
      </c>
      <c r="H3408" s="27" t="n">
        <f aca="false">IF(G3408="","",G3408^2)</f>
        <v>0.00385647250727504</v>
      </c>
      <c r="I3408" s="25" t="n">
        <f aca="false">IF(G3408="","",C3408/C3407-1)</f>
        <v>0.064069281804114</v>
      </c>
      <c r="J3408" s="17" t="n">
        <f aca="false">AVERAGE(C3209:C3408)</f>
        <v>49658.10615</v>
      </c>
      <c r="K3408" s="17" t="n">
        <f aca="false">MAX(K3407,C3408)</f>
        <v>73098.48</v>
      </c>
      <c r="L3408" s="25" t="n">
        <f aca="false">C3408/K3408-1</f>
        <v>-0.140120834249905</v>
      </c>
      <c r="M3408" s="25" t="n">
        <f aca="false">IF(COUNT(G3379:G3408)&lt;20,"",_xlfn.STDEV.S(G3379:G3408)*SQRT($R$3))</f>
        <v>0.551298834629848</v>
      </c>
      <c r="N3408" s="25" t="n">
        <f aca="false">IF(A3408-7&lt;$R$2,"",C3408/INDEX(Clean_Data!$C$2:$C$4314,MATCH(A3408-7,Clean_Data!$A$2:$A$4314,1))-1)</f>
        <v>-0.0139842741624275</v>
      </c>
      <c r="O3408" s="25" t="n">
        <f aca="false">IF(A3408-30&lt;$R$2,"",C3408/INDEX(Clean_Data!$C$2:$C$4314,MATCH(A3408-30,Clean_Data!$A$2:$A$4314,1))-1)</f>
        <v>-0.0473819996686986</v>
      </c>
    </row>
    <row r="3409" customFormat="false" ht="15" hidden="false" customHeight="false" outlineLevel="0" collapsed="false">
      <c r="A3409" s="16" t="n">
        <v>45416</v>
      </c>
      <c r="B3409" s="23" t="n">
        <f aca="false">YEAR(A3409)</f>
        <v>2024</v>
      </c>
      <c r="C3409" s="17" t="n">
        <v>63994.27</v>
      </c>
      <c r="D3409" s="23" t="n">
        <f aca="false">A3409-A3408</f>
        <v>1</v>
      </c>
      <c r="E3409" s="24" t="n">
        <f aca="false">LN(C3409)</f>
        <v>11.0665488270836</v>
      </c>
      <c r="F3409" s="25" t="n">
        <f aca="false">LN(C3409/C3408)</f>
        <v>0.0179493795436941</v>
      </c>
      <c r="G3409" s="25" t="n">
        <f aca="false">IF(AND(D3409=1,A3409&gt;=$R$2),F3409,"")</f>
        <v>0.0179493795436941</v>
      </c>
      <c r="H3409" s="27" t="n">
        <f aca="false">IF(G3409="","",G3409^2)</f>
        <v>0.000322180226003583</v>
      </c>
      <c r="I3409" s="25" t="n">
        <f aca="false">IF(G3409="","",C3409/C3408-1)</f>
        <v>0.0181114378197991</v>
      </c>
      <c r="J3409" s="17" t="n">
        <f aca="false">AVERAGE(C3210:C3409)</f>
        <v>49836.03655</v>
      </c>
      <c r="K3409" s="17" t="n">
        <f aca="false">MAX(K3408,C3409)</f>
        <v>73098.48</v>
      </c>
      <c r="L3409" s="25" t="n">
        <f aca="false">C3409/K3409-1</f>
        <v>-0.124547186206881</v>
      </c>
      <c r="M3409" s="25" t="n">
        <f aca="false">IF(COUNT(G3380:G3409)&lt;20,"",_xlfn.STDEV.S(G3380:G3409)*SQRT($R$3))</f>
        <v>0.539063484912163</v>
      </c>
      <c r="N3409" s="25" t="n">
        <f aca="false">IF(A3409-7&lt;$R$2,"",C3409/INDEX(Clean_Data!$C$2:$C$4314,MATCH(A3409-7,Clean_Data!$A$2:$A$4314,1))-1)</f>
        <v>0.00864978876351774</v>
      </c>
      <c r="O3409" s="25" t="n">
        <f aca="false">IF(A3409-30&lt;$R$2,"",C3409/INDEX(Clean_Data!$C$2:$C$4314,MATCH(A3409-30,Clean_Data!$A$2:$A$4314,1))-1)</f>
        <v>-0.0646289635511735</v>
      </c>
    </row>
    <row r="3410" customFormat="false" ht="15" hidden="false" customHeight="false" outlineLevel="0" collapsed="false">
      <c r="A3410" s="16" t="n">
        <v>45417</v>
      </c>
      <c r="B3410" s="23" t="n">
        <f aca="false">YEAR(A3410)</f>
        <v>2024</v>
      </c>
      <c r="C3410" s="17" t="n">
        <v>64058.54</v>
      </c>
      <c r="D3410" s="23" t="n">
        <f aca="false">A3410-A3409</f>
        <v>1</v>
      </c>
      <c r="E3410" s="24" t="n">
        <f aca="false">LN(C3410)</f>
        <v>11.0675526317701</v>
      </c>
      <c r="F3410" s="25" t="n">
        <f aca="false">LN(C3410/C3409)</f>
        <v>0.00100380468646754</v>
      </c>
      <c r="G3410" s="25" t="n">
        <f aca="false">IF(AND(D3410=1,A3410&gt;=$R$2),F3410,"")</f>
        <v>0.00100380468646754</v>
      </c>
      <c r="H3410" s="27" t="n">
        <f aca="false">IF(G3410="","",G3410^2)</f>
        <v>1.0076238485742E-006</v>
      </c>
      <c r="I3410" s="25" t="n">
        <f aca="false">IF(G3410="","",C3410/C3409-1)</f>
        <v>0.0010043086670104</v>
      </c>
      <c r="J3410" s="17" t="n">
        <f aca="false">AVERAGE(C3211:C3410)</f>
        <v>50014.7825</v>
      </c>
      <c r="K3410" s="17" t="n">
        <f aca="false">MAX(K3409,C3410)</f>
        <v>73098.48</v>
      </c>
      <c r="L3410" s="25" t="n">
        <f aca="false">C3410/K3410-1</f>
        <v>-0.12366796135843</v>
      </c>
      <c r="M3410" s="25" t="n">
        <f aca="false">IF(COUNT(G3381:G3410)&lt;20,"",_xlfn.STDEV.S(G3381:G3410)*SQRT($R$3))</f>
        <v>0.538781011846221</v>
      </c>
      <c r="N3410" s="25" t="n">
        <f aca="false">IF(A3410-7&lt;$R$2,"",C3410/INDEX(Clean_Data!$C$2:$C$4314,MATCH(A3410-7,Clean_Data!$A$2:$A$4314,1))-1)</f>
        <v>0.0169431414861139</v>
      </c>
      <c r="O3410" s="25" t="n">
        <f aca="false">IF(A3410-30&lt;$R$2,"",C3410/INDEX(Clean_Data!$C$2:$C$4314,MATCH(A3410-30,Clean_Data!$A$2:$A$4314,1))-1)</f>
        <v>-0.0562789376575973</v>
      </c>
    </row>
    <row r="3411" customFormat="false" ht="15" hidden="false" customHeight="false" outlineLevel="0" collapsed="false">
      <c r="A3411" s="16" t="n">
        <v>45418</v>
      </c>
      <c r="B3411" s="23" t="n">
        <f aca="false">YEAR(A3411)</f>
        <v>2024</v>
      </c>
      <c r="C3411" s="17" t="n">
        <v>63145.67</v>
      </c>
      <c r="D3411" s="23" t="n">
        <f aca="false">A3411-A3410</f>
        <v>1</v>
      </c>
      <c r="E3411" s="24" t="n">
        <f aca="false">LN(C3411)</f>
        <v>11.0531995585236</v>
      </c>
      <c r="F3411" s="25" t="n">
        <f aca="false">LN(C3411/C3410)</f>
        <v>-0.0143530732464916</v>
      </c>
      <c r="G3411" s="25" t="n">
        <f aca="false">IF(AND(D3411=1,A3411&gt;=$R$2),F3411,"")</f>
        <v>-0.0143530732464916</v>
      </c>
      <c r="H3411" s="27" t="n">
        <f aca="false">IF(G3411="","",G3411^2)</f>
        <v>0.000206010711619154</v>
      </c>
      <c r="I3411" s="25" t="n">
        <f aca="false">IF(G3411="","",C3411/C3410-1)</f>
        <v>-0.0142505589418679</v>
      </c>
      <c r="J3411" s="17" t="n">
        <f aca="false">AVERAGE(C3212:C3411)</f>
        <v>50186.8383</v>
      </c>
      <c r="K3411" s="17" t="n">
        <f aca="false">MAX(K3410,C3411)</f>
        <v>73098.48</v>
      </c>
      <c r="L3411" s="25" t="n">
        <f aca="false">C3411/K3411-1</f>
        <v>-0.136156182727739</v>
      </c>
      <c r="M3411" s="25" t="n">
        <f aca="false">IF(COUNT(G3382:G3411)&lt;20,"",_xlfn.STDEV.S(G3382:G3411)*SQRT($R$3))</f>
        <v>0.536638713335456</v>
      </c>
      <c r="N3411" s="25" t="n">
        <f aca="false">IF(A3411-7&lt;$R$2,"",C3411/INDEX(Clean_Data!$C$2:$C$4314,MATCH(A3411-7,Clean_Data!$A$2:$A$4314,1))-1)</f>
        <v>-0.0103242096156378</v>
      </c>
      <c r="O3411" s="25" t="n">
        <f aca="false">IF(A3411-30&lt;$R$2,"",C3411/INDEX(Clean_Data!$C$2:$C$4314,MATCH(A3411-30,Clean_Data!$A$2:$A$4314,1))-1)</f>
        <v>-0.084130187456524</v>
      </c>
    </row>
    <row r="3412" customFormat="false" ht="15" hidden="false" customHeight="false" outlineLevel="0" collapsed="false">
      <c r="A3412" s="16" t="n">
        <v>45419</v>
      </c>
      <c r="B3412" s="23" t="n">
        <f aca="false">YEAR(A3412)</f>
        <v>2024</v>
      </c>
      <c r="C3412" s="17" t="n">
        <v>62344.02</v>
      </c>
      <c r="D3412" s="23" t="n">
        <f aca="false">A3412-A3411</f>
        <v>1</v>
      </c>
      <c r="E3412" s="24" t="n">
        <f aca="false">LN(C3412)</f>
        <v>11.0404230363241</v>
      </c>
      <c r="F3412" s="25" t="n">
        <f aca="false">LN(C3412/C3411)</f>
        <v>-0.0127765221995591</v>
      </c>
      <c r="G3412" s="25" t="n">
        <f aca="false">IF(AND(D3412=1,A3412&gt;=$R$2),F3412,"")</f>
        <v>-0.0127765221995591</v>
      </c>
      <c r="H3412" s="27" t="n">
        <f aca="false">IF(G3412="","",G3412^2)</f>
        <v>0.000163239519515828</v>
      </c>
      <c r="I3412" s="25" t="n">
        <f aca="false">IF(G3412="","",C3412/C3411-1)</f>
        <v>-0.0126952489378923</v>
      </c>
      <c r="J3412" s="17" t="n">
        <f aca="false">AVERAGE(C3213:C3412)</f>
        <v>50350.1251</v>
      </c>
      <c r="K3412" s="17" t="n">
        <f aca="false">MAX(K3411,C3412)</f>
        <v>73098.48</v>
      </c>
      <c r="L3412" s="25" t="n">
        <f aca="false">C3412/K3412-1</f>
        <v>-0.14712289503147</v>
      </c>
      <c r="M3412" s="25" t="n">
        <f aca="false">IF(COUNT(G3383:G3412)&lt;20,"",_xlfn.STDEV.S(G3383:G3412)*SQRT($R$3))</f>
        <v>0.536754883267899</v>
      </c>
      <c r="N3412" s="25" t="n">
        <f aca="false">IF(A3412-7&lt;$R$2,"",C3412/INDEX(Clean_Data!$C$2:$C$4314,MATCH(A3412-7,Clean_Data!$A$2:$A$4314,1))-1)</f>
        <v>0.0272400429719166</v>
      </c>
      <c r="O3412" s="25" t="n">
        <f aca="false">IF(A3412-30&lt;$R$2,"",C3412/INDEX(Clean_Data!$C$2:$C$4314,MATCH(A3412-30,Clean_Data!$A$2:$A$4314,1))-1)</f>
        <v>-0.100955702931887</v>
      </c>
    </row>
    <row r="3413" customFormat="false" ht="15" hidden="false" customHeight="false" outlineLevel="0" collapsed="false">
      <c r="A3413" s="16" t="n">
        <v>45420</v>
      </c>
      <c r="B3413" s="23" t="n">
        <f aca="false">YEAR(A3413)</f>
        <v>2024</v>
      </c>
      <c r="C3413" s="17" t="n">
        <v>61156.89</v>
      </c>
      <c r="D3413" s="23" t="n">
        <f aca="false">A3413-A3412</f>
        <v>1</v>
      </c>
      <c r="E3413" s="24" t="n">
        <f aca="false">LN(C3413)</f>
        <v>11.0211978085212</v>
      </c>
      <c r="F3413" s="25" t="n">
        <f aca="false">LN(C3413/C3412)</f>
        <v>-0.0192252278028898</v>
      </c>
      <c r="G3413" s="25" t="n">
        <f aca="false">IF(AND(D3413=1,A3413&gt;=$R$2),F3413,"")</f>
        <v>-0.0192252278028898</v>
      </c>
      <c r="H3413" s="27" t="n">
        <f aca="false">IF(G3413="","",G3413^2)</f>
        <v>0.000369609384073007</v>
      </c>
      <c r="I3413" s="25" t="n">
        <f aca="false">IF(G3413="","",C3413/C3412-1)</f>
        <v>-0.019041601744642</v>
      </c>
      <c r="J3413" s="17" t="n">
        <f aca="false">AVERAGE(C3214:C3413)</f>
        <v>50506.26415</v>
      </c>
      <c r="K3413" s="17" t="n">
        <f aca="false">MAX(K3412,C3413)</f>
        <v>73098.48</v>
      </c>
      <c r="L3413" s="25" t="n">
        <f aca="false">C3413/K3413-1</f>
        <v>-0.163363041201404</v>
      </c>
      <c r="M3413" s="25" t="n">
        <f aca="false">IF(COUNT(G3384:G3413)&lt;20,"",_xlfn.STDEV.S(G3384:G3413)*SQRT($R$3))</f>
        <v>0.523533088716653</v>
      </c>
      <c r="N3413" s="25" t="n">
        <f aca="false">IF(A3413-7&lt;$R$2,"",C3413/INDEX(Clean_Data!$C$2:$C$4314,MATCH(A3413-7,Clean_Data!$A$2:$A$4314,1))-1)</f>
        <v>0.0493976381175156</v>
      </c>
      <c r="O3413" s="25" t="n">
        <f aca="false">IF(A3413-30&lt;$R$2,"",C3413/INDEX(Clean_Data!$C$2:$C$4314,MATCH(A3413-30,Clean_Data!$A$2:$A$4314,1))-1)</f>
        <v>-0.145947485109181</v>
      </c>
    </row>
    <row r="3414" customFormat="false" ht="15" hidden="false" customHeight="false" outlineLevel="0" collapsed="false">
      <c r="A3414" s="16" t="n">
        <v>45421</v>
      </c>
      <c r="B3414" s="23" t="n">
        <f aca="false">YEAR(A3414)</f>
        <v>2024</v>
      </c>
      <c r="C3414" s="17" t="n">
        <v>63088.62</v>
      </c>
      <c r="D3414" s="23" t="n">
        <f aca="false">A3414-A3413</f>
        <v>1</v>
      </c>
      <c r="E3414" s="24" t="n">
        <f aca="false">LN(C3414)</f>
        <v>11.0522956836116</v>
      </c>
      <c r="F3414" s="25" t="n">
        <f aca="false">LN(C3414/C3413)</f>
        <v>0.0310978750904248</v>
      </c>
      <c r="G3414" s="25" t="n">
        <f aca="false">IF(AND(D3414=1,A3414&gt;=$R$2),F3414,"")</f>
        <v>0.0310978750904248</v>
      </c>
      <c r="H3414" s="27" t="n">
        <f aca="false">IF(G3414="","",G3414^2)</f>
        <v>0.000967077835139661</v>
      </c>
      <c r="I3414" s="25" t="n">
        <f aca="false">IF(G3414="","",C3414/C3413-1)</f>
        <v>0.0315864655642235</v>
      </c>
      <c r="J3414" s="17" t="n">
        <f aca="false">AVERAGE(C3215:C3414)</f>
        <v>50671.7666</v>
      </c>
      <c r="K3414" s="17" t="n">
        <f aca="false">MAX(K3413,C3414)</f>
        <v>73098.48</v>
      </c>
      <c r="L3414" s="25" t="n">
        <f aca="false">C3414/K3414-1</f>
        <v>-0.136936636712555</v>
      </c>
      <c r="M3414" s="25" t="n">
        <f aca="false">IF(COUNT(G3385:G3414)&lt;20,"",_xlfn.STDEV.S(G3385:G3414)*SQRT($R$3))</f>
        <v>0.526534479675721</v>
      </c>
      <c r="N3414" s="25" t="n">
        <f aca="false">IF(A3414-7&lt;$R$2,"",C3414/INDEX(Clean_Data!$C$2:$C$4314,MATCH(A3414-7,Clean_Data!$A$2:$A$4314,1))-1)</f>
        <v>0.0680096107731669</v>
      </c>
      <c r="O3414" s="25" t="n">
        <f aca="false">IF(A3414-30&lt;$R$2,"",C3414/INDEX(Clean_Data!$C$2:$C$4314,MATCH(A3414-30,Clean_Data!$A$2:$A$4314,1))-1)</f>
        <v>-0.0870060712747072</v>
      </c>
    </row>
    <row r="3415" customFormat="false" ht="15" hidden="false" customHeight="false" outlineLevel="0" collapsed="false">
      <c r="A3415" s="16" t="n">
        <v>45422</v>
      </c>
      <c r="B3415" s="23" t="n">
        <f aca="false">YEAR(A3415)</f>
        <v>2024</v>
      </c>
      <c r="C3415" s="17" t="n">
        <v>60801.1</v>
      </c>
      <c r="D3415" s="23" t="n">
        <f aca="false">A3415-A3414</f>
        <v>1</v>
      </c>
      <c r="E3415" s="24" t="n">
        <f aca="false">LN(C3415)</f>
        <v>11.0153631598959</v>
      </c>
      <c r="F3415" s="25" t="n">
        <f aca="false">LN(C3415/C3414)</f>
        <v>-0.0369325237157375</v>
      </c>
      <c r="G3415" s="25" t="n">
        <f aca="false">IF(AND(D3415=1,A3415&gt;=$R$2),F3415,"")</f>
        <v>-0.0369325237157375</v>
      </c>
      <c r="H3415" s="27" t="n">
        <f aca="false">IF(G3415="","",G3415^2)</f>
        <v>0.00136401130801351</v>
      </c>
      <c r="I3415" s="25" t="n">
        <f aca="false">IF(G3415="","",C3415/C3414-1)</f>
        <v>-0.0362588371722191</v>
      </c>
      <c r="J3415" s="17" t="n">
        <f aca="false">AVERAGE(C3216:C3415)</f>
        <v>50810.2378</v>
      </c>
      <c r="K3415" s="17" t="n">
        <f aca="false">MAX(K3414,C3415)</f>
        <v>73098.48</v>
      </c>
      <c r="L3415" s="25" t="n">
        <f aca="false">C3415/K3415-1</f>
        <v>-0.168230310671303</v>
      </c>
      <c r="M3415" s="25" t="n">
        <f aca="false">IF(COUNT(G3386:G3415)&lt;20,"",_xlfn.STDEV.S(G3386:G3415)*SQRT($R$3))</f>
        <v>0.532107438486433</v>
      </c>
      <c r="N3415" s="25" t="n">
        <f aca="false">IF(A3415-7&lt;$R$2,"",C3415/INDEX(Clean_Data!$C$2:$C$4314,MATCH(A3415-7,Clean_Data!$A$2:$A$4314,1))-1)</f>
        <v>-0.0326900308101743</v>
      </c>
      <c r="O3415" s="25" t="n">
        <f aca="false">IF(A3415-30&lt;$R$2,"",C3415/INDEX(Clean_Data!$C$2:$C$4314,MATCH(A3415-30,Clean_Data!$A$2:$A$4314,1))-1)</f>
        <v>-0.138242531298734</v>
      </c>
    </row>
    <row r="3416" customFormat="false" ht="15" hidden="false" customHeight="false" outlineLevel="0" collapsed="false">
      <c r="A3416" s="16" t="n">
        <v>45423</v>
      </c>
      <c r="B3416" s="23" t="n">
        <f aca="false">YEAR(A3416)</f>
        <v>2024</v>
      </c>
      <c r="C3416" s="17" t="n">
        <v>60790.01</v>
      </c>
      <c r="D3416" s="23" t="n">
        <f aca="false">A3416-A3415</f>
        <v>1</v>
      </c>
      <c r="E3416" s="24" t="n">
        <f aca="false">LN(C3416)</f>
        <v>11.0151807452435</v>
      </c>
      <c r="F3416" s="25" t="n">
        <f aca="false">LN(C3416/C3415)</f>
        <v>-0.000182414652366414</v>
      </c>
      <c r="G3416" s="25" t="n">
        <f aca="false">IF(AND(D3416=1,A3416&gt;=$R$2),F3416,"")</f>
        <v>-0.000182414652366414</v>
      </c>
      <c r="H3416" s="27" t="n">
        <f aca="false">IF(G3416="","",G3416^2)</f>
        <v>3.32751053979597E-008</v>
      </c>
      <c r="I3416" s="25" t="n">
        <f aca="false">IF(G3416="","",C3416/C3415-1)</f>
        <v>-0.000182398015825314</v>
      </c>
      <c r="J3416" s="17" t="n">
        <f aca="false">AVERAGE(C3217:C3416)</f>
        <v>50944.58825</v>
      </c>
      <c r="K3416" s="17" t="n">
        <f aca="false">MAX(K3415,C3416)</f>
        <v>73098.48</v>
      </c>
      <c r="L3416" s="25" t="n">
        <f aca="false">C3416/K3416-1</f>
        <v>-0.16838202381226</v>
      </c>
      <c r="M3416" s="25" t="n">
        <f aca="false">IF(COUNT(G3387:G3416)&lt;20,"",_xlfn.STDEV.S(G3387:G3416)*SQRT($R$3))</f>
        <v>0.532253460650553</v>
      </c>
      <c r="N3416" s="25" t="n">
        <f aca="false">IF(A3416-7&lt;$R$2,"",C3416/INDEX(Clean_Data!$C$2:$C$4314,MATCH(A3416-7,Clean_Data!$A$2:$A$4314,1))-1)</f>
        <v>-0.0500710454232854</v>
      </c>
      <c r="O3416" s="25" t="n">
        <f aca="false">IF(A3416-30&lt;$R$2,"",C3416/INDEX(Clean_Data!$C$2:$C$4314,MATCH(A3416-30,Clean_Data!$A$2:$A$4314,1))-1)</f>
        <v>-0.131588157715793</v>
      </c>
    </row>
    <row r="3417" customFormat="false" ht="15" hidden="false" customHeight="false" outlineLevel="0" collapsed="false">
      <c r="A3417" s="16" t="n">
        <v>45424</v>
      </c>
      <c r="B3417" s="23" t="n">
        <f aca="false">YEAR(A3417)</f>
        <v>2024</v>
      </c>
      <c r="C3417" s="17" t="n">
        <v>61493.64</v>
      </c>
      <c r="D3417" s="23" t="n">
        <f aca="false">A3417-A3416</f>
        <v>1</v>
      </c>
      <c r="E3417" s="24" t="n">
        <f aca="false">LN(C3417)</f>
        <v>11.0266890338128</v>
      </c>
      <c r="F3417" s="25" t="n">
        <f aca="false">LN(C3417/C3416)</f>
        <v>0.0115082885693061</v>
      </c>
      <c r="G3417" s="25" t="n">
        <f aca="false">IF(AND(D3417=1,A3417&gt;=$R$2),F3417,"")</f>
        <v>0.0115082885693061</v>
      </c>
      <c r="H3417" s="27" t="n">
        <f aca="false">IF(G3417="","",G3417^2)</f>
        <v>0.00013244070579442</v>
      </c>
      <c r="I3417" s="25" t="n">
        <f aca="false">IF(G3417="","",C3417/C3416-1)</f>
        <v>0.011574763682388</v>
      </c>
      <c r="J3417" s="17" t="n">
        <f aca="false">AVERAGE(C3218:C3417)</f>
        <v>51079.6069</v>
      </c>
      <c r="K3417" s="17" t="n">
        <f aca="false">MAX(K3416,C3417)</f>
        <v>73098.48</v>
      </c>
      <c r="L3417" s="25" t="n">
        <f aca="false">C3417/K3417-1</f>
        <v>-0.158756242263861</v>
      </c>
      <c r="M3417" s="25" t="n">
        <f aca="false">IF(COUNT(G3388:G3417)&lt;20,"",_xlfn.STDEV.S(G3388:G3417)*SQRT($R$3))</f>
        <v>0.517370924597147</v>
      </c>
      <c r="N3417" s="25" t="n">
        <f aca="false">IF(A3417-7&lt;$R$2,"",C3417/INDEX(Clean_Data!$C$2:$C$4314,MATCH(A3417-7,Clean_Data!$A$2:$A$4314,1))-1)</f>
        <v>-0.0400399384687818</v>
      </c>
      <c r="O3417" s="25" t="n">
        <f aca="false">IF(A3417-30&lt;$R$2,"",C3417/INDEX(Clean_Data!$C$2:$C$4314,MATCH(A3417-30,Clean_Data!$A$2:$A$4314,1))-1)</f>
        <v>-0.0836515924429649</v>
      </c>
    </row>
    <row r="3418" customFormat="false" ht="15" hidden="false" customHeight="false" outlineLevel="0" collapsed="false">
      <c r="A3418" s="16" t="n">
        <v>45425</v>
      </c>
      <c r="B3418" s="23" t="n">
        <f aca="false">YEAR(A3418)</f>
        <v>2024</v>
      </c>
      <c r="C3418" s="17" t="n">
        <v>62909.03</v>
      </c>
      <c r="D3418" s="23" t="n">
        <f aca="false">A3418-A3417</f>
        <v>1</v>
      </c>
      <c r="E3418" s="24" t="n">
        <f aca="false">LN(C3418)</f>
        <v>11.0494449935929</v>
      </c>
      <c r="F3418" s="25" t="n">
        <f aca="false">LN(C3418/C3417)</f>
        <v>0.022755959780074</v>
      </c>
      <c r="G3418" s="25" t="n">
        <f aca="false">IF(AND(D3418=1,A3418&gt;=$R$2),F3418,"")</f>
        <v>0.022755959780074</v>
      </c>
      <c r="H3418" s="27" t="n">
        <f aca="false">IF(G3418="","",G3418^2)</f>
        <v>0.000517833705512347</v>
      </c>
      <c r="I3418" s="25" t="n">
        <f aca="false">IF(G3418="","",C3418/C3417-1)</f>
        <v>0.0230168518240261</v>
      </c>
      <c r="J3418" s="17" t="n">
        <f aca="false">AVERAGE(C3219:C3418)</f>
        <v>51223.45205</v>
      </c>
      <c r="K3418" s="17" t="n">
        <f aca="false">MAX(K3417,C3418)</f>
        <v>73098.48</v>
      </c>
      <c r="L3418" s="25" t="n">
        <f aca="false">C3418/K3418-1</f>
        <v>-0.139393459344161</v>
      </c>
      <c r="M3418" s="25" t="n">
        <f aca="false">IF(COUNT(G3389:G3418)&lt;20,"",_xlfn.STDEV.S(G3389:G3418)*SQRT($R$3))</f>
        <v>0.499601003107885</v>
      </c>
      <c r="N3418" s="25" t="n">
        <f aca="false">IF(A3418-7&lt;$R$2,"",C3418/INDEX(Clean_Data!$C$2:$C$4314,MATCH(A3418-7,Clean_Data!$A$2:$A$4314,1))-1)</f>
        <v>-0.00374752536476375</v>
      </c>
      <c r="O3418" s="25" t="n">
        <f aca="false">IF(A3418-30&lt;$R$2,"",C3418/INDEX(Clean_Data!$C$2:$C$4314,MATCH(A3418-30,Clean_Data!$A$2:$A$4314,1))-1)</f>
        <v>-0.0175683230783646</v>
      </c>
    </row>
    <row r="3419" customFormat="false" ht="15" hidden="false" customHeight="false" outlineLevel="0" collapsed="false">
      <c r="A3419" s="16" t="n">
        <v>45426</v>
      </c>
      <c r="B3419" s="23" t="n">
        <f aca="false">YEAR(A3419)</f>
        <v>2024</v>
      </c>
      <c r="C3419" s="17" t="n">
        <v>61558.14</v>
      </c>
      <c r="D3419" s="23" t="n">
        <f aca="false">A3419-A3418</f>
        <v>1</v>
      </c>
      <c r="E3419" s="24" t="n">
        <f aca="false">LN(C3419)</f>
        <v>11.0277373730714</v>
      </c>
      <c r="F3419" s="25" t="n">
        <f aca="false">LN(C3419/C3418)</f>
        <v>-0.0217076205214755</v>
      </c>
      <c r="G3419" s="25" t="n">
        <f aca="false">IF(AND(D3419=1,A3419&gt;=$R$2),F3419,"")</f>
        <v>-0.0217076205214755</v>
      </c>
      <c r="H3419" s="27" t="n">
        <f aca="false">IF(G3419="","",G3419^2)</f>
        <v>0.000471220788704385</v>
      </c>
      <c r="I3419" s="25" t="n">
        <f aca="false">IF(G3419="","",C3419/C3418-1)</f>
        <v>-0.0214737057621139</v>
      </c>
      <c r="J3419" s="17" t="n">
        <f aca="false">AVERAGE(C3220:C3419)</f>
        <v>51361.71695</v>
      </c>
      <c r="K3419" s="17" t="n">
        <f aca="false">MAX(K3418,C3419)</f>
        <v>73098.48</v>
      </c>
      <c r="L3419" s="25" t="n">
        <f aca="false">C3419/K3419-1</f>
        <v>-0.157873870975156</v>
      </c>
      <c r="M3419" s="25" t="n">
        <f aca="false">IF(COUNT(G3390:G3419)&lt;20,"",_xlfn.STDEV.S(G3390:G3419)*SQRT($R$3))</f>
        <v>0.496163840603655</v>
      </c>
      <c r="N3419" s="25" t="n">
        <f aca="false">IF(A3419-7&lt;$R$2,"",C3419/INDEX(Clean_Data!$C$2:$C$4314,MATCH(A3419-7,Clean_Data!$A$2:$A$4314,1))-1)</f>
        <v>-0.0126055393925512</v>
      </c>
      <c r="O3419" s="25" t="n">
        <f aca="false">IF(A3419-30&lt;$R$2,"",C3419/INDEX(Clean_Data!$C$2:$C$4314,MATCH(A3419-30,Clean_Data!$A$2:$A$4314,1))-1)</f>
        <v>-0.0622311316680375</v>
      </c>
    </row>
    <row r="3420" customFormat="false" ht="15" hidden="false" customHeight="false" outlineLevel="0" collapsed="false">
      <c r="A3420" s="16" t="n">
        <v>45427</v>
      </c>
      <c r="B3420" s="23" t="n">
        <f aca="false">YEAR(A3420)</f>
        <v>2024</v>
      </c>
      <c r="C3420" s="17" t="n">
        <v>66293.39</v>
      </c>
      <c r="D3420" s="23" t="n">
        <f aca="false">A3420-A3419</f>
        <v>1</v>
      </c>
      <c r="E3420" s="24" t="n">
        <f aca="false">LN(C3420)</f>
        <v>11.1018454728629</v>
      </c>
      <c r="F3420" s="25" t="n">
        <f aca="false">LN(C3420/C3419)</f>
        <v>0.0741080997914698</v>
      </c>
      <c r="G3420" s="25" t="n">
        <f aca="false">IF(AND(D3420=1,A3420&gt;=$R$2),F3420,"")</f>
        <v>0.0741080997914698</v>
      </c>
      <c r="H3420" s="27" t="n">
        <f aca="false">IF(G3420="","",G3420^2)</f>
        <v>0.00549201045470244</v>
      </c>
      <c r="I3420" s="25" t="n">
        <f aca="false">IF(G3420="","",C3420/C3419-1)</f>
        <v>0.0769232143791219</v>
      </c>
      <c r="J3420" s="17" t="n">
        <f aca="false">AVERAGE(C3221:C3420)</f>
        <v>51522.8273</v>
      </c>
      <c r="K3420" s="17" t="n">
        <f aca="false">MAX(K3419,C3420)</f>
        <v>73098.48</v>
      </c>
      <c r="L3420" s="25" t="n">
        <f aca="false">C3420/K3420-1</f>
        <v>-0.0930948222179175</v>
      </c>
      <c r="M3420" s="25" t="n">
        <f aca="false">IF(COUNT(G3391:G3420)&lt;20,"",_xlfn.STDEV.S(G3391:G3420)*SQRT($R$3))</f>
        <v>0.548079116031152</v>
      </c>
      <c r="N3420" s="25" t="n">
        <f aca="false">IF(A3420-7&lt;$R$2,"",C3420/INDEX(Clean_Data!$C$2:$C$4314,MATCH(A3420-7,Clean_Data!$A$2:$A$4314,1))-1)</f>
        <v>0.0839889013322948</v>
      </c>
      <c r="O3420" s="25" t="n">
        <f aca="false">IF(A3420-30&lt;$R$2,"",C3420/INDEX(Clean_Data!$C$2:$C$4314,MATCH(A3420-30,Clean_Data!$A$2:$A$4314,1))-1)</f>
        <v>0.0463090805324808</v>
      </c>
    </row>
    <row r="3421" customFormat="false" ht="15" hidden="false" customHeight="false" outlineLevel="0" collapsed="false">
      <c r="A3421" s="16" t="n">
        <v>45428</v>
      </c>
      <c r="B3421" s="23" t="n">
        <f aca="false">YEAR(A3421)</f>
        <v>2024</v>
      </c>
      <c r="C3421" s="17" t="n">
        <v>65282.62</v>
      </c>
      <c r="D3421" s="23" t="n">
        <f aca="false">A3421-A3420</f>
        <v>1</v>
      </c>
      <c r="E3421" s="24" t="n">
        <f aca="false">LN(C3421)</f>
        <v>11.0864811236365</v>
      </c>
      <c r="F3421" s="25" t="n">
        <f aca="false">LN(C3421/C3420)</f>
        <v>-0.0153643492263385</v>
      </c>
      <c r="G3421" s="25" t="n">
        <f aca="false">IF(AND(D3421=1,A3421&gt;=$R$2),F3421,"")</f>
        <v>-0.0153643492263385</v>
      </c>
      <c r="H3421" s="27" t="n">
        <f aca="false">IF(G3421="","",G3421^2)</f>
        <v>0.00023606322714889</v>
      </c>
      <c r="I3421" s="25" t="n">
        <f aca="false">IF(G3421="","",C3421/C3420-1)</f>
        <v>-0.0152469197909474</v>
      </c>
      <c r="J3421" s="17" t="n">
        <f aca="false">AVERAGE(C3222:C3421)</f>
        <v>51676.4518</v>
      </c>
      <c r="K3421" s="17" t="n">
        <f aca="false">MAX(K3420,C3421)</f>
        <v>73098.48</v>
      </c>
      <c r="L3421" s="25" t="n">
        <f aca="false">C3421/K3421-1</f>
        <v>-0.106922332721556</v>
      </c>
      <c r="M3421" s="25" t="n">
        <f aca="false">IF(COUNT(G3392:G3421)&lt;20,"",_xlfn.STDEV.S(G3392:G3421)*SQRT($R$3))</f>
        <v>0.550720473273394</v>
      </c>
      <c r="N3421" s="25" t="n">
        <f aca="false">IF(A3421-7&lt;$R$2,"",C3421/INDEX(Clean_Data!$C$2:$C$4314,MATCH(A3421-7,Clean_Data!$A$2:$A$4314,1))-1)</f>
        <v>0.0347764779131323</v>
      </c>
      <c r="O3421" s="25" t="n">
        <f aca="false">IF(A3421-30&lt;$R$2,"",C3421/INDEX(Clean_Data!$C$2:$C$4314,MATCH(A3421-30,Clean_Data!$A$2:$A$4314,1))-1)</f>
        <v>0.0225974310776942</v>
      </c>
    </row>
    <row r="3422" customFormat="false" ht="15" hidden="false" customHeight="false" outlineLevel="0" collapsed="false">
      <c r="A3422" s="16" t="n">
        <v>45429</v>
      </c>
      <c r="B3422" s="23" t="n">
        <f aca="false">YEAR(A3422)</f>
        <v>2024</v>
      </c>
      <c r="C3422" s="17" t="n">
        <v>66941.22</v>
      </c>
      <c r="D3422" s="23" t="n">
        <f aca="false">A3422-A3421</f>
        <v>1</v>
      </c>
      <c r="E3422" s="24" t="n">
        <f aca="false">LN(C3422)</f>
        <v>11.1115701998756</v>
      </c>
      <c r="F3422" s="25" t="n">
        <f aca="false">LN(C3422/C3421)</f>
        <v>0.0250890762390757</v>
      </c>
      <c r="G3422" s="25" t="n">
        <f aca="false">IF(AND(D3422=1,A3422&gt;=$R$2),F3422,"")</f>
        <v>0.0250890762390757</v>
      </c>
      <c r="H3422" s="27" t="n">
        <f aca="false">IF(G3422="","",G3422^2)</f>
        <v>0.000629461746530151</v>
      </c>
      <c r="I3422" s="25" t="n">
        <f aca="false">IF(G3422="","",C3422/C3421-1)</f>
        <v>0.0254064558070739</v>
      </c>
      <c r="J3422" s="17" t="n">
        <f aca="false">AVERAGE(C3223:C3422)</f>
        <v>51838.73045</v>
      </c>
      <c r="K3422" s="17" t="n">
        <f aca="false">MAX(K3421,C3422)</f>
        <v>73098.48</v>
      </c>
      <c r="L3422" s="25" t="n">
        <f aca="false">C3422/K3422-1</f>
        <v>-0.0842323944355614</v>
      </c>
      <c r="M3422" s="25" t="n">
        <f aca="false">IF(COUNT(G3393:G3422)&lt;20,"",_xlfn.STDEV.S(G3393:G3422)*SQRT($R$3))</f>
        <v>0.535581420872335</v>
      </c>
      <c r="N3422" s="25" t="n">
        <f aca="false">IF(A3422-7&lt;$R$2,"",C3422/INDEX(Clean_Data!$C$2:$C$4314,MATCH(A3422-7,Clean_Data!$A$2:$A$4314,1))-1)</f>
        <v>0.100986988722244</v>
      </c>
      <c r="O3422" s="25" t="n">
        <f aca="false">IF(A3422-30&lt;$R$2,"",C3422/INDEX(Clean_Data!$C$2:$C$4314,MATCH(A3422-30,Clean_Data!$A$2:$A$4314,1))-1)</f>
        <v>0.0926003545092202</v>
      </c>
    </row>
    <row r="3423" customFormat="false" ht="15" hidden="false" customHeight="false" outlineLevel="0" collapsed="false">
      <c r="A3423" s="16" t="n">
        <v>45430</v>
      </c>
      <c r="B3423" s="23" t="n">
        <f aca="false">YEAR(A3423)</f>
        <v>2024</v>
      </c>
      <c r="C3423" s="17" t="n">
        <v>66982.74</v>
      </c>
      <c r="D3423" s="23" t="n">
        <f aca="false">A3423-A3422</f>
        <v>1</v>
      </c>
      <c r="E3423" s="24" t="n">
        <f aca="false">LN(C3423)</f>
        <v>11.1121902532452</v>
      </c>
      <c r="F3423" s="25" t="n">
        <f aca="false">LN(C3423/C3422)</f>
        <v>0.000620053369542883</v>
      </c>
      <c r="G3423" s="25" t="n">
        <f aca="false">IF(AND(D3423=1,A3423&gt;=$R$2),F3423,"")</f>
        <v>0.000620053369542883</v>
      </c>
      <c r="H3423" s="27" t="n">
        <f aca="false">IF(G3423="","",G3423^2)</f>
        <v>3.84466181081483E-007</v>
      </c>
      <c r="I3423" s="25" t="n">
        <f aca="false">IF(G3423="","",C3423/C3422-1)</f>
        <v>0.000620245642371176</v>
      </c>
      <c r="J3423" s="17" t="n">
        <f aca="false">AVERAGE(C3224:C3423)</f>
        <v>52000.30475</v>
      </c>
      <c r="K3423" s="17" t="n">
        <f aca="false">MAX(K3422,C3423)</f>
        <v>73098.48</v>
      </c>
      <c r="L3423" s="25" t="n">
        <f aca="false">C3423/K3423-1</f>
        <v>-0.0836643935687854</v>
      </c>
      <c r="M3423" s="25" t="n">
        <f aca="false">IF(COUNT(G3394:G3423)&lt;20,"",_xlfn.STDEV.S(G3394:G3423)*SQRT($R$3))</f>
        <v>0.523000630440543</v>
      </c>
      <c r="N3423" s="25" t="n">
        <f aca="false">IF(A3423-7&lt;$R$2,"",C3423/INDEX(Clean_Data!$C$2:$C$4314,MATCH(A3423-7,Clean_Data!$A$2:$A$4314,1))-1)</f>
        <v>0.101870850161071</v>
      </c>
      <c r="O3423" s="25" t="n">
        <f aca="false">IF(A3423-30&lt;$R$2,"",C3423/INDEX(Clean_Data!$C$2:$C$4314,MATCH(A3423-30,Clean_Data!$A$2:$A$4314,1))-1)</f>
        <v>0.0557214673707465</v>
      </c>
    </row>
    <row r="3424" customFormat="false" ht="15" hidden="false" customHeight="false" outlineLevel="0" collapsed="false">
      <c r="A3424" s="16" t="n">
        <v>45431</v>
      </c>
      <c r="B3424" s="23" t="n">
        <f aca="false">YEAR(A3424)</f>
        <v>2024</v>
      </c>
      <c r="C3424" s="17" t="n">
        <v>66267.1</v>
      </c>
      <c r="D3424" s="23" t="n">
        <f aca="false">A3424-A3423</f>
        <v>1</v>
      </c>
      <c r="E3424" s="24" t="n">
        <f aca="false">LN(C3424)</f>
        <v>11.1014488237505</v>
      </c>
      <c r="F3424" s="25" t="n">
        <f aca="false">LN(C3424/C3423)</f>
        <v>-0.0107414294946161</v>
      </c>
      <c r="G3424" s="25" t="n">
        <f aca="false">IF(AND(D3424=1,A3424&gt;=$R$2),F3424,"")</f>
        <v>-0.0107414294946161</v>
      </c>
      <c r="H3424" s="27" t="n">
        <f aca="false">IF(G3424="","",G3424^2)</f>
        <v>0.00011537830758781</v>
      </c>
      <c r="I3424" s="25" t="n">
        <f aca="false">IF(G3424="","",C3424/C3423-1)</f>
        <v>-0.010683946341998</v>
      </c>
      <c r="J3424" s="17" t="n">
        <f aca="false">AVERAGE(C3225:C3424)</f>
        <v>52154.2931</v>
      </c>
      <c r="K3424" s="17" t="n">
        <f aca="false">MAX(K3423,C3424)</f>
        <v>73098.48</v>
      </c>
      <c r="L3424" s="25" t="n">
        <f aca="false">C3424/K3424-1</f>
        <v>-0.0934544740191586</v>
      </c>
      <c r="M3424" s="25" t="n">
        <f aca="false">IF(COUNT(G3395:G3424)&lt;20,"",_xlfn.STDEV.S(G3395:G3424)*SQRT($R$3))</f>
        <v>0.524555991837168</v>
      </c>
      <c r="N3424" s="25" t="n">
        <f aca="false">IF(A3424-7&lt;$R$2,"",C3424/INDEX(Clean_Data!$C$2:$C$4314,MATCH(A3424-7,Clean_Data!$A$2:$A$4314,1))-1)</f>
        <v>0.0776252633605687</v>
      </c>
      <c r="O3424" s="25" t="n">
        <f aca="false">IF(A3424-30&lt;$R$2,"",C3424/INDEX(Clean_Data!$C$2:$C$4314,MATCH(A3424-30,Clean_Data!$A$2:$A$4314,1))-1)</f>
        <v>0.0380753957375484</v>
      </c>
    </row>
    <row r="3425" customFormat="false" ht="15" hidden="false" customHeight="false" outlineLevel="0" collapsed="false">
      <c r="A3425" s="16" t="n">
        <v>45432</v>
      </c>
      <c r="B3425" s="23" t="n">
        <f aca="false">YEAR(A3425)</f>
        <v>2024</v>
      </c>
      <c r="C3425" s="17" t="n">
        <v>71466.21</v>
      </c>
      <c r="D3425" s="23" t="n">
        <f aca="false">A3425-A3424</f>
        <v>1</v>
      </c>
      <c r="E3425" s="24" t="n">
        <f aca="false">LN(C3425)</f>
        <v>11.1769800295649</v>
      </c>
      <c r="F3425" s="25" t="n">
        <f aca="false">LN(C3425/C3424)</f>
        <v>0.0755312058143527</v>
      </c>
      <c r="G3425" s="25" t="n">
        <f aca="false">IF(AND(D3425=1,A3425&gt;=$R$2),F3425,"")</f>
        <v>0.0755312058143527</v>
      </c>
      <c r="H3425" s="27" t="n">
        <f aca="false">IF(G3425="","",G3425^2)</f>
        <v>0.00570496305177011</v>
      </c>
      <c r="I3425" s="25" t="n">
        <f aca="false">IF(G3425="","",C3425/C3424-1)</f>
        <v>0.0784568813181805</v>
      </c>
      <c r="J3425" s="17" t="n">
        <f aca="false">AVERAGE(C3226:C3425)</f>
        <v>52336.9479</v>
      </c>
      <c r="K3425" s="17" t="n">
        <f aca="false">MAX(K3424,C3425)</f>
        <v>73098.48</v>
      </c>
      <c r="L3425" s="25" t="n">
        <f aca="false">C3425/K3425-1</f>
        <v>-0.0223297392777523</v>
      </c>
      <c r="M3425" s="25" t="n">
        <f aca="false">IF(COUNT(G3396:G3425)&lt;20,"",_xlfn.STDEV.S(G3396:G3425)*SQRT($R$3))</f>
        <v>0.583253794767419</v>
      </c>
      <c r="N3425" s="25" t="n">
        <f aca="false">IF(A3425-7&lt;$R$2,"",C3425/INDEX(Clean_Data!$C$2:$C$4314,MATCH(A3425-7,Clean_Data!$A$2:$A$4314,1))-1)</f>
        <v>0.13602466927244</v>
      </c>
      <c r="O3425" s="25" t="n">
        <f aca="false">IF(A3425-30&lt;$R$2,"",C3425/INDEX(Clean_Data!$C$2:$C$4314,MATCH(A3425-30,Clean_Data!$A$2:$A$4314,1))-1)</f>
        <v>0.101073322245495</v>
      </c>
    </row>
    <row r="3426" customFormat="false" ht="15" hidden="false" customHeight="false" outlineLevel="0" collapsed="false">
      <c r="A3426" s="16" t="n">
        <v>45433</v>
      </c>
      <c r="B3426" s="23" t="n">
        <f aca="false">YEAR(A3426)</f>
        <v>2024</v>
      </c>
      <c r="C3426" s="17" t="n">
        <v>70191.19</v>
      </c>
      <c r="D3426" s="23" t="n">
        <f aca="false">A3426-A3425</f>
        <v>1</v>
      </c>
      <c r="E3426" s="24" t="n">
        <f aca="false">LN(C3426)</f>
        <v>11.1589780835628</v>
      </c>
      <c r="F3426" s="25" t="n">
        <f aca="false">LN(C3426/C3425)</f>
        <v>-0.0180019460020868</v>
      </c>
      <c r="G3426" s="25" t="n">
        <f aca="false">IF(AND(D3426=1,A3426&gt;=$R$2),F3426,"")</f>
        <v>-0.0180019460020868</v>
      </c>
      <c r="H3426" s="27" t="n">
        <f aca="false">IF(G3426="","",G3426^2)</f>
        <v>0.00032407005986205</v>
      </c>
      <c r="I3426" s="25" t="n">
        <f aca="false">IF(G3426="","",C3426/C3425-1)</f>
        <v>-0.0178408789272582</v>
      </c>
      <c r="J3426" s="17" t="n">
        <f aca="false">AVERAGE(C3227:C3426)</f>
        <v>52514.2243</v>
      </c>
      <c r="K3426" s="17" t="n">
        <f aca="false">MAX(K3425,C3426)</f>
        <v>73098.48</v>
      </c>
      <c r="L3426" s="25" t="n">
        <f aca="false">C3426/K3426-1</f>
        <v>-0.0397722360300787</v>
      </c>
      <c r="M3426" s="25" t="n">
        <f aca="false">IF(COUNT(G3397:G3426)&lt;20,"",_xlfn.STDEV.S(G3397:G3426)*SQRT($R$3))</f>
        <v>0.587895684035935</v>
      </c>
      <c r="N3426" s="25" t="n">
        <f aca="false">IF(A3426-7&lt;$R$2,"",C3426/INDEX(Clean_Data!$C$2:$C$4314,MATCH(A3426-7,Clean_Data!$A$2:$A$4314,1))-1)</f>
        <v>0.140242216545204</v>
      </c>
      <c r="O3426" s="25" t="n">
        <f aca="false">IF(A3426-30&lt;$R$2,"",C3426/INDEX(Clean_Data!$C$2:$C$4314,MATCH(A3426-30,Clean_Data!$A$2:$A$4314,1))-1)</f>
        <v>0.0806841188778567</v>
      </c>
    </row>
    <row r="3427" customFormat="false" ht="15" hidden="false" customHeight="false" outlineLevel="0" collapsed="false">
      <c r="A3427" s="16" t="n">
        <v>45434</v>
      </c>
      <c r="B3427" s="23" t="n">
        <f aca="false">YEAR(A3427)</f>
        <v>2024</v>
      </c>
      <c r="C3427" s="17" t="n">
        <v>69145.91</v>
      </c>
      <c r="D3427" s="23" t="n">
        <f aca="false">A3427-A3426</f>
        <v>1</v>
      </c>
      <c r="E3427" s="24" t="n">
        <f aca="false">LN(C3427)</f>
        <v>11.1439741885613</v>
      </c>
      <c r="F3427" s="25" t="n">
        <f aca="false">LN(C3427/C3426)</f>
        <v>-0.0150038950014915</v>
      </c>
      <c r="G3427" s="25" t="n">
        <f aca="false">IF(AND(D3427=1,A3427&gt;=$R$2),F3427,"")</f>
        <v>-0.0150038950014915</v>
      </c>
      <c r="H3427" s="27" t="n">
        <f aca="false">IF(G3427="","",G3427^2)</f>
        <v>0.000225116865215783</v>
      </c>
      <c r="I3427" s="25" t="n">
        <f aca="false">IF(G3427="","",C3427/C3426-1)</f>
        <v>-0.0148918974019389</v>
      </c>
      <c r="J3427" s="17" t="n">
        <f aca="false">AVERAGE(C3228:C3427)</f>
        <v>52684.47885</v>
      </c>
      <c r="K3427" s="17" t="n">
        <f aca="false">MAX(K3426,C3427)</f>
        <v>73098.48</v>
      </c>
      <c r="L3427" s="25" t="n">
        <f aca="false">C3427/K3427-1</f>
        <v>-0.0540718493736121</v>
      </c>
      <c r="M3427" s="25" t="n">
        <f aca="false">IF(COUNT(G3398:G3427)&lt;20,"",_xlfn.STDEV.S(G3398:G3427)*SQRT($R$3))</f>
        <v>0.583323078299049</v>
      </c>
      <c r="N3427" s="25" t="n">
        <f aca="false">IF(A3427-7&lt;$R$2,"",C3427/INDEX(Clean_Data!$C$2:$C$4314,MATCH(A3427-7,Clean_Data!$A$2:$A$4314,1))-1)</f>
        <v>0.0430287242815612</v>
      </c>
      <c r="O3427" s="25" t="n">
        <f aca="false">IF(A3427-30&lt;$R$2,"",C3427/INDEX(Clean_Data!$C$2:$C$4314,MATCH(A3427-30,Clean_Data!$A$2:$A$4314,1))-1)</f>
        <v>0.0346718624282365</v>
      </c>
    </row>
    <row r="3428" customFormat="false" ht="15" hidden="false" customHeight="false" outlineLevel="0" collapsed="false">
      <c r="A3428" s="16" t="n">
        <v>45435</v>
      </c>
      <c r="B3428" s="23" t="n">
        <f aca="false">YEAR(A3428)</f>
        <v>2024</v>
      </c>
      <c r="C3428" s="17" t="n">
        <v>67903.82</v>
      </c>
      <c r="D3428" s="23" t="n">
        <f aca="false">A3428-A3427</f>
        <v>1</v>
      </c>
      <c r="E3428" s="24" t="n">
        <f aca="false">LN(C3428)</f>
        <v>11.125847571169</v>
      </c>
      <c r="F3428" s="25" t="n">
        <f aca="false">LN(C3428/C3427)</f>
        <v>-0.0181266173922965</v>
      </c>
      <c r="G3428" s="25" t="n">
        <f aca="false">IF(AND(D3428=1,A3428&gt;=$R$2),F3428,"")</f>
        <v>-0.0181266173922965</v>
      </c>
      <c r="H3428" s="27" t="n">
        <f aca="false">IF(G3428="","",G3428^2)</f>
        <v>0.000328574258086708</v>
      </c>
      <c r="I3428" s="25" t="n">
        <f aca="false">IF(G3428="","",C3428/C3427-1)</f>
        <v>-0.0179633184377789</v>
      </c>
      <c r="J3428" s="17" t="n">
        <f aca="false">AVERAGE(C3229:C3428)</f>
        <v>52848.91865</v>
      </c>
      <c r="K3428" s="17" t="n">
        <f aca="false">MAX(K3427,C3428)</f>
        <v>73098.48</v>
      </c>
      <c r="L3428" s="25" t="n">
        <f aca="false">C3428/K3428-1</f>
        <v>-0.0710638579625731</v>
      </c>
      <c r="M3428" s="25" t="n">
        <f aca="false">IF(COUNT(G3399:G3428)&lt;20,"",_xlfn.STDEV.S(G3399:G3428)*SQRT($R$3))</f>
        <v>0.586803289481993</v>
      </c>
      <c r="N3428" s="25" t="n">
        <f aca="false">IF(A3428-7&lt;$R$2,"",C3428/INDEX(Clean_Data!$C$2:$C$4314,MATCH(A3428-7,Clean_Data!$A$2:$A$4314,1))-1)</f>
        <v>0.0401515747989283</v>
      </c>
      <c r="O3428" s="25" t="n">
        <f aca="false">IF(A3428-30&lt;$R$2,"",C3428/INDEX(Clean_Data!$C$2:$C$4314,MATCH(A3428-30,Clean_Data!$A$2:$A$4314,1))-1)</f>
        <v>0.02153558700391</v>
      </c>
    </row>
    <row r="3429" customFormat="false" ht="15" hidden="false" customHeight="false" outlineLevel="0" collapsed="false">
      <c r="A3429" s="16" t="n">
        <v>45436</v>
      </c>
      <c r="B3429" s="23" t="n">
        <f aca="false">YEAR(A3429)</f>
        <v>2024</v>
      </c>
      <c r="C3429" s="17" t="n">
        <v>68567.61</v>
      </c>
      <c r="D3429" s="23" t="n">
        <f aca="false">A3429-A3428</f>
        <v>1</v>
      </c>
      <c r="E3429" s="24" t="n">
        <f aca="false">LN(C3429)</f>
        <v>11.1355755447782</v>
      </c>
      <c r="F3429" s="25" t="n">
        <f aca="false">LN(C3429/C3428)</f>
        <v>0.00972797360914316</v>
      </c>
      <c r="G3429" s="25" t="n">
        <f aca="false">IF(AND(D3429=1,A3429&gt;=$R$2),F3429,"")</f>
        <v>0.00972797360914316</v>
      </c>
      <c r="H3429" s="27" t="n">
        <f aca="false">IF(G3429="","",G3429^2)</f>
        <v>9.46334705401858E-005</v>
      </c>
      <c r="I3429" s="25" t="n">
        <f aca="false">IF(G3429="","",C3429/C3428-1)</f>
        <v>0.00977544415026999</v>
      </c>
      <c r="J3429" s="17" t="n">
        <f aca="false">AVERAGE(C3230:C3429)</f>
        <v>53016.4369</v>
      </c>
      <c r="K3429" s="17" t="n">
        <f aca="false">MAX(K3428,C3429)</f>
        <v>73098.48</v>
      </c>
      <c r="L3429" s="25" t="n">
        <f aca="false">C3429/K3429-1</f>
        <v>-0.0619830945869189</v>
      </c>
      <c r="M3429" s="25" t="n">
        <f aca="false">IF(COUNT(G3400:G3429)&lt;20,"",_xlfn.STDEV.S(G3400:G3429)*SQRT($R$3))</f>
        <v>0.573283313117815</v>
      </c>
      <c r="N3429" s="25" t="n">
        <f aca="false">IF(A3429-7&lt;$R$2,"",C3429/INDEX(Clean_Data!$C$2:$C$4314,MATCH(A3429-7,Clean_Data!$A$2:$A$4314,1))-1)</f>
        <v>0.0242957926371823</v>
      </c>
      <c r="O3429" s="25" t="n">
        <f aca="false">IF(A3429-30&lt;$R$2,"",C3429/INDEX(Clean_Data!$C$2:$C$4314,MATCH(A3429-30,Clean_Data!$A$2:$A$4314,1))-1)</f>
        <v>0.0680562629967989</v>
      </c>
    </row>
    <row r="3430" customFormat="false" ht="15" hidden="false" customHeight="false" outlineLevel="0" collapsed="false">
      <c r="A3430" s="16" t="n">
        <v>45437</v>
      </c>
      <c r="B3430" s="23" t="n">
        <f aca="false">YEAR(A3430)</f>
        <v>2024</v>
      </c>
      <c r="C3430" s="17" t="n">
        <v>69304.6</v>
      </c>
      <c r="D3430" s="23" t="n">
        <f aca="false">A3430-A3429</f>
        <v>1</v>
      </c>
      <c r="E3430" s="24" t="n">
        <f aca="false">LN(C3430)</f>
        <v>11.1462665610414</v>
      </c>
      <c r="F3430" s="25" t="n">
        <f aca="false">LN(C3430/C3429)</f>
        <v>0.0106910162632924</v>
      </c>
      <c r="G3430" s="25" t="n">
        <f aca="false">IF(AND(D3430=1,A3430&gt;=$R$2),F3430,"")</f>
        <v>0.0106910162632924</v>
      </c>
      <c r="H3430" s="27" t="n">
        <f aca="false">IF(G3430="","",G3430^2)</f>
        <v>0.000114297828741982</v>
      </c>
      <c r="I3430" s="25" t="n">
        <f aca="false">IF(G3430="","",C3430/C3429-1)</f>
        <v>0.0107483693831534</v>
      </c>
      <c r="J3430" s="17" t="n">
        <f aca="false">AVERAGE(C3231:C3430)</f>
        <v>53185.85515</v>
      </c>
      <c r="K3430" s="17" t="n">
        <f aca="false">MAX(K3429,C3430)</f>
        <v>73098.48</v>
      </c>
      <c r="L3430" s="25" t="n">
        <f aca="false">C3430/K3430-1</f>
        <v>-0.0519009423998965</v>
      </c>
      <c r="M3430" s="25" t="n">
        <f aca="false">IF(COUNT(G3401:G3430)&lt;20,"",_xlfn.STDEV.S(G3401:G3430)*SQRT($R$3))</f>
        <v>0.573985827679119</v>
      </c>
      <c r="N3430" s="25" t="n">
        <f aca="false">IF(A3430-7&lt;$R$2,"",C3430/INDEX(Clean_Data!$C$2:$C$4314,MATCH(A3430-7,Clean_Data!$A$2:$A$4314,1))-1)</f>
        <v>0.0346635566117481</v>
      </c>
      <c r="O3430" s="25" t="n">
        <f aca="false">IF(A3430-30&lt;$R$2,"",C3430/INDEX(Clean_Data!$C$2:$C$4314,MATCH(A3430-30,Clean_Data!$A$2:$A$4314,1))-1)</f>
        <v>0.0743210292211427</v>
      </c>
    </row>
    <row r="3431" customFormat="false" ht="15" hidden="false" customHeight="false" outlineLevel="0" collapsed="false">
      <c r="A3431" s="16" t="n">
        <v>45438</v>
      </c>
      <c r="B3431" s="23" t="n">
        <f aca="false">YEAR(A3431)</f>
        <v>2024</v>
      </c>
      <c r="C3431" s="17" t="n">
        <v>68474.6</v>
      </c>
      <c r="D3431" s="23" t="n">
        <f aca="false">A3431-A3430</f>
        <v>1</v>
      </c>
      <c r="E3431" s="24" t="n">
        <f aca="false">LN(C3431)</f>
        <v>11.1342181525662</v>
      </c>
      <c r="F3431" s="25" t="n">
        <f aca="false">LN(C3431/C3430)</f>
        <v>-0.0120484084752395</v>
      </c>
      <c r="G3431" s="25" t="n">
        <f aca="false">IF(AND(D3431=1,A3431&gt;=$R$2),F3431,"")</f>
        <v>-0.0120484084752395</v>
      </c>
      <c r="H3431" s="27" t="n">
        <f aca="false">IF(G3431="","",G3431^2)</f>
        <v>0.000145164146786224</v>
      </c>
      <c r="I3431" s="25" t="n">
        <f aca="false">IF(G3431="","",C3431/C3430-1)</f>
        <v>-0.0119761170254211</v>
      </c>
      <c r="J3431" s="17" t="n">
        <f aca="false">AVERAGE(C3232:C3431)</f>
        <v>53350.31975</v>
      </c>
      <c r="K3431" s="17" t="n">
        <f aca="false">MAX(K3430,C3431)</f>
        <v>73098.48</v>
      </c>
      <c r="L3431" s="25" t="n">
        <f aca="false">C3431/K3431-1</f>
        <v>-0.0632554876654069</v>
      </c>
      <c r="M3431" s="25" t="n">
        <f aca="false">IF(COUNT(G3402:G3431)&lt;20,"",_xlfn.STDEV.S(G3402:G3431)*SQRT($R$3))</f>
        <v>0.574034040463898</v>
      </c>
      <c r="N3431" s="25" t="n">
        <f aca="false">IF(A3431-7&lt;$R$2,"",C3431/INDEX(Clean_Data!$C$2:$C$4314,MATCH(A3431-7,Clean_Data!$A$2:$A$4314,1))-1)</f>
        <v>0.0333121564094401</v>
      </c>
      <c r="O3431" s="25" t="n">
        <f aca="false">IF(A3431-30&lt;$R$2,"",C3431/INDEX(Clean_Data!$C$2:$C$4314,MATCH(A3431-30,Clean_Data!$A$2:$A$4314,1))-1)</f>
        <v>0.0741565292470336</v>
      </c>
    </row>
    <row r="3432" customFormat="false" ht="15" hidden="false" customHeight="false" outlineLevel="0" collapsed="false">
      <c r="A3432" s="16" t="n">
        <v>45439</v>
      </c>
      <c r="B3432" s="23" t="n">
        <f aca="false">YEAR(A3432)</f>
        <v>2024</v>
      </c>
      <c r="C3432" s="17" t="n">
        <v>69363.83</v>
      </c>
      <c r="D3432" s="23" t="n">
        <f aca="false">A3432-A3431</f>
        <v>1</v>
      </c>
      <c r="E3432" s="24" t="n">
        <f aca="false">LN(C3432)</f>
        <v>11.1471208290764</v>
      </c>
      <c r="F3432" s="25" t="n">
        <f aca="false">LN(C3432/C3431)</f>
        <v>0.0129026765101778</v>
      </c>
      <c r="G3432" s="25" t="n">
        <f aca="false">IF(AND(D3432=1,A3432&gt;=$R$2),F3432,"")</f>
        <v>0.0129026765101778</v>
      </c>
      <c r="H3432" s="27" t="n">
        <f aca="false">IF(G3432="","",G3432^2)</f>
        <v>0.000166479061126294</v>
      </c>
      <c r="I3432" s="25" t="n">
        <f aca="false">IF(G3432="","",C3432/C3431-1)</f>
        <v>0.0129862752027758</v>
      </c>
      <c r="J3432" s="17" t="n">
        <f aca="false">AVERAGE(C3233:C3432)</f>
        <v>53513.7924</v>
      </c>
      <c r="K3432" s="17" t="n">
        <f aca="false">MAX(K3431,C3432)</f>
        <v>73098.48</v>
      </c>
      <c r="L3432" s="25" t="n">
        <f aca="false">C3432/K3432-1</f>
        <v>-0.0510906656335398</v>
      </c>
      <c r="M3432" s="25" t="n">
        <f aca="false">IF(COUNT(G3403:G3432)&lt;20,"",_xlfn.STDEV.S(G3403:G3432)*SQRT($R$3))</f>
        <v>0.574575373285616</v>
      </c>
      <c r="N3432" s="25" t="n">
        <f aca="false">IF(A3432-7&lt;$R$2,"",C3432/INDEX(Clean_Data!$C$2:$C$4314,MATCH(A3432-7,Clean_Data!$A$2:$A$4314,1))-1)</f>
        <v>-0.0294178185746803</v>
      </c>
      <c r="O3432" s="25" t="n">
        <f aca="false">IF(A3432-30&lt;$R$2,"",C3432/INDEX(Clean_Data!$C$2:$C$4314,MATCH(A3432-30,Clean_Data!$A$2:$A$4314,1))-1)</f>
        <v>0.0932824529028702</v>
      </c>
    </row>
    <row r="3433" customFormat="false" ht="15" hidden="false" customHeight="false" outlineLevel="0" collapsed="false">
      <c r="A3433" s="16" t="n">
        <v>45440</v>
      </c>
      <c r="B3433" s="23" t="n">
        <f aca="false">YEAR(A3433)</f>
        <v>2024</v>
      </c>
      <c r="C3433" s="17" t="n">
        <v>68350.32</v>
      </c>
      <c r="D3433" s="23" t="n">
        <f aca="false">A3433-A3432</f>
        <v>1</v>
      </c>
      <c r="E3433" s="24" t="n">
        <f aca="false">LN(C3433)</f>
        <v>11.1324015239261</v>
      </c>
      <c r="F3433" s="25" t="n">
        <f aca="false">LN(C3433/C3432)</f>
        <v>-0.0147193051503179</v>
      </c>
      <c r="G3433" s="25" t="n">
        <f aca="false">IF(AND(D3433=1,A3433&gt;=$R$2),F3433,"")</f>
        <v>-0.0147193051503179</v>
      </c>
      <c r="H3433" s="27" t="n">
        <f aca="false">IF(G3433="","",G3433^2)</f>
        <v>0.000216657944108176</v>
      </c>
      <c r="I3433" s="25" t="n">
        <f aca="false">IF(G3433="","",C3433/C3432-1)</f>
        <v>-0.0146115057372119</v>
      </c>
      <c r="J3433" s="17" t="n">
        <f aca="false">AVERAGE(C3234:C3433)</f>
        <v>53669.01495</v>
      </c>
      <c r="K3433" s="17" t="n">
        <f aca="false">MAX(K3432,C3433)</f>
        <v>73098.48</v>
      </c>
      <c r="L3433" s="25" t="n">
        <f aca="false">C3433/K3433-1</f>
        <v>-0.0649556598167292</v>
      </c>
      <c r="M3433" s="25" t="n">
        <f aca="false">IF(COUNT(G3404:G3433)&lt;20,"",_xlfn.STDEV.S(G3404:G3433)*SQRT($R$3))</f>
        <v>0.57684838151924</v>
      </c>
      <c r="N3433" s="25" t="n">
        <f aca="false">IF(A3433-7&lt;$R$2,"",C3433/INDEX(Clean_Data!$C$2:$C$4314,MATCH(A3433-7,Clean_Data!$A$2:$A$4314,1))-1)</f>
        <v>-0.0262265107629603</v>
      </c>
      <c r="O3433" s="25" t="n">
        <f aca="false">IF(A3433-30&lt;$R$2,"",C3433/INDEX(Clean_Data!$C$2:$C$4314,MATCH(A3433-30,Clean_Data!$A$2:$A$4314,1))-1)</f>
        <v>0.0850760748275119</v>
      </c>
    </row>
    <row r="3434" customFormat="false" ht="15" hidden="false" customHeight="false" outlineLevel="0" collapsed="false">
      <c r="A3434" s="16" t="n">
        <v>45441</v>
      </c>
      <c r="B3434" s="23" t="n">
        <f aca="false">YEAR(A3434)</f>
        <v>2024</v>
      </c>
      <c r="C3434" s="17" t="n">
        <v>67573.57</v>
      </c>
      <c r="D3434" s="23" t="n">
        <f aca="false">A3434-A3433</f>
        <v>1</v>
      </c>
      <c r="E3434" s="24" t="n">
        <f aca="false">LN(C3434)</f>
        <v>11.1209722092485</v>
      </c>
      <c r="F3434" s="25" t="n">
        <f aca="false">LN(C3434/C3433)</f>
        <v>-0.0114293146775456</v>
      </c>
      <c r="G3434" s="25" t="n">
        <f aca="false">IF(AND(D3434=1,A3434&gt;=$R$2),F3434,"")</f>
        <v>-0.0114293146775456</v>
      </c>
      <c r="H3434" s="27" t="n">
        <f aca="false">IF(G3434="","",G3434^2)</f>
        <v>0.00013062923399836</v>
      </c>
      <c r="I3434" s="25" t="n">
        <f aca="false">IF(G3434="","",C3434/C3433-1)</f>
        <v>-0.011364248184939</v>
      </c>
      <c r="J3434" s="17" t="n">
        <f aca="false">AVERAGE(C3235:C3434)</f>
        <v>53821.10045</v>
      </c>
      <c r="K3434" s="17" t="n">
        <f aca="false">MAX(K3433,C3434)</f>
        <v>73098.48</v>
      </c>
      <c r="L3434" s="25" t="n">
        <f aca="false">C3434/K3434-1</f>
        <v>-0.0755817357624945</v>
      </c>
      <c r="M3434" s="25" t="n">
        <f aca="false">IF(COUNT(G3405:G3434)&lt;20,"",_xlfn.STDEV.S(G3405:G3434)*SQRT($R$3))</f>
        <v>0.577704597071825</v>
      </c>
      <c r="N3434" s="25" t="n">
        <f aca="false">IF(A3434-7&lt;$R$2,"",C3434/INDEX(Clean_Data!$C$2:$C$4314,MATCH(A3434-7,Clean_Data!$A$2:$A$4314,1))-1)</f>
        <v>-0.0227394505329382</v>
      </c>
      <c r="O3434" s="25" t="n">
        <f aca="false">IF(A3434-30&lt;$R$2,"",C3434/INDEX(Clean_Data!$C$2:$C$4314,MATCH(A3434-30,Clean_Data!$A$2:$A$4314,1))-1)</f>
        <v>0.0590738256295804</v>
      </c>
    </row>
    <row r="3435" customFormat="false" ht="15" hidden="false" customHeight="false" outlineLevel="0" collapsed="false">
      <c r="A3435" s="16" t="n">
        <v>45442</v>
      </c>
      <c r="B3435" s="23" t="n">
        <f aca="false">YEAR(A3435)</f>
        <v>2024</v>
      </c>
      <c r="C3435" s="17" t="n">
        <v>68356.11</v>
      </c>
      <c r="D3435" s="23" t="n">
        <f aca="false">A3435-A3434</f>
        <v>1</v>
      </c>
      <c r="E3435" s="24" t="n">
        <f aca="false">LN(C3435)</f>
        <v>11.1324862309878</v>
      </c>
      <c r="F3435" s="25" t="n">
        <f aca="false">LN(C3435/C3434)</f>
        <v>0.0115140217392903</v>
      </c>
      <c r="G3435" s="25" t="n">
        <f aca="false">IF(AND(D3435=1,A3435&gt;=$R$2),F3435,"")</f>
        <v>0.0115140217392903</v>
      </c>
      <c r="H3435" s="27" t="n">
        <f aca="false">IF(G3435="","",G3435^2)</f>
        <v>0.000132572696612851</v>
      </c>
      <c r="I3435" s="25" t="n">
        <f aca="false">IF(G3435="","",C3435/C3434-1)</f>
        <v>0.0115805632290849</v>
      </c>
      <c r="J3435" s="17" t="n">
        <f aca="false">AVERAGE(C3236:C3435)</f>
        <v>53977.4143</v>
      </c>
      <c r="K3435" s="17" t="n">
        <f aca="false">MAX(K3434,C3435)</f>
        <v>73098.48</v>
      </c>
      <c r="L3435" s="25" t="n">
        <f aca="false">C3435/K3435-1</f>
        <v>-0.0648764516033712</v>
      </c>
      <c r="M3435" s="25" t="n">
        <f aca="false">IF(COUNT(G3406:G3435)&lt;20,"",_xlfn.STDEV.S(G3406:G3435)*SQRT($R$3))</f>
        <v>0.547133339553432</v>
      </c>
      <c r="N3435" s="25" t="n">
        <f aca="false">IF(A3435-7&lt;$R$2,"",C3435/INDEX(Clean_Data!$C$2:$C$4314,MATCH(A3435-7,Clean_Data!$A$2:$A$4314,1))-1)</f>
        <v>0.00666074456488586</v>
      </c>
      <c r="O3435" s="25" t="n">
        <f aca="false">IF(A3435-30&lt;$R$2,"",C3435/INDEX(Clean_Data!$C$2:$C$4314,MATCH(A3435-30,Clean_Data!$A$2:$A$4314,1))-1)</f>
        <v>0.12630102091256</v>
      </c>
    </row>
    <row r="3436" customFormat="false" ht="15" hidden="false" customHeight="false" outlineLevel="0" collapsed="false">
      <c r="A3436" s="16" t="n">
        <v>45443</v>
      </c>
      <c r="B3436" s="23" t="n">
        <f aca="false">YEAR(A3436)</f>
        <v>2024</v>
      </c>
      <c r="C3436" s="17" t="n">
        <v>67506.03</v>
      </c>
      <c r="D3436" s="23" t="n">
        <f aca="false">A3436-A3435</f>
        <v>1</v>
      </c>
      <c r="E3436" s="24" t="n">
        <f aca="false">LN(C3436)</f>
        <v>11.119972206204</v>
      </c>
      <c r="F3436" s="25" t="n">
        <f aca="false">LN(C3436/C3435)</f>
        <v>-0.0125140247838415</v>
      </c>
      <c r="G3436" s="25" t="n">
        <f aca="false">IF(AND(D3436=1,A3436&gt;=$R$2),F3436,"")</f>
        <v>-0.0125140247838415</v>
      </c>
      <c r="H3436" s="27" t="n">
        <f aca="false">IF(G3436="","",G3436^2)</f>
        <v>0.000156600816290599</v>
      </c>
      <c r="I3436" s="25" t="n">
        <f aca="false">IF(G3436="","",C3436/C3435-1)</f>
        <v>-0.012436049974172</v>
      </c>
      <c r="J3436" s="17" t="n">
        <f aca="false">AVERAGE(C3237:C3436)</f>
        <v>54132.5922</v>
      </c>
      <c r="K3436" s="17" t="n">
        <f aca="false">MAX(K3435,C3436)</f>
        <v>73098.48</v>
      </c>
      <c r="L3436" s="25" t="n">
        <f aca="false">C3436/K3436-1</f>
        <v>-0.0765056947832568</v>
      </c>
      <c r="M3436" s="25" t="n">
        <f aca="false">IF(COUNT(G3407:G3436)&lt;20,"",_xlfn.STDEV.S(G3407:G3436)*SQRT($R$3))</f>
        <v>0.526767905336275</v>
      </c>
      <c r="N3436" s="25" t="n">
        <f aca="false">IF(A3436-7&lt;$R$2,"",C3436/INDEX(Clean_Data!$C$2:$C$4314,MATCH(A3436-7,Clean_Data!$A$2:$A$4314,1))-1)</f>
        <v>-0.0154822371670823</v>
      </c>
      <c r="O3436" s="25" t="n">
        <f aca="false">IF(A3436-30&lt;$R$2,"",C3436/INDEX(Clean_Data!$C$2:$C$4314,MATCH(A3436-30,Clean_Data!$A$2:$A$4314,1))-1)</f>
        <v>0.158343212689366</v>
      </c>
    </row>
    <row r="3437" customFormat="false" ht="15" hidden="false" customHeight="false" outlineLevel="0" collapsed="false">
      <c r="A3437" s="16" t="n">
        <v>45444</v>
      </c>
      <c r="B3437" s="23" t="n">
        <f aca="false">YEAR(A3437)</f>
        <v>2024</v>
      </c>
      <c r="C3437" s="17" t="n">
        <v>67719.96</v>
      </c>
      <c r="D3437" s="23" t="n">
        <f aca="false">A3437-A3436</f>
        <v>1</v>
      </c>
      <c r="E3437" s="24" t="n">
        <f aca="false">LN(C3437)</f>
        <v>11.1231362455794</v>
      </c>
      <c r="F3437" s="25" t="n">
        <f aca="false">LN(C3437/C3436)</f>
        <v>0.00316403937547308</v>
      </c>
      <c r="G3437" s="25" t="n">
        <f aca="false">IF(AND(D3437=1,A3437&gt;=$R$2),F3437,"")</f>
        <v>0.00316403937547308</v>
      </c>
      <c r="H3437" s="27" t="n">
        <f aca="false">IF(G3437="","",G3437^2)</f>
        <v>1.00111451695441E-005</v>
      </c>
      <c r="I3437" s="25" t="n">
        <f aca="false">IF(G3437="","",C3437/C3436-1)</f>
        <v>0.0031690502315127</v>
      </c>
      <c r="J3437" s="17" t="n">
        <f aca="false">AVERAGE(C3238:C3437)</f>
        <v>54293.428</v>
      </c>
      <c r="K3437" s="17" t="n">
        <f aca="false">MAX(K3436,C3437)</f>
        <v>73098.48</v>
      </c>
      <c r="L3437" s="25" t="n">
        <f aca="false">C3437/K3437-1</f>
        <v>-0.0735790949415089</v>
      </c>
      <c r="M3437" s="25" t="n">
        <f aca="false">IF(COUNT(G3408:G3437)&lt;20,"",_xlfn.STDEV.S(G3408:G3437)*SQRT($R$3))</f>
        <v>0.525873220422009</v>
      </c>
      <c r="N3437" s="25" t="n">
        <f aca="false">IF(A3437-7&lt;$R$2,"",C3437/INDEX(Clean_Data!$C$2:$C$4314,MATCH(A3437-7,Clean_Data!$A$2:$A$4314,1))-1)</f>
        <v>-0.0228648603411606</v>
      </c>
      <c r="O3437" s="25" t="n">
        <f aca="false">IF(A3437-30&lt;$R$2,"",C3437/INDEX(Clean_Data!$C$2:$C$4314,MATCH(A3437-30,Clean_Data!$A$2:$A$4314,1))-1)</f>
        <v>0.146412270884582</v>
      </c>
    </row>
    <row r="3438" customFormat="false" ht="15" hidden="false" customHeight="false" outlineLevel="0" collapsed="false">
      <c r="A3438" s="16" t="n">
        <v>45445</v>
      </c>
      <c r="B3438" s="23" t="n">
        <f aca="false">YEAR(A3438)</f>
        <v>2024</v>
      </c>
      <c r="C3438" s="17" t="n">
        <v>67721.84</v>
      </c>
      <c r="D3438" s="23" t="n">
        <f aca="false">A3438-A3437</f>
        <v>1</v>
      </c>
      <c r="E3438" s="24" t="n">
        <f aca="false">LN(C3438)</f>
        <v>11.1231640065808</v>
      </c>
      <c r="F3438" s="25" t="n">
        <f aca="false">LN(C3438/C3437)</f>
        <v>2.77610014059293E-005</v>
      </c>
      <c r="G3438" s="25" t="n">
        <f aca="false">IF(AND(D3438=1,A3438&gt;=$R$2),F3438,"")</f>
        <v>2.77610014059293E-005</v>
      </c>
      <c r="H3438" s="27" t="n">
        <f aca="false">IF(G3438="","",G3438^2)</f>
        <v>7.70673199060009E-010</v>
      </c>
      <c r="I3438" s="25" t="n">
        <f aca="false">IF(G3438="","",C3438/C3437-1)</f>
        <v>2.77613867460946E-005</v>
      </c>
      <c r="J3438" s="17" t="n">
        <f aca="false">AVERAGE(C3239:C3438)</f>
        <v>54442.6556</v>
      </c>
      <c r="K3438" s="17" t="n">
        <f aca="false">MAX(K3437,C3438)</f>
        <v>73098.48</v>
      </c>
      <c r="L3438" s="25" t="n">
        <f aca="false">C3438/K3438-1</f>
        <v>-0.0735533762124739</v>
      </c>
      <c r="M3438" s="25" t="n">
        <f aca="false">IF(COUNT(G3409:G3438)&lt;20,"",_xlfn.STDEV.S(G3409:G3438)*SQRT($R$3))</f>
        <v>0.483222944706067</v>
      </c>
      <c r="N3438" s="25" t="n">
        <f aca="false">IF(A3438-7&lt;$R$2,"",C3438/INDEX(Clean_Data!$C$2:$C$4314,MATCH(A3438-7,Clean_Data!$A$2:$A$4314,1))-1)</f>
        <v>-0.0109932734181727</v>
      </c>
      <c r="O3438" s="25" t="n">
        <f aca="false">IF(A3438-30&lt;$R$2,"",C3438/INDEX(Clean_Data!$C$2:$C$4314,MATCH(A3438-30,Clean_Data!$A$2:$A$4314,1))-1)</f>
        <v>0.0774148981495122</v>
      </c>
    </row>
    <row r="3439" customFormat="false" ht="15" hidden="false" customHeight="false" outlineLevel="0" collapsed="false">
      <c r="A3439" s="16" t="n">
        <v>45446</v>
      </c>
      <c r="B3439" s="23" t="n">
        <f aca="false">YEAR(A3439)</f>
        <v>2024</v>
      </c>
      <c r="C3439" s="17" t="n">
        <v>68794.57</v>
      </c>
      <c r="D3439" s="23" t="n">
        <f aca="false">A3439-A3438</f>
        <v>1</v>
      </c>
      <c r="E3439" s="24" t="n">
        <f aca="false">LN(C3439)</f>
        <v>11.1388800963881</v>
      </c>
      <c r="F3439" s="25" t="n">
        <f aca="false">LN(C3439/C3438)</f>
        <v>0.0157160898072857</v>
      </c>
      <c r="G3439" s="25" t="n">
        <f aca="false">IF(AND(D3439=1,A3439&gt;=$R$2),F3439,"")</f>
        <v>0.0157160898072857</v>
      </c>
      <c r="H3439" s="27" t="n">
        <f aca="false">IF(G3439="","",G3439^2)</f>
        <v>0.00024699547883067</v>
      </c>
      <c r="I3439" s="25" t="n">
        <f aca="false">IF(G3439="","",C3439/C3438-1)</f>
        <v>0.0158402370638484</v>
      </c>
      <c r="J3439" s="17" t="n">
        <f aca="false">AVERAGE(C3240:C3439)</f>
        <v>54605.8783</v>
      </c>
      <c r="K3439" s="17" t="n">
        <f aca="false">MAX(K3438,C3439)</f>
        <v>73098.48</v>
      </c>
      <c r="L3439" s="25" t="n">
        <f aca="false">C3439/K3439-1</f>
        <v>-0.0588782420646775</v>
      </c>
      <c r="M3439" s="25" t="n">
        <f aca="false">IF(COUNT(G3410:G3439)&lt;20,"",_xlfn.STDEV.S(G3410:G3439)*SQRT($R$3))</f>
        <v>0.482385487210822</v>
      </c>
      <c r="N3439" s="25" t="n">
        <f aca="false">IF(A3439-7&lt;$R$2,"",C3439/INDEX(Clean_Data!$C$2:$C$4314,MATCH(A3439-7,Clean_Data!$A$2:$A$4314,1))-1)</f>
        <v>-0.00820687092970496</v>
      </c>
      <c r="O3439" s="25" t="n">
        <f aca="false">IF(A3439-30&lt;$R$2,"",C3439/INDEX(Clean_Data!$C$2:$C$4314,MATCH(A3439-30,Clean_Data!$A$2:$A$4314,1))-1)</f>
        <v>0.0750114033647076</v>
      </c>
    </row>
    <row r="3440" customFormat="false" ht="15" hidden="false" customHeight="false" outlineLevel="0" collapsed="false">
      <c r="A3440" s="16" t="n">
        <v>45447</v>
      </c>
      <c r="B3440" s="23" t="n">
        <f aca="false">YEAR(A3440)</f>
        <v>2024</v>
      </c>
      <c r="C3440" s="17" t="n">
        <v>70596.56</v>
      </c>
      <c r="D3440" s="23" t="n">
        <f aca="false">A3440-A3439</f>
        <v>1</v>
      </c>
      <c r="E3440" s="24" t="n">
        <f aca="false">LN(C3440)</f>
        <v>11.1647366970818</v>
      </c>
      <c r="F3440" s="25" t="n">
        <f aca="false">LN(C3440/C3439)</f>
        <v>0.0258566006936225</v>
      </c>
      <c r="G3440" s="25" t="n">
        <f aca="false">IF(AND(D3440=1,A3440&gt;=$R$2),F3440,"")</f>
        <v>0.0258566006936225</v>
      </c>
      <c r="H3440" s="27" t="n">
        <f aca="false">IF(G3440="","",G3440^2)</f>
        <v>0.000668563799429439</v>
      </c>
      <c r="I3440" s="25" t="n">
        <f aca="false">IF(G3440="","",C3440/C3439-1)</f>
        <v>0.0261937824453296</v>
      </c>
      <c r="J3440" s="17" t="n">
        <f aca="false">AVERAGE(C3241:C3440)</f>
        <v>54775.7281</v>
      </c>
      <c r="K3440" s="17" t="n">
        <f aca="false">MAX(K3439,C3440)</f>
        <v>73098.48</v>
      </c>
      <c r="L3440" s="25" t="n">
        <f aca="false">C3440/K3440-1</f>
        <v>-0.0342267034827537</v>
      </c>
      <c r="M3440" s="25" t="n">
        <f aca="false">IF(COUNT(G3411:G3440)&lt;20,"",_xlfn.STDEV.S(G3411:G3440)*SQRT($R$3))</f>
        <v>0.489213925372871</v>
      </c>
      <c r="N3440" s="25" t="n">
        <f aca="false">IF(A3440-7&lt;$R$2,"",C3440/INDEX(Clean_Data!$C$2:$C$4314,MATCH(A3440-7,Clean_Data!$A$2:$A$4314,1))-1)</f>
        <v>0.0328636354592047</v>
      </c>
      <c r="O3440" s="25" t="n">
        <f aca="false">IF(A3440-30&lt;$R$2,"",C3440/INDEX(Clean_Data!$C$2:$C$4314,MATCH(A3440-30,Clean_Data!$A$2:$A$4314,1))-1)</f>
        <v>0.102063206560749</v>
      </c>
    </row>
    <row r="3441" customFormat="false" ht="15" hidden="false" customHeight="false" outlineLevel="0" collapsed="false">
      <c r="A3441" s="16" t="n">
        <v>45448</v>
      </c>
      <c r="B3441" s="23" t="n">
        <f aca="false">YEAR(A3441)</f>
        <v>2024</v>
      </c>
      <c r="C3441" s="17" t="n">
        <v>71164.39</v>
      </c>
      <c r="D3441" s="23" t="n">
        <f aca="false">A3441-A3440</f>
        <v>1</v>
      </c>
      <c r="E3441" s="24" t="n">
        <f aca="false">LN(C3441)</f>
        <v>11.1727478318387</v>
      </c>
      <c r="F3441" s="25" t="n">
        <f aca="false">LN(C3441/C3440)</f>
        <v>0.00801113475691983</v>
      </c>
      <c r="G3441" s="25" t="n">
        <f aca="false">IF(AND(D3441=1,A3441&gt;=$R$2),F3441,"")</f>
        <v>0.00801113475691983</v>
      </c>
      <c r="H3441" s="27" t="n">
        <f aca="false">IF(G3441="","",G3441^2)</f>
        <v>6.4178280093529E-005</v>
      </c>
      <c r="I3441" s="25" t="n">
        <f aca="false">IF(G3441="","",C3441/C3440-1)</f>
        <v>0.00804330975900247</v>
      </c>
      <c r="J3441" s="17" t="n">
        <f aca="false">AVERAGE(C3242:C3441)</f>
        <v>54948.5723</v>
      </c>
      <c r="K3441" s="17" t="n">
        <f aca="false">MAX(K3440,C3441)</f>
        <v>73098.48</v>
      </c>
      <c r="L3441" s="25" t="n">
        <f aca="false">C3441/K3441-1</f>
        <v>-0.0264586897018926</v>
      </c>
      <c r="M3441" s="25" t="n">
        <f aca="false">IF(COUNT(G3412:G3441)&lt;20,"",_xlfn.STDEV.S(G3412:G3441)*SQRT($R$3))</f>
        <v>0.485295375205066</v>
      </c>
      <c r="N3441" s="25" t="n">
        <f aca="false">IF(A3441-7&lt;$R$2,"",C3441/INDEX(Clean_Data!$C$2:$C$4314,MATCH(A3441-7,Clean_Data!$A$2:$A$4314,1))-1)</f>
        <v>0.0531394153069016</v>
      </c>
      <c r="O3441" s="25" t="n">
        <f aca="false">IF(A3441-30&lt;$R$2,"",C3441/INDEX(Clean_Data!$C$2:$C$4314,MATCH(A3441-30,Clean_Data!$A$2:$A$4314,1))-1)</f>
        <v>0.126987646183816</v>
      </c>
    </row>
    <row r="3442" customFormat="false" ht="15" hidden="false" customHeight="false" outlineLevel="0" collapsed="false">
      <c r="A3442" s="16" t="n">
        <v>45449</v>
      </c>
      <c r="B3442" s="23" t="n">
        <f aca="false">YEAR(A3442)</f>
        <v>2024</v>
      </c>
      <c r="C3442" s="17" t="n">
        <v>70770.7</v>
      </c>
      <c r="D3442" s="23" t="n">
        <f aca="false">A3442-A3441</f>
        <v>1</v>
      </c>
      <c r="E3442" s="24" t="n">
        <f aca="false">LN(C3442)</f>
        <v>11.1672003522177</v>
      </c>
      <c r="F3442" s="25" t="n">
        <f aca="false">LN(C3442/C3441)</f>
        <v>-0.00554747962092933</v>
      </c>
      <c r="G3442" s="25" t="n">
        <f aca="false">IF(AND(D3442=1,A3442&gt;=$R$2),F3442,"")</f>
        <v>-0.00554747962092933</v>
      </c>
      <c r="H3442" s="27" t="n">
        <f aca="false">IF(G3442="","",G3442^2)</f>
        <v>3.07745301446262E-005</v>
      </c>
      <c r="I3442" s="25" t="n">
        <f aca="false">IF(G3442="","",C3442/C3441-1)</f>
        <v>-0.00553212076995258</v>
      </c>
      <c r="J3442" s="17" t="n">
        <f aca="false">AVERAGE(C3243:C3442)</f>
        <v>55115.4632</v>
      </c>
      <c r="K3442" s="17" t="n">
        <f aca="false">MAX(K3441,C3442)</f>
        <v>73098.48</v>
      </c>
      <c r="L3442" s="25" t="n">
        <f aca="false">C3442/K3442-1</f>
        <v>-0.0318444378049995</v>
      </c>
      <c r="M3442" s="25" t="n">
        <f aca="false">IF(COUNT(G3413:G3442)&lt;20,"",_xlfn.STDEV.S(G3413:G3442)*SQRT($R$3))</f>
        <v>0.482801506741605</v>
      </c>
      <c r="N3442" s="25" t="n">
        <f aca="false">IF(A3442-7&lt;$R$2,"",C3442/INDEX(Clean_Data!$C$2:$C$4314,MATCH(A3442-7,Clean_Data!$A$2:$A$4314,1))-1)</f>
        <v>0.0353236894258611</v>
      </c>
      <c r="O3442" s="25" t="n">
        <f aca="false">IF(A3442-30&lt;$R$2,"",C3442/INDEX(Clean_Data!$C$2:$C$4314,MATCH(A3442-30,Clean_Data!$A$2:$A$4314,1))-1)</f>
        <v>0.135164206607145</v>
      </c>
    </row>
    <row r="3443" customFormat="false" ht="15" hidden="false" customHeight="false" outlineLevel="0" collapsed="false">
      <c r="A3443" s="16" t="n">
        <v>45450</v>
      </c>
      <c r="B3443" s="23" t="n">
        <f aca="false">YEAR(A3443)</f>
        <v>2024</v>
      </c>
      <c r="C3443" s="17" t="n">
        <v>69283.58</v>
      </c>
      <c r="D3443" s="23" t="n">
        <f aca="false">A3443-A3442</f>
        <v>1</v>
      </c>
      <c r="E3443" s="24" t="n">
        <f aca="false">LN(C3443)</f>
        <v>11.1459632162661</v>
      </c>
      <c r="F3443" s="25" t="n">
        <f aca="false">LN(C3443/C3442)</f>
        <v>-0.0212371359516088</v>
      </c>
      <c r="G3443" s="25" t="n">
        <f aca="false">IF(AND(D3443=1,A3443&gt;=$R$2),F3443,"")</f>
        <v>-0.0212371359516088</v>
      </c>
      <c r="H3443" s="27" t="n">
        <f aca="false">IF(G3443="","",G3443^2)</f>
        <v>0.000451015943427115</v>
      </c>
      <c r="I3443" s="25" t="n">
        <f aca="false">IF(G3443="","",C3443/C3442-1)</f>
        <v>-0.0210132159212781</v>
      </c>
      <c r="J3443" s="17" t="n">
        <f aca="false">AVERAGE(C3244:C3443)</f>
        <v>55274.5007</v>
      </c>
      <c r="K3443" s="17" t="n">
        <f aca="false">MAX(K3442,C3443)</f>
        <v>73098.48</v>
      </c>
      <c r="L3443" s="25" t="n">
        <f aca="false">C3443/K3443-1</f>
        <v>-0.0521884996787895</v>
      </c>
      <c r="M3443" s="25" t="n">
        <f aca="false">IF(COUNT(G3414:G3443)&lt;20,"",_xlfn.STDEV.S(G3414:G3443)*SQRT($R$3))</f>
        <v>0.484080794898086</v>
      </c>
      <c r="N3443" s="25" t="n">
        <f aca="false">IF(A3443-7&lt;$R$2,"",C3443/INDEX(Clean_Data!$C$2:$C$4314,MATCH(A3443-7,Clean_Data!$A$2:$A$4314,1))-1)</f>
        <v>0.0263317217735957</v>
      </c>
      <c r="O3443" s="25" t="n">
        <f aca="false">IF(A3443-30&lt;$R$2,"",C3443/INDEX(Clean_Data!$C$2:$C$4314,MATCH(A3443-30,Clean_Data!$A$2:$A$4314,1))-1)</f>
        <v>0.132882656394071</v>
      </c>
    </row>
    <row r="3444" customFormat="false" ht="15" hidden="false" customHeight="false" outlineLevel="0" collapsed="false">
      <c r="A3444" s="16" t="n">
        <v>45451</v>
      </c>
      <c r="B3444" s="23" t="n">
        <f aca="false">YEAR(A3444)</f>
        <v>2024</v>
      </c>
      <c r="C3444" s="17" t="n">
        <v>69305.9</v>
      </c>
      <c r="D3444" s="23" t="n">
        <f aca="false">A3444-A3443</f>
        <v>1</v>
      </c>
      <c r="E3444" s="24" t="n">
        <f aca="false">LN(C3444)</f>
        <v>11.1462853186392</v>
      </c>
      <c r="F3444" s="25" t="n">
        <f aca="false">LN(C3444/C3443)</f>
        <v>0.0003221023730368</v>
      </c>
      <c r="G3444" s="25" t="n">
        <f aca="false">IF(AND(D3444=1,A3444&gt;=$R$2),F3444,"")</f>
        <v>0.0003221023730368</v>
      </c>
      <c r="H3444" s="27" t="n">
        <f aca="false">IF(G3444="","",G3444^2)</f>
        <v>1.03749938715938E-007</v>
      </c>
      <c r="I3444" s="25" t="n">
        <f aca="false">IF(G3444="","",C3444/C3443-1)</f>
        <v>0.00032215425357629</v>
      </c>
      <c r="J3444" s="17" t="n">
        <f aca="false">AVERAGE(C3245:C3444)</f>
        <v>55442.3593</v>
      </c>
      <c r="K3444" s="17" t="n">
        <f aca="false">MAX(K3443,C3444)</f>
        <v>73098.48</v>
      </c>
      <c r="L3444" s="25" t="n">
        <f aca="false">C3444/K3444-1</f>
        <v>-0.0518831581723724</v>
      </c>
      <c r="M3444" s="25" t="n">
        <f aca="false">IF(COUNT(G3415:G3444)&lt;20,"",_xlfn.STDEV.S(G3415:G3444)*SQRT($R$3))</f>
        <v>0.474329183219598</v>
      </c>
      <c r="N3444" s="25" t="n">
        <f aca="false">IF(A3444-7&lt;$R$2,"",C3444/INDEX(Clean_Data!$C$2:$C$4314,MATCH(A3444-7,Clean_Data!$A$2:$A$4314,1))-1)</f>
        <v>0.0234190923916668</v>
      </c>
      <c r="O3444" s="25" t="n">
        <f aca="false">IF(A3444-30&lt;$R$2,"",C3444/INDEX(Clean_Data!$C$2:$C$4314,MATCH(A3444-30,Clean_Data!$A$2:$A$4314,1))-1)</f>
        <v>0.0985483594347125</v>
      </c>
    </row>
    <row r="3445" customFormat="false" ht="15" hidden="false" customHeight="false" outlineLevel="0" collapsed="false">
      <c r="A3445" s="16" t="n">
        <v>45452</v>
      </c>
      <c r="B3445" s="23" t="n">
        <f aca="false">YEAR(A3445)</f>
        <v>2024</v>
      </c>
      <c r="C3445" s="17" t="n">
        <v>69654.99</v>
      </c>
      <c r="D3445" s="23" t="n">
        <f aca="false">A3445-A3444</f>
        <v>1</v>
      </c>
      <c r="E3445" s="24" t="n">
        <f aca="false">LN(C3445)</f>
        <v>11.1513096205756</v>
      </c>
      <c r="F3445" s="25" t="n">
        <f aca="false">LN(C3445/C3444)</f>
        <v>0.00502430193642764</v>
      </c>
      <c r="G3445" s="25" t="n">
        <f aca="false">IF(AND(D3445=1,A3445&gt;=$R$2),F3445,"")</f>
        <v>0.00502430193642764</v>
      </c>
      <c r="H3445" s="27" t="n">
        <f aca="false">IF(G3445="","",G3445^2)</f>
        <v>2.52436099483905E-005</v>
      </c>
      <c r="I3445" s="25" t="n">
        <f aca="false">IF(G3445="","",C3445/C3444-1)</f>
        <v>0.00503694490656659</v>
      </c>
      <c r="J3445" s="17" t="n">
        <f aca="false">AVERAGE(C3246:C3445)</f>
        <v>55603.41495</v>
      </c>
      <c r="K3445" s="17" t="n">
        <f aca="false">MAX(K3444,C3445)</f>
        <v>73098.48</v>
      </c>
      <c r="L3445" s="25" t="n">
        <f aca="false">C3445/K3445-1</f>
        <v>-0.0471075458750988</v>
      </c>
      <c r="M3445" s="25" t="n">
        <f aca="false">IF(COUNT(G3416:G3445)&lt;20,"",_xlfn.STDEV.S(G3416:G3445)*SQRT($R$3))</f>
        <v>0.45176398612045</v>
      </c>
      <c r="N3445" s="25" t="n">
        <f aca="false">IF(A3445-7&lt;$R$2,"",C3445/INDEX(Clean_Data!$C$2:$C$4314,MATCH(A3445-7,Clean_Data!$A$2:$A$4314,1))-1)</f>
        <v>0.0285454441285118</v>
      </c>
      <c r="O3445" s="25" t="n">
        <f aca="false">IF(A3445-30&lt;$R$2,"",C3445/INDEX(Clean_Data!$C$2:$C$4314,MATCH(A3445-30,Clean_Data!$A$2:$A$4314,1))-1)</f>
        <v>0.145620556207043</v>
      </c>
    </row>
    <row r="3446" customFormat="false" ht="15" hidden="false" customHeight="false" outlineLevel="0" collapsed="false">
      <c r="A3446" s="16" t="n">
        <v>45453</v>
      </c>
      <c r="B3446" s="23" t="n">
        <f aca="false">YEAR(A3446)</f>
        <v>2024</v>
      </c>
      <c r="C3446" s="17" t="n">
        <v>69490.62</v>
      </c>
      <c r="D3446" s="23" t="n">
        <f aca="false">A3446-A3445</f>
        <v>1</v>
      </c>
      <c r="E3446" s="24" t="n">
        <f aca="false">LN(C3446)</f>
        <v>11.1489470584156</v>
      </c>
      <c r="F3446" s="25" t="n">
        <f aca="false">LN(C3446/C3445)</f>
        <v>-0.00236256215996089</v>
      </c>
      <c r="G3446" s="25" t="n">
        <f aca="false">IF(AND(D3446=1,A3446&gt;=$R$2),F3446,"")</f>
        <v>-0.00236256215996089</v>
      </c>
      <c r="H3446" s="27" t="n">
        <f aca="false">IF(G3446="","",G3446^2)</f>
        <v>5.58169995967908E-006</v>
      </c>
      <c r="I3446" s="25" t="n">
        <f aca="false">IF(G3446="","",C3446/C3445-1)</f>
        <v>-0.00235977350653571</v>
      </c>
      <c r="J3446" s="17" t="n">
        <f aca="false">AVERAGE(C3247:C3446)</f>
        <v>55764.37805</v>
      </c>
      <c r="K3446" s="17" t="n">
        <f aca="false">MAX(K3445,C3446)</f>
        <v>73098.48</v>
      </c>
      <c r="L3446" s="25" t="n">
        <f aca="false">C3446/K3446-1</f>
        <v>-0.0493561562429206</v>
      </c>
      <c r="M3446" s="25" t="n">
        <f aca="false">IF(COUNT(G3417:G3446)&lt;20,"",_xlfn.STDEV.S(G3417:G3446)*SQRT($R$3))</f>
        <v>0.452114176013996</v>
      </c>
      <c r="N3446" s="25" t="n">
        <f aca="false">IF(A3446-7&lt;$R$2,"",C3446/INDEX(Clean_Data!$C$2:$C$4314,MATCH(A3446-7,Clean_Data!$A$2:$A$4314,1))-1)</f>
        <v>0.0101178043557797</v>
      </c>
      <c r="O3446" s="25" t="n">
        <f aca="false">IF(A3446-30&lt;$R$2,"",C3446/INDEX(Clean_Data!$C$2:$C$4314,MATCH(A3446-30,Clean_Data!$A$2:$A$4314,1))-1)</f>
        <v>0.143125655021277</v>
      </c>
    </row>
    <row r="3447" customFormat="false" ht="15" hidden="false" customHeight="false" outlineLevel="0" collapsed="false">
      <c r="A3447" s="16" t="n">
        <v>45454</v>
      </c>
      <c r="B3447" s="23" t="n">
        <f aca="false">YEAR(A3447)</f>
        <v>2024</v>
      </c>
      <c r="C3447" s="17" t="n">
        <v>67316.44</v>
      </c>
      <c r="D3447" s="23" t="n">
        <f aca="false">A3447-A3446</f>
        <v>1</v>
      </c>
      <c r="E3447" s="24" t="n">
        <f aca="false">LN(C3447)</f>
        <v>11.1171597651477</v>
      </c>
      <c r="F3447" s="25" t="n">
        <f aca="false">LN(C3447/C3446)</f>
        <v>-0.0317872932679536</v>
      </c>
      <c r="G3447" s="25" t="n">
        <f aca="false">IF(AND(D3447=1,A3447&gt;=$R$2),F3447,"")</f>
        <v>-0.0317872932679536</v>
      </c>
      <c r="H3447" s="27" t="n">
        <f aca="false">IF(G3447="","",G3447^2)</f>
        <v>0.00101043201330289</v>
      </c>
      <c r="I3447" s="25" t="n">
        <f aca="false">IF(G3447="","",C3447/C3446-1)</f>
        <v>-0.031287388139579</v>
      </c>
      <c r="J3447" s="17" t="n">
        <f aca="false">AVERAGE(C3248:C3447)</f>
        <v>55912.23055</v>
      </c>
      <c r="K3447" s="17" t="n">
        <f aca="false">MAX(K3446,C3447)</f>
        <v>73098.48</v>
      </c>
      <c r="L3447" s="25" t="n">
        <f aca="false">C3447/K3447-1</f>
        <v>-0.0790993191650496</v>
      </c>
      <c r="M3447" s="25" t="n">
        <f aca="false">IF(COUNT(G3418:G3447)&lt;20,"",_xlfn.STDEV.S(G3418:G3447)*SQRT($R$3))</f>
        <v>0.468541250614487</v>
      </c>
      <c r="N3447" s="25" t="n">
        <f aca="false">IF(A3447-7&lt;$R$2,"",C3447/INDEX(Clean_Data!$C$2:$C$4314,MATCH(A3447-7,Clean_Data!$A$2:$A$4314,1))-1)</f>
        <v>-0.0464628871435094</v>
      </c>
      <c r="O3447" s="25" t="n">
        <f aca="false">IF(A3447-30&lt;$R$2,"",C3447/INDEX(Clean_Data!$C$2:$C$4314,MATCH(A3447-30,Clean_Data!$A$2:$A$4314,1))-1)</f>
        <v>0.0946894670733429</v>
      </c>
    </row>
    <row r="3448" customFormat="false" ht="15" hidden="false" customHeight="false" outlineLevel="0" collapsed="false">
      <c r="A3448" s="16" t="n">
        <v>45455</v>
      </c>
      <c r="B3448" s="23" t="n">
        <f aca="false">YEAR(A3448)</f>
        <v>2024</v>
      </c>
      <c r="C3448" s="17" t="n">
        <v>68270.98</v>
      </c>
      <c r="D3448" s="23" t="n">
        <f aca="false">A3448-A3447</f>
        <v>1</v>
      </c>
      <c r="E3448" s="24" t="n">
        <f aca="false">LN(C3448)</f>
        <v>11.1312400650771</v>
      </c>
      <c r="F3448" s="25" t="n">
        <f aca="false">LN(C3448/C3447)</f>
        <v>0.0140802999294421</v>
      </c>
      <c r="G3448" s="25" t="n">
        <f aca="false">IF(AND(D3448=1,A3448&gt;=$R$2),F3448,"")</f>
        <v>0.0140802999294421</v>
      </c>
      <c r="H3448" s="27" t="n">
        <f aca="false">IF(G3448="","",G3448^2)</f>
        <v>0.000198254846103048</v>
      </c>
      <c r="I3448" s="25" t="n">
        <f aca="false">IF(G3448="","",C3448/C3447-1)</f>
        <v>0.0141798942427733</v>
      </c>
      <c r="J3448" s="17" t="n">
        <f aca="false">AVERAGE(C3249:C3448)</f>
        <v>56064.5767</v>
      </c>
      <c r="K3448" s="17" t="n">
        <f aca="false">MAX(K3447,C3448)</f>
        <v>73098.48</v>
      </c>
      <c r="L3448" s="25" t="n">
        <f aca="false">C3448/K3448-1</f>
        <v>-0.0660410449027121</v>
      </c>
      <c r="M3448" s="25" t="n">
        <f aca="false">IF(COUNT(G3419:G3448)&lt;20,"",_xlfn.STDEV.S(G3419:G3448)*SQRT($R$3))</f>
        <v>0.464903892155719</v>
      </c>
      <c r="N3448" s="25" t="n">
        <f aca="false">IF(A3448-7&lt;$R$2,"",C3448/INDEX(Clean_Data!$C$2:$C$4314,MATCH(A3448-7,Clean_Data!$A$2:$A$4314,1))-1)</f>
        <v>-0.0406581156671195</v>
      </c>
      <c r="O3448" s="25" t="n">
        <f aca="false">IF(A3448-30&lt;$R$2,"",C3448/INDEX(Clean_Data!$C$2:$C$4314,MATCH(A3448-30,Clean_Data!$A$2:$A$4314,1))-1)</f>
        <v>0.0852333917722146</v>
      </c>
    </row>
    <row r="3449" customFormat="false" ht="15" hidden="false" customHeight="false" outlineLevel="0" collapsed="false">
      <c r="A3449" s="16" t="n">
        <v>45456</v>
      </c>
      <c r="B3449" s="23" t="n">
        <f aca="false">YEAR(A3449)</f>
        <v>2024</v>
      </c>
      <c r="C3449" s="17" t="n">
        <v>66764.3</v>
      </c>
      <c r="D3449" s="23" t="n">
        <f aca="false">A3449-A3448</f>
        <v>1</v>
      </c>
      <c r="E3449" s="24" t="n">
        <f aca="false">LN(C3449)</f>
        <v>11.1089237855278</v>
      </c>
      <c r="F3449" s="25" t="n">
        <f aca="false">LN(C3449/C3448)</f>
        <v>-0.02231627954934</v>
      </c>
      <c r="G3449" s="25" t="n">
        <f aca="false">IF(AND(D3449=1,A3449&gt;=$R$2),F3449,"")</f>
        <v>-0.02231627954934</v>
      </c>
      <c r="H3449" s="27" t="n">
        <f aca="false">IF(G3449="","",G3449^2)</f>
        <v>0.000498016332924289</v>
      </c>
      <c r="I3449" s="25" t="n">
        <f aca="false">IF(G3449="","",C3449/C3448-1)</f>
        <v>-0.022069113406604</v>
      </c>
      <c r="J3449" s="17" t="n">
        <f aca="false">AVERAGE(C3250:C3449)</f>
        <v>56211.0456</v>
      </c>
      <c r="K3449" s="17" t="n">
        <f aca="false">MAX(K3448,C3449)</f>
        <v>73098.48</v>
      </c>
      <c r="L3449" s="25" t="n">
        <f aca="false">C3449/K3449-1</f>
        <v>-0.0866526909998675</v>
      </c>
      <c r="M3449" s="25" t="n">
        <f aca="false">IF(COUNT(G3420:G3449)&lt;20,"",_xlfn.STDEV.S(G3420:G3449)*SQRT($R$3))</f>
        <v>0.465311187980034</v>
      </c>
      <c r="N3449" s="25" t="n">
        <f aca="false">IF(A3449-7&lt;$R$2,"",C3449/INDEX(Clean_Data!$C$2:$C$4314,MATCH(A3449-7,Clean_Data!$A$2:$A$4314,1))-1)</f>
        <v>-0.0566109986194852</v>
      </c>
      <c r="O3449" s="25" t="n">
        <f aca="false">IF(A3449-30&lt;$R$2,"",C3449/INDEX(Clean_Data!$C$2:$C$4314,MATCH(A3449-30,Clean_Data!$A$2:$A$4314,1))-1)</f>
        <v>0.0845730556511293</v>
      </c>
    </row>
    <row r="3450" customFormat="false" ht="15" hidden="false" customHeight="false" outlineLevel="0" collapsed="false">
      <c r="A3450" s="16" t="n">
        <v>45457</v>
      </c>
      <c r="B3450" s="23" t="n">
        <f aca="false">YEAR(A3450)</f>
        <v>2024</v>
      </c>
      <c r="C3450" s="17" t="n">
        <v>66022.42</v>
      </c>
      <c r="D3450" s="23" t="n">
        <f aca="false">A3450-A3449</f>
        <v>1</v>
      </c>
      <c r="E3450" s="24" t="n">
        <f aca="false">LN(C3450)</f>
        <v>11.0977496602943</v>
      </c>
      <c r="F3450" s="25" t="n">
        <f aca="false">LN(C3450/C3449)</f>
        <v>-0.011174125233484</v>
      </c>
      <c r="G3450" s="25" t="n">
        <f aca="false">IF(AND(D3450=1,A3450&gt;=$R$2),F3450,"")</f>
        <v>-0.011174125233484</v>
      </c>
      <c r="H3450" s="27" t="n">
        <f aca="false">IF(G3450="","",G3450^2)</f>
        <v>0.000124861074733584</v>
      </c>
      <c r="I3450" s="25" t="n">
        <f aca="false">IF(G3450="","",C3450/C3449-1)</f>
        <v>-0.0111119265835186</v>
      </c>
      <c r="J3450" s="17" t="n">
        <f aca="false">AVERAGE(C3251:C3450)</f>
        <v>56354.93575</v>
      </c>
      <c r="K3450" s="17" t="n">
        <f aca="false">MAX(K3449,C3450)</f>
        <v>73098.48</v>
      </c>
      <c r="L3450" s="25" t="n">
        <f aca="false">C3450/K3450-1</f>
        <v>-0.0968017392427312</v>
      </c>
      <c r="M3450" s="25" t="n">
        <f aca="false">IF(COUNT(G3421:G3450)&lt;20,"",_xlfn.STDEV.S(G3421:G3450)*SQRT($R$3))</f>
        <v>0.389513412723696</v>
      </c>
      <c r="N3450" s="25" t="n">
        <f aca="false">IF(A3450-7&lt;$R$2,"",C3450/INDEX(Clean_Data!$C$2:$C$4314,MATCH(A3450-7,Clean_Data!$A$2:$A$4314,1))-1)</f>
        <v>-0.0470697386018448</v>
      </c>
      <c r="O3450" s="25" t="n">
        <f aca="false">IF(A3450-30&lt;$R$2,"",C3450/INDEX(Clean_Data!$C$2:$C$4314,MATCH(A3450-30,Clean_Data!$A$2:$A$4314,1))-1)</f>
        <v>-0.00408743616822127</v>
      </c>
    </row>
    <row r="3451" customFormat="false" ht="15" hidden="false" customHeight="false" outlineLevel="0" collapsed="false">
      <c r="A3451" s="16" t="n">
        <v>45458</v>
      </c>
      <c r="B3451" s="23" t="n">
        <f aca="false">YEAR(A3451)</f>
        <v>2024</v>
      </c>
      <c r="C3451" s="17" t="n">
        <v>66154.97</v>
      </c>
      <c r="D3451" s="23" t="n">
        <f aca="false">A3451-A3450</f>
        <v>1</v>
      </c>
      <c r="E3451" s="24" t="n">
        <f aca="false">LN(C3451)</f>
        <v>11.0997552989959</v>
      </c>
      <c r="F3451" s="25" t="n">
        <f aca="false">LN(C3451/C3450)</f>
        <v>0.00200563870163913</v>
      </c>
      <c r="G3451" s="25" t="n">
        <f aca="false">IF(AND(D3451=1,A3451&gt;=$R$2),F3451,"")</f>
        <v>0.00200563870163913</v>
      </c>
      <c r="H3451" s="27" t="n">
        <f aca="false">IF(G3451="","",G3451^2)</f>
        <v>4.02258660151269E-006</v>
      </c>
      <c r="I3451" s="25" t="n">
        <f aca="false">IF(G3451="","",C3451/C3450-1)</f>
        <v>0.00200765134025693</v>
      </c>
      <c r="J3451" s="17" t="n">
        <f aca="false">AVERAGE(C3252:C3451)</f>
        <v>56496.5083</v>
      </c>
      <c r="K3451" s="17" t="n">
        <f aca="false">MAX(K3450,C3451)</f>
        <v>73098.48</v>
      </c>
      <c r="L3451" s="25" t="n">
        <f aca="false">C3451/K3451-1</f>
        <v>-0.0949884320440041</v>
      </c>
      <c r="M3451" s="25" t="n">
        <f aca="false">IF(COUNT(G3422:G3451)&lt;20,"",_xlfn.STDEV.S(G3422:G3451)*SQRT($R$3))</f>
        <v>0.385659565809287</v>
      </c>
      <c r="N3451" s="25" t="n">
        <f aca="false">IF(A3451-7&lt;$R$2,"",C3451/INDEX(Clean_Data!$C$2:$C$4314,MATCH(A3451-7,Clean_Data!$A$2:$A$4314,1))-1)</f>
        <v>-0.0454640946874652</v>
      </c>
      <c r="O3451" s="25" t="n">
        <f aca="false">IF(A3451-30&lt;$R$2,"",C3451/INDEX(Clean_Data!$C$2:$C$4314,MATCH(A3451-30,Clean_Data!$A$2:$A$4314,1))-1)</f>
        <v>0.0133626683487886</v>
      </c>
    </row>
    <row r="3452" customFormat="false" ht="15" hidden="false" customHeight="false" outlineLevel="0" collapsed="false">
      <c r="A3452" s="16" t="n">
        <v>45459</v>
      </c>
      <c r="B3452" s="23" t="n">
        <f aca="false">YEAR(A3452)</f>
        <v>2024</v>
      </c>
      <c r="C3452" s="17" t="n">
        <v>66613.62</v>
      </c>
      <c r="D3452" s="23" t="n">
        <f aca="false">A3452-A3451</f>
        <v>1</v>
      </c>
      <c r="E3452" s="24" t="n">
        <f aca="false">LN(C3452)</f>
        <v>11.1066643401248</v>
      </c>
      <c r="F3452" s="25" t="n">
        <f aca="false">LN(C3452/C3451)</f>
        <v>0.00690904112884315</v>
      </c>
      <c r="G3452" s="25" t="n">
        <f aca="false">IF(AND(D3452=1,A3452&gt;=$R$2),F3452,"")</f>
        <v>0.00690904112884315</v>
      </c>
      <c r="H3452" s="27" t="n">
        <f aca="false">IF(G3452="","",G3452^2)</f>
        <v>4.77348493200462E-005</v>
      </c>
      <c r="I3452" s="25" t="n">
        <f aca="false">IF(G3452="","",C3452/C3451-1)</f>
        <v>0.00693296361558304</v>
      </c>
      <c r="J3452" s="17" t="n">
        <f aca="false">AVERAGE(C3253:C3452)</f>
        <v>56640.2526</v>
      </c>
      <c r="K3452" s="17" t="n">
        <f aca="false">MAX(K3451,C3452)</f>
        <v>73098.48</v>
      </c>
      <c r="L3452" s="25" t="n">
        <f aca="false">C3452/K3452-1</f>
        <v>-0.0887140197716834</v>
      </c>
      <c r="M3452" s="25" t="n">
        <f aca="false">IF(COUNT(G3423:G3452)&lt;20,"",_xlfn.STDEV.S(G3423:G3452)*SQRT($R$3))</f>
        <v>0.376132148188618</v>
      </c>
      <c r="N3452" s="25" t="n">
        <f aca="false">IF(A3452-7&lt;$R$2,"",C3452/INDEX(Clean_Data!$C$2:$C$4314,MATCH(A3452-7,Clean_Data!$A$2:$A$4314,1))-1)</f>
        <v>-0.0436633470193594</v>
      </c>
      <c r="O3452" s="25" t="n">
        <f aca="false">IF(A3452-30&lt;$R$2,"",C3452/INDEX(Clean_Data!$C$2:$C$4314,MATCH(A3452-30,Clean_Data!$A$2:$A$4314,1))-1)</f>
        <v>-0.00489384567535522</v>
      </c>
    </row>
    <row r="3453" customFormat="false" ht="15" hidden="false" customHeight="false" outlineLevel="0" collapsed="false">
      <c r="A3453" s="16" t="n">
        <v>45460</v>
      </c>
      <c r="B3453" s="23" t="n">
        <f aca="false">YEAR(A3453)</f>
        <v>2024</v>
      </c>
      <c r="C3453" s="17" t="n">
        <v>66517.55</v>
      </c>
      <c r="D3453" s="23" t="n">
        <f aca="false">A3453-A3452</f>
        <v>1</v>
      </c>
      <c r="E3453" s="24" t="n">
        <f aca="false">LN(C3453)</f>
        <v>11.1052211016003</v>
      </c>
      <c r="F3453" s="25" t="n">
        <f aca="false">LN(C3453/C3452)</f>
        <v>-0.00144323852446641</v>
      </c>
      <c r="G3453" s="25" t="n">
        <f aca="false">IF(AND(D3453=1,A3453&gt;=$R$2),F3453,"")</f>
        <v>-0.00144323852446641</v>
      </c>
      <c r="H3453" s="27" t="n">
        <f aca="false">IF(G3453="","",G3453^2)</f>
        <v>2.08293743850398E-006</v>
      </c>
      <c r="I3453" s="25" t="n">
        <f aca="false">IF(G3453="","",C3453/C3452-1)</f>
        <v>-0.00144219755659569</v>
      </c>
      <c r="J3453" s="17" t="n">
        <f aca="false">AVERAGE(C3254:C3453)</f>
        <v>56784.12535</v>
      </c>
      <c r="K3453" s="17" t="n">
        <f aca="false">MAX(K3452,C3453)</f>
        <v>73098.48</v>
      </c>
      <c r="L3453" s="25" t="n">
        <f aca="false">C3453/K3453-1</f>
        <v>-0.0900282741857286</v>
      </c>
      <c r="M3453" s="25" t="n">
        <f aca="false">IF(COUNT(G3424:G3453)&lt;20,"",_xlfn.STDEV.S(G3424:G3453)*SQRT($R$3))</f>
        <v>0.376146900556886</v>
      </c>
      <c r="N3453" s="25" t="n">
        <f aca="false">IF(A3453-7&lt;$R$2,"",C3453/INDEX(Clean_Data!$C$2:$C$4314,MATCH(A3453-7,Clean_Data!$A$2:$A$4314,1))-1)</f>
        <v>-0.0427837598801103</v>
      </c>
      <c r="O3453" s="25" t="n">
        <f aca="false">IF(A3453-30&lt;$R$2,"",C3453/INDEX(Clean_Data!$C$2:$C$4314,MATCH(A3453-30,Clean_Data!$A$2:$A$4314,1))-1)</f>
        <v>-0.00694492342355657</v>
      </c>
    </row>
    <row r="3454" customFormat="false" ht="15" hidden="false" customHeight="false" outlineLevel="0" collapsed="false">
      <c r="A3454" s="16" t="n">
        <v>45461</v>
      </c>
      <c r="B3454" s="23" t="n">
        <f aca="false">YEAR(A3454)</f>
        <v>2024</v>
      </c>
      <c r="C3454" s="17" t="n">
        <v>65126.6</v>
      </c>
      <c r="D3454" s="23" t="n">
        <f aca="false">A3454-A3453</f>
        <v>1</v>
      </c>
      <c r="E3454" s="24" t="n">
        <f aca="false">LN(C3454)</f>
        <v>11.0840883468921</v>
      </c>
      <c r="F3454" s="25" t="n">
        <f aca="false">LN(C3454/C3453)</f>
        <v>-0.0211327547082508</v>
      </c>
      <c r="G3454" s="25" t="n">
        <f aca="false">IF(AND(D3454=1,A3454&gt;=$R$2),F3454,"")</f>
        <v>-0.0211327547082508</v>
      </c>
      <c r="H3454" s="27" t="n">
        <f aca="false">IF(G3454="","",G3454^2)</f>
        <v>0.000446593321559098</v>
      </c>
      <c r="I3454" s="25" t="n">
        <f aca="false">IF(G3454="","",C3454/C3453-1)</f>
        <v>-0.0209110227300916</v>
      </c>
      <c r="J3454" s="17" t="n">
        <f aca="false">AVERAGE(C3255:C3454)</f>
        <v>56916.18835</v>
      </c>
      <c r="K3454" s="17" t="n">
        <f aca="false">MAX(K3453,C3454)</f>
        <v>73098.48</v>
      </c>
      <c r="L3454" s="25" t="n">
        <f aca="false">C3454/K3454-1</f>
        <v>-0.109056713627971</v>
      </c>
      <c r="M3454" s="25" t="n">
        <f aca="false">IF(COUNT(G3425:G3454)&lt;20,"",_xlfn.STDEV.S(G3425:G3454)*SQRT($R$3))</f>
        <v>0.381509062218571</v>
      </c>
      <c r="N3454" s="25" t="n">
        <f aca="false">IF(A3454-7&lt;$R$2,"",C3454/INDEX(Clean_Data!$C$2:$C$4314,MATCH(A3454-7,Clean_Data!$A$2:$A$4314,1))-1)</f>
        <v>-0.0325305378596967</v>
      </c>
      <c r="O3454" s="25" t="n">
        <f aca="false">IF(A3454-30&lt;$R$2,"",C3454/INDEX(Clean_Data!$C$2:$C$4314,MATCH(A3454-30,Clean_Data!$A$2:$A$4314,1))-1)</f>
        <v>-0.01721065204302</v>
      </c>
    </row>
    <row r="3455" customFormat="false" ht="15" hidden="false" customHeight="false" outlineLevel="0" collapsed="false">
      <c r="A3455" s="16" t="n">
        <v>45462</v>
      </c>
      <c r="B3455" s="23" t="n">
        <f aca="false">YEAR(A3455)</f>
        <v>2024</v>
      </c>
      <c r="C3455" s="17" t="n">
        <v>64903.53</v>
      </c>
      <c r="D3455" s="23" t="n">
        <f aca="false">A3455-A3454</f>
        <v>1</v>
      </c>
      <c r="E3455" s="24" t="n">
        <f aca="false">LN(C3455)</f>
        <v>11.0806572925844</v>
      </c>
      <c r="F3455" s="25" t="n">
        <f aca="false">LN(C3455/C3454)</f>
        <v>-0.00343105430770721</v>
      </c>
      <c r="G3455" s="25" t="n">
        <f aca="false">IF(AND(D3455=1,A3455&gt;=$R$2),F3455,"")</f>
        <v>-0.00343105430770721</v>
      </c>
      <c r="H3455" s="27" t="n">
        <f aca="false">IF(G3455="","",G3455^2)</f>
        <v>1.17721336624362E-005</v>
      </c>
      <c r="I3455" s="25" t="n">
        <f aca="false">IF(G3455="","",C3455/C3454-1)</f>
        <v>-0.00342517496691064</v>
      </c>
      <c r="J3455" s="17" t="n">
        <f aca="false">AVERAGE(C3256:C3455)</f>
        <v>57043.36775</v>
      </c>
      <c r="K3455" s="17" t="n">
        <f aca="false">MAX(K3454,C3455)</f>
        <v>73098.48</v>
      </c>
      <c r="L3455" s="25" t="n">
        <f aca="false">C3455/K3455-1</f>
        <v>-0.11210835026939</v>
      </c>
      <c r="M3455" s="25" t="n">
        <f aca="false">IF(COUNT(G3426:G3455)&lt;20,"",_xlfn.STDEV.S(G3426:G3455)*SQRT($R$3))</f>
        <v>0.264815796163498</v>
      </c>
      <c r="N3455" s="25" t="n">
        <f aca="false">IF(A3455-7&lt;$R$2,"",C3455/INDEX(Clean_Data!$C$2:$C$4314,MATCH(A3455-7,Clean_Data!$A$2:$A$4314,1))-1)</f>
        <v>-0.0493247643435029</v>
      </c>
      <c r="O3455" s="25" t="n">
        <f aca="false">IF(A3455-30&lt;$R$2,"",C3455/INDEX(Clean_Data!$C$2:$C$4314,MATCH(A3455-30,Clean_Data!$A$2:$A$4314,1))-1)</f>
        <v>-0.0918291315574172</v>
      </c>
    </row>
    <row r="3456" customFormat="false" ht="15" hidden="false" customHeight="false" outlineLevel="0" collapsed="false">
      <c r="A3456" s="16" t="n">
        <v>45463</v>
      </c>
      <c r="B3456" s="23" t="n">
        <f aca="false">YEAR(A3456)</f>
        <v>2024</v>
      </c>
      <c r="C3456" s="17" t="n">
        <v>64842.53</v>
      </c>
      <c r="D3456" s="23" t="n">
        <f aca="false">A3456-A3455</f>
        <v>1</v>
      </c>
      <c r="E3456" s="24" t="n">
        <f aca="false">LN(C3456)</f>
        <v>11.0797169942124</v>
      </c>
      <c r="F3456" s="25" t="n">
        <f aca="false">LN(C3456/C3455)</f>
        <v>-0.000940298371981156</v>
      </c>
      <c r="G3456" s="25" t="n">
        <f aca="false">IF(AND(D3456=1,A3456&gt;=$R$2),F3456,"")</f>
        <v>-0.000940298371981156</v>
      </c>
      <c r="H3456" s="27" t="n">
        <f aca="false">IF(G3456="","",G3456^2)</f>
        <v>8.84161028350412E-007</v>
      </c>
      <c r="I3456" s="25" t="n">
        <f aca="false">IF(G3456="","",C3456/C3455-1)</f>
        <v>-0.000939856429996944</v>
      </c>
      <c r="J3456" s="17" t="n">
        <f aca="false">AVERAGE(C3257:C3456)</f>
        <v>57167.4362</v>
      </c>
      <c r="K3456" s="17" t="n">
        <f aca="false">MAX(K3455,C3456)</f>
        <v>73098.48</v>
      </c>
      <c r="L3456" s="25" t="n">
        <f aca="false">C3456/K3456-1</f>
        <v>-0.11294284094553</v>
      </c>
      <c r="M3456" s="25" t="n">
        <f aca="false">IF(COUNT(G3427:G3456)&lt;20,"",_xlfn.STDEV.S(G3427:G3456)*SQRT($R$3))</f>
        <v>0.259454347988532</v>
      </c>
      <c r="N3456" s="25" t="n">
        <f aca="false">IF(A3456-7&lt;$R$2,"",C3456/INDEX(Clean_Data!$C$2:$C$4314,MATCH(A3456-7,Clean_Data!$A$2:$A$4314,1))-1)</f>
        <v>-0.0287843952531518</v>
      </c>
      <c r="O3456" s="25" t="n">
        <f aca="false">IF(A3456-30&lt;$R$2,"",C3456/INDEX(Clean_Data!$C$2:$C$4314,MATCH(A3456-30,Clean_Data!$A$2:$A$4314,1))-1)</f>
        <v>-0.0762013010464704</v>
      </c>
    </row>
    <row r="3457" customFormat="false" ht="15" hidden="false" customHeight="false" outlineLevel="0" collapsed="false">
      <c r="A3457" s="16" t="n">
        <v>45464</v>
      </c>
      <c r="B3457" s="23" t="n">
        <f aca="false">YEAR(A3457)</f>
        <v>2024</v>
      </c>
      <c r="C3457" s="17" t="n">
        <v>64136.38</v>
      </c>
      <c r="D3457" s="23" t="n">
        <f aca="false">A3457-A3456</f>
        <v>1</v>
      </c>
      <c r="E3457" s="24" t="n">
        <f aca="false">LN(C3457)</f>
        <v>11.0687670326148</v>
      </c>
      <c r="F3457" s="25" t="n">
        <f aca="false">LN(C3457/C3456)</f>
        <v>-0.0109499615975813</v>
      </c>
      <c r="G3457" s="25" t="n">
        <f aca="false">IF(AND(D3457=1,A3457&gt;=$R$2),F3457,"")</f>
        <v>-0.0109499615975813</v>
      </c>
      <c r="H3457" s="27" t="n">
        <f aca="false">IF(G3457="","",G3457^2)</f>
        <v>0.000119901658988504</v>
      </c>
      <c r="I3457" s="25" t="n">
        <f aca="false">IF(G3457="","",C3457/C3456-1)</f>
        <v>-0.0108902289901397</v>
      </c>
      <c r="J3457" s="17" t="n">
        <f aca="false">AVERAGE(C3258:C3457)</f>
        <v>57278.83655</v>
      </c>
      <c r="K3457" s="17" t="n">
        <f aca="false">MAX(K3456,C3457)</f>
        <v>73098.48</v>
      </c>
      <c r="L3457" s="25" t="n">
        <f aca="false">C3457/K3457-1</f>
        <v>-0.122603096534976</v>
      </c>
      <c r="M3457" s="25" t="n">
        <f aca="false">IF(COUNT(G3428:G3457)&lt;20,"",_xlfn.STDEV.S(G3428:G3457)*SQRT($R$3))</f>
        <v>0.257400497469233</v>
      </c>
      <c r="N3457" s="25" t="n">
        <f aca="false">IF(A3457-7&lt;$R$2,"",C3457/INDEX(Clean_Data!$C$2:$C$4314,MATCH(A3457-7,Clean_Data!$A$2:$A$4314,1))-1)</f>
        <v>-0.0285666596286535</v>
      </c>
      <c r="O3457" s="25" t="n">
        <f aca="false">IF(A3457-30&lt;$R$2,"",C3457/INDEX(Clean_Data!$C$2:$C$4314,MATCH(A3457-30,Clean_Data!$A$2:$A$4314,1))-1)</f>
        <v>-0.0724486813464456</v>
      </c>
    </row>
    <row r="3458" customFormat="false" ht="15" hidden="false" customHeight="false" outlineLevel="0" collapsed="false">
      <c r="A3458" s="16" t="n">
        <v>45465</v>
      </c>
      <c r="B3458" s="23" t="n">
        <f aca="false">YEAR(A3458)</f>
        <v>2024</v>
      </c>
      <c r="C3458" s="17" t="n">
        <v>64258.23</v>
      </c>
      <c r="D3458" s="23" t="n">
        <f aca="false">A3458-A3457</f>
        <v>1</v>
      </c>
      <c r="E3458" s="24" t="n">
        <f aca="false">LN(C3458)</f>
        <v>11.0706650879394</v>
      </c>
      <c r="F3458" s="25" t="n">
        <f aca="false">LN(C3458/C3457)</f>
        <v>0.00189805532462067</v>
      </c>
      <c r="G3458" s="25" t="n">
        <f aca="false">IF(AND(D3458=1,A3458&gt;=$R$2),F3458,"")</f>
        <v>0.00189805532462067</v>
      </c>
      <c r="H3458" s="27" t="n">
        <f aca="false">IF(G3458="","",G3458^2)</f>
        <v>3.60261401532087E-006</v>
      </c>
      <c r="I3458" s="25" t="n">
        <f aca="false">IF(G3458="","",C3458/C3457-1)</f>
        <v>0.00189985777182944</v>
      </c>
      <c r="J3458" s="17" t="n">
        <f aca="false">AVERAGE(C3259:C3458)</f>
        <v>57379.8274</v>
      </c>
      <c r="K3458" s="17" t="n">
        <f aca="false">MAX(K3457,C3458)</f>
        <v>73098.48</v>
      </c>
      <c r="L3458" s="25" t="n">
        <f aca="false">C3458/K3458-1</f>
        <v>-0.120936167208949</v>
      </c>
      <c r="M3458" s="25" t="n">
        <f aca="false">IF(COUNT(G3429:G3458)&lt;20,"",_xlfn.STDEV.S(G3429:G3458)*SQRT($R$3))</f>
        <v>0.251515962559813</v>
      </c>
      <c r="N3458" s="25" t="n">
        <f aca="false">IF(A3458-7&lt;$R$2,"",C3458/INDEX(Clean_Data!$C$2:$C$4314,MATCH(A3458-7,Clean_Data!$A$2:$A$4314,1))-1)</f>
        <v>-0.0286711640863868</v>
      </c>
      <c r="O3458" s="25" t="n">
        <f aca="false">IF(A3458-30&lt;$R$2,"",C3458/INDEX(Clean_Data!$C$2:$C$4314,MATCH(A3458-30,Clean_Data!$A$2:$A$4314,1))-1)</f>
        <v>-0.0536875539549911</v>
      </c>
    </row>
    <row r="3459" customFormat="false" ht="15" hidden="false" customHeight="false" outlineLevel="0" collapsed="false">
      <c r="A3459" s="16" t="n">
        <v>45466</v>
      </c>
      <c r="B3459" s="23" t="n">
        <f aca="false">YEAR(A3459)</f>
        <v>2024</v>
      </c>
      <c r="C3459" s="17" t="n">
        <v>63214.36</v>
      </c>
      <c r="D3459" s="23" t="n">
        <f aca="false">A3459-A3458</f>
        <v>1</v>
      </c>
      <c r="E3459" s="24" t="n">
        <f aca="false">LN(C3459)</f>
        <v>11.0542867695154</v>
      </c>
      <c r="F3459" s="25" t="n">
        <f aca="false">LN(C3459/C3458)</f>
        <v>-0.0163783184240627</v>
      </c>
      <c r="G3459" s="25" t="n">
        <f aca="false">IF(AND(D3459=1,A3459&gt;=$R$2),F3459,"")</f>
        <v>-0.0163783184240627</v>
      </c>
      <c r="H3459" s="27" t="n">
        <f aca="false">IF(G3459="","",G3459^2)</f>
        <v>0.000268249314399991</v>
      </c>
      <c r="I3459" s="25" t="n">
        <f aca="false">IF(G3459="","",C3459/C3458-1)</f>
        <v>-0.0162449230238679</v>
      </c>
      <c r="J3459" s="17" t="n">
        <f aca="false">AVERAGE(C3260:C3459)</f>
        <v>57477.00665</v>
      </c>
      <c r="K3459" s="17" t="n">
        <f aca="false">MAX(K3458,C3459)</f>
        <v>73098.48</v>
      </c>
      <c r="L3459" s="25" t="n">
        <f aca="false">C3459/K3459-1</f>
        <v>-0.135216491505706</v>
      </c>
      <c r="M3459" s="25" t="n">
        <f aca="false">IF(COUNT(G3430:G3459)&lt;20,"",_xlfn.STDEV.S(G3430:G3459)*SQRT($R$3))</f>
        <v>0.252884803461424</v>
      </c>
      <c r="N3459" s="25" t="n">
        <f aca="false">IF(A3459-7&lt;$R$2,"",C3459/INDEX(Clean_Data!$C$2:$C$4314,MATCH(A3459-7,Clean_Data!$A$2:$A$4314,1))-1)</f>
        <v>-0.0510295041764731</v>
      </c>
      <c r="O3459" s="25" t="n">
        <f aca="false">IF(A3459-30&lt;$R$2,"",C3459/INDEX(Clean_Data!$C$2:$C$4314,MATCH(A3459-30,Clean_Data!$A$2:$A$4314,1))-1)</f>
        <v>-0.0780725768332891</v>
      </c>
    </row>
    <row r="3460" customFormat="false" ht="15" hidden="false" customHeight="false" outlineLevel="0" collapsed="false">
      <c r="A3460" s="16" t="n">
        <v>45467</v>
      </c>
      <c r="B3460" s="23" t="n">
        <f aca="false">YEAR(A3460)</f>
        <v>2024</v>
      </c>
      <c r="C3460" s="17" t="n">
        <v>60236.01</v>
      </c>
      <c r="D3460" s="23" t="n">
        <f aca="false">A3460-A3459</f>
        <v>1</v>
      </c>
      <c r="E3460" s="24" t="n">
        <f aca="false">LN(C3460)</f>
        <v>11.0060256252204</v>
      </c>
      <c r="F3460" s="25" t="n">
        <f aca="false">LN(C3460/C3459)</f>
        <v>-0.0482611442949846</v>
      </c>
      <c r="G3460" s="25" t="n">
        <f aca="false">IF(AND(D3460=1,A3460&gt;=$R$2),F3460,"")</f>
        <v>-0.0482611442949846</v>
      </c>
      <c r="H3460" s="27" t="n">
        <f aca="false">IF(G3460="","",G3460^2)</f>
        <v>0.00232913804866133</v>
      </c>
      <c r="I3460" s="25" t="n">
        <f aca="false">IF(G3460="","",C3460/C3459-1)</f>
        <v>-0.0471150858760573</v>
      </c>
      <c r="J3460" s="17" t="n">
        <f aca="false">AVERAGE(C3261:C3460)</f>
        <v>57561.65715</v>
      </c>
      <c r="K3460" s="17" t="n">
        <f aca="false">MAX(K3459,C3460)</f>
        <v>73098.48</v>
      </c>
      <c r="L3460" s="25" t="n">
        <f aca="false">C3460/K3460-1</f>
        <v>-0.175960840772612</v>
      </c>
      <c r="M3460" s="25" t="n">
        <f aca="false">IF(COUNT(G3431:G3460)&lt;20,"",_xlfn.STDEV.S(G3431:G3460)*SQRT($R$3))</f>
        <v>0.293850489826262</v>
      </c>
      <c r="N3460" s="25" t="n">
        <f aca="false">IF(A3460-7&lt;$R$2,"",C3460/INDEX(Clean_Data!$C$2:$C$4314,MATCH(A3460-7,Clean_Data!$A$2:$A$4314,1))-1)</f>
        <v>-0.0944343259786327</v>
      </c>
      <c r="O3460" s="25" t="n">
        <f aca="false">IF(A3460-30&lt;$R$2,"",C3460/INDEX(Clean_Data!$C$2:$C$4314,MATCH(A3460-30,Clean_Data!$A$2:$A$4314,1))-1)</f>
        <v>-0.130851198910318</v>
      </c>
    </row>
    <row r="3461" customFormat="false" ht="15" hidden="false" customHeight="false" outlineLevel="0" collapsed="false">
      <c r="A3461" s="16" t="n">
        <v>45468</v>
      </c>
      <c r="B3461" s="23" t="n">
        <f aca="false">YEAR(A3461)</f>
        <v>2024</v>
      </c>
      <c r="C3461" s="17" t="n">
        <v>61820.98</v>
      </c>
      <c r="D3461" s="23" t="n">
        <f aca="false">A3461-A3460</f>
        <v>1</v>
      </c>
      <c r="E3461" s="24" t="n">
        <f aca="false">LN(C3461)</f>
        <v>11.0319980680354</v>
      </c>
      <c r="F3461" s="25" t="n">
        <f aca="false">LN(C3461/C3460)</f>
        <v>0.0259724428150096</v>
      </c>
      <c r="G3461" s="25" t="n">
        <f aca="false">IF(AND(D3461=1,A3461&gt;=$R$2),F3461,"")</f>
        <v>0.0259724428150096</v>
      </c>
      <c r="H3461" s="27" t="n">
        <f aca="false">IF(G3461="","",G3461^2)</f>
        <v>0.000674567785778943</v>
      </c>
      <c r="I3461" s="25" t="n">
        <f aca="false">IF(G3461="","",C3461/C3460-1)</f>
        <v>0.0263126657957591</v>
      </c>
      <c r="J3461" s="17" t="n">
        <f aca="false">AVERAGE(C3262:C3461)</f>
        <v>57649.64235</v>
      </c>
      <c r="K3461" s="17" t="n">
        <f aca="false">MAX(K3460,C3461)</f>
        <v>73098.48</v>
      </c>
      <c r="L3461" s="25" t="n">
        <f aca="false">C3461/K3461-1</f>
        <v>-0.154278173773244</v>
      </c>
      <c r="M3461" s="25" t="n">
        <f aca="false">IF(COUNT(G3432:G3461)&lt;20,"",_xlfn.STDEV.S(G3432:G3461)*SQRT($R$3))</f>
        <v>0.31125368580249</v>
      </c>
      <c r="N3461" s="25" t="n">
        <f aca="false">IF(A3461-7&lt;$R$2,"",C3461/INDEX(Clean_Data!$C$2:$C$4314,MATCH(A3461-7,Clean_Data!$A$2:$A$4314,1))-1)</f>
        <v>-0.0507568336133007</v>
      </c>
      <c r="O3461" s="25" t="n">
        <f aca="false">IF(A3461-30&lt;$R$2,"",C3461/INDEX(Clean_Data!$C$2:$C$4314,MATCH(A3461-30,Clean_Data!$A$2:$A$4314,1))-1)</f>
        <v>-0.0971691692978126</v>
      </c>
    </row>
    <row r="3462" customFormat="false" ht="15" hidden="false" customHeight="false" outlineLevel="0" collapsed="false">
      <c r="A3462" s="16" t="n">
        <v>45469</v>
      </c>
      <c r="B3462" s="23" t="n">
        <f aca="false">YEAR(A3462)</f>
        <v>2024</v>
      </c>
      <c r="C3462" s="17" t="n">
        <v>60794.33</v>
      </c>
      <c r="D3462" s="23" t="n">
        <f aca="false">A3462-A3461</f>
        <v>1</v>
      </c>
      <c r="E3462" s="24" t="n">
        <f aca="false">LN(C3462)</f>
        <v>11.0152518070266</v>
      </c>
      <c r="F3462" s="25" t="n">
        <f aca="false">LN(C3462/C3461)</f>
        <v>-0.0167462610087395</v>
      </c>
      <c r="G3462" s="25" t="n">
        <f aca="false">IF(AND(D3462=1,A3462&gt;=$R$2),F3462,"")</f>
        <v>-0.0167462610087395</v>
      </c>
      <c r="H3462" s="27" t="n">
        <f aca="false">IF(G3462="","",G3462^2)</f>
        <v>0.00028043725777283</v>
      </c>
      <c r="I3462" s="25" t="n">
        <f aca="false">IF(G3462="","",C3462/C3461-1)</f>
        <v>-0.0166068218265062</v>
      </c>
      <c r="J3462" s="17" t="n">
        <f aca="false">AVERAGE(C3263:C3462)</f>
        <v>57734.9405</v>
      </c>
      <c r="K3462" s="17" t="n">
        <f aca="false">MAX(K3461,C3462)</f>
        <v>73098.48</v>
      </c>
      <c r="L3462" s="25" t="n">
        <f aca="false">C3462/K3462-1</f>
        <v>-0.168322925456179</v>
      </c>
      <c r="M3462" s="25" t="n">
        <f aca="false">IF(COUNT(G3433:G3462)&lt;20,"",_xlfn.STDEV.S(G3433:G3462)*SQRT($R$3))</f>
        <v>0.308871077010688</v>
      </c>
      <c r="N3462" s="25" t="n">
        <f aca="false">IF(A3462-7&lt;$R$2,"",C3462/INDEX(Clean_Data!$C$2:$C$4314,MATCH(A3462-7,Clean_Data!$A$2:$A$4314,1))-1)</f>
        <v>-0.0633124269203848</v>
      </c>
      <c r="O3462" s="25" t="n">
        <f aca="false">IF(A3462-30&lt;$R$2,"",C3462/INDEX(Clean_Data!$C$2:$C$4314,MATCH(A3462-30,Clean_Data!$A$2:$A$4314,1))-1)</f>
        <v>-0.12354421605612</v>
      </c>
    </row>
    <row r="3463" customFormat="false" ht="15" hidden="false" customHeight="false" outlineLevel="0" collapsed="false">
      <c r="A3463" s="16" t="n">
        <v>45470</v>
      </c>
      <c r="B3463" s="23" t="n">
        <f aca="false">YEAR(A3463)</f>
        <v>2024</v>
      </c>
      <c r="C3463" s="17" t="n">
        <v>61622.64</v>
      </c>
      <c r="D3463" s="23" t="n">
        <f aca="false">A3463-A3462</f>
        <v>1</v>
      </c>
      <c r="E3463" s="24" t="n">
        <f aca="false">LN(C3463)</f>
        <v>11.0287846144656</v>
      </c>
      <c r="F3463" s="25" t="n">
        <f aca="false">LN(C3463/C3462)</f>
        <v>0.0135328074389846</v>
      </c>
      <c r="G3463" s="25" t="n">
        <f aca="false">IF(AND(D3463=1,A3463&gt;=$R$2),F3463,"")</f>
        <v>0.0135328074389846</v>
      </c>
      <c r="H3463" s="27" t="n">
        <f aca="false">IF(G3463="","",G3463^2)</f>
        <v>0.000183136877180636</v>
      </c>
      <c r="I3463" s="25" t="n">
        <f aca="false">IF(G3463="","",C3463/C3462-1)</f>
        <v>0.0136247903381779</v>
      </c>
      <c r="J3463" s="17" t="n">
        <f aca="false">AVERAGE(C3264:C3463)</f>
        <v>57824.18555</v>
      </c>
      <c r="K3463" s="17" t="n">
        <f aca="false">MAX(K3462,C3463)</f>
        <v>73098.48</v>
      </c>
      <c r="L3463" s="25" t="n">
        <f aca="false">C3463/K3463-1</f>
        <v>-0.15699149968645</v>
      </c>
      <c r="M3463" s="25" t="n">
        <f aca="false">IF(COUNT(G3434:G3463)&lt;20,"",_xlfn.STDEV.S(G3434:G3463)*SQRT($R$3))</f>
        <v>0.312682954143633</v>
      </c>
      <c r="N3463" s="25" t="n">
        <f aca="false">IF(A3463-7&lt;$R$2,"",C3463/INDEX(Clean_Data!$C$2:$C$4314,MATCH(A3463-7,Clean_Data!$A$2:$A$4314,1))-1)</f>
        <v>-0.0496570692105938</v>
      </c>
      <c r="O3463" s="25" t="n">
        <f aca="false">IF(A3463-30&lt;$R$2,"",C3463/INDEX(Clean_Data!$C$2:$C$4314,MATCH(A3463-30,Clean_Data!$A$2:$A$4314,1))-1)</f>
        <v>-0.0984293855537181</v>
      </c>
    </row>
    <row r="3464" customFormat="false" ht="15" hidden="false" customHeight="false" outlineLevel="0" collapsed="false">
      <c r="A3464" s="16" t="n">
        <v>45471</v>
      </c>
      <c r="B3464" s="23" t="n">
        <f aca="false">YEAR(A3464)</f>
        <v>2024</v>
      </c>
      <c r="C3464" s="17" t="n">
        <v>60322.28</v>
      </c>
      <c r="D3464" s="23" t="n">
        <f aca="false">A3464-A3463</f>
        <v>1</v>
      </c>
      <c r="E3464" s="24" t="n">
        <f aca="false">LN(C3464)</f>
        <v>11.007456800376</v>
      </c>
      <c r="F3464" s="25" t="n">
        <f aca="false">LN(C3464/C3463)</f>
        <v>-0.0213278140896466</v>
      </c>
      <c r="G3464" s="25" t="n">
        <f aca="false">IF(AND(D3464=1,A3464&gt;=$R$2),F3464,"")</f>
        <v>-0.0213278140896466</v>
      </c>
      <c r="H3464" s="27" t="n">
        <f aca="false">IF(G3464="","",G3464^2)</f>
        <v>0.000454875653842527</v>
      </c>
      <c r="I3464" s="25" t="n">
        <f aca="false">IF(G3464="","",C3464/C3463-1)</f>
        <v>-0.0211019845952721</v>
      </c>
      <c r="J3464" s="17" t="n">
        <f aca="false">AVERAGE(C3265:C3464)</f>
        <v>57919.7693</v>
      </c>
      <c r="K3464" s="17" t="n">
        <f aca="false">MAX(K3463,C3464)</f>
        <v>73098.48</v>
      </c>
      <c r="L3464" s="25" t="n">
        <f aca="false">C3464/K3464-1</f>
        <v>-0.17478065207375</v>
      </c>
      <c r="M3464" s="25" t="n">
        <f aca="false">IF(COUNT(G3435:G3464)&lt;20,"",_xlfn.STDEV.S(G3435:G3464)*SQRT($R$3))</f>
        <v>0.317726220481674</v>
      </c>
      <c r="N3464" s="25" t="n">
        <f aca="false">IF(A3464-7&lt;$R$2,"",C3464/INDEX(Clean_Data!$C$2:$C$4314,MATCH(A3464-7,Clean_Data!$A$2:$A$4314,1))-1)</f>
        <v>-0.0594685886543643</v>
      </c>
      <c r="O3464" s="25" t="n">
        <f aca="false">IF(A3464-30&lt;$R$2,"",C3464/INDEX(Clean_Data!$C$2:$C$4314,MATCH(A3464-30,Clean_Data!$A$2:$A$4314,1))-1)</f>
        <v>-0.107309559048013</v>
      </c>
    </row>
    <row r="3465" customFormat="false" ht="15" hidden="false" customHeight="false" outlineLevel="0" collapsed="false">
      <c r="A3465" s="16" t="n">
        <v>45472</v>
      </c>
      <c r="B3465" s="23" t="n">
        <f aca="false">YEAR(A3465)</f>
        <v>2024</v>
      </c>
      <c r="C3465" s="17" t="n">
        <v>60890.24</v>
      </c>
      <c r="D3465" s="23" t="n">
        <f aca="false">A3465-A3464</f>
        <v>1</v>
      </c>
      <c r="E3465" s="24" t="n">
        <f aca="false">LN(C3465)</f>
        <v>11.0168281781288</v>
      </c>
      <c r="F3465" s="25" t="n">
        <f aca="false">LN(C3465/C3464)</f>
        <v>0.00937137775278162</v>
      </c>
      <c r="G3465" s="25" t="n">
        <f aca="false">IF(AND(D3465=1,A3465&gt;=$R$2),F3465,"")</f>
        <v>0.00937137775278162</v>
      </c>
      <c r="H3465" s="27" t="n">
        <f aca="false">IF(G3465="","",G3465^2)</f>
        <v>8.78227209853303E-005</v>
      </c>
      <c r="I3465" s="25" t="n">
        <f aca="false">IF(G3465="","",C3465/C3464-1)</f>
        <v>0.00941542660522776</v>
      </c>
      <c r="J3465" s="17" t="n">
        <f aca="false">AVERAGE(C3266:C3465)</f>
        <v>58016.95725</v>
      </c>
      <c r="K3465" s="17" t="n">
        <f aca="false">MAX(K3464,C3465)</f>
        <v>73098.48</v>
      </c>
      <c r="L3465" s="25" t="n">
        <f aca="false">C3465/K3465-1</f>
        <v>-0.167010859870137</v>
      </c>
      <c r="M3465" s="25" t="n">
        <f aca="false">IF(COUNT(G3436:G3465)&lt;20,"",_xlfn.STDEV.S(G3436:G3465)*SQRT($R$3))</f>
        <v>0.316513362901563</v>
      </c>
      <c r="N3465" s="25" t="n">
        <f aca="false">IF(A3465-7&lt;$R$2,"",C3465/INDEX(Clean_Data!$C$2:$C$4314,MATCH(A3465-7,Clean_Data!$A$2:$A$4314,1))-1)</f>
        <v>-0.0524133640157846</v>
      </c>
      <c r="O3465" s="25" t="n">
        <f aca="false">IF(A3465-30&lt;$R$2,"",C3465/INDEX(Clean_Data!$C$2:$C$4314,MATCH(A3465-30,Clean_Data!$A$2:$A$4314,1))-1)</f>
        <v>-0.10922022917922</v>
      </c>
    </row>
    <row r="3466" customFormat="false" ht="15" hidden="false" customHeight="false" outlineLevel="0" collapsed="false">
      <c r="A3466" s="16" t="n">
        <v>45473</v>
      </c>
      <c r="B3466" s="23" t="n">
        <f aca="false">YEAR(A3466)</f>
        <v>2024</v>
      </c>
      <c r="C3466" s="17" t="n">
        <v>62678.1</v>
      </c>
      <c r="D3466" s="23" t="n">
        <f aca="false">A3466-A3465</f>
        <v>1</v>
      </c>
      <c r="E3466" s="24" t="n">
        <f aca="false">LN(C3466)</f>
        <v>11.0457673833111</v>
      </c>
      <c r="F3466" s="25" t="n">
        <f aca="false">LN(C3466/C3465)</f>
        <v>0.0289392051823267</v>
      </c>
      <c r="G3466" s="25" t="n">
        <f aca="false">IF(AND(D3466=1,A3466&gt;=$R$2),F3466,"")</f>
        <v>0.0289392051823267</v>
      </c>
      <c r="H3466" s="27" t="n">
        <f aca="false">IF(G3466="","",G3466^2)</f>
        <v>0.000837477596584806</v>
      </c>
      <c r="I3466" s="25" t="n">
        <f aca="false">IF(G3466="","",C3466/C3465-1)</f>
        <v>0.0293620126969445</v>
      </c>
      <c r="J3466" s="17" t="n">
        <f aca="false">AVERAGE(C3267:C3466)</f>
        <v>58115.7122</v>
      </c>
      <c r="K3466" s="17" t="n">
        <f aca="false">MAX(K3465,C3466)</f>
        <v>73098.48</v>
      </c>
      <c r="L3466" s="25" t="n">
        <f aca="false">C3466/K3466-1</f>
        <v>-0.142552622161227</v>
      </c>
      <c r="M3466" s="25" t="n">
        <f aca="false">IF(COUNT(G3437:G3466)&lt;20,"",_xlfn.STDEV.S(G3437:G3466)*SQRT($R$3))</f>
        <v>0.334742179451722</v>
      </c>
      <c r="N3466" s="25" t="n">
        <f aca="false">IF(A3466-7&lt;$R$2,"",C3466/INDEX(Clean_Data!$C$2:$C$4314,MATCH(A3466-7,Clean_Data!$A$2:$A$4314,1))-1)</f>
        <v>-0.00848319907059092</v>
      </c>
      <c r="O3466" s="25" t="n">
        <f aca="false">IF(A3466-30&lt;$R$2,"",C3466/INDEX(Clean_Data!$C$2:$C$4314,MATCH(A3466-30,Clean_Data!$A$2:$A$4314,1))-1)</f>
        <v>-0.0715184999028976</v>
      </c>
    </row>
    <row r="3467" customFormat="false" ht="15" hidden="false" customHeight="false" outlineLevel="0" collapsed="false">
      <c r="A3467" s="16" t="n">
        <v>45474</v>
      </c>
      <c r="B3467" s="23" t="n">
        <f aca="false">YEAR(A3467)</f>
        <v>2024</v>
      </c>
      <c r="C3467" s="17" t="n">
        <v>62870.34</v>
      </c>
      <c r="D3467" s="23" t="n">
        <f aca="false">A3467-A3466</f>
        <v>1</v>
      </c>
      <c r="E3467" s="24" t="n">
        <f aca="false">LN(C3467)</f>
        <v>11.0488297893472</v>
      </c>
      <c r="F3467" s="25" t="n">
        <f aca="false">LN(C3467/C3466)</f>
        <v>0.00306240603612173</v>
      </c>
      <c r="G3467" s="25" t="n">
        <f aca="false">IF(AND(D3467=1,A3467&gt;=$R$2),F3467,"")</f>
        <v>0.00306240603612173</v>
      </c>
      <c r="H3467" s="27" t="n">
        <f aca="false">IF(G3467="","",G3467^2)</f>
        <v>9.37833073007481E-006</v>
      </c>
      <c r="I3467" s="25" t="n">
        <f aca="false">IF(G3467="","",C3467/C3466-1)</f>
        <v>0.00306709999186316</v>
      </c>
      <c r="J3467" s="17" t="n">
        <f aca="false">AVERAGE(C3268:C3467)</f>
        <v>58214.9072</v>
      </c>
      <c r="K3467" s="17" t="n">
        <f aca="false">MAX(K3466,C3467)</f>
        <v>73098.48</v>
      </c>
      <c r="L3467" s="25" t="n">
        <f aca="false">C3467/K3467-1</f>
        <v>-0.139922745315634</v>
      </c>
      <c r="M3467" s="25" t="n">
        <f aca="false">IF(COUNT(G3438:G3467)&lt;20,"",_xlfn.STDEV.S(G3438:G3467)*SQRT($R$3))</f>
        <v>0.334720823310145</v>
      </c>
      <c r="N3467" s="25" t="n">
        <f aca="false">IF(A3467-7&lt;$R$2,"",C3467/INDEX(Clean_Data!$C$2:$C$4314,MATCH(A3467-7,Clean_Data!$A$2:$A$4314,1))-1)</f>
        <v>0.043733474378532</v>
      </c>
      <c r="O3467" s="25" t="n">
        <f aca="false">IF(A3467-30&lt;$R$2,"",C3467/INDEX(Clean_Data!$C$2:$C$4314,MATCH(A3467-30,Clean_Data!$A$2:$A$4314,1))-1)</f>
        <v>-0.0716128597831424</v>
      </c>
    </row>
    <row r="3468" customFormat="false" ht="15" hidden="false" customHeight="false" outlineLevel="0" collapsed="false">
      <c r="A3468" s="16" t="n">
        <v>45475</v>
      </c>
      <c r="B3468" s="23" t="n">
        <f aca="false">YEAR(A3468)</f>
        <v>2024</v>
      </c>
      <c r="C3468" s="17" t="n">
        <v>62056.54</v>
      </c>
      <c r="D3468" s="23" t="n">
        <f aca="false">A3468-A3467</f>
        <v>1</v>
      </c>
      <c r="E3468" s="24" t="n">
        <f aca="false">LN(C3468)</f>
        <v>11.0358011839506</v>
      </c>
      <c r="F3468" s="25" t="n">
        <f aca="false">LN(C3468/C3467)</f>
        <v>-0.0130286053966541</v>
      </c>
      <c r="G3468" s="25" t="n">
        <f aca="false">IF(AND(D3468=1,A3468&gt;=$R$2),F3468,"")</f>
        <v>-0.0130286053966541</v>
      </c>
      <c r="H3468" s="27" t="n">
        <f aca="false">IF(G3468="","",G3468^2)</f>
        <v>0.000169744558581724</v>
      </c>
      <c r="I3468" s="25" t="n">
        <f aca="false">IF(G3468="","",C3468/C3467-1)</f>
        <v>-0.0129441005090795</v>
      </c>
      <c r="J3468" s="17" t="n">
        <f aca="false">AVERAGE(C3269:C3468)</f>
        <v>58315.49085</v>
      </c>
      <c r="K3468" s="17" t="n">
        <f aca="false">MAX(K3467,C3468)</f>
        <v>73098.48</v>
      </c>
      <c r="L3468" s="25" t="n">
        <f aca="false">C3468/K3468-1</f>
        <v>-0.151055671745842</v>
      </c>
      <c r="M3468" s="25" t="n">
        <f aca="false">IF(COUNT(G3439:G3468)&lt;20,"",_xlfn.STDEV.S(G3439:G3468)*SQRT($R$3))</f>
        <v>0.336584148286095</v>
      </c>
      <c r="N3468" s="25" t="n">
        <f aca="false">IF(A3468-7&lt;$R$2,"",C3468/INDEX(Clean_Data!$C$2:$C$4314,MATCH(A3468-7,Clean_Data!$A$2:$A$4314,1))-1)</f>
        <v>0.00381035693707865</v>
      </c>
      <c r="O3468" s="25" t="n">
        <f aca="false">IF(A3468-30&lt;$R$2,"",C3468/INDEX(Clean_Data!$C$2:$C$4314,MATCH(A3468-30,Clean_Data!$A$2:$A$4314,1))-1)</f>
        <v>-0.0836554352333013</v>
      </c>
    </row>
    <row r="3469" customFormat="false" ht="15" hidden="false" customHeight="false" outlineLevel="0" collapsed="false">
      <c r="A3469" s="16" t="n">
        <v>45476</v>
      </c>
      <c r="B3469" s="23" t="n">
        <f aca="false">YEAR(A3469)</f>
        <v>2024</v>
      </c>
      <c r="C3469" s="17" t="n">
        <v>60187.34</v>
      </c>
      <c r="D3469" s="23" t="n">
        <f aca="false">A3469-A3468</f>
        <v>1</v>
      </c>
      <c r="E3469" s="24" t="n">
        <f aca="false">LN(C3469)</f>
        <v>11.0052173101777</v>
      </c>
      <c r="F3469" s="25" t="n">
        <f aca="false">LN(C3469/C3468)</f>
        <v>-0.030583873772906</v>
      </c>
      <c r="G3469" s="25" t="n">
        <f aca="false">IF(AND(D3469=1,A3469&gt;=$R$2),F3469,"")</f>
        <v>-0.030583873772906</v>
      </c>
      <c r="H3469" s="27" t="n">
        <f aca="false">IF(G3469="","",G3469^2)</f>
        <v>0.000935373334957047</v>
      </c>
      <c r="I3469" s="25" t="n">
        <f aca="false">IF(G3469="","",C3469/C3468-1)</f>
        <v>-0.0301209187621483</v>
      </c>
      <c r="J3469" s="17" t="n">
        <f aca="false">AVERAGE(C3270:C3469)</f>
        <v>58405.27755</v>
      </c>
      <c r="K3469" s="17" t="n">
        <f aca="false">MAX(K3468,C3469)</f>
        <v>73098.48</v>
      </c>
      <c r="L3469" s="25" t="n">
        <f aca="false">C3469/K3469-1</f>
        <v>-0.176626654890772</v>
      </c>
      <c r="M3469" s="25" t="n">
        <f aca="false">IF(COUNT(G3440:G3469)&lt;20,"",_xlfn.STDEV.S(G3440:G3469)*SQRT($R$3))</f>
        <v>0.343015450725238</v>
      </c>
      <c r="N3469" s="25" t="n">
        <f aca="false">IF(A3469-7&lt;$R$2,"",C3469/INDEX(Clean_Data!$C$2:$C$4314,MATCH(A3469-7,Clean_Data!$A$2:$A$4314,1))-1)</f>
        <v>-0.00998431926135224</v>
      </c>
      <c r="O3469" s="25" t="n">
        <f aca="false">IF(A3469-30&lt;$R$2,"",C3469/INDEX(Clean_Data!$C$2:$C$4314,MATCH(A3469-30,Clean_Data!$A$2:$A$4314,1))-1)</f>
        <v>-0.125114961834924</v>
      </c>
    </row>
    <row r="3470" customFormat="false" ht="15" hidden="false" customHeight="false" outlineLevel="0" collapsed="false">
      <c r="A3470" s="16" t="n">
        <v>45477</v>
      </c>
      <c r="B3470" s="23" t="n">
        <f aca="false">YEAR(A3470)</f>
        <v>2024</v>
      </c>
      <c r="C3470" s="17" t="n">
        <v>57171.19</v>
      </c>
      <c r="D3470" s="23" t="n">
        <f aca="false">A3470-A3469</f>
        <v>1</v>
      </c>
      <c r="E3470" s="24" t="n">
        <f aca="false">LN(C3470)</f>
        <v>10.9538053791542</v>
      </c>
      <c r="F3470" s="25" t="n">
        <f aca="false">LN(C3470/C3469)</f>
        <v>-0.051411931023447</v>
      </c>
      <c r="G3470" s="25" t="n">
        <f aca="false">IF(AND(D3470=1,A3470&gt;=$R$2),F3470,"")</f>
        <v>-0.051411931023447</v>
      </c>
      <c r="H3470" s="27" t="n">
        <f aca="false">IF(G3470="","",G3470^2)</f>
        <v>0.00264318665155967</v>
      </c>
      <c r="I3470" s="25" t="n">
        <f aca="false">IF(G3470="","",C3470/C3469-1)</f>
        <v>-0.0501126981189066</v>
      </c>
      <c r="J3470" s="17" t="n">
        <f aca="false">AVERAGE(C3271:C3470)</f>
        <v>58484.19575</v>
      </c>
      <c r="K3470" s="17" t="n">
        <f aca="false">MAX(K3469,C3470)</f>
        <v>73098.48</v>
      </c>
      <c r="L3470" s="25" t="n">
        <f aca="false">C3470/K3470-1</f>
        <v>-0.217888114773385</v>
      </c>
      <c r="M3470" s="25" t="n">
        <f aca="false">IF(COUNT(G3441:G3470)&lt;20,"",_xlfn.STDEV.S(G3441:G3470)*SQRT($R$3))</f>
        <v>0.362411113748592</v>
      </c>
      <c r="N3470" s="25" t="n">
        <f aca="false">IF(A3470-7&lt;$R$2,"",C3470/INDEX(Clean_Data!$C$2:$C$4314,MATCH(A3470-7,Clean_Data!$A$2:$A$4314,1))-1)</f>
        <v>-0.0722372491668646</v>
      </c>
      <c r="O3470" s="25" t="n">
        <f aca="false">IF(A3470-30&lt;$R$2,"",C3470/INDEX(Clean_Data!$C$2:$C$4314,MATCH(A3470-30,Clean_Data!$A$2:$A$4314,1))-1)</f>
        <v>-0.190170314247606</v>
      </c>
    </row>
    <row r="3471" customFormat="false" ht="15" hidden="false" customHeight="false" outlineLevel="0" collapsed="false">
      <c r="A3471" s="16" t="n">
        <v>45478</v>
      </c>
      <c r="B3471" s="23" t="n">
        <f aca="false">YEAR(A3471)</f>
        <v>2024</v>
      </c>
      <c r="C3471" s="17" t="n">
        <v>56624.69</v>
      </c>
      <c r="D3471" s="23" t="n">
        <f aca="false">A3471-A3470</f>
        <v>1</v>
      </c>
      <c r="E3471" s="24" t="n">
        <f aca="false">LN(C3471)</f>
        <v>10.9442003881567</v>
      </c>
      <c r="F3471" s="25" t="n">
        <f aca="false">LN(C3471/C3470)</f>
        <v>-0.00960499099754405</v>
      </c>
      <c r="G3471" s="25" t="n">
        <f aca="false">IF(AND(D3471=1,A3471&gt;=$R$2),F3471,"")</f>
        <v>-0.00960499099754405</v>
      </c>
      <c r="H3471" s="27" t="n">
        <f aca="false">IF(G3471="","",G3471^2)</f>
        <v>9.22558520629021E-005</v>
      </c>
      <c r="I3471" s="25" t="n">
        <f aca="false">IF(G3471="","",C3471/C3470-1)</f>
        <v>-0.00955901040366658</v>
      </c>
      <c r="J3471" s="17" t="n">
        <f aca="false">AVERAGE(C3272:C3471)</f>
        <v>58554.1278</v>
      </c>
      <c r="K3471" s="17" t="n">
        <f aca="false">MAX(K3470,C3471)</f>
        <v>73098.48</v>
      </c>
      <c r="L3471" s="25" t="n">
        <f aca="false">C3471/K3471-1</f>
        <v>-0.225364330421098</v>
      </c>
      <c r="M3471" s="25" t="n">
        <f aca="false">IF(COUNT(G3442:G3471)&lt;20,"",_xlfn.STDEV.S(G3442:G3471)*SQRT($R$3))</f>
        <v>0.358395258735036</v>
      </c>
      <c r="N3471" s="25" t="n">
        <f aca="false">IF(A3471-7&lt;$R$2,"",C3471/INDEX(Clean_Data!$C$2:$C$4314,MATCH(A3471-7,Clean_Data!$A$2:$A$4314,1))-1)</f>
        <v>-0.0612972520269459</v>
      </c>
      <c r="O3471" s="25" t="n">
        <f aca="false">IF(A3471-30&lt;$R$2,"",C3471/INDEX(Clean_Data!$C$2:$C$4314,MATCH(A3471-30,Clean_Data!$A$2:$A$4314,1))-1)</f>
        <v>-0.204311454085393</v>
      </c>
    </row>
    <row r="3472" customFormat="false" ht="15" hidden="false" customHeight="false" outlineLevel="0" collapsed="false">
      <c r="A3472" s="16" t="n">
        <v>45479</v>
      </c>
      <c r="B3472" s="23" t="n">
        <f aca="false">YEAR(A3472)</f>
        <v>2024</v>
      </c>
      <c r="C3472" s="17" t="n">
        <v>58219.33</v>
      </c>
      <c r="D3472" s="23" t="n">
        <f aca="false">A3472-A3471</f>
        <v>1</v>
      </c>
      <c r="E3472" s="24" t="n">
        <f aca="false">LN(C3472)</f>
        <v>10.9719727091606</v>
      </c>
      <c r="F3472" s="25" t="n">
        <f aca="false">LN(C3472/C3471)</f>
        <v>0.0277723210039057</v>
      </c>
      <c r="G3472" s="25" t="n">
        <f aca="false">IF(AND(D3472=1,A3472&gt;=$R$2),F3472,"")</f>
        <v>0.0277723210039057</v>
      </c>
      <c r="H3472" s="27" t="n">
        <f aca="false">IF(G3472="","",G3472^2)</f>
        <v>0.000771301813943981</v>
      </c>
      <c r="I3472" s="25" t="n">
        <f aca="false">IF(G3472="","",C3472/C3471-1)</f>
        <v>0.0281615669772319</v>
      </c>
      <c r="J3472" s="17" t="n">
        <f aca="false">AVERAGE(C3273:C3472)</f>
        <v>58633.96345</v>
      </c>
      <c r="K3472" s="17" t="n">
        <f aca="false">MAX(K3471,C3472)</f>
        <v>73098.48</v>
      </c>
      <c r="L3472" s="25" t="n">
        <f aca="false">C3472/K3472-1</f>
        <v>-0.203549376129298</v>
      </c>
      <c r="M3472" s="25" t="n">
        <f aca="false">IF(COUNT(G3443:G3472)&lt;20,"",_xlfn.STDEV.S(G3443:G3472)*SQRT($R$3))</f>
        <v>0.379066671810537</v>
      </c>
      <c r="N3472" s="25" t="n">
        <f aca="false">IF(A3472-7&lt;$R$2,"",C3472/INDEX(Clean_Data!$C$2:$C$4314,MATCH(A3472-7,Clean_Data!$A$2:$A$4314,1))-1)</f>
        <v>-0.043864336878948</v>
      </c>
      <c r="O3472" s="25" t="n">
        <f aca="false">IF(A3472-30&lt;$R$2,"",C3472/INDEX(Clean_Data!$C$2:$C$4314,MATCH(A3472-30,Clean_Data!$A$2:$A$4314,1))-1)</f>
        <v>-0.177352633222506</v>
      </c>
    </row>
    <row r="3473" customFormat="false" ht="15" hidden="false" customHeight="false" outlineLevel="0" collapsed="false">
      <c r="A3473" s="16" t="n">
        <v>45480</v>
      </c>
      <c r="B3473" s="23" t="n">
        <f aca="false">YEAR(A3473)</f>
        <v>2024</v>
      </c>
      <c r="C3473" s="17" t="n">
        <v>55913.47</v>
      </c>
      <c r="D3473" s="23" t="n">
        <f aca="false">A3473-A3472</f>
        <v>1</v>
      </c>
      <c r="E3473" s="24" t="n">
        <f aca="false">LN(C3473)</f>
        <v>10.9315605961263</v>
      </c>
      <c r="F3473" s="25" t="n">
        <f aca="false">LN(C3473/C3472)</f>
        <v>-0.0404121130342908</v>
      </c>
      <c r="G3473" s="25" t="n">
        <f aca="false">IF(AND(D3473=1,A3473&gt;=$R$2),F3473,"")</f>
        <v>-0.0404121130342908</v>
      </c>
      <c r="H3473" s="27" t="n">
        <f aca="false">IF(G3473="","",G3473^2)</f>
        <v>0.0016331388798963</v>
      </c>
      <c r="I3473" s="25" t="n">
        <f aca="false">IF(G3473="","",C3473/C3472-1)</f>
        <v>-0.0396064331210957</v>
      </c>
      <c r="J3473" s="17" t="n">
        <f aca="false">AVERAGE(C3274:C3473)</f>
        <v>58695.29575</v>
      </c>
      <c r="K3473" s="17" t="n">
        <f aca="false">MAX(K3472,C3473)</f>
        <v>73098.48</v>
      </c>
      <c r="L3473" s="25" t="n">
        <f aca="false">C3473/K3473-1</f>
        <v>-0.235093944497888</v>
      </c>
      <c r="M3473" s="25" t="n">
        <f aca="false">IF(COUNT(G3444:G3473)&lt;20,"",_xlfn.STDEV.S(G3444:G3473)*SQRT($R$3))</f>
        <v>0.394049036904006</v>
      </c>
      <c r="N3473" s="25" t="n">
        <f aca="false">IF(A3473-7&lt;$R$2,"",C3473/INDEX(Clean_Data!$C$2:$C$4314,MATCH(A3473-7,Clean_Data!$A$2:$A$4314,1))-1)</f>
        <v>-0.107926532552837</v>
      </c>
      <c r="O3473" s="25" t="n">
        <f aca="false">IF(A3473-30&lt;$R$2,"",C3473/INDEX(Clean_Data!$C$2:$C$4314,MATCH(A3473-30,Clean_Data!$A$2:$A$4314,1))-1)</f>
        <v>-0.192976604269006</v>
      </c>
    </row>
    <row r="3474" customFormat="false" ht="15" hidden="false" customHeight="false" outlineLevel="0" collapsed="false">
      <c r="A3474" s="16" t="n">
        <v>45481</v>
      </c>
      <c r="B3474" s="23" t="n">
        <f aca="false">YEAR(A3474)</f>
        <v>2024</v>
      </c>
      <c r="C3474" s="17" t="n">
        <v>56684.73</v>
      </c>
      <c r="D3474" s="23" t="n">
        <f aca="false">A3474-A3473</f>
        <v>1</v>
      </c>
      <c r="E3474" s="24" t="n">
        <f aca="false">LN(C3474)</f>
        <v>10.9452601412755</v>
      </c>
      <c r="F3474" s="25" t="n">
        <f aca="false">LN(C3474/C3473)</f>
        <v>0.0136995451492188</v>
      </c>
      <c r="G3474" s="25" t="n">
        <f aca="false">IF(AND(D3474=1,A3474&gt;=$R$2),F3474,"")</f>
        <v>0.0136995451492188</v>
      </c>
      <c r="H3474" s="27" t="n">
        <f aca="false">IF(G3474="","",G3474^2)</f>
        <v>0.000187677537295485</v>
      </c>
      <c r="I3474" s="25" t="n">
        <f aca="false">IF(G3474="","",C3474/C3473-1)</f>
        <v>0.0137938139056653</v>
      </c>
      <c r="J3474" s="17" t="n">
        <f aca="false">AVERAGE(C3275:C3474)</f>
        <v>58759.3345</v>
      </c>
      <c r="K3474" s="17" t="n">
        <f aca="false">MAX(K3473,C3474)</f>
        <v>73098.48</v>
      </c>
      <c r="L3474" s="25" t="n">
        <f aca="false">C3474/K3474-1</f>
        <v>-0.224542972712976</v>
      </c>
      <c r="M3474" s="25" t="n">
        <f aca="false">IF(COUNT(G3445:G3474)&lt;20,"",_xlfn.STDEV.S(G3445:G3474)*SQRT($R$3))</f>
        <v>0.399958776300147</v>
      </c>
      <c r="N3474" s="25" t="n">
        <f aca="false">IF(A3474-7&lt;$R$2,"",C3474/INDEX(Clean_Data!$C$2:$C$4314,MATCH(A3474-7,Clean_Data!$A$2:$A$4314,1))-1)</f>
        <v>-0.0983867750675437</v>
      </c>
      <c r="O3474" s="25" t="n">
        <f aca="false">IF(A3474-30&lt;$R$2,"",C3474/INDEX(Clean_Data!$C$2:$C$4314,MATCH(A3474-30,Clean_Data!$A$2:$A$4314,1))-1)</f>
        <v>-0.182108161065652</v>
      </c>
    </row>
    <row r="3475" customFormat="false" ht="15" hidden="false" customHeight="false" outlineLevel="0" collapsed="false">
      <c r="A3475" s="16" t="n">
        <v>45482</v>
      </c>
      <c r="B3475" s="23" t="n">
        <f aca="false">YEAR(A3475)</f>
        <v>2024</v>
      </c>
      <c r="C3475" s="17" t="n">
        <v>57995.57</v>
      </c>
      <c r="D3475" s="23" t="n">
        <f aca="false">A3475-A3474</f>
        <v>1</v>
      </c>
      <c r="E3475" s="24" t="n">
        <f aca="false">LN(C3475)</f>
        <v>10.9681219073012</v>
      </c>
      <c r="F3475" s="25" t="n">
        <f aca="false">LN(C3475/C3474)</f>
        <v>0.0228617660256668</v>
      </c>
      <c r="G3475" s="25" t="n">
        <f aca="false">IF(AND(D3475=1,A3475&gt;=$R$2),F3475,"")</f>
        <v>0.0228617660256668</v>
      </c>
      <c r="H3475" s="27" t="n">
        <f aca="false">IF(G3475="","",G3475^2)</f>
        <v>0.000522660345812333</v>
      </c>
      <c r="I3475" s="25" t="n">
        <f aca="false">IF(G3475="","",C3475/C3474-1)</f>
        <v>0.0231250991228149</v>
      </c>
      <c r="J3475" s="17" t="n">
        <f aca="false">AVERAGE(C3276:C3475)</f>
        <v>58829.23435</v>
      </c>
      <c r="K3475" s="17" t="n">
        <f aca="false">MAX(K3474,C3475)</f>
        <v>73098.48</v>
      </c>
      <c r="L3475" s="25" t="n">
        <f aca="false">C3475/K3475-1</f>
        <v>-0.20661045209148</v>
      </c>
      <c r="M3475" s="25" t="n">
        <f aca="false">IF(COUNT(G3446:G3475)&lt;20,"",_xlfn.STDEV.S(G3446:G3475)*SQRT($R$3))</f>
        <v>0.411221209130145</v>
      </c>
      <c r="N3475" s="25" t="n">
        <f aca="false">IF(A3475-7&lt;$R$2,"",C3475/INDEX(Clean_Data!$C$2:$C$4314,MATCH(A3475-7,Clean_Data!$A$2:$A$4314,1))-1)</f>
        <v>-0.0654398392175909</v>
      </c>
      <c r="O3475" s="25" t="n">
        <f aca="false">IF(A3475-30&lt;$R$2,"",C3475/INDEX(Clean_Data!$C$2:$C$4314,MATCH(A3475-30,Clean_Data!$A$2:$A$4314,1))-1)</f>
        <v>-0.167388151229366</v>
      </c>
    </row>
    <row r="3476" customFormat="false" ht="15" hidden="false" customHeight="false" outlineLevel="0" collapsed="false">
      <c r="A3476" s="16" t="n">
        <v>45483</v>
      </c>
      <c r="B3476" s="23" t="n">
        <f aca="false">YEAR(A3476)</f>
        <v>2024</v>
      </c>
      <c r="C3476" s="17" t="n">
        <v>57653.32</v>
      </c>
      <c r="D3476" s="23" t="n">
        <f aca="false">A3476-A3475</f>
        <v>1</v>
      </c>
      <c r="E3476" s="24" t="n">
        <f aca="false">LN(C3476)</f>
        <v>10.9622031129376</v>
      </c>
      <c r="F3476" s="25" t="n">
        <f aca="false">LN(C3476/C3475)</f>
        <v>-0.00591879436360981</v>
      </c>
      <c r="G3476" s="25" t="n">
        <f aca="false">IF(AND(D3476=1,A3476&gt;=$R$2),F3476,"")</f>
        <v>-0.00591879436360981</v>
      </c>
      <c r="H3476" s="27" t="n">
        <f aca="false">IF(G3476="","",G3476^2)</f>
        <v>3.50321267186992E-005</v>
      </c>
      <c r="I3476" s="25" t="n">
        <f aca="false">IF(G3476="","",C3476/C3475-1)</f>
        <v>-0.00590131280716788</v>
      </c>
      <c r="J3476" s="17" t="n">
        <f aca="false">AVERAGE(C3277:C3476)</f>
        <v>58898.923</v>
      </c>
      <c r="K3476" s="17" t="n">
        <f aca="false">MAX(K3475,C3476)</f>
        <v>73098.48</v>
      </c>
      <c r="L3476" s="25" t="n">
        <f aca="false">C3476/K3476-1</f>
        <v>-0.211292491991625</v>
      </c>
      <c r="M3476" s="25" t="n">
        <f aca="false">IF(COUNT(G3447:G3476)&lt;20,"",_xlfn.STDEV.S(G3447:G3476)*SQRT($R$3))</f>
        <v>0.411000754805356</v>
      </c>
      <c r="N3476" s="25" t="n">
        <f aca="false">IF(A3476-7&lt;$R$2,"",C3476/INDEX(Clean_Data!$C$2:$C$4314,MATCH(A3476-7,Clean_Data!$A$2:$A$4314,1))-1)</f>
        <v>-0.0421022095344303</v>
      </c>
      <c r="O3476" s="25" t="n">
        <f aca="false">IF(A3476-30&lt;$R$2,"",C3476/INDEX(Clean_Data!$C$2:$C$4314,MATCH(A3476-30,Clean_Data!$A$2:$A$4314,1))-1)</f>
        <v>-0.170343853602112</v>
      </c>
    </row>
    <row r="3477" customFormat="false" ht="15" hidden="false" customHeight="false" outlineLevel="0" collapsed="false">
      <c r="A3477" s="16" t="n">
        <v>45484</v>
      </c>
      <c r="B3477" s="23" t="n">
        <f aca="false">YEAR(A3477)</f>
        <v>2024</v>
      </c>
      <c r="C3477" s="17" t="n">
        <v>57384.82</v>
      </c>
      <c r="D3477" s="23" t="n">
        <f aca="false">A3477-A3476</f>
        <v>1</v>
      </c>
      <c r="E3477" s="24" t="n">
        <f aca="false">LN(C3477)</f>
        <v>10.9575350874017</v>
      </c>
      <c r="F3477" s="25" t="n">
        <f aca="false">LN(C3477/C3476)</f>
        <v>-0.00466802553590346</v>
      </c>
      <c r="G3477" s="25" t="n">
        <f aca="false">IF(AND(D3477=1,A3477&gt;=$R$2),F3477,"")</f>
        <v>-0.00466802553590346</v>
      </c>
      <c r="H3477" s="27" t="n">
        <f aca="false">IF(G3477="","",G3477^2)</f>
        <v>2.17904624038468E-005</v>
      </c>
      <c r="I3477" s="25" t="n">
        <f aca="false">IF(G3477="","",C3477/C3476-1)</f>
        <v>-0.00465714723800814</v>
      </c>
      <c r="J3477" s="17" t="n">
        <f aca="false">AVERAGE(C3278:C3477)</f>
        <v>58970.81435</v>
      </c>
      <c r="K3477" s="17" t="n">
        <f aca="false">MAX(K3476,C3477)</f>
        <v>73098.48</v>
      </c>
      <c r="L3477" s="25" t="n">
        <f aca="false">C3477/K3477-1</f>
        <v>-0.214965618984143</v>
      </c>
      <c r="M3477" s="25" t="n">
        <f aca="false">IF(COUNT(G3448:G3477)&lt;20,"",_xlfn.STDEV.S(G3448:G3477)*SQRT($R$3))</f>
        <v>0.400523688740187</v>
      </c>
      <c r="N3477" s="25" t="n">
        <f aca="false">IF(A3477-7&lt;$R$2,"",C3477/INDEX(Clean_Data!$C$2:$C$4314,MATCH(A3477-7,Clean_Data!$A$2:$A$4314,1))-1)</f>
        <v>0.00373667226447449</v>
      </c>
      <c r="O3477" s="25" t="n">
        <f aca="false">IF(A3477-30&lt;$R$2,"",C3477/INDEX(Clean_Data!$C$2:$C$4314,MATCH(A3477-30,Clean_Data!$A$2:$A$4314,1))-1)</f>
        <v>-0.147536322479323</v>
      </c>
    </row>
    <row r="3478" customFormat="false" ht="15" hidden="false" customHeight="false" outlineLevel="0" collapsed="false">
      <c r="A3478" s="16" t="n">
        <v>45485</v>
      </c>
      <c r="B3478" s="23" t="n">
        <f aca="false">YEAR(A3478)</f>
        <v>2024</v>
      </c>
      <c r="C3478" s="17" t="n">
        <v>57910.59</v>
      </c>
      <c r="D3478" s="23" t="n">
        <f aca="false">A3478-A3477</f>
        <v>1</v>
      </c>
      <c r="E3478" s="24" t="n">
        <f aca="false">LN(C3478)</f>
        <v>10.966655548391</v>
      </c>
      <c r="F3478" s="25" t="n">
        <f aca="false">LN(C3478/C3477)</f>
        <v>0.00912046098939048</v>
      </c>
      <c r="G3478" s="25" t="n">
        <f aca="false">IF(AND(D3478=1,A3478&gt;=$R$2),F3478,"")</f>
        <v>0.00912046098939048</v>
      </c>
      <c r="H3478" s="27" t="n">
        <f aca="false">IF(G3478="","",G3478^2)</f>
        <v>8.31828086589935E-005</v>
      </c>
      <c r="I3478" s="25" t="n">
        <f aca="false">IF(G3478="","",C3478/C3477-1)</f>
        <v>0.00916217912681439</v>
      </c>
      <c r="J3478" s="17" t="n">
        <f aca="false">AVERAGE(C3279:C3478)</f>
        <v>59042.3489</v>
      </c>
      <c r="K3478" s="17" t="n">
        <f aca="false">MAX(K3477,C3478)</f>
        <v>73098.48</v>
      </c>
      <c r="L3478" s="25" t="n">
        <f aca="false">C3478/K3478-1</f>
        <v>-0.207772993364568</v>
      </c>
      <c r="M3478" s="25" t="n">
        <f aca="false">IF(COUNT(G3449:G3478)&lt;20,"",_xlfn.STDEV.S(G3449:G3478)*SQRT($R$3))</f>
        <v>0.397864642095942</v>
      </c>
      <c r="N3478" s="25" t="n">
        <f aca="false">IF(A3478-7&lt;$R$2,"",C3478/INDEX(Clean_Data!$C$2:$C$4314,MATCH(A3478-7,Clean_Data!$A$2:$A$4314,1))-1)</f>
        <v>0.0227091750965875</v>
      </c>
      <c r="O3478" s="25" t="n">
        <f aca="false">IF(A3478-30&lt;$R$2,"",C3478/INDEX(Clean_Data!$C$2:$C$4314,MATCH(A3478-30,Clean_Data!$A$2:$A$4314,1))-1)</f>
        <v>-0.151753937031518</v>
      </c>
    </row>
    <row r="3479" customFormat="false" ht="15" hidden="false" customHeight="false" outlineLevel="0" collapsed="false">
      <c r="A3479" s="16" t="n">
        <v>45486</v>
      </c>
      <c r="B3479" s="23" t="n">
        <f aca="false">YEAR(A3479)</f>
        <v>2024</v>
      </c>
      <c r="C3479" s="17" t="n">
        <v>59251.21</v>
      </c>
      <c r="D3479" s="23" t="n">
        <f aca="false">A3479-A3478</f>
        <v>1</v>
      </c>
      <c r="E3479" s="24" t="n">
        <f aca="false">LN(C3479)</f>
        <v>10.9895414807298</v>
      </c>
      <c r="F3479" s="25" t="n">
        <f aca="false">LN(C3479/C3478)</f>
        <v>0.0228859323387402</v>
      </c>
      <c r="G3479" s="25" t="n">
        <f aca="false">IF(AND(D3479=1,A3479&gt;=$R$2),F3479,"")</f>
        <v>0.0228859323387402</v>
      </c>
      <c r="H3479" s="27" t="n">
        <f aca="false">IF(G3479="","",G3479^2)</f>
        <v>0.000523765899013393</v>
      </c>
      <c r="I3479" s="25" t="n">
        <f aca="false">IF(G3479="","",C3479/C3478-1)</f>
        <v>0.0231498245830339</v>
      </c>
      <c r="J3479" s="17" t="n">
        <f aca="false">AVERAGE(C3280:C3479)</f>
        <v>59126.00365</v>
      </c>
      <c r="K3479" s="17" t="n">
        <f aca="false">MAX(K3478,C3479)</f>
        <v>73098.48</v>
      </c>
      <c r="L3479" s="25" t="n">
        <f aca="false">C3479/K3479-1</f>
        <v>-0.189433077131016</v>
      </c>
      <c r="M3479" s="25" t="n">
        <f aca="false">IF(COUNT(G3450:G3479)&lt;20,"",_xlfn.STDEV.S(G3450:G3479)*SQRT($R$3))</f>
        <v>0.404975988377554</v>
      </c>
      <c r="N3479" s="25" t="n">
        <f aca="false">IF(A3479-7&lt;$R$2,"",C3479/INDEX(Clean_Data!$C$2:$C$4314,MATCH(A3479-7,Clean_Data!$A$2:$A$4314,1))-1)</f>
        <v>0.0177240102213474</v>
      </c>
      <c r="O3479" s="25" t="n">
        <f aca="false">IF(A3479-30&lt;$R$2,"",C3479/INDEX(Clean_Data!$C$2:$C$4314,MATCH(A3479-30,Clean_Data!$A$2:$A$4314,1))-1)</f>
        <v>-0.112531547548615</v>
      </c>
    </row>
    <row r="3480" customFormat="false" ht="15" hidden="false" customHeight="false" outlineLevel="0" collapsed="false">
      <c r="A3480" s="16" t="n">
        <v>45487</v>
      </c>
      <c r="B3480" s="23" t="n">
        <f aca="false">YEAR(A3480)</f>
        <v>2024</v>
      </c>
      <c r="C3480" s="17" t="n">
        <v>60798.13</v>
      </c>
      <c r="D3480" s="23" t="n">
        <f aca="false">A3480-A3479</f>
        <v>1</v>
      </c>
      <c r="E3480" s="24" t="n">
        <f aca="false">LN(C3480)</f>
        <v>11.0153143109023</v>
      </c>
      <c r="F3480" s="25" t="n">
        <f aca="false">LN(C3480/C3479)</f>
        <v>0.0257728301725368</v>
      </c>
      <c r="G3480" s="25" t="n">
        <f aca="false">IF(AND(D3480=1,A3480&gt;=$R$2),F3480,"")</f>
        <v>0.0257728301725368</v>
      </c>
      <c r="H3480" s="27" t="n">
        <f aca="false">IF(G3480="","",G3480^2)</f>
        <v>0.000664238775102421</v>
      </c>
      <c r="I3480" s="25" t="n">
        <f aca="false">IF(G3480="","",C3480/C3479-1)</f>
        <v>0.0261078212579962</v>
      </c>
      <c r="J3480" s="17" t="n">
        <f aca="false">AVERAGE(C3281:C3480)</f>
        <v>59212.77205</v>
      </c>
      <c r="K3480" s="17" t="n">
        <f aca="false">MAX(K3479,C3480)</f>
        <v>73098.48</v>
      </c>
      <c r="L3480" s="25" t="n">
        <f aca="false">C3480/K3480-1</f>
        <v>-0.168270940791108</v>
      </c>
      <c r="M3480" s="25" t="n">
        <f aca="false">IF(COUNT(G3451:G3480)&lt;20,"",_xlfn.STDEV.S(G3451:G3480)*SQRT($R$3))</f>
        <v>0.417040276594391</v>
      </c>
      <c r="N3480" s="25" t="n">
        <f aca="false">IF(A3480-7&lt;$R$2,"",C3480/INDEX(Clean_Data!$C$2:$C$4314,MATCH(A3480-7,Clean_Data!$A$2:$A$4314,1))-1)</f>
        <v>0.087361059866254</v>
      </c>
      <c r="O3480" s="25" t="n">
        <f aca="false">IF(A3480-30&lt;$R$2,"",C3480/INDEX(Clean_Data!$C$2:$C$4314,MATCH(A3480-30,Clean_Data!$A$2:$A$4314,1))-1)</f>
        <v>-0.079129029199475</v>
      </c>
    </row>
    <row r="3481" customFormat="false" ht="15" hidden="false" customHeight="false" outlineLevel="0" collapsed="false">
      <c r="A3481" s="16" t="n">
        <v>45488</v>
      </c>
      <c r="B3481" s="23" t="n">
        <f aca="false">YEAR(A3481)</f>
        <v>2024</v>
      </c>
      <c r="C3481" s="17" t="n">
        <v>64772.57</v>
      </c>
      <c r="D3481" s="23" t="n">
        <f aca="false">A3481-A3480</f>
        <v>1</v>
      </c>
      <c r="E3481" s="24" t="n">
        <f aca="false">LN(C3481)</f>
        <v>11.0786374902534</v>
      </c>
      <c r="F3481" s="25" t="n">
        <f aca="false">LN(C3481/C3480)</f>
        <v>0.0633231793511312</v>
      </c>
      <c r="G3481" s="25" t="n">
        <f aca="false">IF(AND(D3481=1,A3481&gt;=$R$2),F3481,"")</f>
        <v>0.0633231793511312</v>
      </c>
      <c r="H3481" s="27" t="n">
        <f aca="false">IF(G3481="","",G3481^2)</f>
        <v>0.00400982504313553</v>
      </c>
      <c r="I3481" s="25" t="n">
        <f aca="false">IF(G3481="","",C3481/C3480-1)</f>
        <v>0.0653710895384447</v>
      </c>
      <c r="J3481" s="17" t="n">
        <f aca="false">AVERAGE(C3282:C3481)</f>
        <v>59323.5697</v>
      </c>
      <c r="K3481" s="17" t="n">
        <f aca="false">MAX(K3480,C3481)</f>
        <v>73098.48</v>
      </c>
      <c r="L3481" s="25" t="n">
        <f aca="false">C3481/K3481-1</f>
        <v>-0.113899905989837</v>
      </c>
      <c r="M3481" s="25" t="n">
        <f aca="false">IF(COUNT(G3452:G3481)&lt;20,"",_xlfn.STDEV.S(G3452:G3481)*SQRT($R$3))</f>
        <v>0.476449760134008</v>
      </c>
      <c r="N3481" s="25" t="n">
        <f aca="false">IF(A3481-7&lt;$R$2,"",C3481/INDEX(Clean_Data!$C$2:$C$4314,MATCH(A3481-7,Clean_Data!$A$2:$A$4314,1))-1)</f>
        <v>0.142681106534335</v>
      </c>
      <c r="O3481" s="25" t="n">
        <f aca="false">IF(A3481-30&lt;$R$2,"",C3481/INDEX(Clean_Data!$C$2:$C$4314,MATCH(A3481-30,Clean_Data!$A$2:$A$4314,1))-1)</f>
        <v>-0.0208963891904116</v>
      </c>
    </row>
    <row r="3482" customFormat="false" ht="15" hidden="false" customHeight="false" outlineLevel="0" collapsed="false">
      <c r="A3482" s="16" t="n">
        <v>45489</v>
      </c>
      <c r="B3482" s="23" t="n">
        <f aca="false">YEAR(A3482)</f>
        <v>2024</v>
      </c>
      <c r="C3482" s="17" t="n">
        <v>65045.81</v>
      </c>
      <c r="D3482" s="23" t="n">
        <f aca="false">A3482-A3481</f>
        <v>1</v>
      </c>
      <c r="E3482" s="24" t="n">
        <f aca="false">LN(C3482)</f>
        <v>11.0828470698753</v>
      </c>
      <c r="F3482" s="25" t="n">
        <f aca="false">LN(C3482/C3481)</f>
        <v>0.00420957962188463</v>
      </c>
      <c r="G3482" s="25" t="n">
        <f aca="false">IF(AND(D3482=1,A3482&gt;=$R$2),F3482,"")</f>
        <v>0.00420957962188463</v>
      </c>
      <c r="H3482" s="27" t="n">
        <f aca="false">IF(G3482="","",G3482^2)</f>
        <v>1.77205605929863E-005</v>
      </c>
      <c r="I3482" s="25" t="n">
        <f aca="false">IF(G3482="","",C3482/C3481-1)</f>
        <v>0.00421845234796137</v>
      </c>
      <c r="J3482" s="17" t="n">
        <f aca="false">AVERAGE(C3283:C3482)</f>
        <v>59438.51725</v>
      </c>
      <c r="K3482" s="17" t="n">
        <f aca="false">MAX(K3481,C3482)</f>
        <v>73098.48</v>
      </c>
      <c r="L3482" s="25" t="n">
        <f aca="false">C3482/K3482-1</f>
        <v>-0.110161934967731</v>
      </c>
      <c r="M3482" s="25" t="n">
        <f aca="false">IF(COUNT(G3453:G3482)&lt;20,"",_xlfn.STDEV.S(G3453:G3482)*SQRT($R$3))</f>
        <v>0.475999703190657</v>
      </c>
      <c r="N3482" s="25" t="n">
        <f aca="false">IF(A3482-7&lt;$R$2,"",C3482/INDEX(Clean_Data!$C$2:$C$4314,MATCH(A3482-7,Clean_Data!$A$2:$A$4314,1))-1)</f>
        <v>0.121565147131065</v>
      </c>
      <c r="O3482" s="25" t="n">
        <f aca="false">IF(A3482-30&lt;$R$2,"",C3482/INDEX(Clean_Data!$C$2:$C$4314,MATCH(A3482-30,Clean_Data!$A$2:$A$4314,1))-1)</f>
        <v>-0.0235358774977249</v>
      </c>
    </row>
    <row r="3483" customFormat="false" ht="15" hidden="false" customHeight="false" outlineLevel="0" collapsed="false">
      <c r="A3483" s="16" t="n">
        <v>45490</v>
      </c>
      <c r="B3483" s="23" t="n">
        <f aca="false">YEAR(A3483)</f>
        <v>2024</v>
      </c>
      <c r="C3483" s="17" t="n">
        <v>64157.33</v>
      </c>
      <c r="D3483" s="23" t="n">
        <f aca="false">A3483-A3482</f>
        <v>1</v>
      </c>
      <c r="E3483" s="24" t="n">
        <f aca="false">LN(C3483)</f>
        <v>11.0690936269613</v>
      </c>
      <c r="F3483" s="25" t="n">
        <f aca="false">LN(C3483/C3482)</f>
        <v>-0.0137534429140707</v>
      </c>
      <c r="G3483" s="25" t="n">
        <f aca="false">IF(AND(D3483=1,A3483&gt;=$R$2),F3483,"")</f>
        <v>-0.0137534429140707</v>
      </c>
      <c r="H3483" s="27" t="n">
        <f aca="false">IF(G3483="","",G3483^2)</f>
        <v>0.0001891571919906</v>
      </c>
      <c r="I3483" s="25" t="n">
        <f aca="false">IF(G3483="","",C3483/C3482-1)</f>
        <v>-0.0136592964250887</v>
      </c>
      <c r="J3483" s="17" t="n">
        <f aca="false">AVERAGE(C3284:C3483)</f>
        <v>59548.4801</v>
      </c>
      <c r="K3483" s="17" t="n">
        <f aca="false">MAX(K3482,C3483)</f>
        <v>73098.48</v>
      </c>
      <c r="L3483" s="25" t="n">
        <f aca="false">C3483/K3483-1</f>
        <v>-0.122316496868334</v>
      </c>
      <c r="M3483" s="25" t="n">
        <f aca="false">IF(COUNT(G3454:G3483)&lt;20,"",_xlfn.STDEV.S(G3454:G3483)*SQRT($R$3))</f>
        <v>0.478142949883835</v>
      </c>
      <c r="N3483" s="25" t="n">
        <f aca="false">IF(A3483-7&lt;$R$2,"",C3483/INDEX(Clean_Data!$C$2:$C$4314,MATCH(A3483-7,Clean_Data!$A$2:$A$4314,1))-1)</f>
        <v>0.112812410456154</v>
      </c>
      <c r="O3483" s="25" t="n">
        <f aca="false">IF(A3483-30&lt;$R$2,"",C3483/INDEX(Clean_Data!$C$2:$C$4314,MATCH(A3483-30,Clean_Data!$A$2:$A$4314,1))-1)</f>
        <v>-0.0354826658528463</v>
      </c>
    </row>
    <row r="3484" customFormat="false" ht="15" hidden="false" customHeight="false" outlineLevel="0" collapsed="false">
      <c r="A3484" s="16" t="n">
        <v>45491</v>
      </c>
      <c r="B3484" s="23" t="n">
        <f aca="false">YEAR(A3484)</f>
        <v>2024</v>
      </c>
      <c r="C3484" s="17" t="n">
        <v>63999.59</v>
      </c>
      <c r="D3484" s="23" t="n">
        <f aca="false">A3484-A3483</f>
        <v>1</v>
      </c>
      <c r="E3484" s="24" t="n">
        <f aca="false">LN(C3484)</f>
        <v>11.0666319560713</v>
      </c>
      <c r="F3484" s="25" t="n">
        <f aca="false">LN(C3484/C3483)</f>
        <v>-0.0024616708899742</v>
      </c>
      <c r="G3484" s="25" t="n">
        <f aca="false">IF(AND(D3484=1,A3484&gt;=$R$2),F3484,"")</f>
        <v>-0.0024616708899742</v>
      </c>
      <c r="H3484" s="27" t="n">
        <f aca="false">IF(G3484="","",G3484^2)</f>
        <v>6.05982357054637E-006</v>
      </c>
      <c r="I3484" s="25" t="n">
        <f aca="false">IF(G3484="","",C3484/C3483-1)</f>
        <v>-0.00245864346287483</v>
      </c>
      <c r="J3484" s="17" t="n">
        <f aca="false">AVERAGE(C3285:C3484)</f>
        <v>59656.97415</v>
      </c>
      <c r="K3484" s="17" t="n">
        <f aca="false">MAX(K3483,C3484)</f>
        <v>73098.48</v>
      </c>
      <c r="L3484" s="25" t="n">
        <f aca="false">C3484/K3484-1</f>
        <v>-0.124474407675782</v>
      </c>
      <c r="M3484" s="25" t="n">
        <f aca="false">IF(COUNT(G3455:G3484)&lt;20,"",_xlfn.STDEV.S(G3455:G3484)*SQRT($R$3))</f>
        <v>0.472753394172463</v>
      </c>
      <c r="N3484" s="25" t="n">
        <f aca="false">IF(A3484-7&lt;$R$2,"",C3484/INDEX(Clean_Data!$C$2:$C$4314,MATCH(A3484-7,Clean_Data!$A$2:$A$4314,1))-1)</f>
        <v>0.11527037986701</v>
      </c>
      <c r="O3484" s="25" t="n">
        <f aca="false">IF(A3484-30&lt;$R$2,"",C3484/INDEX(Clean_Data!$C$2:$C$4314,MATCH(A3484-30,Clean_Data!$A$2:$A$4314,1))-1)</f>
        <v>-0.0173049107430758</v>
      </c>
    </row>
    <row r="3485" customFormat="false" ht="15" hidden="false" customHeight="false" outlineLevel="0" collapsed="false">
      <c r="A3485" s="16" t="n">
        <v>45492</v>
      </c>
      <c r="B3485" s="23" t="n">
        <f aca="false">YEAR(A3485)</f>
        <v>2024</v>
      </c>
      <c r="C3485" s="17" t="n">
        <v>66771.26</v>
      </c>
      <c r="D3485" s="23" t="n">
        <f aca="false">A3485-A3484</f>
        <v>1</v>
      </c>
      <c r="E3485" s="24" t="n">
        <f aca="false">LN(C3485)</f>
        <v>11.1090280274242</v>
      </c>
      <c r="F3485" s="25" t="n">
        <f aca="false">LN(C3485/C3484)</f>
        <v>0.0423960713529124</v>
      </c>
      <c r="G3485" s="25" t="n">
        <f aca="false">IF(AND(D3485=1,A3485&gt;=$R$2),F3485,"")</f>
        <v>0.0423960713529124</v>
      </c>
      <c r="H3485" s="27" t="n">
        <f aca="false">IF(G3485="","",G3485^2)</f>
        <v>0.00179742686616124</v>
      </c>
      <c r="I3485" s="25" t="n">
        <f aca="false">IF(G3485="","",C3485/C3484-1)</f>
        <v>0.0433076211894483</v>
      </c>
      <c r="J3485" s="17" t="n">
        <f aca="false">AVERAGE(C3286:C3485)</f>
        <v>59769.6826</v>
      </c>
      <c r="K3485" s="17" t="n">
        <f aca="false">MAX(K3484,C3485)</f>
        <v>73098.48</v>
      </c>
      <c r="L3485" s="25" t="n">
        <f aca="false">C3485/K3485-1</f>
        <v>-0.0865574769817376</v>
      </c>
      <c r="M3485" s="25" t="n">
        <f aca="false">IF(COUNT(G3456:G3485)&lt;20,"",_xlfn.STDEV.S(G3456:G3485)*SQRT($R$3))</f>
        <v>0.495742421938029</v>
      </c>
      <c r="N3485" s="25" t="n">
        <f aca="false">IF(A3485-7&lt;$R$2,"",C3485/INDEX(Clean_Data!$C$2:$C$4314,MATCH(A3485-7,Clean_Data!$A$2:$A$4314,1))-1)</f>
        <v>0.153006039137229</v>
      </c>
      <c r="O3485" s="25" t="n">
        <f aca="false">IF(A3485-30&lt;$R$2,"",C3485/INDEX(Clean_Data!$C$2:$C$4314,MATCH(A3485-30,Clean_Data!$A$2:$A$4314,1))-1)</f>
        <v>0.0287770172130852</v>
      </c>
    </row>
    <row r="3486" customFormat="false" ht="15" hidden="false" customHeight="false" outlineLevel="0" collapsed="false">
      <c r="A3486" s="16" t="n">
        <v>45493</v>
      </c>
      <c r="B3486" s="23" t="n">
        <f aca="false">YEAR(A3486)</f>
        <v>2024</v>
      </c>
      <c r="C3486" s="17" t="n">
        <v>67216.19</v>
      </c>
      <c r="D3486" s="23" t="n">
        <f aca="false">A3486-A3485</f>
        <v>1</v>
      </c>
      <c r="E3486" s="24" t="n">
        <f aca="false">LN(C3486)</f>
        <v>11.1156694201131</v>
      </c>
      <c r="F3486" s="25" t="n">
        <f aca="false">LN(C3486/C3485)</f>
        <v>0.00664139268889378</v>
      </c>
      <c r="G3486" s="25" t="n">
        <f aca="false">IF(AND(D3486=1,A3486&gt;=$R$2),F3486,"")</f>
        <v>0.00664139268889378</v>
      </c>
      <c r="H3486" s="27" t="n">
        <f aca="false">IF(G3486="","",G3486^2)</f>
        <v>4.41080968480917E-005</v>
      </c>
      <c r="I3486" s="25" t="n">
        <f aca="false">IF(G3486="","",C3486/C3485-1)</f>
        <v>0.00666349564168778</v>
      </c>
      <c r="J3486" s="17" t="n">
        <f aca="false">AVERAGE(C3287:C3486)</f>
        <v>59880.61335</v>
      </c>
      <c r="K3486" s="17" t="n">
        <f aca="false">MAX(K3485,C3486)</f>
        <v>73098.48</v>
      </c>
      <c r="L3486" s="25" t="n">
        <f aca="false">C3486/K3486-1</f>
        <v>-0.0804707567106729</v>
      </c>
      <c r="M3486" s="25" t="n">
        <f aca="false">IF(COUNT(G3457:G3486)&lt;20,"",_xlfn.STDEV.S(G3457:G3486)*SQRT($R$3))</f>
        <v>0.496084643612602</v>
      </c>
      <c r="N3486" s="25" t="n">
        <f aca="false">IF(A3486-7&lt;$R$2,"",C3486/INDEX(Clean_Data!$C$2:$C$4314,MATCH(A3486-7,Clean_Data!$A$2:$A$4314,1))-1)</f>
        <v>0.134427296927776</v>
      </c>
      <c r="O3486" s="25" t="n">
        <f aca="false">IF(A3486-30&lt;$R$2,"",C3486/INDEX(Clean_Data!$C$2:$C$4314,MATCH(A3486-30,Clean_Data!$A$2:$A$4314,1))-1)</f>
        <v>0.0366065296958649</v>
      </c>
    </row>
    <row r="3487" customFormat="false" ht="15" hidden="false" customHeight="false" outlineLevel="0" collapsed="false">
      <c r="A3487" s="16" t="n">
        <v>45494</v>
      </c>
      <c r="B3487" s="23" t="n">
        <f aca="false">YEAR(A3487)</f>
        <v>2024</v>
      </c>
      <c r="C3487" s="17" t="n">
        <v>68239.64</v>
      </c>
      <c r="D3487" s="23" t="n">
        <f aca="false">A3487-A3486</f>
        <v>1</v>
      </c>
      <c r="E3487" s="24" t="n">
        <f aca="false">LN(C3487)</f>
        <v>11.1307809066534</v>
      </c>
      <c r="F3487" s="25" t="n">
        <f aca="false">LN(C3487/C3486)</f>
        <v>0.0151114865403088</v>
      </c>
      <c r="G3487" s="25" t="n">
        <f aca="false">IF(AND(D3487=1,A3487&gt;=$R$2),F3487,"")</f>
        <v>0.0151114865403088</v>
      </c>
      <c r="H3487" s="27" t="n">
        <f aca="false">IF(G3487="","",G3487^2)</f>
        <v>0.000228357025457933</v>
      </c>
      <c r="I3487" s="25" t="n">
        <f aca="false">IF(G3487="","",C3487/C3486-1)</f>
        <v>0.015226242368096</v>
      </c>
      <c r="J3487" s="17" t="n">
        <f aca="false">AVERAGE(C3288:C3487)</f>
        <v>60007.63005</v>
      </c>
      <c r="K3487" s="17" t="n">
        <f aca="false">MAX(K3486,C3487)</f>
        <v>73098.48</v>
      </c>
      <c r="L3487" s="25" t="n">
        <f aca="false">C3487/K3487-1</f>
        <v>-0.0664697815877977</v>
      </c>
      <c r="M3487" s="25" t="n">
        <f aca="false">IF(COUNT(G3458:G3487)&lt;20,"",_xlfn.STDEV.S(G3458:G3487)*SQRT($R$3))</f>
        <v>0.496380770012156</v>
      </c>
      <c r="N3487" s="25" t="n">
        <f aca="false">IF(A3487-7&lt;$R$2,"",C3487/INDEX(Clean_Data!$C$2:$C$4314,MATCH(A3487-7,Clean_Data!$A$2:$A$4314,1))-1)</f>
        <v>0.12239702109259</v>
      </c>
      <c r="O3487" s="25" t="n">
        <f aca="false">IF(A3487-30&lt;$R$2,"",C3487/INDEX(Clean_Data!$C$2:$C$4314,MATCH(A3487-30,Clean_Data!$A$2:$A$4314,1))-1)</f>
        <v>0.0639771062850756</v>
      </c>
    </row>
    <row r="3488" customFormat="false" ht="15" hidden="false" customHeight="false" outlineLevel="0" collapsed="false">
      <c r="A3488" s="16" t="n">
        <v>45495</v>
      </c>
      <c r="B3488" s="23" t="n">
        <f aca="false">YEAR(A3488)</f>
        <v>2024</v>
      </c>
      <c r="C3488" s="17" t="n">
        <v>67585.54</v>
      </c>
      <c r="D3488" s="23" t="n">
        <f aca="false">A3488-A3487</f>
        <v>1</v>
      </c>
      <c r="E3488" s="24" t="n">
        <f aca="false">LN(C3488)</f>
        <v>11.1211493338246</v>
      </c>
      <c r="F3488" s="25" t="n">
        <f aca="false">LN(C3488/C3487)</f>
        <v>-0.0096315728287992</v>
      </c>
      <c r="G3488" s="25" t="n">
        <f aca="false">IF(AND(D3488=1,A3488&gt;=$R$2),F3488,"")</f>
        <v>-0.0096315728287992</v>
      </c>
      <c r="H3488" s="27" t="n">
        <f aca="false">IF(G3488="","",G3488^2)</f>
        <v>9.2767195156463E-005</v>
      </c>
      <c r="I3488" s="25" t="n">
        <f aca="false">IF(G3488="","",C3488/C3487-1)</f>
        <v>-0.00958533778900361</v>
      </c>
      <c r="J3488" s="17" t="n">
        <f aca="false">AVERAGE(C3289:C3488)</f>
        <v>60124.4072</v>
      </c>
      <c r="K3488" s="17" t="n">
        <f aca="false">MAX(K3487,C3488)</f>
        <v>73098.48</v>
      </c>
      <c r="L3488" s="25" t="n">
        <f aca="false">C3488/K3488-1</f>
        <v>-0.075417984067521</v>
      </c>
      <c r="M3488" s="25" t="n">
        <f aca="false">IF(COUNT(G3459:G3488)&lt;20,"",_xlfn.STDEV.S(G3459:G3488)*SQRT($R$3))</f>
        <v>0.498056505007136</v>
      </c>
      <c r="N3488" s="25" t="n">
        <f aca="false">IF(A3488-7&lt;$R$2,"",C3488/INDEX(Clean_Data!$C$2:$C$4314,MATCH(A3488-7,Clean_Data!$A$2:$A$4314,1))-1)</f>
        <v>0.043428414219167</v>
      </c>
      <c r="O3488" s="25" t="n">
        <f aca="false">IF(A3488-30&lt;$R$2,"",C3488/INDEX(Clean_Data!$C$2:$C$4314,MATCH(A3488-30,Clean_Data!$A$2:$A$4314,1))-1)</f>
        <v>0.0517802933569753</v>
      </c>
    </row>
    <row r="3489" customFormat="false" ht="15" hidden="false" customHeight="false" outlineLevel="0" collapsed="false">
      <c r="A3489" s="16" t="n">
        <v>45496</v>
      </c>
      <c r="B3489" s="23" t="n">
        <f aca="false">YEAR(A3489)</f>
        <v>2024</v>
      </c>
      <c r="C3489" s="17" t="n">
        <v>65923.74</v>
      </c>
      <c r="D3489" s="23" t="n">
        <f aca="false">A3489-A3488</f>
        <v>1</v>
      </c>
      <c r="E3489" s="24" t="n">
        <f aca="false">LN(C3489)</f>
        <v>11.0962538984109</v>
      </c>
      <c r="F3489" s="25" t="n">
        <f aca="false">LN(C3489/C3488)</f>
        <v>-0.0248954354137519</v>
      </c>
      <c r="G3489" s="25" t="n">
        <f aca="false">IF(AND(D3489=1,A3489&gt;=$R$2),F3489,"")</f>
        <v>-0.0248954354137519</v>
      </c>
      <c r="H3489" s="27" t="n">
        <f aca="false">IF(G3489="","",G3489^2)</f>
        <v>0.000619782704440294</v>
      </c>
      <c r="I3489" s="25" t="n">
        <f aca="false">IF(G3489="","",C3489/C3488-1)</f>
        <v>-0.0245880997621679</v>
      </c>
      <c r="J3489" s="17" t="n">
        <f aca="false">AVERAGE(C3290:C3489)</f>
        <v>60233.1534</v>
      </c>
      <c r="K3489" s="17" t="n">
        <f aca="false">MAX(K3488,C3489)</f>
        <v>73098.48</v>
      </c>
      <c r="L3489" s="25" t="n">
        <f aca="false">C3489/K3489-1</f>
        <v>-0.0981516989135751</v>
      </c>
      <c r="M3489" s="25" t="n">
        <f aca="false">IF(COUNT(G3460:G3489)&lt;20,"",_xlfn.STDEV.S(G3460:G3489)*SQRT($R$3))</f>
        <v>0.502807227652562</v>
      </c>
      <c r="N3489" s="25" t="n">
        <f aca="false">IF(A3489-7&lt;$R$2,"",C3489/INDEX(Clean_Data!$C$2:$C$4314,MATCH(A3489-7,Clean_Data!$A$2:$A$4314,1))-1)</f>
        <v>0.0134971030416873</v>
      </c>
      <c r="O3489" s="25" t="n">
        <f aca="false">IF(A3489-30&lt;$R$2,"",C3489/INDEX(Clean_Data!$C$2:$C$4314,MATCH(A3489-30,Clean_Data!$A$2:$A$4314,1))-1)</f>
        <v>0.0428601982207841</v>
      </c>
    </row>
    <row r="3490" customFormat="false" ht="15" hidden="false" customHeight="false" outlineLevel="0" collapsed="false">
      <c r="A3490" s="16" t="n">
        <v>45497</v>
      </c>
      <c r="B3490" s="23" t="n">
        <f aca="false">YEAR(A3490)</f>
        <v>2024</v>
      </c>
      <c r="C3490" s="17" t="n">
        <v>65430.69</v>
      </c>
      <c r="D3490" s="23" t="n">
        <f aca="false">A3490-A3489</f>
        <v>1</v>
      </c>
      <c r="E3490" s="24" t="n">
        <f aca="false">LN(C3490)</f>
        <v>11.0887466934295</v>
      </c>
      <c r="F3490" s="25" t="n">
        <f aca="false">LN(C3490/C3489)</f>
        <v>-0.00750720498139809</v>
      </c>
      <c r="G3490" s="25" t="n">
        <f aca="false">IF(AND(D3490=1,A3490&gt;=$R$2),F3490,"")</f>
        <v>-0.00750720498139809</v>
      </c>
      <c r="H3490" s="27" t="n">
        <f aca="false">IF(G3490="","",G3490^2)</f>
        <v>5.63581266327283E-005</v>
      </c>
      <c r="I3490" s="25" t="n">
        <f aca="false">IF(G3490="","",C3490/C3489-1)</f>
        <v>-0.00747909630127175</v>
      </c>
      <c r="J3490" s="17" t="n">
        <f aca="false">AVERAGE(C3291:C3490)</f>
        <v>60340.30685</v>
      </c>
      <c r="K3490" s="17" t="n">
        <f aca="false">MAX(K3489,C3490)</f>
        <v>73098.48</v>
      </c>
      <c r="L3490" s="25" t="n">
        <f aca="false">C3490/K3490-1</f>
        <v>-0.104896709206539</v>
      </c>
      <c r="M3490" s="25" t="n">
        <f aca="false">IF(COUNT(G3461:G3490)&lt;20,"",_xlfn.STDEV.S(G3461:G3490)*SQRT($R$3))</f>
        <v>0.471251017396439</v>
      </c>
      <c r="N3490" s="25" t="n">
        <f aca="false">IF(A3490-7&lt;$R$2,"",C3490/INDEX(Clean_Data!$C$2:$C$4314,MATCH(A3490-7,Clean_Data!$A$2:$A$4314,1))-1)</f>
        <v>0.0198474593627884</v>
      </c>
      <c r="O3490" s="25" t="n">
        <f aca="false">IF(A3490-30&lt;$R$2,"",C3490/INDEX(Clean_Data!$C$2:$C$4314,MATCH(A3490-30,Clean_Data!$A$2:$A$4314,1))-1)</f>
        <v>0.0862387797598148</v>
      </c>
    </row>
    <row r="3491" customFormat="false" ht="15" hidden="false" customHeight="false" outlineLevel="0" collapsed="false">
      <c r="A3491" s="16" t="n">
        <v>45498</v>
      </c>
      <c r="B3491" s="23" t="n">
        <f aca="false">YEAR(A3491)</f>
        <v>2024</v>
      </c>
      <c r="C3491" s="17" t="n">
        <v>65816.21</v>
      </c>
      <c r="D3491" s="23" t="n">
        <f aca="false">A3491-A3490</f>
        <v>1</v>
      </c>
      <c r="E3491" s="24" t="n">
        <f aca="false">LN(C3491)</f>
        <v>11.0946214395572</v>
      </c>
      <c r="F3491" s="25" t="n">
        <f aca="false">LN(C3491/C3490)</f>
        <v>0.00587474612772593</v>
      </c>
      <c r="G3491" s="25" t="n">
        <f aca="false">IF(AND(D3491=1,A3491&gt;=$R$2),F3491,"")</f>
        <v>0.00587474612772593</v>
      </c>
      <c r="H3491" s="27" t="n">
        <f aca="false">IF(G3491="","",G3491^2)</f>
        <v>3.45126420652309E-005</v>
      </c>
      <c r="I3491" s="25" t="n">
        <f aca="false">IF(G3491="","",C3491/C3490-1)</f>
        <v>0.00589203629061541</v>
      </c>
      <c r="J3491" s="17" t="n">
        <f aca="false">AVERAGE(C3292:C3491)</f>
        <v>60449.7695</v>
      </c>
      <c r="K3491" s="17" t="n">
        <f aca="false">MAX(K3490,C3491)</f>
        <v>73098.48</v>
      </c>
      <c r="L3491" s="25" t="n">
        <f aca="false">C3491/K3491-1</f>
        <v>-0.0996227281333345</v>
      </c>
      <c r="M3491" s="25" t="n">
        <f aca="false">IF(COUNT(G3462:G3491)&lt;20,"",_xlfn.STDEV.S(G3462:G3491)*SQRT($R$3))</f>
        <v>0.463947377467825</v>
      </c>
      <c r="N3491" s="25" t="n">
        <f aca="false">IF(A3491-7&lt;$R$2,"",C3491/INDEX(Clean_Data!$C$2:$C$4314,MATCH(A3491-7,Clean_Data!$A$2:$A$4314,1))-1)</f>
        <v>0.0283848693405693</v>
      </c>
      <c r="O3491" s="25" t="n">
        <f aca="false">IF(A3491-30&lt;$R$2,"",C3491/INDEX(Clean_Data!$C$2:$C$4314,MATCH(A3491-30,Clean_Data!$A$2:$A$4314,1))-1)</f>
        <v>0.0646257953206177</v>
      </c>
    </row>
    <row r="3492" customFormat="false" ht="15" hidden="false" customHeight="false" outlineLevel="0" collapsed="false">
      <c r="A3492" s="16" t="n">
        <v>45499</v>
      </c>
      <c r="B3492" s="23" t="n">
        <f aca="false">YEAR(A3492)</f>
        <v>2024</v>
      </c>
      <c r="C3492" s="17" t="n">
        <v>67929.7</v>
      </c>
      <c r="D3492" s="23" t="n">
        <f aca="false">A3492-A3491</f>
        <v>1</v>
      </c>
      <c r="E3492" s="24" t="n">
        <f aca="false">LN(C3492)</f>
        <v>11.1262286258647</v>
      </c>
      <c r="F3492" s="25" t="n">
        <f aca="false">LN(C3492/C3491)</f>
        <v>0.0316071863075069</v>
      </c>
      <c r="G3492" s="25" t="n">
        <f aca="false">IF(AND(D3492=1,A3492&gt;=$R$2),F3492,"")</f>
        <v>0.0316071863075069</v>
      </c>
      <c r="H3492" s="27" t="n">
        <f aca="false">IF(G3492="","",G3492^2)</f>
        <v>0.000999014226277454</v>
      </c>
      <c r="I3492" s="25" t="n">
        <f aca="false">IF(G3492="","",C3492/C3491-1)</f>
        <v>0.0321119979409326</v>
      </c>
      <c r="J3492" s="17" t="n">
        <f aca="false">AVERAGE(C3293:C3492)</f>
        <v>60554.41645</v>
      </c>
      <c r="K3492" s="17" t="n">
        <f aca="false">MAX(K3491,C3492)</f>
        <v>73098.48</v>
      </c>
      <c r="L3492" s="25" t="n">
        <f aca="false">C3492/K3492-1</f>
        <v>-0.0707098150330896</v>
      </c>
      <c r="M3492" s="25" t="n">
        <f aca="false">IF(COUNT(G3463:G3492)&lt;20,"",_xlfn.STDEV.S(G3463:G3492)*SQRT($R$3))</f>
        <v>0.469861294880482</v>
      </c>
      <c r="N3492" s="25" t="n">
        <f aca="false">IF(A3492-7&lt;$R$2,"",C3492/INDEX(Clean_Data!$C$2:$C$4314,MATCH(A3492-7,Clean_Data!$A$2:$A$4314,1))-1)</f>
        <v>0.0173493805568443</v>
      </c>
      <c r="O3492" s="25" t="n">
        <f aca="false">IF(A3492-30&lt;$R$2,"",C3492/INDEX(Clean_Data!$C$2:$C$4314,MATCH(A3492-30,Clean_Data!$A$2:$A$4314,1))-1)</f>
        <v>0.117369004642374</v>
      </c>
    </row>
    <row r="3493" customFormat="false" ht="15" hidden="false" customHeight="false" outlineLevel="0" collapsed="false">
      <c r="A3493" s="16" t="n">
        <v>45500</v>
      </c>
      <c r="B3493" s="23" t="n">
        <f aca="false">YEAR(A3493)</f>
        <v>2024</v>
      </c>
      <c r="C3493" s="17" t="n">
        <v>67805.48</v>
      </c>
      <c r="D3493" s="23" t="n">
        <f aca="false">A3493-A3492</f>
        <v>1</v>
      </c>
      <c r="E3493" s="24" t="n">
        <f aca="false">LN(C3493)</f>
        <v>11.1243982966209</v>
      </c>
      <c r="F3493" s="25" t="n">
        <f aca="false">LN(C3493/C3492)</f>
        <v>-0.0018303292437402</v>
      </c>
      <c r="G3493" s="25" t="n">
        <f aca="false">IF(AND(D3493=1,A3493&gt;=$R$2),F3493,"")</f>
        <v>-0.0018303292437402</v>
      </c>
      <c r="H3493" s="27" t="n">
        <f aca="false">IF(G3493="","",G3493^2)</f>
        <v>3.35010514049058E-006</v>
      </c>
      <c r="I3493" s="25" t="n">
        <f aca="false">IF(G3493="","",C3493/C3492-1)</f>
        <v>-0.0018286552126684</v>
      </c>
      <c r="J3493" s="17" t="n">
        <f aca="false">AVERAGE(C3294:C3493)</f>
        <v>60662.92885</v>
      </c>
      <c r="K3493" s="17" t="n">
        <f aca="false">MAX(K3492,C3493)</f>
        <v>73098.48</v>
      </c>
      <c r="L3493" s="25" t="n">
        <f aca="false">C3493/K3493-1</f>
        <v>-0.0724091663739109</v>
      </c>
      <c r="M3493" s="25" t="n">
        <f aca="false">IF(COUNT(G3464:G3493)&lt;20,"",_xlfn.STDEV.S(G3464:G3493)*SQRT($R$3))</f>
        <v>0.468869248795471</v>
      </c>
      <c r="N3493" s="25" t="n">
        <f aca="false">IF(A3493-7&lt;$R$2,"",C3493/INDEX(Clean_Data!$C$2:$C$4314,MATCH(A3493-7,Clean_Data!$A$2:$A$4314,1))-1)</f>
        <v>0.00876708423967498</v>
      </c>
      <c r="O3493" s="25" t="n">
        <f aca="false">IF(A3493-30&lt;$R$2,"",C3493/INDEX(Clean_Data!$C$2:$C$4314,MATCH(A3493-30,Clean_Data!$A$2:$A$4314,1))-1)</f>
        <v>0.100333903253739</v>
      </c>
    </row>
    <row r="3494" customFormat="false" ht="15" hidden="false" customHeight="false" outlineLevel="0" collapsed="false">
      <c r="A3494" s="16" t="n">
        <v>45501</v>
      </c>
      <c r="B3494" s="23" t="n">
        <f aca="false">YEAR(A3494)</f>
        <v>2024</v>
      </c>
      <c r="C3494" s="17" t="n">
        <v>68274.59</v>
      </c>
      <c r="D3494" s="23" t="n">
        <f aca="false">A3494-A3493</f>
        <v>1</v>
      </c>
      <c r="E3494" s="24" t="n">
        <f aca="false">LN(C3494)</f>
        <v>11.1312929411975</v>
      </c>
      <c r="F3494" s="25" t="n">
        <f aca="false">LN(C3494/C3493)</f>
        <v>0.00689464457660048</v>
      </c>
      <c r="G3494" s="25" t="n">
        <f aca="false">IF(AND(D3494=1,A3494&gt;=$R$2),F3494,"")</f>
        <v>0.00689464457660048</v>
      </c>
      <c r="H3494" s="27" t="n">
        <f aca="false">IF(G3494="","",G3494^2)</f>
        <v>4.75361238376464E-005</v>
      </c>
      <c r="I3494" s="25" t="n">
        <f aca="false">IF(G3494="","",C3494/C3493-1)</f>
        <v>0.00691846735691581</v>
      </c>
      <c r="J3494" s="17" t="n">
        <f aca="false">AVERAGE(C3295:C3494)</f>
        <v>60771.3501</v>
      </c>
      <c r="K3494" s="17" t="n">
        <f aca="false">MAX(K3493,C3494)</f>
        <v>73098.48</v>
      </c>
      <c r="L3494" s="25" t="n">
        <f aca="false">C3494/K3494-1</f>
        <v>-0.0659916594708946</v>
      </c>
      <c r="M3494" s="25" t="n">
        <f aca="false">IF(COUNT(G3465:G3494)&lt;20,"",_xlfn.STDEV.S(G3465:G3494)*SQRT($R$3))</f>
        <v>0.460557408708436</v>
      </c>
      <c r="N3494" s="25" t="n">
        <f aca="false">IF(A3494-7&lt;$R$2,"",C3494/INDEX(Clean_Data!$C$2:$C$4314,MATCH(A3494-7,Clean_Data!$A$2:$A$4314,1))-1)</f>
        <v>0.00051216565620793</v>
      </c>
      <c r="O3494" s="25" t="n">
        <f aca="false">IF(A3494-30&lt;$R$2,"",C3494/INDEX(Clean_Data!$C$2:$C$4314,MATCH(A3494-30,Clean_Data!$A$2:$A$4314,1))-1)</f>
        <v>0.131830395004963</v>
      </c>
    </row>
    <row r="3495" customFormat="false" ht="15" hidden="false" customHeight="false" outlineLevel="0" collapsed="false">
      <c r="A3495" s="16" t="n">
        <v>45502</v>
      </c>
      <c r="B3495" s="23" t="n">
        <f aca="false">YEAR(A3495)</f>
        <v>2024</v>
      </c>
      <c r="C3495" s="17" t="n">
        <v>66827.89</v>
      </c>
      <c r="D3495" s="23" t="n">
        <f aca="false">A3495-A3494</f>
        <v>1</v>
      </c>
      <c r="E3495" s="24" t="n">
        <f aca="false">LN(C3495)</f>
        <v>11.1098757873597</v>
      </c>
      <c r="F3495" s="25" t="n">
        <f aca="false">LN(C3495/C3494)</f>
        <v>-0.021417153837873</v>
      </c>
      <c r="G3495" s="25" t="n">
        <f aca="false">IF(AND(D3495=1,A3495&gt;=$R$2),F3495,"")</f>
        <v>-0.021417153837873</v>
      </c>
      <c r="H3495" s="27" t="n">
        <f aca="false">IF(G3495="","",G3495^2)</f>
        <v>0.000458694478515117</v>
      </c>
      <c r="I3495" s="25" t="n">
        <f aca="false">IF(G3495="","",C3495/C3494-1)</f>
        <v>-0.0211894351910424</v>
      </c>
      <c r="J3495" s="17" t="n">
        <f aca="false">AVERAGE(C3296:C3495)</f>
        <v>60873.86465</v>
      </c>
      <c r="K3495" s="17" t="n">
        <f aca="false">MAX(K3494,C3495)</f>
        <v>73098.48</v>
      </c>
      <c r="L3495" s="25" t="n">
        <f aca="false">C3495/K3495-1</f>
        <v>-0.0857827686704292</v>
      </c>
      <c r="M3495" s="25" t="n">
        <f aca="false">IF(COUNT(G3466:G3495)&lt;20,"",_xlfn.STDEV.S(G3466:G3495)*SQRT($R$3))</f>
        <v>0.468596296164023</v>
      </c>
      <c r="N3495" s="25" t="n">
        <f aca="false">IF(A3495-7&lt;$R$2,"",C3495/INDEX(Clean_Data!$C$2:$C$4314,MATCH(A3495-7,Clean_Data!$A$2:$A$4314,1))-1)</f>
        <v>-0.0112102381663296</v>
      </c>
      <c r="O3495" s="25" t="n">
        <f aca="false">IF(A3495-30&lt;$R$2,"",C3495/INDEX(Clean_Data!$C$2:$C$4314,MATCH(A3495-30,Clean_Data!$A$2:$A$4314,1))-1)</f>
        <v>0.0975139858210445</v>
      </c>
    </row>
    <row r="3496" customFormat="false" ht="15" hidden="false" customHeight="false" outlineLevel="0" collapsed="false">
      <c r="A3496" s="16" t="n">
        <v>45503</v>
      </c>
      <c r="B3496" s="23" t="n">
        <f aca="false">YEAR(A3496)</f>
        <v>2024</v>
      </c>
      <c r="C3496" s="17" t="n">
        <v>66200.81</v>
      </c>
      <c r="D3496" s="23" t="n">
        <f aca="false">A3496-A3495</f>
        <v>1</v>
      </c>
      <c r="E3496" s="24" t="n">
        <f aca="false">LN(C3496)</f>
        <v>11.1004479774998</v>
      </c>
      <c r="F3496" s="25" t="n">
        <f aca="false">LN(C3496/C3495)</f>
        <v>-0.00942780985988305</v>
      </c>
      <c r="G3496" s="25" t="n">
        <f aca="false">IF(AND(D3496=1,A3496&gt;=$R$2),F3496,"")</f>
        <v>-0.00942780985988305</v>
      </c>
      <c r="H3496" s="27" t="n">
        <f aca="false">IF(G3496="","",G3496^2)</f>
        <v>8.88835987541081E-005</v>
      </c>
      <c r="I3496" s="25" t="n">
        <f aca="false">IF(G3496="","",C3496/C3495-1)</f>
        <v>-0.00938350739489158</v>
      </c>
      <c r="J3496" s="17" t="n">
        <f aca="false">AVERAGE(C3297:C3496)</f>
        <v>60990.88165</v>
      </c>
      <c r="K3496" s="17" t="n">
        <f aca="false">MAX(K3495,C3496)</f>
        <v>73098.48</v>
      </c>
      <c r="L3496" s="25" t="n">
        <f aca="false">C3496/K3496-1</f>
        <v>-0.0943613328211476</v>
      </c>
      <c r="M3496" s="25" t="n">
        <f aca="false">IF(COUNT(G3467:G3496)&lt;20,"",_xlfn.STDEV.S(G3467:G3496)*SQRT($R$3))</f>
        <v>0.461018912626213</v>
      </c>
      <c r="N3496" s="25" t="n">
        <f aca="false">IF(A3496-7&lt;$R$2,"",C3496/INDEX(Clean_Data!$C$2:$C$4314,MATCH(A3496-7,Clean_Data!$A$2:$A$4314,1))-1)</f>
        <v>0.00420288654739531</v>
      </c>
      <c r="O3496" s="25" t="n">
        <f aca="false">IF(A3496-30&lt;$R$2,"",C3496/INDEX(Clean_Data!$C$2:$C$4314,MATCH(A3496-30,Clean_Data!$A$2:$A$4314,1))-1)</f>
        <v>0.0562032033517288</v>
      </c>
    </row>
    <row r="3497" customFormat="false" ht="15" hidden="false" customHeight="false" outlineLevel="0" collapsed="false">
      <c r="A3497" s="16" t="n">
        <v>45504</v>
      </c>
      <c r="B3497" s="23" t="n">
        <f aca="false">YEAR(A3497)</f>
        <v>2024</v>
      </c>
      <c r="C3497" s="17" t="n">
        <v>64607.71</v>
      </c>
      <c r="D3497" s="23" t="n">
        <f aca="false">A3497-A3496</f>
        <v>1</v>
      </c>
      <c r="E3497" s="24" t="n">
        <f aca="false">LN(C3497)</f>
        <v>11.0760890324943</v>
      </c>
      <c r="F3497" s="25" t="n">
        <f aca="false">LN(C3497/C3496)</f>
        <v>-0.0243589450055232</v>
      </c>
      <c r="G3497" s="25" t="n">
        <f aca="false">IF(AND(D3497=1,A3497&gt;=$R$2),F3497,"")</f>
        <v>-0.0243589450055232</v>
      </c>
      <c r="H3497" s="27" t="n">
        <f aca="false">IF(G3497="","",G3497^2)</f>
        <v>0.000593358201782102</v>
      </c>
      <c r="I3497" s="25" t="n">
        <f aca="false">IF(G3497="","",C3497/C3496-1)</f>
        <v>-0.0240646602360304</v>
      </c>
      <c r="J3497" s="17" t="n">
        <f aca="false">AVERAGE(C3298:C3497)</f>
        <v>61099.7712</v>
      </c>
      <c r="K3497" s="17" t="n">
        <f aca="false">MAX(K3496,C3497)</f>
        <v>73098.48</v>
      </c>
      <c r="L3497" s="25" t="n">
        <f aca="false">C3497/K3497-1</f>
        <v>-0.116155219643418</v>
      </c>
      <c r="M3497" s="25" t="n">
        <f aca="false">IF(COUNT(G3468:G3497)&lt;20,"",_xlfn.STDEV.S(G3468:G3497)*SQRT($R$3))</f>
        <v>0.469926797129102</v>
      </c>
      <c r="N3497" s="25" t="n">
        <f aca="false">IF(A3497-7&lt;$R$2,"",C3497/INDEX(Clean_Data!$C$2:$C$4314,MATCH(A3497-7,Clean_Data!$A$2:$A$4314,1))-1)</f>
        <v>-0.0125778896722624</v>
      </c>
      <c r="O3497" s="25" t="n">
        <f aca="false">IF(A3497-30&lt;$R$2,"",C3497/INDEX(Clean_Data!$C$2:$C$4314,MATCH(A3497-30,Clean_Data!$A$2:$A$4314,1))-1)</f>
        <v>0.0276341753520022</v>
      </c>
    </row>
    <row r="3498" customFormat="false" ht="15" hidden="false" customHeight="false" outlineLevel="0" collapsed="false">
      <c r="A3498" s="16" t="n">
        <v>45505</v>
      </c>
      <c r="B3498" s="23" t="n">
        <f aca="false">YEAR(A3498)</f>
        <v>2024</v>
      </c>
      <c r="C3498" s="17" t="n">
        <v>65342.4</v>
      </c>
      <c r="D3498" s="23" t="n">
        <f aca="false">A3498-A3497</f>
        <v>1</v>
      </c>
      <c r="E3498" s="24" t="n">
        <f aca="false">LN(C3498)</f>
        <v>11.0873964154263</v>
      </c>
      <c r="F3498" s="25" t="n">
        <f aca="false">LN(C3498/C3497)</f>
        <v>0.01130738293205</v>
      </c>
      <c r="G3498" s="25" t="n">
        <f aca="false">IF(AND(D3498=1,A3498&gt;=$R$2),F3498,"")</f>
        <v>0.01130738293205</v>
      </c>
      <c r="H3498" s="27" t="n">
        <f aca="false">IF(G3498="","",G3498^2)</f>
        <v>0.000127856908772015</v>
      </c>
      <c r="I3498" s="25" t="n">
        <f aca="false">IF(G3498="","",C3498/C3497-1)</f>
        <v>0.0113715530236251</v>
      </c>
      <c r="J3498" s="17" t="n">
        <f aca="false">AVERAGE(C3299:C3498)</f>
        <v>61217.9041</v>
      </c>
      <c r="K3498" s="17" t="n">
        <f aca="false">MAX(K3497,C3498)</f>
        <v>73098.48</v>
      </c>
      <c r="L3498" s="25" t="n">
        <f aca="false">C3498/K3498-1</f>
        <v>-0.106104531858939</v>
      </c>
      <c r="M3498" s="25" t="n">
        <f aca="false">IF(COUNT(G3469:G3498)&lt;20,"",_xlfn.STDEV.S(G3469:G3498)*SQRT($R$3))</f>
        <v>0.468507086041992</v>
      </c>
      <c r="N3498" s="25" t="n">
        <f aca="false">IF(A3498-7&lt;$R$2,"",C3498/INDEX(Clean_Data!$C$2:$C$4314,MATCH(A3498-7,Clean_Data!$A$2:$A$4314,1))-1)</f>
        <v>-0.00719898638952321</v>
      </c>
      <c r="O3498" s="25" t="n">
        <f aca="false">IF(A3498-30&lt;$R$2,"",C3498/INDEX(Clean_Data!$C$2:$C$4314,MATCH(A3498-30,Clean_Data!$A$2:$A$4314,1))-1)</f>
        <v>0.0529494554482091</v>
      </c>
    </row>
    <row r="3499" customFormat="false" ht="15" hidden="false" customHeight="false" outlineLevel="0" collapsed="false">
      <c r="A3499" s="16" t="n">
        <v>45506</v>
      </c>
      <c r="B3499" s="23" t="n">
        <f aca="false">YEAR(A3499)</f>
        <v>2024</v>
      </c>
      <c r="C3499" s="17" t="n">
        <v>61466.66</v>
      </c>
      <c r="D3499" s="23" t="n">
        <f aca="false">A3499-A3498</f>
        <v>1</v>
      </c>
      <c r="E3499" s="24" t="n">
        <f aca="false">LN(C3499)</f>
        <v>11.0262501929766</v>
      </c>
      <c r="F3499" s="25" t="n">
        <f aca="false">LN(C3499/C3498)</f>
        <v>-0.0611462224496732</v>
      </c>
      <c r="G3499" s="25" t="n">
        <f aca="false">IF(AND(D3499=1,A3499&gt;=$R$2),F3499,"")</f>
        <v>-0.0611462224496732</v>
      </c>
      <c r="H3499" s="27" t="n">
        <f aca="false">IF(G3499="","",G3499^2)</f>
        <v>0.00373886051986491</v>
      </c>
      <c r="I3499" s="25" t="n">
        <f aca="false">IF(G3499="","",C3499/C3498-1)</f>
        <v>-0.0593143196454369</v>
      </c>
      <c r="J3499" s="17" t="n">
        <f aca="false">AVERAGE(C3300:C3499)</f>
        <v>61312.7374</v>
      </c>
      <c r="K3499" s="17" t="n">
        <f aca="false">MAX(K3498,C3499)</f>
        <v>73098.48</v>
      </c>
      <c r="L3499" s="25" t="n">
        <f aca="false">C3499/K3499-1</f>
        <v>-0.159125333385865</v>
      </c>
      <c r="M3499" s="25" t="n">
        <f aca="false">IF(COUNT(G3470:G3499)&lt;20,"",_xlfn.STDEV.S(G3470:G3499)*SQRT($R$3))</f>
        <v>0.505683109153738</v>
      </c>
      <c r="N3499" s="25" t="n">
        <f aca="false">IF(A3499-7&lt;$R$2,"",C3499/INDEX(Clean_Data!$C$2:$C$4314,MATCH(A3499-7,Clean_Data!$A$2:$A$4314,1))-1)</f>
        <v>-0.0951430670237023</v>
      </c>
      <c r="O3499" s="25" t="n">
        <f aca="false">IF(A3499-30&lt;$R$2,"",C3499/INDEX(Clean_Data!$C$2:$C$4314,MATCH(A3499-30,Clean_Data!$A$2:$A$4314,1))-1)</f>
        <v>0.0212556328290967</v>
      </c>
    </row>
    <row r="3500" customFormat="false" ht="15" hidden="false" customHeight="false" outlineLevel="0" collapsed="false">
      <c r="A3500" s="16" t="n">
        <v>45507</v>
      </c>
      <c r="B3500" s="23" t="n">
        <f aca="false">YEAR(A3500)</f>
        <v>2024</v>
      </c>
      <c r="C3500" s="17" t="n">
        <v>60631.11</v>
      </c>
      <c r="D3500" s="23" t="n">
        <f aca="false">A3500-A3499</f>
        <v>1</v>
      </c>
      <c r="E3500" s="24" t="n">
        <f aca="false">LN(C3500)</f>
        <v>11.0125634066666</v>
      </c>
      <c r="F3500" s="25" t="n">
        <f aca="false">LN(C3500/C3499)</f>
        <v>-0.0136867863100224</v>
      </c>
      <c r="G3500" s="25" t="n">
        <f aca="false">IF(AND(D3500=1,A3500&gt;=$R$2),F3500,"")</f>
        <v>-0.0136867863100224</v>
      </c>
      <c r="H3500" s="27" t="n">
        <f aca="false">IF(G3500="","",G3500^2)</f>
        <v>0.000187328119496218</v>
      </c>
      <c r="I3500" s="25" t="n">
        <f aca="false">IF(G3500="","",C3500/C3499-1)</f>
        <v>-0.0135935481120986</v>
      </c>
      <c r="J3500" s="17" t="n">
        <f aca="false">AVERAGE(C3301:C3500)</f>
        <v>61400.13</v>
      </c>
      <c r="K3500" s="17" t="n">
        <f aca="false">MAX(K3499,C3500)</f>
        <v>73098.48</v>
      </c>
      <c r="L3500" s="25" t="n">
        <f aca="false">C3500/K3500-1</f>
        <v>-0.170555803622729</v>
      </c>
      <c r="M3500" s="25" t="n">
        <f aca="false">IF(COUNT(G3471:G3500)&lt;20,"",_xlfn.STDEV.S(G3471:G3500)*SQRT($R$3))</f>
        <v>0.472802913830888</v>
      </c>
      <c r="N3500" s="25" t="n">
        <f aca="false">IF(A3500-7&lt;$R$2,"",C3500/INDEX(Clean_Data!$C$2:$C$4314,MATCH(A3500-7,Clean_Data!$A$2:$A$4314,1))-1)</f>
        <v>-0.105808114624364</v>
      </c>
      <c r="O3500" s="25" t="n">
        <f aca="false">IF(A3500-30&lt;$R$2,"",C3500/INDEX(Clean_Data!$C$2:$C$4314,MATCH(A3500-30,Clean_Data!$A$2:$A$4314,1))-1)</f>
        <v>0.0605185933684431</v>
      </c>
    </row>
    <row r="3501" customFormat="false" ht="15" hidden="false" customHeight="false" outlineLevel="0" collapsed="false">
      <c r="A3501" s="16" t="n">
        <v>45508</v>
      </c>
      <c r="B3501" s="23" t="n">
        <f aca="false">YEAR(A3501)</f>
        <v>2024</v>
      </c>
      <c r="C3501" s="17" t="n">
        <v>58181.05</v>
      </c>
      <c r="D3501" s="23" t="n">
        <f aca="false">A3501-A3500</f>
        <v>1</v>
      </c>
      <c r="E3501" s="24" t="n">
        <f aca="false">LN(C3501)</f>
        <v>10.9713149793253</v>
      </c>
      <c r="F3501" s="25" t="n">
        <f aca="false">LN(C3501/C3500)</f>
        <v>-0.0412484273413006</v>
      </c>
      <c r="G3501" s="25" t="n">
        <f aca="false">IF(AND(D3501=1,A3501&gt;=$R$2),F3501,"")</f>
        <v>-0.0412484273413006</v>
      </c>
      <c r="H3501" s="27" t="n">
        <f aca="false">IF(G3501="","",G3501^2)</f>
        <v>0.00170143275813056</v>
      </c>
      <c r="I3501" s="25" t="n">
        <f aca="false">IF(G3501="","",C3501/C3500-1)</f>
        <v>-0.0404092882350331</v>
      </c>
      <c r="J3501" s="17" t="n">
        <f aca="false">AVERAGE(C3302:C3501)</f>
        <v>61477.5099</v>
      </c>
      <c r="K3501" s="17" t="n">
        <f aca="false">MAX(K3500,C3501)</f>
        <v>73098.48</v>
      </c>
      <c r="L3501" s="25" t="n">
        <f aca="false">C3501/K3501-1</f>
        <v>-0.204073053229014</v>
      </c>
      <c r="M3501" s="25" t="n">
        <f aca="false">IF(COUNT(G3472:G3501)&lt;20,"",_xlfn.STDEV.S(G3472:G3501)*SQRT($R$3))</f>
        <v>0.494910140789624</v>
      </c>
      <c r="N3501" s="25" t="n">
        <f aca="false">IF(A3501-7&lt;$R$2,"",C3501/INDEX(Clean_Data!$C$2:$C$4314,MATCH(A3501-7,Clean_Data!$A$2:$A$4314,1))-1)</f>
        <v>-0.147837431173149</v>
      </c>
      <c r="O3501" s="25" t="n">
        <f aca="false">IF(A3501-30&lt;$R$2,"",C3501/INDEX(Clean_Data!$C$2:$C$4314,MATCH(A3501-30,Clean_Data!$A$2:$A$4314,1))-1)</f>
        <v>0.0274855367861617</v>
      </c>
    </row>
    <row r="3502" customFormat="false" ht="15" hidden="false" customHeight="false" outlineLevel="0" collapsed="false">
      <c r="A3502" s="16" t="n">
        <v>45509</v>
      </c>
      <c r="B3502" s="23" t="n">
        <f aca="false">YEAR(A3502)</f>
        <v>2024</v>
      </c>
      <c r="C3502" s="17" t="n">
        <v>54025.9</v>
      </c>
      <c r="D3502" s="23" t="n">
        <f aca="false">A3502-A3501</f>
        <v>1</v>
      </c>
      <c r="E3502" s="24" t="n">
        <f aca="false">LN(C3502)</f>
        <v>10.8972188401905</v>
      </c>
      <c r="F3502" s="25" t="n">
        <f aca="false">LN(C3502/C3501)</f>
        <v>-0.0740961391348063</v>
      </c>
      <c r="G3502" s="25" t="n">
        <f aca="false">IF(AND(D3502=1,A3502&gt;=$R$2),F3502,"")</f>
        <v>-0.0740961391348063</v>
      </c>
      <c r="H3502" s="27" t="n">
        <f aca="false">IF(G3502="","",G3502^2)</f>
        <v>0.00549023783468457</v>
      </c>
      <c r="I3502" s="25" t="n">
        <f aca="false">IF(G3502="","",C3502/C3501-1)</f>
        <v>-0.0714175835602829</v>
      </c>
      <c r="J3502" s="17" t="n">
        <f aca="false">AVERAGE(C3303:C3502)</f>
        <v>61541.46465</v>
      </c>
      <c r="K3502" s="17" t="n">
        <f aca="false">MAX(K3501,C3502)</f>
        <v>73098.48</v>
      </c>
      <c r="L3502" s="25" t="n">
        <f aca="false">C3502/K3502-1</f>
        <v>-0.260916232457912</v>
      </c>
      <c r="M3502" s="25" t="n">
        <f aca="false">IF(COUNT(G3473:G3502)&lt;20,"",_xlfn.STDEV.S(G3473:G3502)*SQRT($R$3))</f>
        <v>0.549812285271642</v>
      </c>
      <c r="N3502" s="25" t="n">
        <f aca="false">IF(A3502-7&lt;$R$2,"",C3502/INDEX(Clean_Data!$C$2:$C$4314,MATCH(A3502-7,Clean_Data!$A$2:$A$4314,1))-1)</f>
        <v>-0.191566574973413</v>
      </c>
      <c r="O3502" s="25" t="n">
        <f aca="false">IF(A3502-30&lt;$R$2,"",C3502/INDEX(Clean_Data!$C$2:$C$4314,MATCH(A3502-30,Clean_Data!$A$2:$A$4314,1))-1)</f>
        <v>-0.07202813910775</v>
      </c>
    </row>
    <row r="3503" customFormat="false" ht="15" hidden="false" customHeight="false" outlineLevel="0" collapsed="false">
      <c r="A3503" s="16" t="n">
        <v>45510</v>
      </c>
      <c r="B3503" s="23" t="n">
        <f aca="false">YEAR(A3503)</f>
        <v>2024</v>
      </c>
      <c r="C3503" s="17" t="n">
        <v>56096.88</v>
      </c>
      <c r="D3503" s="23" t="n">
        <f aca="false">A3503-A3502</f>
        <v>1</v>
      </c>
      <c r="E3503" s="24" t="n">
        <f aca="false">LN(C3503)</f>
        <v>10.934835474991</v>
      </c>
      <c r="F3503" s="25" t="n">
        <f aca="false">LN(C3503/C3502)</f>
        <v>0.0376166348004399</v>
      </c>
      <c r="G3503" s="25" t="n">
        <f aca="false">IF(AND(D3503=1,A3503&gt;=$R$2),F3503,"")</f>
        <v>0.0376166348004399</v>
      </c>
      <c r="H3503" s="27" t="n">
        <f aca="false">IF(G3503="","",G3503^2)</f>
        <v>0.00141501121370967</v>
      </c>
      <c r="I3503" s="25" t="n">
        <f aca="false">IF(G3503="","",C3503/C3502-1)</f>
        <v>0.0383330957929438</v>
      </c>
      <c r="J3503" s="17" t="n">
        <f aca="false">AVERAGE(C3304:C3503)</f>
        <v>61613.78065</v>
      </c>
      <c r="K3503" s="17" t="n">
        <f aca="false">MAX(K3502,C3503)</f>
        <v>73098.48</v>
      </c>
      <c r="L3503" s="25" t="n">
        <f aca="false">C3503/K3503-1</f>
        <v>-0.232584863597711</v>
      </c>
      <c r="M3503" s="25" t="n">
        <f aca="false">IF(COUNT(G3474:G3503)&lt;20,"",_xlfn.STDEV.S(G3474:G3503)*SQRT($R$3))</f>
        <v>0.549443445251241</v>
      </c>
      <c r="N3503" s="25" t="n">
        <f aca="false">IF(A3503-7&lt;$R$2,"",C3503/INDEX(Clean_Data!$C$2:$C$4314,MATCH(A3503-7,Clean_Data!$A$2:$A$4314,1))-1)</f>
        <v>-0.152625473917917</v>
      </c>
      <c r="O3503" s="25" t="n">
        <f aca="false">IF(A3503-30&lt;$R$2,"",C3503/INDEX(Clean_Data!$C$2:$C$4314,MATCH(A3503-30,Clean_Data!$A$2:$A$4314,1))-1)</f>
        <v>0.00328024713901676</v>
      </c>
    </row>
    <row r="3504" customFormat="false" ht="15" hidden="false" customHeight="false" outlineLevel="0" collapsed="false">
      <c r="A3504" s="16" t="n">
        <v>45511</v>
      </c>
      <c r="B3504" s="23" t="n">
        <f aca="false">YEAR(A3504)</f>
        <v>2024</v>
      </c>
      <c r="C3504" s="17" t="n">
        <v>55100.98</v>
      </c>
      <c r="D3504" s="23" t="n">
        <f aca="false">A3504-A3503</f>
        <v>1</v>
      </c>
      <c r="E3504" s="24" t="n">
        <f aca="false">LN(C3504)</f>
        <v>10.9169227808268</v>
      </c>
      <c r="F3504" s="25" t="n">
        <f aca="false">LN(C3504/C3503)</f>
        <v>-0.0179126941641958</v>
      </c>
      <c r="G3504" s="25" t="n">
        <f aca="false">IF(AND(D3504=1,A3504&gt;=$R$2),F3504,"")</f>
        <v>-0.0179126941641958</v>
      </c>
      <c r="H3504" s="27" t="n">
        <f aca="false">IF(G3504="","",G3504^2)</f>
        <v>0.000320864612220013</v>
      </c>
      <c r="I3504" s="25" t="n">
        <f aca="false">IF(G3504="","",C3504/C3503-1)</f>
        <v>-0.0177532155085985</v>
      </c>
      <c r="J3504" s="17" t="n">
        <f aca="false">AVERAGE(C3305:C3504)</f>
        <v>61680.9616</v>
      </c>
      <c r="K3504" s="17" t="n">
        <f aca="false">MAX(K3503,C3504)</f>
        <v>73098.48</v>
      </c>
      <c r="L3504" s="25" t="n">
        <f aca="false">C3504/K3504-1</f>
        <v>-0.246208949898821</v>
      </c>
      <c r="M3504" s="25" t="n">
        <f aca="false">IF(COUNT(G3475:G3504)&lt;20,"",_xlfn.STDEV.S(G3475:G3504)*SQRT($R$3))</f>
        <v>0.550665075874747</v>
      </c>
      <c r="N3504" s="25" t="n">
        <f aca="false">IF(A3504-7&lt;$R$2,"",C3504/INDEX(Clean_Data!$C$2:$C$4314,MATCH(A3504-7,Clean_Data!$A$2:$A$4314,1))-1)</f>
        <v>-0.147145441310333</v>
      </c>
      <c r="O3504" s="25" t="n">
        <f aca="false">IF(A3504-30&lt;$R$2,"",C3504/INDEX(Clean_Data!$C$2:$C$4314,MATCH(A3504-30,Clean_Data!$A$2:$A$4314,1))-1)</f>
        <v>-0.0279396232459782</v>
      </c>
    </row>
    <row r="3505" customFormat="false" ht="15" hidden="false" customHeight="false" outlineLevel="0" collapsed="false">
      <c r="A3505" s="16" t="n">
        <v>45512</v>
      </c>
      <c r="B3505" s="23" t="n">
        <f aca="false">YEAR(A3505)</f>
        <v>2024</v>
      </c>
      <c r="C3505" s="17" t="n">
        <v>61644.69</v>
      </c>
      <c r="D3505" s="23" t="n">
        <f aca="false">A3505-A3504</f>
        <v>1</v>
      </c>
      <c r="E3505" s="24" t="n">
        <f aca="false">LN(C3505)</f>
        <v>11.0291423734961</v>
      </c>
      <c r="F3505" s="25" t="n">
        <f aca="false">LN(C3505/C3504)</f>
        <v>0.112219592669348</v>
      </c>
      <c r="G3505" s="25" t="n">
        <f aca="false">IF(AND(D3505=1,A3505&gt;=$R$2),F3505,"")</f>
        <v>0.112219592669348</v>
      </c>
      <c r="H3505" s="27" t="n">
        <f aca="false">IF(G3505="","",G3505^2)</f>
        <v>0.0125932369788745</v>
      </c>
      <c r="I3505" s="25" t="n">
        <f aca="false">IF(G3505="","",C3505/C3504-1)</f>
        <v>0.11875850483966</v>
      </c>
      <c r="J3505" s="17" t="n">
        <f aca="false">AVERAGE(C3306:C3505)</f>
        <v>61781.3558</v>
      </c>
      <c r="K3505" s="17" t="n">
        <f aca="false">MAX(K3504,C3505)</f>
        <v>73098.48</v>
      </c>
      <c r="L3505" s="25" t="n">
        <f aca="false">C3505/K3505-1</f>
        <v>-0.156689851827288</v>
      </c>
      <c r="M3505" s="25" t="n">
        <f aca="false">IF(COUNT(G3476:G3505)&lt;20,"",_xlfn.STDEV.S(G3476:G3505)*SQRT($R$3))</f>
        <v>0.673742930992404</v>
      </c>
      <c r="N3505" s="25" t="n">
        <f aca="false">IF(A3505-7&lt;$R$2,"",C3505/INDEX(Clean_Data!$C$2:$C$4314,MATCH(A3505-7,Clean_Data!$A$2:$A$4314,1))-1)</f>
        <v>-0.0565897487695585</v>
      </c>
      <c r="O3505" s="25" t="n">
        <f aca="false">IF(A3505-30&lt;$R$2,"",C3505/INDEX(Clean_Data!$C$2:$C$4314,MATCH(A3505-30,Clean_Data!$A$2:$A$4314,1))-1)</f>
        <v>0.0629206679061867</v>
      </c>
    </row>
    <row r="3506" customFormat="false" ht="15" hidden="false" customHeight="false" outlineLevel="0" collapsed="false">
      <c r="A3506" s="16" t="n">
        <v>45513</v>
      </c>
      <c r="B3506" s="23" t="n">
        <f aca="false">YEAR(A3506)</f>
        <v>2024</v>
      </c>
      <c r="C3506" s="17" t="n">
        <v>60818.65</v>
      </c>
      <c r="D3506" s="23" t="n">
        <f aca="false">A3506-A3505</f>
        <v>1</v>
      </c>
      <c r="E3506" s="24" t="n">
        <f aca="false">LN(C3506)</f>
        <v>11.0156517643392</v>
      </c>
      <c r="F3506" s="25" t="n">
        <f aca="false">LN(C3506/C3505)</f>
        <v>-0.0134906091569419</v>
      </c>
      <c r="G3506" s="25" t="n">
        <f aca="false">IF(AND(D3506=1,A3506&gt;=$R$2),F3506,"")</f>
        <v>-0.0134906091569419</v>
      </c>
      <c r="H3506" s="27" t="n">
        <f aca="false">IF(G3506="","",G3506^2)</f>
        <v>0.000181996535425365</v>
      </c>
      <c r="I3506" s="25" t="n">
        <f aca="false">IF(G3506="","",C3506/C3505-1)</f>
        <v>-0.013400018720185</v>
      </c>
      <c r="J3506" s="17" t="n">
        <f aca="false">AVERAGE(C3307:C3506)</f>
        <v>61887.71085</v>
      </c>
      <c r="K3506" s="17" t="n">
        <f aca="false">MAX(K3505,C3506)</f>
        <v>73098.48</v>
      </c>
      <c r="L3506" s="25" t="n">
        <f aca="false">C3506/K3506-1</f>
        <v>-0.167990223599725</v>
      </c>
      <c r="M3506" s="25" t="n">
        <f aca="false">IF(COUNT(G3477:G3506)&lt;20,"",_xlfn.STDEV.S(G3477:G3506)*SQRT($R$3))</f>
        <v>0.675383515773323</v>
      </c>
      <c r="N3506" s="25" t="n">
        <f aca="false">IF(A3506-7&lt;$R$2,"",C3506/INDEX(Clean_Data!$C$2:$C$4314,MATCH(A3506-7,Clean_Data!$A$2:$A$4314,1))-1)</f>
        <v>-0.0105424631824798</v>
      </c>
      <c r="O3506" s="25" t="n">
        <f aca="false">IF(A3506-30&lt;$R$2,"",C3506/INDEX(Clean_Data!$C$2:$C$4314,MATCH(A3506-30,Clean_Data!$A$2:$A$4314,1))-1)</f>
        <v>0.0549028225954724</v>
      </c>
    </row>
    <row r="3507" customFormat="false" ht="15" hidden="false" customHeight="false" outlineLevel="0" collapsed="false">
      <c r="A3507" s="16" t="n">
        <v>45514</v>
      </c>
      <c r="B3507" s="23" t="n">
        <f aca="false">YEAR(A3507)</f>
        <v>2024</v>
      </c>
      <c r="C3507" s="17" t="n">
        <v>60941.77</v>
      </c>
      <c r="D3507" s="23" t="n">
        <f aca="false">A3507-A3506</f>
        <v>1</v>
      </c>
      <c r="E3507" s="24" t="n">
        <f aca="false">LN(C3507)</f>
        <v>11.0176740970802</v>
      </c>
      <c r="F3507" s="25" t="n">
        <f aca="false">LN(C3507/C3506)</f>
        <v>0.00202233274099485</v>
      </c>
      <c r="G3507" s="25" t="n">
        <f aca="false">IF(AND(D3507=1,A3507&gt;=$R$2),F3507,"")</f>
        <v>0.00202233274099485</v>
      </c>
      <c r="H3507" s="27" t="n">
        <f aca="false">IF(G3507="","",G3507^2)</f>
        <v>4.08982971529974E-006</v>
      </c>
      <c r="I3507" s="25" t="n">
        <f aca="false">IF(G3507="","",C3507/C3506-1)</f>
        <v>0.00202437903504915</v>
      </c>
      <c r="J3507" s="17" t="n">
        <f aca="false">AVERAGE(C3308:C3507)</f>
        <v>61993.0858</v>
      </c>
      <c r="K3507" s="17" t="n">
        <f aca="false">MAX(K3506,C3507)</f>
        <v>73098.48</v>
      </c>
      <c r="L3507" s="25" t="n">
        <f aca="false">C3507/K3507-1</f>
        <v>-0.166305920451424</v>
      </c>
      <c r="M3507" s="25" t="n">
        <f aca="false">IF(COUNT(G3478:G3507)&lt;20,"",_xlfn.STDEV.S(G3478:G3507)*SQRT($R$3))</f>
        <v>0.674982431808008</v>
      </c>
      <c r="N3507" s="25" t="n">
        <f aca="false">IF(A3507-7&lt;$R$2,"",C3507/INDEX(Clean_Data!$C$2:$C$4314,MATCH(A3507-7,Clean_Data!$A$2:$A$4314,1))-1)</f>
        <v>0.00512377226806504</v>
      </c>
      <c r="O3507" s="25" t="n">
        <f aca="false">IF(A3507-30&lt;$R$2,"",C3507/INDEX(Clean_Data!$C$2:$C$4314,MATCH(A3507-30,Clean_Data!$A$2:$A$4314,1))-1)</f>
        <v>0.061984162362102</v>
      </c>
    </row>
    <row r="3508" customFormat="false" ht="15" hidden="false" customHeight="false" outlineLevel="0" collapsed="false">
      <c r="A3508" s="16" t="n">
        <v>45515</v>
      </c>
      <c r="B3508" s="23" t="n">
        <f aca="false">YEAR(A3508)</f>
        <v>2024</v>
      </c>
      <c r="C3508" s="17" t="n">
        <v>58732.95</v>
      </c>
      <c r="D3508" s="23" t="n">
        <f aca="false">A3508-A3507</f>
        <v>1</v>
      </c>
      <c r="E3508" s="24" t="n">
        <f aca="false">LN(C3508)</f>
        <v>10.9807561771206</v>
      </c>
      <c r="F3508" s="25" t="n">
        <f aca="false">LN(C3508/C3507)</f>
        <v>-0.0369179199595875</v>
      </c>
      <c r="G3508" s="25" t="n">
        <f aca="false">IF(AND(D3508=1,A3508&gt;=$R$2),F3508,"")</f>
        <v>-0.0369179199595875</v>
      </c>
      <c r="H3508" s="27" t="n">
        <f aca="false">IF(G3508="","",G3508^2)</f>
        <v>0.00136293281414251</v>
      </c>
      <c r="I3508" s="25" t="n">
        <f aca="false">IF(G3508="","",C3508/C3507-1)</f>
        <v>-0.0362447628285165</v>
      </c>
      <c r="J3508" s="17" t="n">
        <f aca="false">AVERAGE(C3309:C3508)</f>
        <v>62086.49155</v>
      </c>
      <c r="K3508" s="17" t="n">
        <f aca="false">MAX(K3507,C3508)</f>
        <v>73098.48</v>
      </c>
      <c r="L3508" s="25" t="n">
        <f aca="false">C3508/K3508-1</f>
        <v>-0.1965229646362</v>
      </c>
      <c r="M3508" s="25" t="n">
        <f aca="false">IF(COUNT(G3479:G3508)&lt;20,"",_xlfn.STDEV.S(G3479:G3508)*SQRT($R$3))</f>
        <v>0.687853484919202</v>
      </c>
      <c r="N3508" s="25" t="n">
        <f aca="false">IF(A3508-7&lt;$R$2,"",C3508/INDEX(Clean_Data!$C$2:$C$4314,MATCH(A3508-7,Clean_Data!$A$2:$A$4314,1))-1)</f>
        <v>0.00948590649360903</v>
      </c>
      <c r="O3508" s="25" t="n">
        <f aca="false">IF(A3508-30&lt;$R$2,"",C3508/INDEX(Clean_Data!$C$2:$C$4314,MATCH(A3508-30,Clean_Data!$A$2:$A$4314,1))-1)</f>
        <v>0.0142005115126611</v>
      </c>
    </row>
    <row r="3509" customFormat="false" ht="15" hidden="false" customHeight="false" outlineLevel="0" collapsed="false">
      <c r="A3509" s="16" t="n">
        <v>45516</v>
      </c>
      <c r="B3509" s="23" t="n">
        <f aca="false">YEAR(A3509)</f>
        <v>2024</v>
      </c>
      <c r="C3509" s="17" t="n">
        <v>59337.91</v>
      </c>
      <c r="D3509" s="23" t="n">
        <f aca="false">A3509-A3508</f>
        <v>1</v>
      </c>
      <c r="E3509" s="24" t="n">
        <f aca="false">LN(C3509)</f>
        <v>10.9910036724628</v>
      </c>
      <c r="F3509" s="25" t="n">
        <f aca="false">LN(C3509/C3508)</f>
        <v>0.0102474953422613</v>
      </c>
      <c r="G3509" s="25" t="n">
        <f aca="false">IF(AND(D3509=1,A3509&gt;=$R$2),F3509,"")</f>
        <v>0.0102474953422613</v>
      </c>
      <c r="H3509" s="27" t="n">
        <f aca="false">IF(G3509="","",G3509^2)</f>
        <v>0.000105011160789668</v>
      </c>
      <c r="I3509" s="25" t="n">
        <f aca="false">IF(G3509="","",C3509/C3508-1)</f>
        <v>0.0103001807333023</v>
      </c>
      <c r="J3509" s="17" t="n">
        <f aca="false">AVERAGE(C3310:C3509)</f>
        <v>62183.4586</v>
      </c>
      <c r="K3509" s="17" t="n">
        <f aca="false">MAX(K3508,C3509)</f>
        <v>73098.48</v>
      </c>
      <c r="L3509" s="25" t="n">
        <f aca="false">C3509/K3509-1</f>
        <v>-0.188247005956895</v>
      </c>
      <c r="M3509" s="25" t="n">
        <f aca="false">IF(COUNT(G3480:G3509)&lt;20,"",_xlfn.STDEV.S(G3480:G3509)*SQRT($R$3))</f>
        <v>0.684071927646587</v>
      </c>
      <c r="N3509" s="25" t="n">
        <f aca="false">IF(A3509-7&lt;$R$2,"",C3509/INDEX(Clean_Data!$C$2:$C$4314,MATCH(A3509-7,Clean_Data!$A$2:$A$4314,1))-1)</f>
        <v>0.0983233967411927</v>
      </c>
      <c r="O3509" s="25" t="n">
        <f aca="false">IF(A3509-30&lt;$R$2,"",C3509/INDEX(Clean_Data!$C$2:$C$4314,MATCH(A3509-30,Clean_Data!$A$2:$A$4314,1))-1)</f>
        <v>0.00146326125660567</v>
      </c>
    </row>
    <row r="3510" customFormat="false" ht="15" hidden="false" customHeight="false" outlineLevel="0" collapsed="false">
      <c r="A3510" s="16" t="n">
        <v>45517</v>
      </c>
      <c r="B3510" s="23" t="n">
        <f aca="false">YEAR(A3510)</f>
        <v>2024</v>
      </c>
      <c r="C3510" s="17" t="n">
        <v>60596.01</v>
      </c>
      <c r="D3510" s="23" t="n">
        <f aca="false">A3510-A3509</f>
        <v>1</v>
      </c>
      <c r="E3510" s="24" t="n">
        <f aca="false">LN(C3510)</f>
        <v>11.0119843283056</v>
      </c>
      <c r="F3510" s="25" t="n">
        <f aca="false">LN(C3510/C3509)</f>
        <v>0.0209806558427601</v>
      </c>
      <c r="G3510" s="25" t="n">
        <f aca="false">IF(AND(D3510=1,A3510&gt;=$R$2),F3510,"")</f>
        <v>0.0209806558427601</v>
      </c>
      <c r="H3510" s="27" t="n">
        <f aca="false">IF(G3510="","",G3510^2)</f>
        <v>0.000440187919592344</v>
      </c>
      <c r="I3510" s="25" t="n">
        <f aca="false">IF(G3510="","",C3510/C3509-1)</f>
        <v>0.0212022971486525</v>
      </c>
      <c r="J3510" s="17" t="n">
        <f aca="false">AVERAGE(C3311:C3510)</f>
        <v>62277.4772</v>
      </c>
      <c r="K3510" s="17" t="n">
        <f aca="false">MAX(K3509,C3510)</f>
        <v>73098.48</v>
      </c>
      <c r="L3510" s="25" t="n">
        <f aca="false">C3510/K3510-1</f>
        <v>-0.171035977765885</v>
      </c>
      <c r="M3510" s="25" t="n">
        <f aca="false">IF(COUNT(G3481:G3510)&lt;20,"",_xlfn.STDEV.S(G3481:G3510)*SQRT($R$3))</f>
        <v>0.682004909483251</v>
      </c>
      <c r="N3510" s="25" t="n">
        <f aca="false">IF(A3510-7&lt;$R$2,"",C3510/INDEX(Clean_Data!$C$2:$C$4314,MATCH(A3510-7,Clean_Data!$A$2:$A$4314,1))-1)</f>
        <v>0.0802028562016284</v>
      </c>
      <c r="O3510" s="25" t="n">
        <f aca="false">IF(A3510-30&lt;$R$2,"",C3510/INDEX(Clean_Data!$C$2:$C$4314,MATCH(A3510-30,Clean_Data!$A$2:$A$4314,1))-1)</f>
        <v>-0.00332444435379831</v>
      </c>
    </row>
    <row r="3511" customFormat="false" ht="15" hidden="false" customHeight="false" outlineLevel="0" collapsed="false">
      <c r="A3511" s="16" t="n">
        <v>45518</v>
      </c>
      <c r="B3511" s="23" t="n">
        <f aca="false">YEAR(A3511)</f>
        <v>2024</v>
      </c>
      <c r="C3511" s="17" t="n">
        <v>58779.3</v>
      </c>
      <c r="D3511" s="23" t="n">
        <f aca="false">A3511-A3510</f>
        <v>1</v>
      </c>
      <c r="E3511" s="24" t="n">
        <f aca="false">LN(C3511)</f>
        <v>10.9815450310895</v>
      </c>
      <c r="F3511" s="25" t="n">
        <f aca="false">LN(C3511/C3510)</f>
        <v>-0.0304392972161186</v>
      </c>
      <c r="G3511" s="25" t="n">
        <f aca="false">IF(AND(D3511=1,A3511&gt;=$R$2),F3511,"")</f>
        <v>-0.0304392972161186</v>
      </c>
      <c r="H3511" s="27" t="n">
        <f aca="false">IF(G3511="","",G3511^2)</f>
        <v>0.000926550815011204</v>
      </c>
      <c r="I3511" s="25" t="n">
        <f aca="false">IF(G3511="","",C3511/C3510-1)</f>
        <v>-0.0299806868472033</v>
      </c>
      <c r="J3511" s="17" t="n">
        <f aca="false">AVERAGE(C3312:C3511)</f>
        <v>62360.65305</v>
      </c>
      <c r="K3511" s="17" t="n">
        <f aca="false">MAX(K3510,C3511)</f>
        <v>73098.48</v>
      </c>
      <c r="L3511" s="25" t="n">
        <f aca="false">C3511/K3511-1</f>
        <v>-0.195888888524084</v>
      </c>
      <c r="M3511" s="25" t="n">
        <f aca="false">IF(COUNT(G3482:G3511)&lt;20,"",_xlfn.STDEV.S(G3482:G3511)*SQRT($R$3))</f>
        <v>0.649902791547358</v>
      </c>
      <c r="N3511" s="25" t="n">
        <f aca="false">IF(A3511-7&lt;$R$2,"",C3511/INDEX(Clean_Data!$C$2:$C$4314,MATCH(A3511-7,Clean_Data!$A$2:$A$4314,1))-1)</f>
        <v>0.0667559814725618</v>
      </c>
      <c r="O3511" s="25" t="n">
        <f aca="false">IF(A3511-30&lt;$R$2,"",C3511/INDEX(Clean_Data!$C$2:$C$4314,MATCH(A3511-30,Clean_Data!$A$2:$A$4314,1))-1)</f>
        <v>-0.0925279018572213</v>
      </c>
    </row>
    <row r="3512" customFormat="false" ht="15" hidden="false" customHeight="false" outlineLevel="0" collapsed="false">
      <c r="A3512" s="16" t="n">
        <v>45519</v>
      </c>
      <c r="B3512" s="23" t="n">
        <f aca="false">YEAR(A3512)</f>
        <v>2024</v>
      </c>
      <c r="C3512" s="17" t="n">
        <v>57502.3</v>
      </c>
      <c r="D3512" s="23" t="n">
        <f aca="false">A3512-A3511</f>
        <v>1</v>
      </c>
      <c r="E3512" s="24" t="n">
        <f aca="false">LN(C3512)</f>
        <v>10.9595802259855</v>
      </c>
      <c r="F3512" s="25" t="n">
        <f aca="false">LN(C3512/C3511)</f>
        <v>-0.0219648051040135</v>
      </c>
      <c r="G3512" s="25" t="n">
        <f aca="false">IF(AND(D3512=1,A3512&gt;=$R$2),F3512,"")</f>
        <v>-0.0219648051040135</v>
      </c>
      <c r="H3512" s="27" t="n">
        <f aca="false">IF(G3512="","",G3512^2)</f>
        <v>0.000482452663257297</v>
      </c>
      <c r="I3512" s="25" t="n">
        <f aca="false">IF(G3512="","",C3512/C3511-1)</f>
        <v>-0.0217253352795967</v>
      </c>
      <c r="J3512" s="17" t="n">
        <f aca="false">AVERAGE(C3313:C3512)</f>
        <v>62438.20585</v>
      </c>
      <c r="K3512" s="17" t="n">
        <f aca="false">MAX(K3511,C3512)</f>
        <v>73098.48</v>
      </c>
      <c r="L3512" s="25" t="n">
        <f aca="false">C3512/K3512-1</f>
        <v>-0.213358472022948</v>
      </c>
      <c r="M3512" s="25" t="n">
        <f aca="false">IF(COUNT(G3483:G3512)&lt;20,"",_xlfn.STDEV.S(G3483:G3512)*SQRT($R$3))</f>
        <v>0.652535854685857</v>
      </c>
      <c r="N3512" s="25" t="n">
        <f aca="false">IF(A3512-7&lt;$R$2,"",C3512/INDEX(Clean_Data!$C$2:$C$4314,MATCH(A3512-7,Clean_Data!$A$2:$A$4314,1))-1)</f>
        <v>-0.0671978397490521</v>
      </c>
      <c r="O3512" s="25" t="n">
        <f aca="false">IF(A3512-30&lt;$R$2,"",C3512/INDEX(Clean_Data!$C$2:$C$4314,MATCH(A3512-30,Clean_Data!$A$2:$A$4314,1))-1)</f>
        <v>-0.115972266315079</v>
      </c>
    </row>
    <row r="3513" customFormat="false" ht="15" hidden="false" customHeight="false" outlineLevel="0" collapsed="false">
      <c r="A3513" s="16" t="n">
        <v>45520</v>
      </c>
      <c r="B3513" s="23" t="n">
        <f aca="false">YEAR(A3513)</f>
        <v>2024</v>
      </c>
      <c r="C3513" s="17" t="n">
        <v>58879.72</v>
      </c>
      <c r="D3513" s="23" t="n">
        <f aca="false">A3513-A3512</f>
        <v>1</v>
      </c>
      <c r="E3513" s="24" t="n">
        <f aca="false">LN(C3513)</f>
        <v>10.9832519979567</v>
      </c>
      <c r="F3513" s="25" t="n">
        <f aca="false">LN(C3513/C3512)</f>
        <v>0.0236717719712049</v>
      </c>
      <c r="G3513" s="25" t="n">
        <f aca="false">IF(AND(D3513=1,A3513&gt;=$R$2),F3513,"")</f>
        <v>0.0236717719712049</v>
      </c>
      <c r="H3513" s="27" t="n">
        <f aca="false">IF(G3513="","",G3513^2)</f>
        <v>0.00056035278825672</v>
      </c>
      <c r="I3513" s="25" t="n">
        <f aca="false">IF(G3513="","",C3513/C3512-1)</f>
        <v>0.0239541722678918</v>
      </c>
      <c r="J3513" s="17" t="n">
        <f aca="false">AVERAGE(C3314:C3513)</f>
        <v>62516.2427</v>
      </c>
      <c r="K3513" s="17" t="n">
        <f aca="false">MAX(K3512,C3513)</f>
        <v>73098.48</v>
      </c>
      <c r="L3513" s="25" t="n">
        <f aca="false">C3513/K3513-1</f>
        <v>-0.194515125348708</v>
      </c>
      <c r="M3513" s="25" t="n">
        <f aca="false">IF(COUNT(G3484:G3513)&lt;20,"",_xlfn.STDEV.S(G3484:G3513)*SQRT($R$3))</f>
        <v>0.658603278536773</v>
      </c>
      <c r="N3513" s="25" t="n">
        <f aca="false">IF(A3513-7&lt;$R$2,"",C3513/INDEX(Clean_Data!$C$2:$C$4314,MATCH(A3513-7,Clean_Data!$A$2:$A$4314,1))-1)</f>
        <v>-0.0318805169138086</v>
      </c>
      <c r="O3513" s="25" t="n">
        <f aca="false">IF(A3513-30&lt;$R$2,"",C3513/INDEX(Clean_Data!$C$2:$C$4314,MATCH(A3513-30,Clean_Data!$A$2:$A$4314,1))-1)</f>
        <v>-0.0822604369602039</v>
      </c>
    </row>
    <row r="3514" customFormat="false" ht="15" hidden="false" customHeight="false" outlineLevel="0" collapsed="false">
      <c r="A3514" s="16" t="n">
        <v>45521</v>
      </c>
      <c r="B3514" s="23" t="n">
        <f aca="false">YEAR(A3514)</f>
        <v>2024</v>
      </c>
      <c r="C3514" s="17" t="n">
        <v>59477.15</v>
      </c>
      <c r="D3514" s="23" t="n">
        <f aca="false">A3514-A3513</f>
        <v>1</v>
      </c>
      <c r="E3514" s="24" t="n">
        <f aca="false">LN(C3514)</f>
        <v>10.9933474841605</v>
      </c>
      <c r="F3514" s="25" t="n">
        <f aca="false">LN(C3514/C3513)</f>
        <v>0.0100954862038147</v>
      </c>
      <c r="G3514" s="25" t="n">
        <f aca="false">IF(AND(D3514=1,A3514&gt;=$R$2),F3514,"")</f>
        <v>0.0100954862038147</v>
      </c>
      <c r="H3514" s="27" t="n">
        <f aca="false">IF(G3514="","",G3514^2)</f>
        <v>0.000101918841691412</v>
      </c>
      <c r="I3514" s="25" t="n">
        <f aca="false">IF(G3514="","",C3514/C3513-1)</f>
        <v>0.0101466175450562</v>
      </c>
      <c r="J3514" s="17" t="n">
        <f aca="false">AVERAGE(C3315:C3514)</f>
        <v>62598.69865</v>
      </c>
      <c r="K3514" s="17" t="n">
        <f aca="false">MAX(K3513,C3514)</f>
        <v>73098.48</v>
      </c>
      <c r="L3514" s="25" t="n">
        <f aca="false">C3514/K3514-1</f>
        <v>-0.186342178387293</v>
      </c>
      <c r="M3514" s="25" t="n">
        <f aca="false">IF(COUNT(G3485:G3514)&lt;20,"",_xlfn.STDEV.S(G3485:G3514)*SQRT($R$3))</f>
        <v>0.66015384058759</v>
      </c>
      <c r="N3514" s="25" t="n">
        <f aca="false">IF(A3514-7&lt;$R$2,"",C3514/INDEX(Clean_Data!$C$2:$C$4314,MATCH(A3514-7,Clean_Data!$A$2:$A$4314,1))-1)</f>
        <v>-0.0240331057007369</v>
      </c>
      <c r="O3514" s="25" t="n">
        <f aca="false">IF(A3514-30&lt;$R$2,"",C3514/INDEX(Clean_Data!$C$2:$C$4314,MATCH(A3514-30,Clean_Data!$A$2:$A$4314,1))-1)</f>
        <v>-0.0706635776885445</v>
      </c>
    </row>
    <row r="3515" customFormat="false" ht="15" hidden="false" customHeight="false" outlineLevel="0" collapsed="false">
      <c r="A3515" s="16" t="n">
        <v>45522</v>
      </c>
      <c r="B3515" s="23" t="n">
        <f aca="false">YEAR(A3515)</f>
        <v>2024</v>
      </c>
      <c r="C3515" s="17" t="n">
        <v>58448.05</v>
      </c>
      <c r="D3515" s="23" t="n">
        <f aca="false">A3515-A3514</f>
        <v>1</v>
      </c>
      <c r="E3515" s="24" t="n">
        <f aca="false">LN(C3515)</f>
        <v>10.975893604496</v>
      </c>
      <c r="F3515" s="25" t="n">
        <f aca="false">LN(C3515/C3514)</f>
        <v>-0.0174538796645202</v>
      </c>
      <c r="G3515" s="25" t="n">
        <f aca="false">IF(AND(D3515=1,A3515&gt;=$R$2),F3515,"")</f>
        <v>-0.0174538796645202</v>
      </c>
      <c r="H3515" s="27" t="n">
        <f aca="false">IF(G3515="","",G3515^2)</f>
        <v>0.000304637915343553</v>
      </c>
      <c r="I3515" s="25" t="n">
        <f aca="false">IF(G3515="","",C3515/C3514-1)</f>
        <v>-0.0173024430390494</v>
      </c>
      <c r="J3515" s="17" t="n">
        <f aca="false">AVERAGE(C3316:C3515)</f>
        <v>62677.94145</v>
      </c>
      <c r="K3515" s="17" t="n">
        <f aca="false">MAX(K3514,C3515)</f>
        <v>73098.48</v>
      </c>
      <c r="L3515" s="25" t="n">
        <f aca="false">C3515/K3515-1</f>
        <v>-0.200420446499024</v>
      </c>
      <c r="M3515" s="25" t="n">
        <f aca="false">IF(COUNT(G3486:G3515)&lt;20,"",_xlfn.STDEV.S(G3486:G3515)*SQRT($R$3))</f>
        <v>0.641740972056167</v>
      </c>
      <c r="N3515" s="25" t="n">
        <f aca="false">IF(A3515-7&lt;$R$2,"",C3515/INDEX(Clean_Data!$C$2:$C$4314,MATCH(A3515-7,Clean_Data!$A$2:$A$4314,1))-1)</f>
        <v>-0.00485076945734875</v>
      </c>
      <c r="O3515" s="25" t="n">
        <f aca="false">IF(A3515-30&lt;$R$2,"",C3515/INDEX(Clean_Data!$C$2:$C$4314,MATCH(A3515-30,Clean_Data!$A$2:$A$4314,1))-1)</f>
        <v>-0.124652582563216</v>
      </c>
    </row>
    <row r="3516" customFormat="false" ht="15" hidden="false" customHeight="false" outlineLevel="0" collapsed="false">
      <c r="A3516" s="16" t="n">
        <v>45523</v>
      </c>
      <c r="B3516" s="23" t="n">
        <f aca="false">YEAR(A3516)</f>
        <v>2024</v>
      </c>
      <c r="C3516" s="17" t="n">
        <v>59469.51</v>
      </c>
      <c r="D3516" s="23" t="n">
        <f aca="false">A3516-A3515</f>
        <v>1</v>
      </c>
      <c r="E3516" s="24" t="n">
        <f aca="false">LN(C3516)</f>
        <v>10.9932190232182</v>
      </c>
      <c r="F3516" s="25" t="n">
        <f aca="false">LN(C3516/C3515)</f>
        <v>0.0173254187222709</v>
      </c>
      <c r="G3516" s="25" t="n">
        <f aca="false">IF(AND(D3516=1,A3516&gt;=$R$2),F3516,"")</f>
        <v>0.0173254187222709</v>
      </c>
      <c r="H3516" s="27" t="n">
        <f aca="false">IF(G3516="","",G3516^2)</f>
        <v>0.000300170133902013</v>
      </c>
      <c r="I3516" s="25" t="n">
        <f aca="false">IF(G3516="","",C3516/C3515-1)</f>
        <v>0.0174763743187325</v>
      </c>
      <c r="J3516" s="17" t="n">
        <f aca="false">AVERAGE(C3317:C3516)</f>
        <v>62759.8383</v>
      </c>
      <c r="K3516" s="17" t="n">
        <f aca="false">MAX(K3515,C3516)</f>
        <v>73098.48</v>
      </c>
      <c r="L3516" s="25" t="n">
        <f aca="false">C3516/K3516-1</f>
        <v>-0.186446694924436</v>
      </c>
      <c r="M3516" s="25" t="n">
        <f aca="false">IF(COUNT(G3487:G3516)&lt;20,"",_xlfn.STDEV.S(G3487:G3516)*SQRT($R$3))</f>
        <v>0.645135608189839</v>
      </c>
      <c r="N3516" s="25" t="n">
        <f aca="false">IF(A3516-7&lt;$R$2,"",C3516/INDEX(Clean_Data!$C$2:$C$4314,MATCH(A3516-7,Clean_Data!$A$2:$A$4314,1))-1)</f>
        <v>0.00221780645796255</v>
      </c>
      <c r="O3516" s="25" t="n">
        <f aca="false">IF(A3516-30&lt;$R$2,"",C3516/INDEX(Clean_Data!$C$2:$C$4314,MATCH(A3516-30,Clean_Data!$A$2:$A$4314,1))-1)</f>
        <v>-0.115250209808083</v>
      </c>
    </row>
    <row r="3517" customFormat="false" ht="15" hidden="false" customHeight="false" outlineLevel="0" collapsed="false">
      <c r="A3517" s="16" t="n">
        <v>45524</v>
      </c>
      <c r="B3517" s="23" t="n">
        <f aca="false">YEAR(A3517)</f>
        <v>2024</v>
      </c>
      <c r="C3517" s="17" t="n">
        <v>59062.49</v>
      </c>
      <c r="D3517" s="23" t="n">
        <f aca="false">A3517-A3516</f>
        <v>1</v>
      </c>
      <c r="E3517" s="24" t="n">
        <f aca="false">LN(C3517)</f>
        <v>10.9863513149239</v>
      </c>
      <c r="F3517" s="25" t="n">
        <f aca="false">LN(C3517/C3516)</f>
        <v>-0.0068677082943187</v>
      </c>
      <c r="G3517" s="25" t="n">
        <f aca="false">IF(AND(D3517=1,A3517&gt;=$R$2),F3517,"")</f>
        <v>-0.0068677082943187</v>
      </c>
      <c r="H3517" s="27" t="n">
        <f aca="false">IF(G3517="","",G3517^2)</f>
        <v>4.71654172158538E-005</v>
      </c>
      <c r="I3517" s="25" t="n">
        <f aca="false">IF(G3517="","",C3517/C3516-1)</f>
        <v>-0.00684417947953508</v>
      </c>
      <c r="J3517" s="17" t="n">
        <f aca="false">AVERAGE(C3318:C3517)</f>
        <v>62839.2137</v>
      </c>
      <c r="K3517" s="17" t="n">
        <f aca="false">MAX(K3516,C3517)</f>
        <v>73098.48</v>
      </c>
      <c r="L3517" s="25" t="n">
        <f aca="false">C3517/K3517-1</f>
        <v>-0.192014799760542</v>
      </c>
      <c r="M3517" s="25" t="n">
        <f aca="false">IF(COUNT(G3488:G3517)&lt;20,"",_xlfn.STDEV.S(G3488:G3517)*SQRT($R$3))</f>
        <v>0.641450306536506</v>
      </c>
      <c r="N3517" s="25" t="n">
        <f aca="false">IF(A3517-7&lt;$R$2,"",C3517/INDEX(Clean_Data!$C$2:$C$4314,MATCH(A3517-7,Clean_Data!$A$2:$A$4314,1))-1)</f>
        <v>-0.0253072768322535</v>
      </c>
      <c r="O3517" s="25" t="n">
        <f aca="false">IF(A3517-30&lt;$R$2,"",C3517/INDEX(Clean_Data!$C$2:$C$4314,MATCH(A3517-30,Clean_Data!$A$2:$A$4314,1))-1)</f>
        <v>-0.134484150268085</v>
      </c>
    </row>
    <row r="3518" customFormat="false" ht="15" hidden="false" customHeight="false" outlineLevel="0" collapsed="false">
      <c r="A3518" s="16" t="n">
        <v>45525</v>
      </c>
      <c r="B3518" s="23" t="n">
        <f aca="false">YEAR(A3518)</f>
        <v>2024</v>
      </c>
      <c r="C3518" s="17" t="n">
        <v>61193.87</v>
      </c>
      <c r="D3518" s="23" t="n">
        <f aca="false">A3518-A3517</f>
        <v>1</v>
      </c>
      <c r="E3518" s="24" t="n">
        <f aca="false">LN(C3518)</f>
        <v>11.021802300085</v>
      </c>
      <c r="F3518" s="25" t="n">
        <f aca="false">LN(C3518/C3517)</f>
        <v>0.0354509851611217</v>
      </c>
      <c r="G3518" s="25" t="n">
        <f aca="false">IF(AND(D3518=1,A3518&gt;=$R$2),F3518,"")</f>
        <v>0.0354509851611217</v>
      </c>
      <c r="H3518" s="27" t="n">
        <f aca="false">IF(G3518="","",G3518^2)</f>
        <v>0.00125677234889407</v>
      </c>
      <c r="I3518" s="25" t="n">
        <f aca="false">IF(G3518="","",C3518/C3517-1)</f>
        <v>0.0360868632528024</v>
      </c>
      <c r="J3518" s="17" t="n">
        <f aca="false">AVERAGE(C3319:C3518)</f>
        <v>62930.24415</v>
      </c>
      <c r="K3518" s="17" t="n">
        <f aca="false">MAX(K3517,C3518)</f>
        <v>73098.48</v>
      </c>
      <c r="L3518" s="25" t="n">
        <f aca="false">C3518/K3518-1</f>
        <v>-0.162857148329213</v>
      </c>
      <c r="M3518" s="25" t="n">
        <f aca="false">IF(COUNT(G3489:G3518)&lt;20,"",_xlfn.STDEV.S(G3489:G3518)*SQRT($R$3))</f>
        <v>0.656292376582767</v>
      </c>
      <c r="N3518" s="25" t="n">
        <f aca="false">IF(A3518-7&lt;$R$2,"",C3518/INDEX(Clean_Data!$C$2:$C$4314,MATCH(A3518-7,Clean_Data!$A$2:$A$4314,1))-1)</f>
        <v>0.0410785769820328</v>
      </c>
      <c r="O3518" s="25" t="n">
        <f aca="false">IF(A3518-30&lt;$R$2,"",C3518/INDEX(Clean_Data!$C$2:$C$4314,MATCH(A3518-30,Clean_Data!$A$2:$A$4314,1))-1)</f>
        <v>-0.0945715607214205</v>
      </c>
    </row>
    <row r="3519" customFormat="false" ht="15" hidden="false" customHeight="false" outlineLevel="0" collapsed="false">
      <c r="A3519" s="16" t="n">
        <v>45526</v>
      </c>
      <c r="B3519" s="23" t="n">
        <f aca="false">YEAR(A3519)</f>
        <v>2024</v>
      </c>
      <c r="C3519" s="17" t="n">
        <v>60378.7</v>
      </c>
      <c r="D3519" s="23" t="n">
        <f aca="false">A3519-A3518</f>
        <v>1</v>
      </c>
      <c r="E3519" s="24" t="n">
        <f aca="false">LN(C3519)</f>
        <v>11.008391672721</v>
      </c>
      <c r="F3519" s="25" t="n">
        <f aca="false">LN(C3519/C3518)</f>
        <v>-0.0134106273640362</v>
      </c>
      <c r="G3519" s="25" t="n">
        <f aca="false">IF(AND(D3519=1,A3519&gt;=$R$2),F3519,"")</f>
        <v>-0.0134106273640362</v>
      </c>
      <c r="H3519" s="27" t="n">
        <f aca="false">IF(G3519="","",G3519^2)</f>
        <v>0.000179844926297036</v>
      </c>
      <c r="I3519" s="25" t="n">
        <f aca="false">IF(G3519="","",C3519/C3518-1)</f>
        <v>-0.0133211055290343</v>
      </c>
      <c r="J3519" s="17" t="n">
        <f aca="false">AVERAGE(C3320:C3519)</f>
        <v>63019.3045</v>
      </c>
      <c r="K3519" s="17" t="n">
        <f aca="false">MAX(K3518,C3519)</f>
        <v>73098.48</v>
      </c>
      <c r="L3519" s="25" t="n">
        <f aca="false">C3519/K3519-1</f>
        <v>-0.174008816599196</v>
      </c>
      <c r="M3519" s="25" t="n">
        <f aca="false">IF(COUNT(G3490:G3519)&lt;20,"",_xlfn.STDEV.S(G3490:G3519)*SQRT($R$3))</f>
        <v>0.652751540282334</v>
      </c>
      <c r="N3519" s="25" t="n">
        <f aca="false">IF(A3519-7&lt;$R$2,"",C3519/INDEX(Clean_Data!$C$2:$C$4314,MATCH(A3519-7,Clean_Data!$A$2:$A$4314,1))-1)</f>
        <v>0.0500223469322096</v>
      </c>
      <c r="O3519" s="25" t="n">
        <f aca="false">IF(A3519-30&lt;$R$2,"",C3519/INDEX(Clean_Data!$C$2:$C$4314,MATCH(A3519-30,Clean_Data!$A$2:$A$4314,1))-1)</f>
        <v>-0.0841129462618475</v>
      </c>
    </row>
    <row r="3520" customFormat="false" ht="15" hidden="false" customHeight="false" outlineLevel="0" collapsed="false">
      <c r="A3520" s="16" t="n">
        <v>45527</v>
      </c>
      <c r="B3520" s="23" t="n">
        <f aca="false">YEAR(A3520)</f>
        <v>2024</v>
      </c>
      <c r="C3520" s="17" t="n">
        <v>64130.87</v>
      </c>
      <c r="D3520" s="23" t="n">
        <f aca="false">A3520-A3519</f>
        <v>1</v>
      </c>
      <c r="E3520" s="24" t="n">
        <f aca="false">LN(C3520)</f>
        <v>11.0686811182446</v>
      </c>
      <c r="F3520" s="25" t="n">
        <f aca="false">LN(C3520/C3519)</f>
        <v>0.0602894455235574</v>
      </c>
      <c r="G3520" s="25" t="n">
        <f aca="false">IF(AND(D3520=1,A3520&gt;=$R$2),F3520,"")</f>
        <v>0.0602894455235574</v>
      </c>
      <c r="H3520" s="27" t="n">
        <f aca="false">IF(G3520="","",G3520^2)</f>
        <v>0.00363481724153799</v>
      </c>
      <c r="I3520" s="25" t="n">
        <f aca="false">IF(G3520="","",C3520/C3519-1)</f>
        <v>0.0621439348644473</v>
      </c>
      <c r="J3520" s="17" t="n">
        <f aca="false">AVERAGE(C3321:C3520)</f>
        <v>63126.68585</v>
      </c>
      <c r="K3520" s="17" t="n">
        <f aca="false">MAX(K3519,C3520)</f>
        <v>73098.48</v>
      </c>
      <c r="L3520" s="25" t="n">
        <f aca="false">C3520/K3520-1</f>
        <v>-0.122678474299329</v>
      </c>
      <c r="M3520" s="25" t="n">
        <f aca="false">IF(COUNT(G3491:G3520)&lt;20,"",_xlfn.STDEV.S(G3491:G3520)*SQRT($R$3))</f>
        <v>0.688617191300313</v>
      </c>
      <c r="N3520" s="25" t="n">
        <f aca="false">IF(A3520-7&lt;$R$2,"",C3520/INDEX(Clean_Data!$C$2:$C$4314,MATCH(A3520-7,Clean_Data!$A$2:$A$4314,1))-1)</f>
        <v>0.089184357534309</v>
      </c>
      <c r="O3520" s="25" t="n">
        <f aca="false">IF(A3520-30&lt;$R$2,"",C3520/INDEX(Clean_Data!$C$2:$C$4314,MATCH(A3520-30,Clean_Data!$A$2:$A$4314,1))-1)</f>
        <v>-0.0198656012950498</v>
      </c>
    </row>
    <row r="3521" customFormat="false" ht="15" hidden="false" customHeight="false" outlineLevel="0" collapsed="false">
      <c r="A3521" s="16" t="n">
        <v>45528</v>
      </c>
      <c r="B3521" s="23" t="n">
        <f aca="false">YEAR(A3521)</f>
        <v>2024</v>
      </c>
      <c r="C3521" s="17" t="n">
        <v>64157.87</v>
      </c>
      <c r="D3521" s="23" t="n">
        <f aca="false">A3521-A3520</f>
        <v>1</v>
      </c>
      <c r="E3521" s="24" t="n">
        <f aca="false">LN(C3521)</f>
        <v>11.069102043735</v>
      </c>
      <c r="F3521" s="25" t="n">
        <f aca="false">LN(C3521/C3520)</f>
        <v>0.000420925490400026</v>
      </c>
      <c r="G3521" s="25" t="n">
        <f aca="false">IF(AND(D3521=1,A3521&gt;=$R$2),F3521,"")</f>
        <v>0.000420925490400026</v>
      </c>
      <c r="H3521" s="27" t="n">
        <f aca="false">IF(G3521="","",G3521^2)</f>
        <v>1.77178268468503E-007</v>
      </c>
      <c r="I3521" s="25" t="n">
        <f aca="false">IF(G3521="","",C3521/C3520-1)</f>
        <v>0.000421014091965377</v>
      </c>
      <c r="J3521" s="17" t="n">
        <f aca="false">AVERAGE(C3322:C3521)</f>
        <v>63232.00835</v>
      </c>
      <c r="K3521" s="17" t="n">
        <f aca="false">MAX(K3520,C3521)</f>
        <v>73098.48</v>
      </c>
      <c r="L3521" s="25" t="n">
        <f aca="false">C3521/K3521-1</f>
        <v>-0.122309109573824</v>
      </c>
      <c r="M3521" s="25" t="n">
        <f aca="false">IF(COUNT(G3492:G3521)&lt;20,"",_xlfn.STDEV.S(G3492:G3521)*SQRT($R$3))</f>
        <v>0.688227564153178</v>
      </c>
      <c r="N3521" s="25" t="n">
        <f aca="false">IF(A3521-7&lt;$R$2,"",C3521/INDEX(Clean_Data!$C$2:$C$4314,MATCH(A3521-7,Clean_Data!$A$2:$A$4314,1))-1)</f>
        <v>0.078697785620192</v>
      </c>
      <c r="O3521" s="25" t="n">
        <f aca="false">IF(A3521-30&lt;$R$2,"",C3521/INDEX(Clean_Data!$C$2:$C$4314,MATCH(A3521-30,Clean_Data!$A$2:$A$4314,1))-1)</f>
        <v>-0.025196528332458</v>
      </c>
    </row>
    <row r="3522" customFormat="false" ht="15" hidden="false" customHeight="false" outlineLevel="0" collapsed="false">
      <c r="A3522" s="16" t="n">
        <v>45529</v>
      </c>
      <c r="B3522" s="23" t="n">
        <f aca="false">YEAR(A3522)</f>
        <v>2024</v>
      </c>
      <c r="C3522" s="17" t="n">
        <v>64286.9</v>
      </c>
      <c r="D3522" s="23" t="n">
        <f aca="false">A3522-A3521</f>
        <v>1</v>
      </c>
      <c r="E3522" s="24" t="n">
        <f aca="false">LN(C3522)</f>
        <v>11.0711111569655</v>
      </c>
      <c r="F3522" s="25" t="n">
        <f aca="false">LN(C3522/C3521)</f>
        <v>0.00200911323057926</v>
      </c>
      <c r="G3522" s="25" t="n">
        <f aca="false">IF(AND(D3522=1,A3522&gt;=$R$2),F3522,"")</f>
        <v>0.00200911323057926</v>
      </c>
      <c r="H3522" s="27" t="n">
        <f aca="false">IF(G3522="","",G3522^2)</f>
        <v>4.03653597328864E-006</v>
      </c>
      <c r="I3522" s="25" t="n">
        <f aca="false">IF(G3522="","",C3522/C3521-1)</f>
        <v>0.00201113285088805</v>
      </c>
      <c r="J3522" s="17" t="n">
        <f aca="false">AVERAGE(C3323:C3522)</f>
        <v>63331.47715</v>
      </c>
      <c r="K3522" s="17" t="n">
        <f aca="false">MAX(K3521,C3522)</f>
        <v>73098.48</v>
      </c>
      <c r="L3522" s="25" t="n">
        <f aca="false">C3522/K3522-1</f>
        <v>-0.120543956591163</v>
      </c>
      <c r="M3522" s="25" t="n">
        <f aca="false">IF(COUNT(G3493:G3522)&lt;20,"",_xlfn.STDEV.S(G3493:G3522)*SQRT($R$3))</f>
        <v>0.678330944364049</v>
      </c>
      <c r="N3522" s="25" t="n">
        <f aca="false">IF(A3522-7&lt;$R$2,"",C3522/INDEX(Clean_Data!$C$2:$C$4314,MATCH(A3522-7,Clean_Data!$A$2:$A$4314,1))-1)</f>
        <v>0.0998981146505316</v>
      </c>
      <c r="O3522" s="25" t="n">
        <f aca="false">IF(A3522-30&lt;$R$2,"",C3522/INDEX(Clean_Data!$C$2:$C$4314,MATCH(A3522-30,Clean_Data!$A$2:$A$4314,1))-1)</f>
        <v>-0.0536260280849171</v>
      </c>
    </row>
    <row r="3523" customFormat="false" ht="15" hidden="false" customHeight="false" outlineLevel="0" collapsed="false">
      <c r="A3523" s="16" t="n">
        <v>45530</v>
      </c>
      <c r="B3523" s="23" t="n">
        <f aca="false">YEAR(A3523)</f>
        <v>2024</v>
      </c>
      <c r="C3523" s="17" t="n">
        <v>62838.55</v>
      </c>
      <c r="D3523" s="23" t="n">
        <f aca="false">A3523-A3522</f>
        <v>1</v>
      </c>
      <c r="E3523" s="24" t="n">
        <f aca="false">LN(C3523)</f>
        <v>11.0483240176285</v>
      </c>
      <c r="F3523" s="25" t="n">
        <f aca="false">LN(C3523/C3522)</f>
        <v>-0.022787139337056</v>
      </c>
      <c r="G3523" s="25" t="n">
        <f aca="false">IF(AND(D3523=1,A3523&gt;=$R$2),F3523,"")</f>
        <v>-0.022787139337056</v>
      </c>
      <c r="H3523" s="27" t="n">
        <f aca="false">IF(G3523="","",G3523^2)</f>
        <v>0.000519253719166405</v>
      </c>
      <c r="I3523" s="25" t="n">
        <f aca="false">IF(G3523="","",C3523/C3522-1)</f>
        <v>-0.0225294733452693</v>
      </c>
      <c r="J3523" s="17" t="n">
        <f aca="false">AVERAGE(C3324:C3523)</f>
        <v>63418.9409</v>
      </c>
      <c r="K3523" s="17" t="n">
        <f aca="false">MAX(K3522,C3523)</f>
        <v>73098.48</v>
      </c>
      <c r="L3523" s="25" t="n">
        <f aca="false">C3523/K3523-1</f>
        <v>-0.140357638079478</v>
      </c>
      <c r="M3523" s="25" t="n">
        <f aca="false">IF(COUNT(G3494:G3523)&lt;20,"",_xlfn.STDEV.S(G3494:G3523)*SQRT($R$3))</f>
        <v>0.682255577002467</v>
      </c>
      <c r="N3523" s="25" t="n">
        <f aca="false">IF(A3523-7&lt;$R$2,"",C3523/INDEX(Clean_Data!$C$2:$C$4314,MATCH(A3523-7,Clean_Data!$A$2:$A$4314,1))-1)</f>
        <v>0.0566515513579984</v>
      </c>
      <c r="O3523" s="25" t="n">
        <f aca="false">IF(A3523-30&lt;$R$2,"",C3523/INDEX(Clean_Data!$C$2:$C$4314,MATCH(A3523-30,Clean_Data!$A$2:$A$4314,1))-1)</f>
        <v>-0.0732526338579123</v>
      </c>
    </row>
    <row r="3524" customFormat="false" ht="15" hidden="false" customHeight="false" outlineLevel="0" collapsed="false">
      <c r="A3524" s="16" t="n">
        <v>45531</v>
      </c>
      <c r="B3524" s="23" t="n">
        <f aca="false">YEAR(A3524)</f>
        <v>2024</v>
      </c>
      <c r="C3524" s="17" t="n">
        <v>59398.77</v>
      </c>
      <c r="D3524" s="23" t="n">
        <f aca="false">A3524-A3523</f>
        <v>1</v>
      </c>
      <c r="E3524" s="24" t="n">
        <f aca="false">LN(C3524)</f>
        <v>10.9920287980656</v>
      </c>
      <c r="F3524" s="25" t="n">
        <f aca="false">LN(C3524/C3523)</f>
        <v>-0.0562952195628461</v>
      </c>
      <c r="G3524" s="25" t="n">
        <f aca="false">IF(AND(D3524=1,A3524&gt;=$R$2),F3524,"")</f>
        <v>-0.0562952195628461</v>
      </c>
      <c r="H3524" s="27" t="n">
        <f aca="false">IF(G3524="","",G3524^2)</f>
        <v>0.00316915174562905</v>
      </c>
      <c r="I3524" s="25" t="n">
        <f aca="false">IF(G3524="","",C3524/C3523-1)</f>
        <v>-0.0547399645599717</v>
      </c>
      <c r="J3524" s="17" t="n">
        <f aca="false">AVERAGE(C3325:C3524)</f>
        <v>63480.1625</v>
      </c>
      <c r="K3524" s="17" t="n">
        <f aca="false">MAX(K3523,C3524)</f>
        <v>73098.48</v>
      </c>
      <c r="L3524" s="25" t="n">
        <f aca="false">C3524/K3524-1</f>
        <v>-0.187414430505258</v>
      </c>
      <c r="M3524" s="25" t="n">
        <f aca="false">IF(COUNT(G3495:G3524)&lt;20,"",_xlfn.STDEV.S(G3495:G3524)*SQRT($R$3))</f>
        <v>0.706436976832942</v>
      </c>
      <c r="N3524" s="25" t="n">
        <f aca="false">IF(A3524-7&lt;$R$2,"",C3524/INDEX(Clean_Data!$C$2:$C$4314,MATCH(A3524-7,Clean_Data!$A$2:$A$4314,1))-1)</f>
        <v>0.00569363059363059</v>
      </c>
      <c r="O3524" s="25" t="n">
        <f aca="false">IF(A3524-30&lt;$R$2,"",C3524/INDEX(Clean_Data!$C$2:$C$4314,MATCH(A3524-30,Clean_Data!$A$2:$A$4314,1))-1)</f>
        <v>-0.130001805942738</v>
      </c>
    </row>
    <row r="3525" customFormat="false" ht="15" hidden="false" customHeight="false" outlineLevel="0" collapsed="false">
      <c r="A3525" s="16" t="n">
        <v>45532</v>
      </c>
      <c r="B3525" s="23" t="n">
        <f aca="false">YEAR(A3525)</f>
        <v>2024</v>
      </c>
      <c r="C3525" s="17" t="n">
        <v>59024</v>
      </c>
      <c r="D3525" s="23" t="n">
        <f aca="false">A3525-A3524</f>
        <v>1</v>
      </c>
      <c r="E3525" s="24" t="n">
        <f aca="false">LN(C3525)</f>
        <v>10.9856994198365</v>
      </c>
      <c r="F3525" s="25" t="n">
        <f aca="false">LN(C3525/C3524)</f>
        <v>-0.00632937822917795</v>
      </c>
      <c r="G3525" s="25" t="n">
        <f aca="false">IF(AND(D3525=1,A3525&gt;=$R$2),F3525,"")</f>
        <v>-0.00632937822917795</v>
      </c>
      <c r="H3525" s="27" t="n">
        <f aca="false">IF(G3525="","",G3525^2)</f>
        <v>4.00610287679918E-005</v>
      </c>
      <c r="I3525" s="25" t="n">
        <f aca="false">IF(G3525="","",C3525/C3524-1)</f>
        <v>-0.00630938990824215</v>
      </c>
      <c r="J3525" s="17" t="n">
        <f aca="false">AVERAGE(C3326:C3525)</f>
        <v>63536.29055</v>
      </c>
      <c r="K3525" s="17" t="n">
        <f aca="false">MAX(K3524,C3525)</f>
        <v>73098.48</v>
      </c>
      <c r="L3525" s="25" t="n">
        <f aca="false">C3525/K3525-1</f>
        <v>-0.192541349697011</v>
      </c>
      <c r="M3525" s="25" t="n">
        <f aca="false">IF(COUNT(G3496:G3525)&lt;20,"",_xlfn.STDEV.S(G3496:G3525)*SQRT($R$3))</f>
        <v>0.70388333885132</v>
      </c>
      <c r="N3525" s="25" t="n">
        <f aca="false">IF(A3525-7&lt;$R$2,"",C3525/INDEX(Clean_Data!$C$2:$C$4314,MATCH(A3525-7,Clean_Data!$A$2:$A$4314,1))-1)</f>
        <v>-0.0354589438451923</v>
      </c>
      <c r="O3525" s="25" t="n">
        <f aca="false">IF(A3525-30&lt;$R$2,"",C3525/INDEX(Clean_Data!$C$2:$C$4314,MATCH(A3525-30,Clean_Data!$A$2:$A$4314,1))-1)</f>
        <v>-0.116775944893666</v>
      </c>
    </row>
    <row r="3526" customFormat="false" ht="15" hidden="false" customHeight="false" outlineLevel="0" collapsed="false">
      <c r="A3526" s="16" t="n">
        <v>45533</v>
      </c>
      <c r="B3526" s="23" t="n">
        <f aca="false">YEAR(A3526)</f>
        <v>2024</v>
      </c>
      <c r="C3526" s="17" t="n">
        <v>59371.27</v>
      </c>
      <c r="D3526" s="23" t="n">
        <f aca="false">A3526-A3525</f>
        <v>1</v>
      </c>
      <c r="E3526" s="24" t="n">
        <f aca="false">LN(C3526)</f>
        <v>10.991565718311</v>
      </c>
      <c r="F3526" s="25" t="n">
        <f aca="false">LN(C3526/C3525)</f>
        <v>0.00586629847452889</v>
      </c>
      <c r="G3526" s="25" t="n">
        <f aca="false">IF(AND(D3526=1,A3526&gt;=$R$2),F3526,"")</f>
        <v>0.00586629847452889</v>
      </c>
      <c r="H3526" s="27" t="n">
        <f aca="false">IF(G3526="","",G3526^2)</f>
        <v>3.441345779226E-005</v>
      </c>
      <c r="I3526" s="25" t="n">
        <f aca="false">IF(G3526="","",C3526/C3525-1)</f>
        <v>0.00588353889943072</v>
      </c>
      <c r="J3526" s="17" t="n">
        <f aca="false">AVERAGE(C3327:C3526)</f>
        <v>63591.5855</v>
      </c>
      <c r="K3526" s="17" t="n">
        <f aca="false">MAX(K3525,C3526)</f>
        <v>73098.48</v>
      </c>
      <c r="L3526" s="25" t="n">
        <f aca="false">C3526/K3526-1</f>
        <v>-0.187790635318272</v>
      </c>
      <c r="M3526" s="25" t="n">
        <f aca="false">IF(COUNT(G3497:G3526)&lt;20,"",_xlfn.STDEV.S(G3497:G3526)*SQRT($R$3))</f>
        <v>0.704458374543775</v>
      </c>
      <c r="N3526" s="25" t="n">
        <f aca="false">IF(A3526-7&lt;$R$2,"",C3526/INDEX(Clean_Data!$C$2:$C$4314,MATCH(A3526-7,Clean_Data!$A$2:$A$4314,1))-1)</f>
        <v>-0.0166851886509647</v>
      </c>
      <c r="O3526" s="25" t="n">
        <f aca="false">IF(A3526-30&lt;$R$2,"",C3526/INDEX(Clean_Data!$C$2:$C$4314,MATCH(A3526-30,Clean_Data!$A$2:$A$4314,1))-1)</f>
        <v>-0.1031639945191</v>
      </c>
    </row>
    <row r="3527" customFormat="false" ht="15" hidden="false" customHeight="false" outlineLevel="0" collapsed="false">
      <c r="A3527" s="16" t="n">
        <v>45534</v>
      </c>
      <c r="B3527" s="23" t="n">
        <f aca="false">YEAR(A3527)</f>
        <v>2024</v>
      </c>
      <c r="C3527" s="17" t="n">
        <v>59113.86</v>
      </c>
      <c r="D3527" s="23" t="n">
        <f aca="false">A3527-A3526</f>
        <v>1</v>
      </c>
      <c r="E3527" s="24" t="n">
        <f aca="false">LN(C3527)</f>
        <v>10.9872206936657</v>
      </c>
      <c r="F3527" s="25" t="n">
        <f aca="false">LN(C3527/C3526)</f>
        <v>-0.00434502464529145</v>
      </c>
      <c r="G3527" s="25" t="n">
        <f aca="false">IF(AND(D3527=1,A3527&gt;=$R$2),F3527,"")</f>
        <v>-0.00434502464529145</v>
      </c>
      <c r="H3527" s="27" t="n">
        <f aca="false">IF(G3527="","",G3527^2)</f>
        <v>1.88792391681901E-005</v>
      </c>
      <c r="I3527" s="25" t="n">
        <f aca="false">IF(G3527="","",C3527/C3526-1)</f>
        <v>-0.00433559868266242</v>
      </c>
      <c r="J3527" s="17" t="n">
        <f aca="false">AVERAGE(C3328:C3527)</f>
        <v>63637.3498</v>
      </c>
      <c r="K3527" s="17" t="n">
        <f aca="false">MAX(K3526,C3527)</f>
        <v>73098.48</v>
      </c>
      <c r="L3527" s="25" t="n">
        <f aca="false">C3527/K3527-1</f>
        <v>-0.191312049169832</v>
      </c>
      <c r="M3527" s="25" t="n">
        <f aca="false">IF(COUNT(G3498:G3527)&lt;20,"",_xlfn.STDEV.S(G3498:G3527)*SQRT($R$3))</f>
        <v>0.700493777205839</v>
      </c>
      <c r="N3527" s="25" t="n">
        <f aca="false">IF(A3527-7&lt;$R$2,"",C3527/INDEX(Clean_Data!$C$2:$C$4314,MATCH(A3527-7,Clean_Data!$A$2:$A$4314,1))-1)</f>
        <v>-0.0782308114641201</v>
      </c>
      <c r="O3527" s="25" t="n">
        <f aca="false">IF(A3527-30&lt;$R$2,"",C3527/INDEX(Clean_Data!$C$2:$C$4314,MATCH(A3527-30,Clean_Data!$A$2:$A$4314,1))-1)</f>
        <v>-0.085033968856039</v>
      </c>
    </row>
    <row r="3528" customFormat="false" ht="15" hidden="false" customHeight="false" outlineLevel="0" collapsed="false">
      <c r="A3528" s="16" t="n">
        <v>45535</v>
      </c>
      <c r="B3528" s="23" t="n">
        <f aca="false">YEAR(A3528)</f>
        <v>2024</v>
      </c>
      <c r="C3528" s="17" t="n">
        <v>58956.52</v>
      </c>
      <c r="D3528" s="23" t="n">
        <f aca="false">A3528-A3527</f>
        <v>1</v>
      </c>
      <c r="E3528" s="24" t="n">
        <f aca="false">LN(C3528)</f>
        <v>10.9845555020548</v>
      </c>
      <c r="F3528" s="25" t="n">
        <f aca="false">LN(C3528/C3527)</f>
        <v>-0.00266519161089154</v>
      </c>
      <c r="G3528" s="25" t="n">
        <f aca="false">IF(AND(D3528=1,A3528&gt;=$R$2),F3528,"")</f>
        <v>-0.00266519161089154</v>
      </c>
      <c r="H3528" s="27" t="n">
        <f aca="false">IF(G3528="","",G3528^2)</f>
        <v>7.10324632276662E-006</v>
      </c>
      <c r="I3528" s="25" t="n">
        <f aca="false">IF(G3528="","",C3528/C3527-1)</f>
        <v>-0.00266164314088102</v>
      </c>
      <c r="J3528" s="17" t="n">
        <f aca="false">AVERAGE(C3329:C3528)</f>
        <v>63683.67505</v>
      </c>
      <c r="K3528" s="17" t="n">
        <f aca="false">MAX(K3527,C3528)</f>
        <v>73098.48</v>
      </c>
      <c r="L3528" s="25" t="n">
        <f aca="false">C3528/K3528-1</f>
        <v>-0.193464487907272</v>
      </c>
      <c r="M3528" s="25" t="n">
        <f aca="false">IF(COUNT(G3499:G3528)&lt;20,"",_xlfn.STDEV.S(G3499:G3528)*SQRT($R$3))</f>
        <v>0.698604244715945</v>
      </c>
      <c r="N3528" s="25" t="n">
        <f aca="false">IF(A3528-7&lt;$R$2,"",C3528/INDEX(Clean_Data!$C$2:$C$4314,MATCH(A3528-7,Clean_Data!$A$2:$A$4314,1))-1)</f>
        <v>-0.0810711141127348</v>
      </c>
      <c r="O3528" s="25" t="n">
        <f aca="false">IF(A3528-30&lt;$R$2,"",C3528/INDEX(Clean_Data!$C$2:$C$4314,MATCH(A3528-30,Clean_Data!$A$2:$A$4314,1))-1)</f>
        <v>-0.097729498763437</v>
      </c>
    </row>
    <row r="3529" customFormat="false" ht="15" hidden="false" customHeight="false" outlineLevel="0" collapsed="false">
      <c r="A3529" s="16" t="n">
        <v>45536</v>
      </c>
      <c r="B3529" s="23" t="n">
        <f aca="false">YEAR(A3529)</f>
        <v>2024</v>
      </c>
      <c r="C3529" s="17" t="n">
        <v>57347.49</v>
      </c>
      <c r="D3529" s="23" t="n">
        <f aca="false">A3529-A3528</f>
        <v>1</v>
      </c>
      <c r="E3529" s="24" t="n">
        <f aca="false">LN(C3529)</f>
        <v>10.9568843552528</v>
      </c>
      <c r="F3529" s="25" t="n">
        <f aca="false">LN(C3529/C3528)</f>
        <v>-0.0276711468020526</v>
      </c>
      <c r="G3529" s="25" t="n">
        <f aca="false">IF(AND(D3529=1,A3529&gt;=$R$2),F3529,"")</f>
        <v>-0.0276711468020526</v>
      </c>
      <c r="H3529" s="27" t="n">
        <f aca="false">IF(G3529="","",G3529^2)</f>
        <v>0.000765692365340748</v>
      </c>
      <c r="I3529" s="25" t="n">
        <f aca="false">IF(G3529="","",C3529/C3528-1)</f>
        <v>-0.0272918075897288</v>
      </c>
      <c r="J3529" s="17" t="n">
        <f aca="false">AVERAGE(C3330:C3529)</f>
        <v>63711.2452</v>
      </c>
      <c r="K3529" s="17" t="n">
        <f aca="false">MAX(K3528,C3529)</f>
        <v>73098.48</v>
      </c>
      <c r="L3529" s="25" t="n">
        <f aca="false">C3529/K3529-1</f>
        <v>-0.215476299917591</v>
      </c>
      <c r="M3529" s="25" t="n">
        <f aca="false">IF(COUNT(G3500:G3529)&lt;20,"",_xlfn.STDEV.S(G3500:G3529)*SQRT($R$3))</f>
        <v>0.673086530162348</v>
      </c>
      <c r="N3529" s="25" t="n">
        <f aca="false">IF(A3529-7&lt;$R$2,"",C3529/INDEX(Clean_Data!$C$2:$C$4314,MATCH(A3529-7,Clean_Data!$A$2:$A$4314,1))-1)</f>
        <v>-0.107944386803532</v>
      </c>
      <c r="O3529" s="25" t="n">
        <f aca="false">IF(A3529-30&lt;$R$2,"",C3529/INDEX(Clean_Data!$C$2:$C$4314,MATCH(A3529-30,Clean_Data!$A$2:$A$4314,1))-1)</f>
        <v>-0.0670147035807706</v>
      </c>
    </row>
    <row r="3530" customFormat="false" ht="15" hidden="false" customHeight="false" outlineLevel="0" collapsed="false">
      <c r="A3530" s="16" t="n">
        <v>45537</v>
      </c>
      <c r="B3530" s="23" t="n">
        <f aca="false">YEAR(A3530)</f>
        <v>2024</v>
      </c>
      <c r="C3530" s="17" t="n">
        <v>59140.6</v>
      </c>
      <c r="D3530" s="23" t="n">
        <f aca="false">A3530-A3529</f>
        <v>1</v>
      </c>
      <c r="E3530" s="24" t="n">
        <f aca="false">LN(C3530)</f>
        <v>10.9876729387727</v>
      </c>
      <c r="F3530" s="25" t="n">
        <f aca="false">LN(C3530/C3529)</f>
        <v>0.0307885835199067</v>
      </c>
      <c r="G3530" s="25" t="n">
        <f aca="false">IF(AND(D3530=1,A3530&gt;=$R$2),F3530,"")</f>
        <v>0.0307885835199067</v>
      </c>
      <c r="H3530" s="27" t="n">
        <f aca="false">IF(G3530="","",G3530^2)</f>
        <v>0.000947936875162268</v>
      </c>
      <c r="I3530" s="25" t="n">
        <f aca="false">IF(G3530="","",C3530/C3529-1)</f>
        <v>0.031267453902516</v>
      </c>
      <c r="J3530" s="17" t="n">
        <f aca="false">AVERAGE(C3331:C3530)</f>
        <v>63747.2689</v>
      </c>
      <c r="K3530" s="17" t="n">
        <f aca="false">MAX(K3529,C3530)</f>
        <v>73098.48</v>
      </c>
      <c r="L3530" s="25" t="n">
        <f aca="false">C3530/K3530-1</f>
        <v>-0.190946241289833</v>
      </c>
      <c r="M3530" s="25" t="n">
        <f aca="false">IF(COUNT(G3501:G3530)&lt;20,"",_xlfn.STDEV.S(G3501:G3530)*SQRT($R$3))</f>
        <v>0.681452422520201</v>
      </c>
      <c r="N3530" s="25" t="n">
        <f aca="false">IF(A3530-7&lt;$R$2,"",C3530/INDEX(Clean_Data!$C$2:$C$4314,MATCH(A3530-7,Clean_Data!$A$2:$A$4314,1))-1)</f>
        <v>-0.0588484298253222</v>
      </c>
      <c r="O3530" s="25" t="n">
        <f aca="false">IF(A3530-30&lt;$R$2,"",C3530/INDEX(Clean_Data!$C$2:$C$4314,MATCH(A3530-30,Clean_Data!$A$2:$A$4314,1))-1)</f>
        <v>-0.0245832543722192</v>
      </c>
    </row>
    <row r="3531" customFormat="false" ht="15" hidden="false" customHeight="false" outlineLevel="0" collapsed="false">
      <c r="A3531" s="16" t="n">
        <v>45538</v>
      </c>
      <c r="B3531" s="23" t="n">
        <f aca="false">YEAR(A3531)</f>
        <v>2024</v>
      </c>
      <c r="C3531" s="17" t="n">
        <v>57474.64</v>
      </c>
      <c r="D3531" s="23" t="n">
        <f aca="false">A3531-A3530</f>
        <v>1</v>
      </c>
      <c r="E3531" s="24" t="n">
        <f aca="false">LN(C3531)</f>
        <v>10.9590990860189</v>
      </c>
      <c r="F3531" s="25" t="n">
        <f aca="false">LN(C3531/C3530)</f>
        <v>-0.0285738527537574</v>
      </c>
      <c r="G3531" s="25" t="n">
        <f aca="false">IF(AND(D3531=1,A3531&gt;=$R$2),F3531,"")</f>
        <v>-0.0285738527537574</v>
      </c>
      <c r="H3531" s="27" t="n">
        <f aca="false">IF(G3531="","",G3531^2)</f>
        <v>0.000816465061193408</v>
      </c>
      <c r="I3531" s="25" t="n">
        <f aca="false">IF(G3531="","",C3531/C3530-1)</f>
        <v>-0.0281694808642455</v>
      </c>
      <c r="J3531" s="17" t="n">
        <f aca="false">AVERAGE(C3332:C3531)</f>
        <v>63773.7365</v>
      </c>
      <c r="K3531" s="17" t="n">
        <f aca="false">MAX(K3530,C3531)</f>
        <v>73098.48</v>
      </c>
      <c r="L3531" s="25" t="n">
        <f aca="false">C3531/K3531-1</f>
        <v>-0.213736865663965</v>
      </c>
      <c r="M3531" s="25" t="n">
        <f aca="false">IF(COUNT(G3502:G3531)&lt;20,"",_xlfn.STDEV.S(G3502:G3531)*SQRT($R$3))</f>
        <v>0.673376811658161</v>
      </c>
      <c r="N3531" s="25" t="n">
        <f aca="false">IF(A3531-7&lt;$R$2,"",C3531/INDEX(Clean_Data!$C$2:$C$4314,MATCH(A3531-7,Clean_Data!$A$2:$A$4314,1))-1)</f>
        <v>-0.0323934317158419</v>
      </c>
      <c r="O3531" s="25" t="n">
        <f aca="false">IF(A3531-30&lt;$R$2,"",C3531/INDEX(Clean_Data!$C$2:$C$4314,MATCH(A3531-30,Clean_Data!$A$2:$A$4314,1))-1)</f>
        <v>-0.0121415821818273</v>
      </c>
    </row>
    <row r="3532" customFormat="false" ht="15" hidden="false" customHeight="false" outlineLevel="0" collapsed="false">
      <c r="A3532" s="16" t="n">
        <v>45539</v>
      </c>
      <c r="B3532" s="23" t="n">
        <f aca="false">YEAR(A3532)</f>
        <v>2024</v>
      </c>
      <c r="C3532" s="17" t="n">
        <v>57994.01</v>
      </c>
      <c r="D3532" s="23" t="n">
        <f aca="false">A3532-A3531</f>
        <v>1</v>
      </c>
      <c r="E3532" s="24" t="n">
        <f aca="false">LN(C3532)</f>
        <v>10.9680950083332</v>
      </c>
      <c r="F3532" s="25" t="n">
        <f aca="false">LN(C3532/C3531)</f>
        <v>0.00899592231426903</v>
      </c>
      <c r="G3532" s="25" t="n">
        <f aca="false">IF(AND(D3532=1,A3532&gt;=$R$2),F3532,"")</f>
        <v>0.00899592231426903</v>
      </c>
      <c r="H3532" s="27" t="n">
        <f aca="false">IF(G3532="","",G3532^2)</f>
        <v>8.09266182843634E-005</v>
      </c>
      <c r="I3532" s="25" t="n">
        <f aca="false">IF(G3532="","",C3532/C3531-1)</f>
        <v>0.00903650723171134</v>
      </c>
      <c r="J3532" s="17" t="n">
        <f aca="false">AVERAGE(C3333:C3532)</f>
        <v>63805.31805</v>
      </c>
      <c r="K3532" s="17" t="n">
        <f aca="false">MAX(K3531,C3532)</f>
        <v>73098.48</v>
      </c>
      <c r="L3532" s="25" t="n">
        <f aca="false">C3532/K3532-1</f>
        <v>-0.206631793164509</v>
      </c>
      <c r="M3532" s="25" t="n">
        <f aca="false">IF(COUNT(G3503:G3532)&lt;20,"",_xlfn.STDEV.S(G3503:G3532)*SQRT($R$3))</f>
        <v>0.619119290627143</v>
      </c>
      <c r="N3532" s="25" t="n">
        <f aca="false">IF(A3532-7&lt;$R$2,"",C3532/INDEX(Clean_Data!$C$2:$C$4314,MATCH(A3532-7,Clean_Data!$A$2:$A$4314,1))-1)</f>
        <v>-0.0174503591759284</v>
      </c>
      <c r="O3532" s="25" t="n">
        <f aca="false">IF(A3532-30&lt;$R$2,"",C3532/INDEX(Clean_Data!$C$2:$C$4314,MATCH(A3532-30,Clean_Data!$A$2:$A$4314,1))-1)</f>
        <v>0.073448290542129</v>
      </c>
    </row>
    <row r="3533" customFormat="false" ht="15" hidden="false" customHeight="false" outlineLevel="0" collapsed="false">
      <c r="A3533" s="16" t="n">
        <v>45540</v>
      </c>
      <c r="B3533" s="23" t="n">
        <f aca="false">YEAR(A3533)</f>
        <v>2024</v>
      </c>
      <c r="C3533" s="17" t="n">
        <v>56152.01</v>
      </c>
      <c r="D3533" s="23" t="n">
        <f aca="false">A3533-A3532</f>
        <v>1</v>
      </c>
      <c r="E3533" s="24" t="n">
        <f aca="false">LN(C3533)</f>
        <v>10.9358177564983</v>
      </c>
      <c r="F3533" s="25" t="n">
        <f aca="false">LN(C3533/C3532)</f>
        <v>-0.0322772518348801</v>
      </c>
      <c r="G3533" s="25" t="n">
        <f aca="false">IF(AND(D3533=1,A3533&gt;=$R$2),F3533,"")</f>
        <v>-0.0322772518348801</v>
      </c>
      <c r="H3533" s="27" t="n">
        <f aca="false">IF(G3533="","",G3533^2)</f>
        <v>0.00104182098601227</v>
      </c>
      <c r="I3533" s="25" t="n">
        <f aca="false">IF(G3533="","",C3533/C3532-1)</f>
        <v>-0.0317619009273544</v>
      </c>
      <c r="J3533" s="17" t="n">
        <f aca="false">AVERAGE(C3334:C3533)</f>
        <v>63825.2746</v>
      </c>
      <c r="K3533" s="17" t="n">
        <f aca="false">MAX(K3532,C3533)</f>
        <v>73098.48</v>
      </c>
      <c r="L3533" s="25" t="n">
        <f aca="false">C3533/K3533-1</f>
        <v>-0.231830675548931</v>
      </c>
      <c r="M3533" s="25" t="n">
        <f aca="false">IF(COUNT(G3504:G3533)&lt;20,"",_xlfn.STDEV.S(G3504:G3533)*SQRT($R$3))</f>
        <v>0.617024126991227</v>
      </c>
      <c r="N3533" s="25" t="n">
        <f aca="false">IF(A3533-7&lt;$R$2,"",C3533/INDEX(Clean_Data!$C$2:$C$4314,MATCH(A3533-7,Clean_Data!$A$2:$A$4314,1))-1)</f>
        <v>-0.0542225221053886</v>
      </c>
      <c r="O3533" s="25" t="n">
        <f aca="false">IF(A3533-30&lt;$R$2,"",C3533/INDEX(Clean_Data!$C$2:$C$4314,MATCH(A3533-30,Clean_Data!$A$2:$A$4314,1))-1)</f>
        <v>0.000982764103814704</v>
      </c>
    </row>
    <row r="3534" customFormat="false" ht="15" hidden="false" customHeight="false" outlineLevel="0" collapsed="false">
      <c r="A3534" s="16" t="n">
        <v>45541</v>
      </c>
      <c r="B3534" s="23" t="n">
        <f aca="false">YEAR(A3534)</f>
        <v>2024</v>
      </c>
      <c r="C3534" s="17" t="n">
        <v>53930.39</v>
      </c>
      <c r="D3534" s="23" t="n">
        <f aca="false">A3534-A3533</f>
        <v>1</v>
      </c>
      <c r="E3534" s="24" t="n">
        <f aca="false">LN(C3534)</f>
        <v>10.8954494199016</v>
      </c>
      <c r="F3534" s="25" t="n">
        <f aca="false">LN(C3534/C3533)</f>
        <v>-0.0403683365966495</v>
      </c>
      <c r="G3534" s="25" t="n">
        <f aca="false">IF(AND(D3534=1,A3534&gt;=$R$2),F3534,"")</f>
        <v>-0.0403683365966495</v>
      </c>
      <c r="H3534" s="27" t="n">
        <f aca="false">IF(G3534="","",G3534^2)</f>
        <v>0.00162960259958039</v>
      </c>
      <c r="I3534" s="25" t="n">
        <f aca="false">IF(G3534="","",C3534/C3533-1)</f>
        <v>-0.0395643895917529</v>
      </c>
      <c r="J3534" s="17" t="n">
        <f aca="false">AVERAGE(C3335:C3534)</f>
        <v>63836.09545</v>
      </c>
      <c r="K3534" s="17" t="n">
        <f aca="false">MAX(K3533,C3534)</f>
        <v>73098.48</v>
      </c>
      <c r="L3534" s="25" t="n">
        <f aca="false">C3534/K3534-1</f>
        <v>-0.262222825973946</v>
      </c>
      <c r="M3534" s="25" t="n">
        <f aca="false">IF(COUNT(G3505:G3534)&lt;20,"",_xlfn.STDEV.S(G3505:G3534)*SQRT($R$3))</f>
        <v>0.630077592826732</v>
      </c>
      <c r="N3534" s="25" t="n">
        <f aca="false">IF(A3534-7&lt;$R$2,"",C3534/INDEX(Clean_Data!$C$2:$C$4314,MATCH(A3534-7,Clean_Data!$A$2:$A$4314,1))-1)</f>
        <v>-0.0876862042167438</v>
      </c>
      <c r="O3534" s="25" t="n">
        <f aca="false">IF(A3534-30&lt;$R$2,"",C3534/INDEX(Clean_Data!$C$2:$C$4314,MATCH(A3534-30,Clean_Data!$A$2:$A$4314,1))-1)</f>
        <v>-0.0212444497357398</v>
      </c>
    </row>
    <row r="3535" customFormat="false" ht="15" hidden="false" customHeight="false" outlineLevel="0" collapsed="false">
      <c r="A3535" s="16" t="n">
        <v>45542</v>
      </c>
      <c r="B3535" s="23" t="n">
        <f aca="false">YEAR(A3535)</f>
        <v>2024</v>
      </c>
      <c r="C3535" s="17" t="n">
        <v>54178.64</v>
      </c>
      <c r="D3535" s="23" t="n">
        <f aca="false">A3535-A3534</f>
        <v>1</v>
      </c>
      <c r="E3535" s="24" t="n">
        <f aca="false">LN(C3535)</f>
        <v>10.9000420138106</v>
      </c>
      <c r="F3535" s="25" t="n">
        <f aca="false">LN(C3535/C3534)</f>
        <v>0.0045925939089254</v>
      </c>
      <c r="G3535" s="25" t="n">
        <f aca="false">IF(AND(D3535=1,A3535&gt;=$R$2),F3535,"")</f>
        <v>0.0045925939089254</v>
      </c>
      <c r="H3535" s="27" t="n">
        <f aca="false">IF(G3535="","",G3535^2)</f>
        <v>2.10919188122987E-005</v>
      </c>
      <c r="I3535" s="25" t="n">
        <f aca="false">IF(G3535="","",C3535/C3534-1)</f>
        <v>0.00460315603132111</v>
      </c>
      <c r="J3535" s="17" t="n">
        <f aca="false">AVERAGE(C3336:C3535)</f>
        <v>63845.56675</v>
      </c>
      <c r="K3535" s="17" t="n">
        <f aca="false">MAX(K3534,C3535)</f>
        <v>73098.48</v>
      </c>
      <c r="L3535" s="25" t="n">
        <f aca="false">C3535/K3535-1</f>
        <v>-0.258826722525557</v>
      </c>
      <c r="M3535" s="25" t="n">
        <f aca="false">IF(COUNT(G3506:G3535)&lt;20,"",_xlfn.STDEV.S(G3506:G3535)*SQRT($R$3))</f>
        <v>0.481625549628478</v>
      </c>
      <c r="N3535" s="25" t="n">
        <f aca="false">IF(A3535-7&lt;$R$2,"",C3535/INDEX(Clean_Data!$C$2:$C$4314,MATCH(A3535-7,Clean_Data!$A$2:$A$4314,1))-1)</f>
        <v>-0.0810407398537091</v>
      </c>
      <c r="O3535" s="25" t="n">
        <f aca="false">IF(A3535-30&lt;$R$2,"",C3535/INDEX(Clean_Data!$C$2:$C$4314,MATCH(A3535-30,Clean_Data!$A$2:$A$4314,1))-1)</f>
        <v>-0.121114243578806</v>
      </c>
    </row>
    <row r="3536" customFormat="false" ht="15" hidden="false" customHeight="false" outlineLevel="0" collapsed="false">
      <c r="A3536" s="16" t="n">
        <v>45543</v>
      </c>
      <c r="B3536" s="23" t="n">
        <f aca="false">YEAR(A3536)</f>
        <v>2024</v>
      </c>
      <c r="C3536" s="17" t="n">
        <v>57053.9</v>
      </c>
      <c r="D3536" s="23" t="n">
        <f aca="false">A3536-A3535</f>
        <v>1</v>
      </c>
      <c r="E3536" s="24" t="n">
        <f aca="false">LN(C3536)</f>
        <v>10.9517517140405</v>
      </c>
      <c r="F3536" s="25" t="n">
        <f aca="false">LN(C3536/C3535)</f>
        <v>0.0517097002299109</v>
      </c>
      <c r="G3536" s="25" t="n">
        <f aca="false">IF(AND(D3536=1,A3536&gt;=$R$2),F3536,"")</f>
        <v>0.0517097002299109</v>
      </c>
      <c r="H3536" s="27" t="n">
        <f aca="false">IF(G3536="","",G3536^2)</f>
        <v>0.00267389309786725</v>
      </c>
      <c r="I3536" s="25" t="n">
        <f aca="false">IF(G3536="","",C3536/C3535-1)</f>
        <v>0.0530699921592717</v>
      </c>
      <c r="J3536" s="17" t="n">
        <f aca="false">AVERAGE(C3337:C3536)</f>
        <v>63871.6663</v>
      </c>
      <c r="K3536" s="17" t="n">
        <f aca="false">MAX(K3535,C3536)</f>
        <v>73098.48</v>
      </c>
      <c r="L3536" s="25" t="n">
        <f aca="false">C3536/K3536-1</f>
        <v>-0.219492662501327</v>
      </c>
      <c r="M3536" s="25" t="n">
        <f aca="false">IF(COUNT(G3507:G3536)&lt;20,"",_xlfn.STDEV.S(G3507:G3536)*SQRT($R$3))</f>
        <v>0.518272185687821</v>
      </c>
      <c r="N3536" s="25" t="n">
        <f aca="false">IF(A3536-7&lt;$R$2,"",C3536/INDEX(Clean_Data!$C$2:$C$4314,MATCH(A3536-7,Clean_Data!$A$2:$A$4314,1))-1)</f>
        <v>-0.0051194917162023</v>
      </c>
      <c r="O3536" s="25" t="n">
        <f aca="false">IF(A3536-30&lt;$R$2,"",C3536/INDEX(Clean_Data!$C$2:$C$4314,MATCH(A3536-30,Clean_Data!$A$2:$A$4314,1))-1)</f>
        <v>-0.061901242464277</v>
      </c>
    </row>
    <row r="3537" customFormat="false" ht="15" hidden="false" customHeight="false" outlineLevel="0" collapsed="false">
      <c r="A3537" s="16" t="n">
        <v>45544</v>
      </c>
      <c r="B3537" s="23" t="n">
        <f aca="false">YEAR(A3537)</f>
        <v>2024</v>
      </c>
      <c r="C3537" s="17" t="n">
        <v>57645.59</v>
      </c>
      <c r="D3537" s="23" t="n">
        <f aca="false">A3537-A3536</f>
        <v>1</v>
      </c>
      <c r="E3537" s="24" t="n">
        <f aca="false">LN(C3537)</f>
        <v>10.9620690266741</v>
      </c>
      <c r="F3537" s="25" t="n">
        <f aca="false">LN(C3537/C3536)</f>
        <v>0.0103173126336164</v>
      </c>
      <c r="G3537" s="25" t="n">
        <f aca="false">IF(AND(D3537=1,A3537&gt;=$R$2),F3537,"")</f>
        <v>0.0103173126336164</v>
      </c>
      <c r="H3537" s="27" t="n">
        <f aca="false">IF(G3537="","",G3537^2)</f>
        <v>0.000106446939979781</v>
      </c>
      <c r="I3537" s="25" t="n">
        <f aca="false">IF(G3537="","",C3537/C3536-1)</f>
        <v>0.0103707196177649</v>
      </c>
      <c r="J3537" s="17" t="n">
        <f aca="false">AVERAGE(C3338:C3537)</f>
        <v>63903.5817</v>
      </c>
      <c r="K3537" s="17" t="n">
        <f aca="false">MAX(K3536,C3537)</f>
        <v>73098.48</v>
      </c>
      <c r="L3537" s="25" t="n">
        <f aca="false">C3537/K3537-1</f>
        <v>-0.21139823974452</v>
      </c>
      <c r="M3537" s="25" t="n">
        <f aca="false">IF(COUNT(G3508:G3537)&lt;20,"",_xlfn.STDEV.S(G3508:G3537)*SQRT($R$3))</f>
        <v>0.519913678737964</v>
      </c>
      <c r="N3537" s="25" t="n">
        <f aca="false">IF(A3537-7&lt;$R$2,"",C3537/INDEX(Clean_Data!$C$2:$C$4314,MATCH(A3537-7,Clean_Data!$A$2:$A$4314,1))-1)</f>
        <v>-0.0252789116106363</v>
      </c>
      <c r="O3537" s="25" t="n">
        <f aca="false">IF(A3537-30&lt;$R$2,"",C3537/INDEX(Clean_Data!$C$2:$C$4314,MATCH(A3537-30,Clean_Data!$A$2:$A$4314,1))-1)</f>
        <v>-0.054087368975335</v>
      </c>
    </row>
    <row r="3538" customFormat="false" ht="15" hidden="false" customHeight="false" outlineLevel="0" collapsed="false">
      <c r="A3538" s="16" t="n">
        <v>45545</v>
      </c>
      <c r="B3538" s="23" t="n">
        <f aca="false">YEAR(A3538)</f>
        <v>2024</v>
      </c>
      <c r="C3538" s="17" t="n">
        <v>57352.79</v>
      </c>
      <c r="D3538" s="23" t="n">
        <f aca="false">A3538-A3537</f>
        <v>1</v>
      </c>
      <c r="E3538" s="24" t="n">
        <f aca="false">LN(C3538)</f>
        <v>10.9569767700229</v>
      </c>
      <c r="F3538" s="25" t="n">
        <f aca="false">LN(C3538/C3537)</f>
        <v>-0.00509225665123317</v>
      </c>
      <c r="G3538" s="25" t="n">
        <f aca="false">IF(AND(D3538=1,A3538&gt;=$R$2),F3538,"")</f>
        <v>-0.00509225665123317</v>
      </c>
      <c r="H3538" s="27" t="n">
        <f aca="false">IF(G3538="","",G3538^2)</f>
        <v>2.59310778020285E-005</v>
      </c>
      <c r="I3538" s="25" t="n">
        <f aca="false">IF(G3538="","",C3538/C3537-1)</f>
        <v>-0.0050793130922937</v>
      </c>
      <c r="J3538" s="17" t="n">
        <f aca="false">AVERAGE(C3339:C3538)</f>
        <v>63936.5897</v>
      </c>
      <c r="K3538" s="17" t="n">
        <f aca="false">MAX(K3537,C3538)</f>
        <v>73098.48</v>
      </c>
      <c r="L3538" s="25" t="n">
        <f aca="false">C3538/K3538-1</f>
        <v>-0.215403794989992</v>
      </c>
      <c r="M3538" s="25" t="n">
        <f aca="false">IF(COUNT(G3509:G3538)&lt;20,"",_xlfn.STDEV.S(G3509:G3538)*SQRT($R$3))</f>
        <v>0.504521957902692</v>
      </c>
      <c r="N3538" s="25" t="n">
        <f aca="false">IF(A3538-7&lt;$R$2,"",C3538/INDEX(Clean_Data!$C$2:$C$4314,MATCH(A3538-7,Clean_Data!$A$2:$A$4314,1))-1)</f>
        <v>-0.00212006547583421</v>
      </c>
      <c r="O3538" s="25" t="n">
        <f aca="false">IF(A3538-30&lt;$R$2,"",C3538/INDEX(Clean_Data!$C$2:$C$4314,MATCH(A3538-30,Clean_Data!$A$2:$A$4314,1))-1)</f>
        <v>-0.0234989047885386</v>
      </c>
    </row>
    <row r="3539" customFormat="false" ht="15" hidden="false" customHeight="false" outlineLevel="0" collapsed="false">
      <c r="A3539" s="16" t="n">
        <v>45546</v>
      </c>
      <c r="B3539" s="23" t="n">
        <f aca="false">YEAR(A3539)</f>
        <v>2024</v>
      </c>
      <c r="C3539" s="17" t="n">
        <v>58137.54</v>
      </c>
      <c r="D3539" s="23" t="n">
        <f aca="false">A3539-A3538</f>
        <v>1</v>
      </c>
      <c r="E3539" s="24" t="n">
        <f aca="false">LN(C3539)</f>
        <v>10.9705668615562</v>
      </c>
      <c r="F3539" s="25" t="n">
        <f aca="false">LN(C3539/C3538)</f>
        <v>0.0135900915333384</v>
      </c>
      <c r="G3539" s="25" t="n">
        <f aca="false">IF(AND(D3539=1,A3539&gt;=$R$2),F3539,"")</f>
        <v>0.0135900915333384</v>
      </c>
      <c r="H3539" s="27" t="n">
        <f aca="false">IF(G3539="","",G3539^2)</f>
        <v>0.000184690587884516</v>
      </c>
      <c r="I3539" s="25" t="n">
        <f aca="false">IF(G3539="","",C3539/C3538-1)</f>
        <v>0.0136828565794271</v>
      </c>
      <c r="J3539" s="17" t="n">
        <f aca="false">AVERAGE(C3340:C3539)</f>
        <v>63969.5115</v>
      </c>
      <c r="K3539" s="17" t="n">
        <f aca="false">MAX(K3538,C3539)</f>
        <v>73098.48</v>
      </c>
      <c r="L3539" s="25" t="n">
        <f aca="false">C3539/K3539-1</f>
        <v>-0.204668277644077</v>
      </c>
      <c r="M3539" s="25" t="n">
        <f aca="false">IF(COUNT(G3510:G3539)&lt;20,"",_xlfn.STDEV.S(G3510:G3539)*SQRT($R$3))</f>
        <v>0.505576180740495</v>
      </c>
      <c r="N3539" s="25" t="n">
        <f aca="false">IF(A3539-7&lt;$R$2,"",C3539/INDEX(Clean_Data!$C$2:$C$4314,MATCH(A3539-7,Clean_Data!$A$2:$A$4314,1))-1)</f>
        <v>0.00247491077095718</v>
      </c>
      <c r="O3539" s="25" t="n">
        <f aca="false">IF(A3539-30&lt;$R$2,"",C3539/INDEX(Clean_Data!$C$2:$C$4314,MATCH(A3539-30,Clean_Data!$A$2:$A$4314,1))-1)</f>
        <v>-0.0202293946652318</v>
      </c>
    </row>
    <row r="3540" customFormat="false" ht="15" hidden="false" customHeight="false" outlineLevel="0" collapsed="false">
      <c r="A3540" s="16" t="n">
        <v>45547</v>
      </c>
      <c r="B3540" s="23" t="n">
        <f aca="false">YEAR(A3540)</f>
        <v>2024</v>
      </c>
      <c r="C3540" s="17" t="n">
        <v>60543.35</v>
      </c>
      <c r="D3540" s="23" t="n">
        <f aca="false">A3540-A3539</f>
        <v>1</v>
      </c>
      <c r="E3540" s="24" t="n">
        <f aca="false">LN(C3540)</f>
        <v>11.0111149163603</v>
      </c>
      <c r="F3540" s="25" t="n">
        <f aca="false">LN(C3540/C3539)</f>
        <v>0.0405480548040647</v>
      </c>
      <c r="G3540" s="25" t="n">
        <f aca="false">IF(AND(D3540=1,A3540&gt;=$R$2),F3540,"")</f>
        <v>0.0405480548040647</v>
      </c>
      <c r="H3540" s="27" t="n">
        <f aca="false">IF(G3540="","",G3540^2)</f>
        <v>0.00164414474839343</v>
      </c>
      <c r="I3540" s="25" t="n">
        <f aca="false">IF(G3540="","",C3540/C3539-1)</f>
        <v>0.0413813518769455</v>
      </c>
      <c r="J3540" s="17" t="n">
        <f aca="false">AVERAGE(C3341:C3540)</f>
        <v>64013.5785</v>
      </c>
      <c r="K3540" s="17" t="n">
        <f aca="false">MAX(K3539,C3540)</f>
        <v>73098.48</v>
      </c>
      <c r="L3540" s="25" t="n">
        <f aca="false">C3540/K3540-1</f>
        <v>-0.171756375782369</v>
      </c>
      <c r="M3540" s="25" t="n">
        <f aca="false">IF(COUNT(G3511:G3540)&lt;20,"",_xlfn.STDEV.S(G3511:G3540)*SQRT($R$3))</f>
        <v>0.520514585467906</v>
      </c>
      <c r="N3540" s="25" t="n">
        <f aca="false">IF(A3540-7&lt;$R$2,"",C3540/INDEX(Clean_Data!$C$2:$C$4314,MATCH(A3540-7,Clean_Data!$A$2:$A$4314,1))-1)</f>
        <v>0.078204502385578</v>
      </c>
      <c r="O3540" s="25" t="n">
        <f aca="false">IF(A3540-30&lt;$R$2,"",C3540/INDEX(Clean_Data!$C$2:$C$4314,MATCH(A3540-30,Clean_Data!$A$2:$A$4314,1))-1)</f>
        <v>-0.000869034116272704</v>
      </c>
    </row>
    <row r="3541" customFormat="false" ht="15" hidden="false" customHeight="false" outlineLevel="0" collapsed="false">
      <c r="A3541" s="16" t="n">
        <v>45548</v>
      </c>
      <c r="B3541" s="23" t="n">
        <f aca="false">YEAR(A3541)</f>
        <v>2024</v>
      </c>
      <c r="C3541" s="17" t="n">
        <v>60012.35</v>
      </c>
      <c r="D3541" s="23" t="n">
        <f aca="false">A3541-A3540</f>
        <v>1</v>
      </c>
      <c r="E3541" s="24" t="n">
        <f aca="false">LN(C3541)</f>
        <v>11.0023056533568</v>
      </c>
      <c r="F3541" s="25" t="n">
        <f aca="false">LN(C3541/C3540)</f>
        <v>-0.00880926300346452</v>
      </c>
      <c r="G3541" s="25" t="n">
        <f aca="false">IF(AND(D3541=1,A3541&gt;=$R$2),F3541,"")</f>
        <v>-0.00880926300346452</v>
      </c>
      <c r="H3541" s="27" t="n">
        <f aca="false">IF(G3541="","",G3541^2)</f>
        <v>7.76031146642088E-005</v>
      </c>
      <c r="I3541" s="25" t="n">
        <f aca="false">IF(G3541="","",C3541/C3540-1)</f>
        <v>-0.00877057513335489</v>
      </c>
      <c r="J3541" s="17" t="n">
        <f aca="false">AVERAGE(C3342:C3541)</f>
        <v>64040.84525</v>
      </c>
      <c r="K3541" s="17" t="n">
        <f aca="false">MAX(K3540,C3541)</f>
        <v>73098.48</v>
      </c>
      <c r="L3541" s="25" t="n">
        <f aca="false">C3541/K3541-1</f>
        <v>-0.179020548717292</v>
      </c>
      <c r="M3541" s="25" t="n">
        <f aca="false">IF(COUNT(G3512:G3541)&lt;20,"",_xlfn.STDEV.S(G3512:G3541)*SQRT($R$3))</f>
        <v>0.509970485541823</v>
      </c>
      <c r="N3541" s="25" t="n">
        <f aca="false">IF(A3541-7&lt;$R$2,"",C3541/INDEX(Clean_Data!$C$2:$C$4314,MATCH(A3541-7,Clean_Data!$A$2:$A$4314,1))-1)</f>
        <v>0.11277426326789</v>
      </c>
      <c r="O3541" s="25" t="n">
        <f aca="false">IF(A3541-30&lt;$R$2,"",C3541/INDEX(Clean_Data!$C$2:$C$4314,MATCH(A3541-30,Clean_Data!$A$2:$A$4314,1))-1)</f>
        <v>0.0209776230747898</v>
      </c>
    </row>
    <row r="3542" customFormat="false" ht="15" hidden="false" customHeight="false" outlineLevel="0" collapsed="false">
      <c r="A3542" s="16" t="n">
        <v>45549</v>
      </c>
      <c r="B3542" s="23" t="n">
        <f aca="false">YEAR(A3542)</f>
        <v>2024</v>
      </c>
      <c r="C3542" s="17" t="n">
        <v>59122.33</v>
      </c>
      <c r="D3542" s="23" t="n">
        <f aca="false">A3542-A3541</f>
        <v>1</v>
      </c>
      <c r="E3542" s="24" t="n">
        <f aca="false">LN(C3542)</f>
        <v>10.9873639662122</v>
      </c>
      <c r="F3542" s="25" t="n">
        <f aca="false">LN(C3542/C3541)</f>
        <v>-0.0149416871446093</v>
      </c>
      <c r="G3542" s="25" t="n">
        <f aca="false">IF(AND(D3542=1,A3542&gt;=$R$2),F3542,"")</f>
        <v>-0.0149416871446093</v>
      </c>
      <c r="H3542" s="27" t="n">
        <f aca="false">IF(G3542="","",G3542^2)</f>
        <v>0.000223254014727382</v>
      </c>
      <c r="I3542" s="25" t="n">
        <f aca="false">IF(G3542="","",C3542/C3541-1)</f>
        <v>-0.0148306140319451</v>
      </c>
      <c r="J3542" s="17" t="n">
        <f aca="false">AVERAGE(C3343:C3542)</f>
        <v>64051.13545</v>
      </c>
      <c r="K3542" s="17" t="n">
        <f aca="false">MAX(K3541,C3542)</f>
        <v>73098.48</v>
      </c>
      <c r="L3542" s="25" t="n">
        <f aca="false">C3542/K3542-1</f>
        <v>-0.191196178087424</v>
      </c>
      <c r="M3542" s="25" t="n">
        <f aca="false">IF(COUNT(G3513:G3542)&lt;20,"",_xlfn.STDEV.S(G3513:G3542)*SQRT($R$3))</f>
        <v>0.506620699623948</v>
      </c>
      <c r="N3542" s="25" t="n">
        <f aca="false">IF(A3542-7&lt;$R$2,"",C3542/INDEX(Clean_Data!$C$2:$C$4314,MATCH(A3542-7,Clean_Data!$A$2:$A$4314,1))-1)</f>
        <v>0.0912479530678512</v>
      </c>
      <c r="O3542" s="25" t="n">
        <f aca="false">IF(A3542-30&lt;$R$2,"",C3542/INDEX(Clean_Data!$C$2:$C$4314,MATCH(A3542-30,Clean_Data!$A$2:$A$4314,1))-1)</f>
        <v>0.0281733078502946</v>
      </c>
    </row>
    <row r="3543" customFormat="false" ht="15" hidden="false" customHeight="false" outlineLevel="0" collapsed="false">
      <c r="A3543" s="16" t="n">
        <v>45550</v>
      </c>
      <c r="B3543" s="23" t="n">
        <f aca="false">YEAR(A3543)</f>
        <v>2024</v>
      </c>
      <c r="C3543" s="17" t="n">
        <v>58208.75</v>
      </c>
      <c r="D3543" s="23" t="n">
        <f aca="false">A3543-A3542</f>
        <v>1</v>
      </c>
      <c r="E3543" s="24" t="n">
        <f aca="false">LN(C3543)</f>
        <v>10.9717909660617</v>
      </c>
      <c r="F3543" s="25" t="n">
        <f aca="false">LN(C3543/C3542)</f>
        <v>-0.0155730001505196</v>
      </c>
      <c r="G3543" s="25" t="n">
        <f aca="false">IF(AND(D3543=1,A3543&gt;=$R$2),F3543,"")</f>
        <v>-0.0155730001505196</v>
      </c>
      <c r="H3543" s="27" t="n">
        <f aca="false">IF(G3543="","",G3543^2)</f>
        <v>0.000242518333688084</v>
      </c>
      <c r="I3543" s="25" t="n">
        <f aca="false">IF(G3543="","",C3543/C3542-1)</f>
        <v>-0.0154523679969988</v>
      </c>
      <c r="J3543" s="17" t="n">
        <f aca="false">AVERAGE(C3344:C3543)</f>
        <v>64029.78225</v>
      </c>
      <c r="K3543" s="17" t="n">
        <f aca="false">MAX(K3542,C3543)</f>
        <v>73098.48</v>
      </c>
      <c r="L3543" s="25" t="n">
        <f aca="false">C3543/K3543-1</f>
        <v>-0.203694112380996</v>
      </c>
      <c r="M3543" s="25" t="n">
        <f aca="false">IF(COUNT(G3514:G3543)&lt;20,"",_xlfn.STDEV.S(G3514:G3543)*SQRT($R$3))</f>
        <v>0.502924400452347</v>
      </c>
      <c r="N3543" s="25" t="n">
        <f aca="false">IF(A3543-7&lt;$R$2,"",C3543/INDEX(Clean_Data!$C$2:$C$4314,MATCH(A3543-7,Clean_Data!$A$2:$A$4314,1))-1)</f>
        <v>0.0202413857773087</v>
      </c>
      <c r="O3543" s="25" t="n">
        <f aca="false">IF(A3543-30&lt;$R$2,"",C3543/INDEX(Clean_Data!$C$2:$C$4314,MATCH(A3543-30,Clean_Data!$A$2:$A$4314,1))-1)</f>
        <v>-0.011395604462793</v>
      </c>
    </row>
    <row r="3544" customFormat="false" ht="15" hidden="false" customHeight="false" outlineLevel="0" collapsed="false">
      <c r="A3544" s="16" t="n">
        <v>45551</v>
      </c>
      <c r="B3544" s="23" t="n">
        <f aca="false">YEAR(A3544)</f>
        <v>2024</v>
      </c>
      <c r="C3544" s="17" t="n">
        <v>60312.6</v>
      </c>
      <c r="D3544" s="23" t="n">
        <f aca="false">A3544-A3543</f>
        <v>1</v>
      </c>
      <c r="E3544" s="24" t="n">
        <f aca="false">LN(C3544)</f>
        <v>11.0072963161111</v>
      </c>
      <c r="F3544" s="25" t="n">
        <f aca="false">LN(C3544/C3543)</f>
        <v>0.0355053500493871</v>
      </c>
      <c r="G3544" s="25" t="n">
        <f aca="false">IF(AND(D3544=1,A3544&gt;=$R$2),F3544,"")</f>
        <v>0.0355053500493871</v>
      </c>
      <c r="H3544" s="27" t="n">
        <f aca="false">IF(G3544="","",G3544^2)</f>
        <v>0.00126062988212951</v>
      </c>
      <c r="I3544" s="25" t="n">
        <f aca="false">IF(G3544="","",C3544/C3543-1)</f>
        <v>0.0361431915304828</v>
      </c>
      <c r="J3544" s="17" t="n">
        <f aca="false">AVERAGE(C3345:C3544)</f>
        <v>64025.1446</v>
      </c>
      <c r="K3544" s="17" t="n">
        <f aca="false">MAX(K3543,C3544)</f>
        <v>73098.48</v>
      </c>
      <c r="L3544" s="25" t="n">
        <f aca="false">C3544/K3544-1</f>
        <v>-0.174913076167931</v>
      </c>
      <c r="M3544" s="25" t="n">
        <f aca="false">IF(COUNT(G3515:G3544)&lt;20,"",_xlfn.STDEV.S(G3515:G3544)*SQRT($R$3))</f>
        <v>0.5171945556223</v>
      </c>
      <c r="N3544" s="25" t="n">
        <f aca="false">IF(A3544-7&lt;$R$2,"",C3544/INDEX(Clean_Data!$C$2:$C$4314,MATCH(A3544-7,Clean_Data!$A$2:$A$4314,1))-1)</f>
        <v>0.0462656380132462</v>
      </c>
      <c r="O3544" s="25" t="n">
        <f aca="false">IF(A3544-30&lt;$R$2,"",C3544/INDEX(Clean_Data!$C$2:$C$4314,MATCH(A3544-30,Clean_Data!$A$2:$A$4314,1))-1)</f>
        <v>0.014046570825939</v>
      </c>
    </row>
    <row r="3545" customFormat="false" ht="15" hidden="false" customHeight="false" outlineLevel="0" collapsed="false">
      <c r="A3545" s="16" t="n">
        <v>45552</v>
      </c>
      <c r="B3545" s="23" t="n">
        <f aca="false">YEAR(A3545)</f>
        <v>2024</v>
      </c>
      <c r="C3545" s="17" t="n">
        <v>61769.18</v>
      </c>
      <c r="D3545" s="23" t="n">
        <f aca="false">A3545-A3544</f>
        <v>1</v>
      </c>
      <c r="E3545" s="24" t="n">
        <f aca="false">LN(C3545)</f>
        <v>11.0311598135492</v>
      </c>
      <c r="F3545" s="25" t="n">
        <f aca="false">LN(C3545/C3544)</f>
        <v>0.0238634974381608</v>
      </c>
      <c r="G3545" s="25" t="n">
        <f aca="false">IF(AND(D3545=1,A3545&gt;=$R$2),F3545,"")</f>
        <v>0.0238634974381608</v>
      </c>
      <c r="H3545" s="27" t="n">
        <f aca="false">IF(G3545="","",G3545^2)</f>
        <v>0.000569466509981106</v>
      </c>
      <c r="I3545" s="25" t="n">
        <f aca="false">IF(G3545="","",C3545/C3544-1)</f>
        <v>0.024150509180503</v>
      </c>
      <c r="J3545" s="17" t="n">
        <f aca="false">AVERAGE(C3346:C3545)</f>
        <v>64021.64815</v>
      </c>
      <c r="K3545" s="17" t="n">
        <f aca="false">MAX(K3544,C3545)</f>
        <v>73098.48</v>
      </c>
      <c r="L3545" s="25" t="n">
        <f aca="false">C3545/K3545-1</f>
        <v>-0.154986806839212</v>
      </c>
      <c r="M3545" s="25" t="n">
        <f aca="false">IF(COUNT(G3516:G3545)&lt;20,"",_xlfn.STDEV.S(G3516:G3545)*SQRT($R$3))</f>
        <v>0.519252926263912</v>
      </c>
      <c r="N3545" s="25" t="n">
        <f aca="false">IF(A3545-7&lt;$R$2,"",C3545/INDEX(Clean_Data!$C$2:$C$4314,MATCH(A3545-7,Clean_Data!$A$2:$A$4314,1))-1)</f>
        <v>0.0770039260513744</v>
      </c>
      <c r="O3545" s="25" t="n">
        <f aca="false">IF(A3545-30&lt;$R$2,"",C3545/INDEX(Clean_Data!$C$2:$C$4314,MATCH(A3545-30,Clean_Data!$A$2:$A$4314,1))-1)</f>
        <v>0.0568219127926424</v>
      </c>
    </row>
    <row r="3546" customFormat="false" ht="15" hidden="false" customHeight="false" outlineLevel="0" collapsed="false">
      <c r="A3546" s="16" t="n">
        <v>45553</v>
      </c>
      <c r="B3546" s="23" t="n">
        <f aca="false">YEAR(A3546)</f>
        <v>2024</v>
      </c>
      <c r="C3546" s="17" t="n">
        <v>62960.14</v>
      </c>
      <c r="D3546" s="23" t="n">
        <f aca="false">A3546-A3545</f>
        <v>1</v>
      </c>
      <c r="E3546" s="24" t="n">
        <f aca="false">LN(C3546)</f>
        <v>11.0502571067229</v>
      </c>
      <c r="F3546" s="25" t="n">
        <f aca="false">LN(C3546/C3545)</f>
        <v>0.0190972931736499</v>
      </c>
      <c r="G3546" s="25" t="n">
        <f aca="false">IF(AND(D3546=1,A3546&gt;=$R$2),F3546,"")</f>
        <v>0.0190972931736499</v>
      </c>
      <c r="H3546" s="27" t="n">
        <f aca="false">IF(G3546="","",G3546^2)</f>
        <v>0.000364706606560336</v>
      </c>
      <c r="I3546" s="25" t="n">
        <f aca="false">IF(G3546="","",C3546/C3545-1)</f>
        <v>0.0192808128584514</v>
      </c>
      <c r="J3546" s="17" t="n">
        <f aca="false">AVERAGE(C3347:C3546)</f>
        <v>64026.31855</v>
      </c>
      <c r="K3546" s="17" t="n">
        <f aca="false">MAX(K3545,C3546)</f>
        <v>73098.48</v>
      </c>
      <c r="L3546" s="25" t="n">
        <f aca="false">C3546/K3546-1</f>
        <v>-0.138694265598956</v>
      </c>
      <c r="M3546" s="25" t="n">
        <f aca="false">IF(COUNT(G3517:G3546)&lt;20,"",_xlfn.STDEV.S(G3517:G3546)*SQRT($R$3))</f>
        <v>0.51995421615301</v>
      </c>
      <c r="N3546" s="25" t="n">
        <f aca="false">IF(A3546-7&lt;$R$2,"",C3546/INDEX(Clean_Data!$C$2:$C$4314,MATCH(A3546-7,Clean_Data!$A$2:$A$4314,1))-1)</f>
        <v>0.0829515662341407</v>
      </c>
      <c r="O3546" s="25" t="n">
        <f aca="false">IF(A3546-30&lt;$R$2,"",C3546/INDEX(Clean_Data!$C$2:$C$4314,MATCH(A3546-30,Clean_Data!$A$2:$A$4314,1))-1)</f>
        <v>0.0586961284866816</v>
      </c>
    </row>
    <row r="3547" customFormat="false" ht="15" hidden="false" customHeight="false" outlineLevel="0" collapsed="false">
      <c r="A3547" s="16" t="n">
        <v>45554</v>
      </c>
      <c r="B3547" s="23" t="n">
        <f aca="false">YEAR(A3547)</f>
        <v>2024</v>
      </c>
      <c r="C3547" s="17" t="n">
        <v>63210.69</v>
      </c>
      <c r="D3547" s="23" t="n">
        <f aca="false">A3547-A3546</f>
        <v>1</v>
      </c>
      <c r="E3547" s="24" t="n">
        <f aca="false">LN(C3547)</f>
        <v>11.0542287114011</v>
      </c>
      <c r="F3547" s="25" t="n">
        <f aca="false">LN(C3547/C3546)</f>
        <v>0.00397160467820421</v>
      </c>
      <c r="G3547" s="25" t="n">
        <f aca="false">IF(AND(D3547=1,A3547&gt;=$R$2),F3547,"")</f>
        <v>0.00397160467820421</v>
      </c>
      <c r="H3547" s="27" t="n">
        <f aca="false">IF(G3547="","",G3547^2)</f>
        <v>1.57736437199336E-005</v>
      </c>
      <c r="I3547" s="25" t="n">
        <f aca="false">IF(G3547="","",C3547/C3546-1)</f>
        <v>0.00397950195155228</v>
      </c>
      <c r="J3547" s="17" t="n">
        <f aca="false">AVERAGE(C3348:C3547)</f>
        <v>64026.32595</v>
      </c>
      <c r="K3547" s="17" t="n">
        <f aca="false">MAX(K3546,C3547)</f>
        <v>73098.48</v>
      </c>
      <c r="L3547" s="25" t="n">
        <f aca="false">C3547/K3547-1</f>
        <v>-0.135266697748024</v>
      </c>
      <c r="M3547" s="25" t="n">
        <f aca="false">IF(COUNT(G3518:G3547)&lt;20,"",_xlfn.STDEV.S(G3518:G3547)*SQRT($R$3))</f>
        <v>0.519027192846697</v>
      </c>
      <c r="N3547" s="25" t="n">
        <f aca="false">IF(A3547-7&lt;$R$2,"",C3547/INDEX(Clean_Data!$C$2:$C$4314,MATCH(A3547-7,Clean_Data!$A$2:$A$4314,1))-1)</f>
        <v>0.0440566965653537</v>
      </c>
      <c r="O3547" s="25" t="n">
        <f aca="false">IF(A3547-30&lt;$R$2,"",C3547/INDEX(Clean_Data!$C$2:$C$4314,MATCH(A3547-30,Clean_Data!$A$2:$A$4314,1))-1)</f>
        <v>0.0702340859655597</v>
      </c>
    </row>
    <row r="3548" customFormat="false" ht="15" hidden="false" customHeight="false" outlineLevel="0" collapsed="false">
      <c r="A3548" s="16" t="n">
        <v>45555</v>
      </c>
      <c r="B3548" s="23" t="n">
        <f aca="false">YEAR(A3548)</f>
        <v>2024</v>
      </c>
      <c r="C3548" s="17" t="n">
        <v>63362.74</v>
      </c>
      <c r="D3548" s="23" t="n">
        <f aca="false">A3548-A3547</f>
        <v>1</v>
      </c>
      <c r="E3548" s="24" t="n">
        <f aca="false">LN(C3548)</f>
        <v>11.0566312705028</v>
      </c>
      <c r="F3548" s="25" t="n">
        <f aca="false">LN(C3548/C3547)</f>
        <v>0.00240255910169643</v>
      </c>
      <c r="G3548" s="25" t="n">
        <f aca="false">IF(AND(D3548=1,A3548&gt;=$R$2),F3548,"")</f>
        <v>0.00240255910169643</v>
      </c>
      <c r="H3548" s="27" t="n">
        <f aca="false">IF(G3548="","",G3548^2)</f>
        <v>5.77229023714437E-006</v>
      </c>
      <c r="I3548" s="25" t="n">
        <f aca="false">IF(G3548="","",C3548/C3547-1)</f>
        <v>0.00240544755958205</v>
      </c>
      <c r="J3548" s="17" t="n">
        <f aca="false">AVERAGE(C3349:C3548)</f>
        <v>64001.7516</v>
      </c>
      <c r="K3548" s="17" t="n">
        <f aca="false">MAX(K3547,C3548)</f>
        <v>73098.48</v>
      </c>
      <c r="L3548" s="25" t="n">
        <f aca="false">C3548/K3548-1</f>
        <v>-0.133186627136433</v>
      </c>
      <c r="M3548" s="25" t="n">
        <f aca="false">IF(COUNT(G3519:G3548)&lt;20,"",_xlfn.STDEV.S(G3519:G3548)*SQRT($R$3))</f>
        <v>0.505042493204814</v>
      </c>
      <c r="N3548" s="25" t="n">
        <f aca="false">IF(A3548-7&lt;$R$2,"",C3548/INDEX(Clean_Data!$C$2:$C$4314,MATCH(A3548-7,Clean_Data!$A$2:$A$4314,1))-1)</f>
        <v>0.0558283419996051</v>
      </c>
      <c r="O3548" s="25" t="n">
        <f aca="false">IF(A3548-30&lt;$R$2,"",C3548/INDEX(Clean_Data!$C$2:$C$4314,MATCH(A3548-30,Clean_Data!$A$2:$A$4314,1))-1)</f>
        <v>0.0354426023390904</v>
      </c>
    </row>
    <row r="3549" customFormat="false" ht="15" hidden="false" customHeight="false" outlineLevel="0" collapsed="false">
      <c r="A3549" s="16" t="n">
        <v>45556</v>
      </c>
      <c r="B3549" s="23" t="n">
        <f aca="false">YEAR(A3549)</f>
        <v>2024</v>
      </c>
      <c r="C3549" s="17" t="n">
        <v>63577.66</v>
      </c>
      <c r="D3549" s="23" t="n">
        <f aca="false">A3549-A3548</f>
        <v>1</v>
      </c>
      <c r="E3549" s="24" t="n">
        <f aca="false">LN(C3549)</f>
        <v>11.0600174297611</v>
      </c>
      <c r="F3549" s="25" t="n">
        <f aca="false">LN(C3549/C3548)</f>
        <v>0.00338615925831907</v>
      </c>
      <c r="G3549" s="25" t="n">
        <f aca="false">IF(AND(D3549=1,A3549&gt;=$R$2),F3549,"")</f>
        <v>0.00338615925831907</v>
      </c>
      <c r="H3549" s="27" t="n">
        <f aca="false">IF(G3549="","",G3549^2)</f>
        <v>1.14660745226999E-005</v>
      </c>
      <c r="I3549" s="25" t="n">
        <f aca="false">IF(G3549="","",C3549/C3548-1)</f>
        <v>0.00339189877205448</v>
      </c>
      <c r="J3549" s="17" t="n">
        <f aca="false">AVERAGE(C3350:C3549)</f>
        <v>64000.17135</v>
      </c>
      <c r="K3549" s="17" t="n">
        <f aca="false">MAX(K3548,C3549)</f>
        <v>73098.48</v>
      </c>
      <c r="L3549" s="25" t="n">
        <f aca="false">C3549/K3549-1</f>
        <v>-0.130246483921417</v>
      </c>
      <c r="M3549" s="25" t="n">
        <f aca="false">IF(COUNT(G3520:G3549)&lt;20,"",_xlfn.STDEV.S(G3520:G3549)*SQRT($R$3))</f>
        <v>0.502333981193365</v>
      </c>
      <c r="N3549" s="25" t="n">
        <f aca="false">IF(A3549-7&lt;$R$2,"",C3549/INDEX(Clean_Data!$C$2:$C$4314,MATCH(A3549-7,Clean_Data!$A$2:$A$4314,1))-1)</f>
        <v>0.0753578216555404</v>
      </c>
      <c r="O3549" s="25" t="n">
        <f aca="false">IF(A3549-30&lt;$R$2,"",C3549/INDEX(Clean_Data!$C$2:$C$4314,MATCH(A3549-30,Clean_Data!$A$2:$A$4314,1))-1)</f>
        <v>0.0529815978151236</v>
      </c>
    </row>
    <row r="3550" customFormat="false" ht="15" hidden="false" customHeight="false" outlineLevel="0" collapsed="false">
      <c r="A3550" s="16" t="n">
        <v>45557</v>
      </c>
      <c r="B3550" s="23" t="n">
        <f aca="false">YEAR(A3550)</f>
        <v>2024</v>
      </c>
      <c r="C3550" s="17" t="n">
        <v>63338.87</v>
      </c>
      <c r="D3550" s="23" t="n">
        <f aca="false">A3550-A3549</f>
        <v>1</v>
      </c>
      <c r="E3550" s="24" t="n">
        <f aca="false">LN(C3550)</f>
        <v>11.0562544797061</v>
      </c>
      <c r="F3550" s="25" t="n">
        <f aca="false">LN(C3550/C3549)</f>
        <v>-0.00376295005493795</v>
      </c>
      <c r="G3550" s="25" t="n">
        <f aca="false">IF(AND(D3550=1,A3550&gt;=$R$2),F3550,"")</f>
        <v>-0.00376295005493795</v>
      </c>
      <c r="H3550" s="27" t="n">
        <f aca="false">IF(G3550="","",G3550^2)</f>
        <v>1.41597931159575E-005</v>
      </c>
      <c r="I3550" s="25" t="n">
        <f aca="false">IF(G3550="","",C3550/C3549-1)</f>
        <v>-0.00375587903046448</v>
      </c>
      <c r="J3550" s="17" t="n">
        <f aca="false">AVERAGE(C3351:C3550)</f>
        <v>63986.40215</v>
      </c>
      <c r="K3550" s="17" t="n">
        <f aca="false">MAX(K3549,C3550)</f>
        <v>73098.48</v>
      </c>
      <c r="L3550" s="25" t="n">
        <f aca="false">C3550/K3550-1</f>
        <v>-0.133513172914129</v>
      </c>
      <c r="M3550" s="25" t="n">
        <f aca="false">IF(COUNT(G3521:G3550)&lt;20,"",_xlfn.STDEV.S(G3521:G3550)*SQRT($R$3))</f>
        <v>0.455875493365564</v>
      </c>
      <c r="N3550" s="25" t="n">
        <f aca="false">IF(A3550-7&lt;$R$2,"",C3550/INDEX(Clean_Data!$C$2:$C$4314,MATCH(A3550-7,Clean_Data!$A$2:$A$4314,1))-1)</f>
        <v>0.0881331414950501</v>
      </c>
      <c r="O3550" s="25" t="n">
        <f aca="false">IF(A3550-30&lt;$R$2,"",C3550/INDEX(Clean_Data!$C$2:$C$4314,MATCH(A3550-30,Clean_Data!$A$2:$A$4314,1))-1)</f>
        <v>-0.0123497466976512</v>
      </c>
    </row>
    <row r="3551" customFormat="false" ht="15" hidden="false" customHeight="false" outlineLevel="0" collapsed="false">
      <c r="A3551" s="16" t="n">
        <v>45558</v>
      </c>
      <c r="B3551" s="23" t="n">
        <f aca="false">YEAR(A3551)</f>
        <v>2024</v>
      </c>
      <c r="C3551" s="17" t="n">
        <v>64272.93</v>
      </c>
      <c r="D3551" s="23" t="n">
        <f aca="false">A3551-A3550</f>
        <v>1</v>
      </c>
      <c r="E3551" s="24" t="n">
        <f aca="false">LN(C3551)</f>
        <v>11.0708938262479</v>
      </c>
      <c r="F3551" s="25" t="n">
        <f aca="false">LN(C3551/C3550)</f>
        <v>0.0146393465417774</v>
      </c>
      <c r="G3551" s="25" t="n">
        <f aca="false">IF(AND(D3551=1,A3551&gt;=$R$2),F3551,"")</f>
        <v>0.0146393465417774</v>
      </c>
      <c r="H3551" s="27" t="n">
        <f aca="false">IF(G3551="","",G3551^2)</f>
        <v>0.000214310467170249</v>
      </c>
      <c r="I3551" s="25" t="n">
        <f aca="false">IF(G3551="","",C3551/C3550-1)</f>
        <v>0.014747026588886</v>
      </c>
      <c r="J3551" s="17" t="n">
        <f aca="false">AVERAGE(C3352:C3551)</f>
        <v>63973.19285</v>
      </c>
      <c r="K3551" s="17" t="n">
        <f aca="false">MAX(K3550,C3551)</f>
        <v>73098.48</v>
      </c>
      <c r="L3551" s="25" t="n">
        <f aca="false">C3551/K3551-1</f>
        <v>-0.120735068636174</v>
      </c>
      <c r="M3551" s="25" t="n">
        <f aca="false">IF(COUNT(G3522:G3551)&lt;20,"",_xlfn.STDEV.S(G3522:G3551)*SQRT($R$3))</f>
        <v>0.458891087697452</v>
      </c>
      <c r="N3551" s="25" t="n">
        <f aca="false">IF(A3551-7&lt;$R$2,"",C3551/INDEX(Clean_Data!$C$2:$C$4314,MATCH(A3551-7,Clean_Data!$A$2:$A$4314,1))-1)</f>
        <v>0.0656633937187254</v>
      </c>
      <c r="O3551" s="25" t="n">
        <f aca="false">IF(A3551-30&lt;$R$2,"",C3551/INDEX(Clean_Data!$C$2:$C$4314,MATCH(A3551-30,Clean_Data!$A$2:$A$4314,1))-1)</f>
        <v>0.00179338871443213</v>
      </c>
    </row>
    <row r="3552" customFormat="false" ht="15" hidden="false" customHeight="false" outlineLevel="0" collapsed="false">
      <c r="A3552" s="16" t="n">
        <v>45559</v>
      </c>
      <c r="B3552" s="23" t="n">
        <f aca="false">YEAR(A3552)</f>
        <v>2024</v>
      </c>
      <c r="C3552" s="17" t="n">
        <v>63130.89</v>
      </c>
      <c r="D3552" s="23" t="n">
        <f aca="false">A3552-A3551</f>
        <v>1</v>
      </c>
      <c r="E3552" s="24" t="n">
        <f aca="false">LN(C3552)</f>
        <v>11.0529654691555</v>
      </c>
      <c r="F3552" s="25" t="n">
        <f aca="false">LN(C3552/C3551)</f>
        <v>-0.0179283570923919</v>
      </c>
      <c r="G3552" s="25" t="n">
        <f aca="false">IF(AND(D3552=1,A3552&gt;=$R$2),F3552,"")</f>
        <v>-0.0179283570923919</v>
      </c>
      <c r="H3552" s="27" t="n">
        <f aca="false">IF(G3552="","",G3552^2)</f>
        <v>0.000321425988032318</v>
      </c>
      <c r="I3552" s="25" t="n">
        <f aca="false">IF(G3552="","",C3552/C3551-1)</f>
        <v>-0.0177686002489695</v>
      </c>
      <c r="J3552" s="17" t="n">
        <f aca="false">AVERAGE(C3353:C3552)</f>
        <v>63947.2788</v>
      </c>
      <c r="K3552" s="17" t="n">
        <f aca="false">MAX(K3551,C3552)</f>
        <v>73098.48</v>
      </c>
      <c r="L3552" s="25" t="n">
        <f aca="false">C3552/K3552-1</f>
        <v>-0.136358375714515</v>
      </c>
      <c r="M3552" s="25" t="n">
        <f aca="false">IF(COUNT(G3523:G3552)&lt;20,"",_xlfn.STDEV.S(G3523:G3552)*SQRT($R$3))</f>
        <v>0.463075551372002</v>
      </c>
      <c r="N3552" s="25" t="n">
        <f aca="false">IF(A3552-7&lt;$R$2,"",C3552/INDEX(Clean_Data!$C$2:$C$4314,MATCH(A3552-7,Clean_Data!$A$2:$A$4314,1))-1)</f>
        <v>0.0220451364256413</v>
      </c>
      <c r="O3552" s="25" t="n">
        <f aca="false">IF(A3552-30&lt;$R$2,"",C3552/INDEX(Clean_Data!$C$2:$C$4314,MATCH(A3552-30,Clean_Data!$A$2:$A$4314,1))-1)</f>
        <v>-0.0179820461089274</v>
      </c>
    </row>
    <row r="3553" customFormat="false" ht="15" hidden="false" customHeight="false" outlineLevel="0" collapsed="false">
      <c r="A3553" s="16" t="n">
        <v>45560</v>
      </c>
      <c r="B3553" s="23" t="n">
        <f aca="false">YEAR(A3553)</f>
        <v>2024</v>
      </c>
      <c r="C3553" s="17" t="n">
        <v>65177.21</v>
      </c>
      <c r="D3553" s="23" t="n">
        <f aca="false">A3553-A3552</f>
        <v>1</v>
      </c>
      <c r="E3553" s="24" t="n">
        <f aca="false">LN(C3553)</f>
        <v>11.0848651469341</v>
      </c>
      <c r="F3553" s="25" t="n">
        <f aca="false">LN(C3553/C3552)</f>
        <v>0.0318996777786086</v>
      </c>
      <c r="G3553" s="25" t="n">
        <f aca="false">IF(AND(D3553=1,A3553&gt;=$R$2),F3553,"")</f>
        <v>0.0318996777786086</v>
      </c>
      <c r="H3553" s="27" t="n">
        <f aca="false">IF(G3553="","",G3553^2)</f>
        <v>0.00101758944237906</v>
      </c>
      <c r="I3553" s="25" t="n">
        <f aca="false">IF(G3553="","",C3553/C3552-1)</f>
        <v>0.0324139260510981</v>
      </c>
      <c r="J3553" s="17" t="n">
        <f aca="false">AVERAGE(C3354:C3553)</f>
        <v>63930.6486</v>
      </c>
      <c r="K3553" s="17" t="n">
        <f aca="false">MAX(K3552,C3553)</f>
        <v>73098.48</v>
      </c>
      <c r="L3553" s="25" t="n">
        <f aca="false">C3553/K3553-1</f>
        <v>-0.108364359970276</v>
      </c>
      <c r="M3553" s="25" t="n">
        <f aca="false">IF(COUNT(G3524:G3553)&lt;20,"",_xlfn.STDEV.S(G3524:G3553)*SQRT($R$3))</f>
        <v>0.46934962479716</v>
      </c>
      <c r="N3553" s="25" t="n">
        <f aca="false">IF(A3553-7&lt;$R$2,"",C3553/INDEX(Clean_Data!$C$2:$C$4314,MATCH(A3553-7,Clean_Data!$A$2:$A$4314,1))-1)</f>
        <v>0.0352138670593807</v>
      </c>
      <c r="O3553" s="25" t="n">
        <f aca="false">IF(A3553-30&lt;$R$2,"",C3553/INDEX(Clean_Data!$C$2:$C$4314,MATCH(A3553-30,Clean_Data!$A$2:$A$4314,1))-1)</f>
        <v>0.0372169631539874</v>
      </c>
    </row>
    <row r="3554" customFormat="false" ht="15" hidden="false" customHeight="false" outlineLevel="0" collapsed="false">
      <c r="A3554" s="16" t="n">
        <v>45561</v>
      </c>
      <c r="B3554" s="23" t="n">
        <f aca="false">YEAR(A3554)</f>
        <v>2024</v>
      </c>
      <c r="C3554" s="17" t="n">
        <v>65789</v>
      </c>
      <c r="D3554" s="23" t="n">
        <f aca="false">A3554-A3553</f>
        <v>1</v>
      </c>
      <c r="E3554" s="24" t="n">
        <f aca="false">LN(C3554)</f>
        <v>11.0942079300861</v>
      </c>
      <c r="F3554" s="25" t="n">
        <f aca="false">LN(C3554/C3553)</f>
        <v>0.00934278315198165</v>
      </c>
      <c r="G3554" s="25" t="n">
        <f aca="false">IF(AND(D3554=1,A3554&gt;=$R$2),F3554,"")</f>
        <v>0.00934278315198165</v>
      </c>
      <c r="H3554" s="27" t="n">
        <f aca="false">IF(G3554="","",G3554^2)</f>
        <v>8.72875970249522E-005</v>
      </c>
      <c r="I3554" s="25" t="n">
        <f aca="false">IF(G3554="","",C3554/C3553-1)</f>
        <v>0.00938656318673359</v>
      </c>
      <c r="J3554" s="17" t="n">
        <f aca="false">AVERAGE(C3355:C3554)</f>
        <v>63914.6042</v>
      </c>
      <c r="K3554" s="17" t="n">
        <f aca="false">MAX(K3553,C3554)</f>
        <v>73098.48</v>
      </c>
      <c r="L3554" s="25" t="n">
        <f aca="false">C3554/K3554-1</f>
        <v>-0.0999949656955931</v>
      </c>
      <c r="M3554" s="25" t="n">
        <f aca="false">IF(COUNT(G3525:G3554)&lt;20,"",_xlfn.STDEV.S(G3525:G3554)*SQRT($R$3))</f>
        <v>0.421521105137891</v>
      </c>
      <c r="N3554" s="25" t="n">
        <f aca="false">IF(A3554-7&lt;$R$2,"",C3554/INDEX(Clean_Data!$C$2:$C$4314,MATCH(A3554-7,Clean_Data!$A$2:$A$4314,1))-1)</f>
        <v>0.0407891450006319</v>
      </c>
      <c r="O3554" s="25" t="n">
        <f aca="false">IF(A3554-30&lt;$R$2,"",C3554/INDEX(Clean_Data!$C$2:$C$4314,MATCH(A3554-30,Clean_Data!$A$2:$A$4314,1))-1)</f>
        <v>0.107581857334756</v>
      </c>
    </row>
    <row r="3555" customFormat="false" ht="15" hidden="false" customHeight="false" outlineLevel="0" collapsed="false">
      <c r="A3555" s="16" t="n">
        <v>45562</v>
      </c>
      <c r="B3555" s="23" t="n">
        <f aca="false">YEAR(A3555)</f>
        <v>2024</v>
      </c>
      <c r="C3555" s="17" t="n">
        <v>65858.99</v>
      </c>
      <c r="D3555" s="23" t="n">
        <f aca="false">A3555-A3554</f>
        <v>1</v>
      </c>
      <c r="E3555" s="24" t="n">
        <f aca="false">LN(C3555)</f>
        <v>11.0952712202525</v>
      </c>
      <c r="F3555" s="25" t="n">
        <f aca="false">LN(C3555/C3554)</f>
        <v>0.00106329016636182</v>
      </c>
      <c r="G3555" s="25" t="n">
        <f aca="false">IF(AND(D3555=1,A3555&gt;=$R$2),F3555,"")</f>
        <v>0.00106329016636182</v>
      </c>
      <c r="H3555" s="27" t="n">
        <f aca="false">IF(G3555="","",G3555^2)</f>
        <v>1.13058597788175E-006</v>
      </c>
      <c r="I3555" s="25" t="n">
        <f aca="false">IF(G3555="","",C3555/C3554-1)</f>
        <v>0.00106385565976086</v>
      </c>
      <c r="J3555" s="17" t="n">
        <f aca="false">AVERAGE(C3356:C3555)</f>
        <v>63882.8882</v>
      </c>
      <c r="K3555" s="17" t="n">
        <f aca="false">MAX(K3554,C3555)</f>
        <v>73098.48</v>
      </c>
      <c r="L3555" s="25" t="n">
        <f aca="false">C3555/K3555-1</f>
        <v>-0.0990374902460351</v>
      </c>
      <c r="M3555" s="25" t="n">
        <f aca="false">IF(COUNT(G3526:G3555)&lt;20,"",_xlfn.STDEV.S(G3526:G3555)*SQRT($R$3))</f>
        <v>0.42015866685862</v>
      </c>
      <c r="N3555" s="25" t="n">
        <f aca="false">IF(A3555-7&lt;$R$2,"",C3555/INDEX(Clean_Data!$C$2:$C$4314,MATCH(A3555-7,Clean_Data!$A$2:$A$4314,1))-1)</f>
        <v>0.0393961814151347</v>
      </c>
      <c r="O3555" s="25" t="n">
        <f aca="false">IF(A3555-30&lt;$R$2,"",C3555/INDEX(Clean_Data!$C$2:$C$4314,MATCH(A3555-30,Clean_Data!$A$2:$A$4314,1))-1)</f>
        <v>0.115800182976416</v>
      </c>
    </row>
    <row r="3556" customFormat="false" ht="15" hidden="false" customHeight="false" outlineLevel="0" collapsed="false">
      <c r="A3556" s="16" t="n">
        <v>45563</v>
      </c>
      <c r="B3556" s="23" t="n">
        <f aca="false">YEAR(A3556)</f>
        <v>2024</v>
      </c>
      <c r="C3556" s="17" t="n">
        <v>65600.01</v>
      </c>
      <c r="D3556" s="23" t="n">
        <f aca="false">A3556-A3555</f>
        <v>1</v>
      </c>
      <c r="E3556" s="24" t="n">
        <f aca="false">LN(C3556)</f>
        <v>11.0913311273712</v>
      </c>
      <c r="F3556" s="25" t="n">
        <f aca="false">LN(C3556/C3555)</f>
        <v>-0.00394009288129202</v>
      </c>
      <c r="G3556" s="25" t="n">
        <f aca="false">IF(AND(D3556=1,A3556&gt;=$R$2),F3556,"")</f>
        <v>-0.00394009288129202</v>
      </c>
      <c r="H3556" s="27" t="n">
        <f aca="false">IF(G3556="","",G3556^2)</f>
        <v>1.5524331913208E-005</v>
      </c>
      <c r="I3556" s="25" t="n">
        <f aca="false">IF(G3556="","",C3556/C3555-1)</f>
        <v>-0.00393234089985306</v>
      </c>
      <c r="J3556" s="17" t="n">
        <f aca="false">AVERAGE(C3357:C3556)</f>
        <v>63853.53015</v>
      </c>
      <c r="K3556" s="17" t="n">
        <f aca="false">MAX(K3555,C3556)</f>
        <v>73098.48</v>
      </c>
      <c r="L3556" s="25" t="n">
        <f aca="false">C3556/K3556-1</f>
        <v>-0.102580381972375</v>
      </c>
      <c r="M3556" s="25" t="n">
        <f aca="false">IF(COUNT(G3527:G3556)&lt;20,"",_xlfn.STDEV.S(G3527:G3556)*SQRT($R$3))</f>
        <v>0.420900003500758</v>
      </c>
      <c r="N3556" s="25" t="n">
        <f aca="false">IF(A3556-7&lt;$R$2,"",C3556/INDEX(Clean_Data!$C$2:$C$4314,MATCH(A3556-7,Clean_Data!$A$2:$A$4314,1))-1)</f>
        <v>0.0318091291815394</v>
      </c>
      <c r="O3556" s="25" t="n">
        <f aca="false">IF(A3556-30&lt;$R$2,"",C3556/INDEX(Clean_Data!$C$2:$C$4314,MATCH(A3556-30,Clean_Data!$A$2:$A$4314,1))-1)</f>
        <v>0.104911685399352</v>
      </c>
    </row>
    <row r="3557" customFormat="false" ht="15" hidden="false" customHeight="false" outlineLevel="0" collapsed="false">
      <c r="A3557" s="16" t="n">
        <v>45564</v>
      </c>
      <c r="B3557" s="23" t="n">
        <f aca="false">YEAR(A3557)</f>
        <v>2024</v>
      </c>
      <c r="C3557" s="17" t="n">
        <v>63301.25</v>
      </c>
      <c r="D3557" s="23" t="n">
        <f aca="false">A3557-A3556</f>
        <v>1</v>
      </c>
      <c r="E3557" s="24" t="n">
        <f aca="false">LN(C3557)</f>
        <v>11.0556603551727</v>
      </c>
      <c r="F3557" s="25" t="n">
        <f aca="false">LN(C3557/C3556)</f>
        <v>-0.0356707721985126</v>
      </c>
      <c r="G3557" s="25" t="n">
        <f aca="false">IF(AND(D3557=1,A3557&gt;=$R$2),F3557,"")</f>
        <v>-0.0356707721985126</v>
      </c>
      <c r="H3557" s="27" t="n">
        <f aca="false">IF(G3557="","",G3557^2)</f>
        <v>0.00127240398923818</v>
      </c>
      <c r="I3557" s="25" t="n">
        <f aca="false">IF(G3557="","",C3557/C3556-1)</f>
        <v>-0.035042067828953</v>
      </c>
      <c r="J3557" s="17" t="n">
        <f aca="false">AVERAGE(C3358:C3557)</f>
        <v>63804.544</v>
      </c>
      <c r="K3557" s="17" t="n">
        <f aca="false">MAX(K3556,C3557)</f>
        <v>73098.48</v>
      </c>
      <c r="L3557" s="25" t="n">
        <f aca="false">C3557/K3557-1</f>
        <v>-0.134027821098332</v>
      </c>
      <c r="M3557" s="25" t="n">
        <f aca="false">IF(COUNT(G3528:G3557)&lt;20,"",_xlfn.STDEV.S(G3528:G3557)*SQRT($R$3))</f>
        <v>0.441751689330578</v>
      </c>
      <c r="N3557" s="25" t="n">
        <f aca="false">IF(A3557-7&lt;$R$2,"",C3557/INDEX(Clean_Data!$C$2:$C$4314,MATCH(A3557-7,Clean_Data!$A$2:$A$4314,1))-1)</f>
        <v>-0.000593948076433981</v>
      </c>
      <c r="O3557" s="25" t="n">
        <f aca="false">IF(A3557-30&lt;$R$2,"",C3557/INDEX(Clean_Data!$C$2:$C$4314,MATCH(A3557-30,Clean_Data!$A$2:$A$4314,1))-1)</f>
        <v>0.0708360103704953</v>
      </c>
    </row>
    <row r="3558" customFormat="false" ht="15" hidden="false" customHeight="false" outlineLevel="0" collapsed="false">
      <c r="A3558" s="16" t="n">
        <v>45565</v>
      </c>
      <c r="B3558" s="23" t="n">
        <f aca="false">YEAR(A3558)</f>
        <v>2024</v>
      </c>
      <c r="C3558" s="17" t="n">
        <v>60790</v>
      </c>
      <c r="D3558" s="23" t="n">
        <f aca="false">A3558-A3557</f>
        <v>1</v>
      </c>
      <c r="E3558" s="24" t="n">
        <f aca="false">LN(C3558)</f>
        <v>11.0151805807428</v>
      </c>
      <c r="F3558" s="25" t="n">
        <f aca="false">LN(C3558/C3557)</f>
        <v>-0.0404797744299124</v>
      </c>
      <c r="G3558" s="25" t="n">
        <f aca="false">IF(AND(D3558=1,A3558&gt;=$R$2),F3558,"")</f>
        <v>-0.0404797744299124</v>
      </c>
      <c r="H3558" s="27" t="n">
        <f aca="false">IF(G3558="","",G3558^2)</f>
        <v>0.00163861213789659</v>
      </c>
      <c r="I3558" s="25" t="n">
        <f aca="false">IF(G3558="","",C3558/C3557-1)</f>
        <v>-0.0396714124918545</v>
      </c>
      <c r="J3558" s="17" t="n">
        <f aca="false">AVERAGE(C3359:C3558)</f>
        <v>63751.21125</v>
      </c>
      <c r="K3558" s="17" t="n">
        <f aca="false">MAX(K3557,C3558)</f>
        <v>73098.48</v>
      </c>
      <c r="L3558" s="25" t="n">
        <f aca="false">C3558/K3558-1</f>
        <v>-0.16838216061401</v>
      </c>
      <c r="M3558" s="25" t="n">
        <f aca="false">IF(COUNT(G3529:G3558)&lt;20,"",_xlfn.STDEV.S(G3529:G3558)*SQRT($R$3))</f>
        <v>0.466101598059621</v>
      </c>
      <c r="N3558" s="25" t="n">
        <f aca="false">IF(A3558-7&lt;$R$2,"",C3558/INDEX(Clean_Data!$C$2:$C$4314,MATCH(A3558-7,Clean_Data!$A$2:$A$4314,1))-1)</f>
        <v>-0.0541896876336585</v>
      </c>
      <c r="O3558" s="25" t="n">
        <f aca="false">IF(A3558-30&lt;$R$2,"",C3558/INDEX(Clean_Data!$C$2:$C$4314,MATCH(A3558-30,Clean_Data!$A$2:$A$4314,1))-1)</f>
        <v>0.0310988504748924</v>
      </c>
    </row>
    <row r="3559" customFormat="false" ht="15" hidden="false" customHeight="false" outlineLevel="0" collapsed="false">
      <c r="A3559" s="16" t="n">
        <v>45566</v>
      </c>
      <c r="B3559" s="23" t="n">
        <f aca="false">YEAR(A3559)</f>
        <v>2024</v>
      </c>
      <c r="C3559" s="17" t="n">
        <v>60631.37</v>
      </c>
      <c r="D3559" s="23" t="n">
        <f aca="false">A3559-A3558</f>
        <v>1</v>
      </c>
      <c r="E3559" s="24" t="n">
        <f aca="false">LN(C3559)</f>
        <v>11.012567694885</v>
      </c>
      <c r="F3559" s="25" t="n">
        <f aca="false">LN(C3559/C3558)</f>
        <v>-0.00261288585772864</v>
      </c>
      <c r="G3559" s="25" t="n">
        <f aca="false">IF(AND(D3559=1,A3559&gt;=$R$2),F3559,"")</f>
        <v>-0.00261288585772864</v>
      </c>
      <c r="H3559" s="27" t="n">
        <f aca="false">IF(G3559="","",G3559^2)</f>
        <v>6.82717250551833E-006</v>
      </c>
      <c r="I3559" s="25" t="n">
        <f aca="false">IF(G3559="","",C3559/C3558-1)</f>
        <v>-0.00260947524263855</v>
      </c>
      <c r="J3559" s="17" t="n">
        <f aca="false">AVERAGE(C3360:C3559)</f>
        <v>63706.906</v>
      </c>
      <c r="K3559" s="17" t="n">
        <f aca="false">MAX(K3558,C3559)</f>
        <v>73098.48</v>
      </c>
      <c r="L3559" s="25" t="n">
        <f aca="false">C3559/K3559-1</f>
        <v>-0.170552246777224</v>
      </c>
      <c r="M3559" s="25" t="n">
        <f aca="false">IF(COUNT(G3530:G3559)&lt;20,"",_xlfn.STDEV.S(G3530:G3559)*SQRT($R$3))</f>
        <v>0.454744004279629</v>
      </c>
      <c r="N3559" s="25" t="n">
        <f aca="false">IF(A3559-7&lt;$R$2,"",C3559/INDEX(Clean_Data!$C$2:$C$4314,MATCH(A3559-7,Clean_Data!$A$2:$A$4314,1))-1)</f>
        <v>-0.0395926621658589</v>
      </c>
      <c r="O3559" s="25" t="n">
        <f aca="false">IF(A3559-30&lt;$R$2,"",C3559/INDEX(Clean_Data!$C$2:$C$4314,MATCH(A3559-30,Clean_Data!$A$2:$A$4314,1))-1)</f>
        <v>0.0572628374842561</v>
      </c>
    </row>
    <row r="3560" customFormat="false" ht="15" hidden="false" customHeight="false" outlineLevel="0" collapsed="false">
      <c r="A3560" s="16" t="n">
        <v>45567</v>
      </c>
      <c r="B3560" s="23" t="n">
        <f aca="false">YEAR(A3560)</f>
        <v>2024</v>
      </c>
      <c r="C3560" s="17" t="n">
        <v>60744.99</v>
      </c>
      <c r="D3560" s="23" t="n">
        <f aca="false">A3560-A3559</f>
        <v>1</v>
      </c>
      <c r="E3560" s="24" t="n">
        <f aca="false">LN(C3560)</f>
        <v>11.0144398886662</v>
      </c>
      <c r="F3560" s="25" t="n">
        <f aca="false">LN(C3560/C3559)</f>
        <v>0.00187219378118679</v>
      </c>
      <c r="G3560" s="25" t="n">
        <f aca="false">IF(AND(D3560=1,A3560&gt;=$R$2),F3560,"")</f>
        <v>0.00187219378118679</v>
      </c>
      <c r="H3560" s="27" t="n">
        <f aca="false">IF(G3560="","",G3560^2)</f>
        <v>3.50510955431449E-006</v>
      </c>
      <c r="I3560" s="25" t="n">
        <f aca="false">IF(G3560="","",C3560/C3559-1)</f>
        <v>0.00187394743018343</v>
      </c>
      <c r="J3560" s="17" t="n">
        <f aca="false">AVERAGE(C3361:C3560)</f>
        <v>63683.02535</v>
      </c>
      <c r="K3560" s="17" t="n">
        <f aca="false">MAX(K3559,C3560)</f>
        <v>73098.48</v>
      </c>
      <c r="L3560" s="25" t="n">
        <f aca="false">C3560/K3560-1</f>
        <v>-0.168997905291601</v>
      </c>
      <c r="M3560" s="25" t="n">
        <f aca="false">IF(COUNT(G3531:G3560)&lt;20,"",_xlfn.STDEV.S(G3531:G3560)*SQRT($R$3))</f>
        <v>0.442612187852405</v>
      </c>
      <c r="N3560" s="25" t="n">
        <f aca="false">IF(A3560-7&lt;$R$2,"",C3560/INDEX(Clean_Data!$C$2:$C$4314,MATCH(A3560-7,Clean_Data!$A$2:$A$4314,1))-1)</f>
        <v>-0.0680026039776788</v>
      </c>
      <c r="O3560" s="25" t="n">
        <f aca="false">IF(A3560-30&lt;$R$2,"",C3560/INDEX(Clean_Data!$C$2:$C$4314,MATCH(A3560-30,Clean_Data!$A$2:$A$4314,1))-1)</f>
        <v>0.0271284024849257</v>
      </c>
    </row>
    <row r="3561" customFormat="false" ht="15" hidden="false" customHeight="false" outlineLevel="0" collapsed="false">
      <c r="A3561" s="16" t="n">
        <v>45568</v>
      </c>
      <c r="B3561" s="23" t="n">
        <f aca="false">YEAR(A3561)</f>
        <v>2024</v>
      </c>
      <c r="C3561" s="17" t="n">
        <v>62090.71</v>
      </c>
      <c r="D3561" s="23" t="n">
        <f aca="false">A3561-A3560</f>
        <v>1</v>
      </c>
      <c r="E3561" s="24" t="n">
        <f aca="false">LN(C3561)</f>
        <v>11.0363516593072</v>
      </c>
      <c r="F3561" s="25" t="n">
        <f aca="false">LN(C3561/C3560)</f>
        <v>0.0219117706410228</v>
      </c>
      <c r="G3561" s="25" t="n">
        <f aca="false">IF(AND(D3561=1,A3561&gt;=$R$2),F3561,"")</f>
        <v>0.0219117706410228</v>
      </c>
      <c r="H3561" s="27" t="n">
        <f aca="false">IF(G3561="","",G3561^2)</f>
        <v>0.00048012569262479</v>
      </c>
      <c r="I3561" s="25" t="n">
        <f aca="false">IF(G3561="","",C3561/C3560-1)</f>
        <v>0.0221535965352864</v>
      </c>
      <c r="J3561" s="17" t="n">
        <f aca="false">AVERAGE(C3362:C3561)</f>
        <v>63651.6784</v>
      </c>
      <c r="K3561" s="17" t="n">
        <f aca="false">MAX(K3560,C3561)</f>
        <v>73098.48</v>
      </c>
      <c r="L3561" s="25" t="n">
        <f aca="false">C3561/K3561-1</f>
        <v>-0.150588220165453</v>
      </c>
      <c r="M3561" s="25" t="n">
        <f aca="false">IF(COUNT(G3532:G3561)&lt;20,"",_xlfn.STDEV.S(G3532:G3561)*SQRT($R$3))</f>
        <v>0.435280484785297</v>
      </c>
      <c r="N3561" s="25" t="n">
        <f aca="false">IF(A3561-7&lt;$R$2,"",C3561/INDEX(Clean_Data!$C$2:$C$4314,MATCH(A3561-7,Clean_Data!$A$2:$A$4314,1))-1)</f>
        <v>-0.0562144127437718</v>
      </c>
      <c r="O3561" s="25" t="n">
        <f aca="false">IF(A3561-30&lt;$R$2,"",C3561/INDEX(Clean_Data!$C$2:$C$4314,MATCH(A3561-30,Clean_Data!$A$2:$A$4314,1))-1)</f>
        <v>0.0803149006239969</v>
      </c>
    </row>
    <row r="3562" customFormat="false" ht="15" hidden="false" customHeight="false" outlineLevel="0" collapsed="false">
      <c r="A3562" s="16" t="n">
        <v>45569</v>
      </c>
      <c r="B3562" s="23" t="n">
        <f aca="false">YEAR(A3562)</f>
        <v>2024</v>
      </c>
      <c r="C3562" s="17" t="n">
        <v>62051.29</v>
      </c>
      <c r="D3562" s="23" t="n">
        <f aca="false">A3562-A3561</f>
        <v>1</v>
      </c>
      <c r="E3562" s="24" t="n">
        <f aca="false">LN(C3562)</f>
        <v>11.0357165801024</v>
      </c>
      <c r="F3562" s="25" t="n">
        <f aca="false">LN(C3562/C3561)</f>
        <v>-0.000635079204860947</v>
      </c>
      <c r="G3562" s="25" t="n">
        <f aca="false">IF(AND(D3562=1,A3562&gt;=$R$2),F3562,"")</f>
        <v>-0.000635079204860947</v>
      </c>
      <c r="H3562" s="27" t="n">
        <f aca="false">IF(G3562="","",G3562^2)</f>
        <v>4.03325596446812E-007</v>
      </c>
      <c r="I3562" s="25" t="n">
        <f aca="false">IF(G3562="","",C3562/C3561-1)</f>
        <v>-0.000634877584746563</v>
      </c>
      <c r="J3562" s="17" t="n">
        <f aca="false">AVERAGE(C3363:C3562)</f>
        <v>63624.1001</v>
      </c>
      <c r="K3562" s="17" t="n">
        <f aca="false">MAX(K3561,C3562)</f>
        <v>73098.48</v>
      </c>
      <c r="L3562" s="25" t="n">
        <f aca="false">C3562/K3562-1</f>
        <v>-0.15112749266469</v>
      </c>
      <c r="M3562" s="25" t="n">
        <f aca="false">IF(COUNT(G3533:G3562)&lt;20,"",_xlfn.STDEV.S(G3533:G3562)*SQRT($R$3))</f>
        <v>0.434788448570521</v>
      </c>
      <c r="N3562" s="25" t="n">
        <f aca="false">IF(A3562-7&lt;$R$2,"",C3562/INDEX(Clean_Data!$C$2:$C$4314,MATCH(A3562-7,Clean_Data!$A$2:$A$4314,1))-1)</f>
        <v>-0.0578159488932339</v>
      </c>
      <c r="O3562" s="25" t="n">
        <f aca="false">IF(A3562-30&lt;$R$2,"",C3562/INDEX(Clean_Data!$C$2:$C$4314,MATCH(A3562-30,Clean_Data!$A$2:$A$4314,1))-1)</f>
        <v>0.0699603286615289</v>
      </c>
    </row>
    <row r="3563" customFormat="false" ht="15" hidden="false" customHeight="false" outlineLevel="0" collapsed="false">
      <c r="A3563" s="16" t="n">
        <v>45570</v>
      </c>
      <c r="B3563" s="23" t="n">
        <f aca="false">YEAR(A3563)</f>
        <v>2024</v>
      </c>
      <c r="C3563" s="17" t="n">
        <v>62810.86</v>
      </c>
      <c r="D3563" s="23" t="n">
        <f aca="false">A3563-A3562</f>
        <v>1</v>
      </c>
      <c r="E3563" s="24" t="n">
        <f aca="false">LN(C3563)</f>
        <v>11.0478832674419</v>
      </c>
      <c r="F3563" s="25" t="n">
        <f aca="false">LN(C3563/C3562)</f>
        <v>0.0121666873395498</v>
      </c>
      <c r="G3563" s="25" t="n">
        <f aca="false">IF(AND(D3563=1,A3563&gt;=$R$2),F3563,"")</f>
        <v>0.0121666873395498</v>
      </c>
      <c r="H3563" s="27" t="n">
        <f aca="false">IF(G3563="","",G3563^2)</f>
        <v>0.000148028280818362</v>
      </c>
      <c r="I3563" s="25" t="n">
        <f aca="false">IF(G3563="","",C3563/C3562-1)</f>
        <v>0.012241002564169</v>
      </c>
      <c r="J3563" s="17" t="n">
        <f aca="false">AVERAGE(C3364:C3563)</f>
        <v>63628.2646</v>
      </c>
      <c r="K3563" s="17" t="n">
        <f aca="false">MAX(K3562,C3563)</f>
        <v>73098.48</v>
      </c>
      <c r="L3563" s="25" t="n">
        <f aca="false">C3563/K3563-1</f>
        <v>-0.140736442125746</v>
      </c>
      <c r="M3563" s="25" t="n">
        <f aca="false">IF(COUNT(G3534:G3563)&lt;20,"",_xlfn.STDEV.S(G3534:G3563)*SQRT($R$3))</f>
        <v>0.417661449118561</v>
      </c>
      <c r="N3563" s="25" t="n">
        <f aca="false">IF(A3563-7&lt;$R$2,"",C3563/INDEX(Clean_Data!$C$2:$C$4314,MATCH(A3563-7,Clean_Data!$A$2:$A$4314,1))-1)</f>
        <v>-0.0425175240064749</v>
      </c>
      <c r="O3563" s="25" t="n">
        <f aca="false">IF(A3563-30&lt;$R$2,"",C3563/INDEX(Clean_Data!$C$2:$C$4314,MATCH(A3563-30,Clean_Data!$A$2:$A$4314,1))-1)</f>
        <v>0.118586137878234</v>
      </c>
    </row>
    <row r="3564" customFormat="false" ht="15" hidden="false" customHeight="false" outlineLevel="0" collapsed="false">
      <c r="A3564" s="16" t="n">
        <v>45571</v>
      </c>
      <c r="B3564" s="23" t="n">
        <f aca="false">YEAR(A3564)</f>
        <v>2024</v>
      </c>
      <c r="C3564" s="17" t="n">
        <v>62200.28</v>
      </c>
      <c r="D3564" s="23" t="n">
        <f aca="false">A3564-A3563</f>
        <v>1</v>
      </c>
      <c r="E3564" s="24" t="n">
        <f aca="false">LN(C3564)</f>
        <v>11.0381147803249</v>
      </c>
      <c r="F3564" s="25" t="n">
        <f aca="false">LN(C3564/C3563)</f>
        <v>-0.0097684871170823</v>
      </c>
      <c r="G3564" s="25" t="n">
        <f aca="false">IF(AND(D3564=1,A3564&gt;=$R$2),F3564,"")</f>
        <v>-0.0097684871170823</v>
      </c>
      <c r="H3564" s="27" t="n">
        <f aca="false">IF(G3564="","",G3564^2)</f>
        <v>9.54233405566028E-005</v>
      </c>
      <c r="I3564" s="25" t="n">
        <f aca="false">IF(G3564="","",C3564/C3563-1)</f>
        <v>-0.00972093042508893</v>
      </c>
      <c r="J3564" s="17" t="n">
        <f aca="false">AVERAGE(C3365:C3564)</f>
        <v>63599.95435</v>
      </c>
      <c r="K3564" s="17" t="n">
        <f aca="false">MAX(K3563,C3564)</f>
        <v>73098.48</v>
      </c>
      <c r="L3564" s="25" t="n">
        <f aca="false">C3564/K3564-1</f>
        <v>-0.149089283388656</v>
      </c>
      <c r="M3564" s="25" t="n">
        <f aca="false">IF(COUNT(G3535:G3564)&lt;20,"",_xlfn.STDEV.S(G3535:G3564)*SQRT($R$3))</f>
        <v>0.389693966127882</v>
      </c>
      <c r="N3564" s="25" t="n">
        <f aca="false">IF(A3564-7&lt;$R$2,"",C3564/INDEX(Clean_Data!$C$2:$C$4314,MATCH(A3564-7,Clean_Data!$A$2:$A$4314,1))-1)</f>
        <v>-0.0173925475405304</v>
      </c>
      <c r="O3564" s="25" t="n">
        <f aca="false">IF(A3564-30&lt;$R$2,"",C3564/INDEX(Clean_Data!$C$2:$C$4314,MATCH(A3564-30,Clean_Data!$A$2:$A$4314,1))-1)</f>
        <v>0.153343782605688</v>
      </c>
    </row>
    <row r="3565" customFormat="false" ht="15" hidden="false" customHeight="false" outlineLevel="0" collapsed="false">
      <c r="A3565" s="16" t="n">
        <v>45572</v>
      </c>
      <c r="B3565" s="23" t="n">
        <f aca="false">YEAR(A3565)</f>
        <v>2024</v>
      </c>
      <c r="C3565" s="17" t="n">
        <v>62122.02</v>
      </c>
      <c r="D3565" s="23" t="n">
        <f aca="false">A3565-A3564</f>
        <v>1</v>
      </c>
      <c r="E3565" s="24" t="n">
        <f aca="false">LN(C3565)</f>
        <v>11.0368557944416</v>
      </c>
      <c r="F3565" s="25" t="n">
        <f aca="false">LN(C3565/C3564)</f>
        <v>-0.00125898588325896</v>
      </c>
      <c r="G3565" s="25" t="n">
        <f aca="false">IF(AND(D3565=1,A3565&gt;=$R$2),F3565,"")</f>
        <v>-0.00125898588325896</v>
      </c>
      <c r="H3565" s="27" t="n">
        <f aca="false">IF(G3565="","",G3565^2)</f>
        <v>1.58504545424535E-006</v>
      </c>
      <c r="I3565" s="25" t="n">
        <f aca="false">IF(G3565="","",C3565/C3564-1)</f>
        <v>-0.00125819369301883</v>
      </c>
      <c r="J3565" s="17" t="n">
        <f aca="false">AVERAGE(C3366:C3565)</f>
        <v>63583.0389</v>
      </c>
      <c r="K3565" s="17" t="n">
        <f aca="false">MAX(K3564,C3565)</f>
        <v>73098.48</v>
      </c>
      <c r="L3565" s="25" t="n">
        <f aca="false">C3565/K3565-1</f>
        <v>-0.150159893885618</v>
      </c>
      <c r="M3565" s="25" t="n">
        <f aca="false">IF(COUNT(G3536:G3565)&lt;20,"",_xlfn.STDEV.S(G3536:G3565)*SQRT($R$3))</f>
        <v>0.390258867259297</v>
      </c>
      <c r="N3565" s="25" t="n">
        <f aca="false">IF(A3565-7&lt;$R$2,"",C3565/INDEX(Clean_Data!$C$2:$C$4314,MATCH(A3565-7,Clean_Data!$A$2:$A$4314,1))-1)</f>
        <v>0.0219118276032242</v>
      </c>
      <c r="O3565" s="25" t="n">
        <f aca="false">IF(A3565-30&lt;$R$2,"",C3565/INDEX(Clean_Data!$C$2:$C$4314,MATCH(A3565-30,Clean_Data!$A$2:$A$4314,1))-1)</f>
        <v>0.146614606789687</v>
      </c>
    </row>
    <row r="3566" customFormat="false" ht="15" hidden="false" customHeight="false" outlineLevel="0" collapsed="false">
      <c r="A3566" s="16" t="n">
        <v>45573</v>
      </c>
      <c r="B3566" s="23" t="n">
        <f aca="false">YEAR(A3566)</f>
        <v>2024</v>
      </c>
      <c r="C3566" s="17" t="n">
        <v>60578.28</v>
      </c>
      <c r="D3566" s="23" t="n">
        <f aca="false">A3566-A3565</f>
        <v>1</v>
      </c>
      <c r="E3566" s="24" t="n">
        <f aca="false">LN(C3566)</f>
        <v>11.0116916919695</v>
      </c>
      <c r="F3566" s="25" t="n">
        <f aca="false">LN(C3566/C3565)</f>
        <v>-0.0251641024720846</v>
      </c>
      <c r="G3566" s="25" t="n">
        <f aca="false">IF(AND(D3566=1,A3566&gt;=$R$2),F3566,"")</f>
        <v>-0.0251641024720846</v>
      </c>
      <c r="H3566" s="27" t="n">
        <f aca="false">IF(G3566="","",G3566^2)</f>
        <v>0.000633232053225573</v>
      </c>
      <c r="I3566" s="25" t="n">
        <f aca="false">IF(G3566="","",C3566/C3565-1)</f>
        <v>-0.0248501256076348</v>
      </c>
      <c r="J3566" s="17" t="n">
        <f aca="false">AVERAGE(C3367:C3566)</f>
        <v>63567.3681</v>
      </c>
      <c r="K3566" s="17" t="n">
        <f aca="false">MAX(K3565,C3566)</f>
        <v>73098.48</v>
      </c>
      <c r="L3566" s="25" t="n">
        <f aca="false">C3566/K3566-1</f>
        <v>-0.171278527268966</v>
      </c>
      <c r="M3566" s="25" t="n">
        <f aca="false">IF(COUNT(G3537:G3566)&lt;20,"",_xlfn.STDEV.S(G3537:G3566)*SQRT($R$3))</f>
        <v>0.364641516122958</v>
      </c>
      <c r="N3566" s="25" t="n">
        <f aca="false">IF(A3566-7&lt;$R$2,"",C3566/INDEX(Clean_Data!$C$2:$C$4314,MATCH(A3566-7,Clean_Data!$A$2:$A$4314,1))-1)</f>
        <v>-0.000875619336986877</v>
      </c>
      <c r="O3566" s="25" t="n">
        <f aca="false">IF(A3566-30&lt;$R$2,"",C3566/INDEX(Clean_Data!$C$2:$C$4314,MATCH(A3566-30,Clean_Data!$A$2:$A$4314,1))-1)</f>
        <v>0.0617728148294858</v>
      </c>
    </row>
    <row r="3567" customFormat="false" ht="15" hidden="false" customHeight="false" outlineLevel="0" collapsed="false">
      <c r="A3567" s="16" t="n">
        <v>45574</v>
      </c>
      <c r="B3567" s="23" t="n">
        <f aca="false">YEAR(A3567)</f>
        <v>2024</v>
      </c>
      <c r="C3567" s="17" t="n">
        <v>60279.53</v>
      </c>
      <c r="D3567" s="23" t="n">
        <f aca="false">A3567-A3566</f>
        <v>1</v>
      </c>
      <c r="E3567" s="24" t="n">
        <f aca="false">LN(C3567)</f>
        <v>11.0067478557625</v>
      </c>
      <c r="F3567" s="25" t="n">
        <f aca="false">LN(C3567/C3566)</f>
        <v>-0.00494383620705472</v>
      </c>
      <c r="G3567" s="25" t="n">
        <f aca="false">IF(AND(D3567=1,A3567&gt;=$R$2),F3567,"")</f>
        <v>-0.00494383620705472</v>
      </c>
      <c r="H3567" s="27" t="n">
        <f aca="false">IF(G3567="","",G3567^2)</f>
        <v>2.44415164421852E-005</v>
      </c>
      <c r="I3567" s="25" t="n">
        <f aca="false">IF(G3567="","",C3567/C3566-1)</f>
        <v>-0.00493163556310938</v>
      </c>
      <c r="J3567" s="17" t="n">
        <f aca="false">AVERAGE(C3368:C3567)</f>
        <v>63548.6035</v>
      </c>
      <c r="K3567" s="17" t="n">
        <f aca="false">MAX(K3566,C3567)</f>
        <v>73098.48</v>
      </c>
      <c r="L3567" s="25" t="n">
        <f aca="false">C3567/K3567-1</f>
        <v>-0.175365479555799</v>
      </c>
      <c r="M3567" s="25" t="n">
        <f aca="false">IF(COUNT(G3538:G3567)&lt;20,"",_xlfn.STDEV.S(G3538:G3567)*SQRT($R$3))</f>
        <v>0.364144390758137</v>
      </c>
      <c r="N3567" s="25" t="n">
        <f aca="false">IF(A3567-7&lt;$R$2,"",C3567/INDEX(Clean_Data!$C$2:$C$4314,MATCH(A3567-7,Clean_Data!$A$2:$A$4314,1))-1)</f>
        <v>-0.0076625249259239</v>
      </c>
      <c r="O3567" s="25" t="n">
        <f aca="false">IF(A3567-30&lt;$R$2,"",C3567/INDEX(Clean_Data!$C$2:$C$4314,MATCH(A3567-30,Clean_Data!$A$2:$A$4314,1))-1)</f>
        <v>0.0456919601308619</v>
      </c>
    </row>
    <row r="3568" customFormat="false" ht="15" hidden="false" customHeight="false" outlineLevel="0" collapsed="false">
      <c r="A3568" s="16" t="n">
        <v>45575</v>
      </c>
      <c r="B3568" s="23" t="n">
        <f aca="false">YEAR(A3568)</f>
        <v>2024</v>
      </c>
      <c r="C3568" s="17" t="n">
        <v>62518.75</v>
      </c>
      <c r="D3568" s="23" t="n">
        <f aca="false">A3568-A3567</f>
        <v>1</v>
      </c>
      <c r="E3568" s="24" t="n">
        <f aca="false">LN(C3568)</f>
        <v>11.0432217907335</v>
      </c>
      <c r="F3568" s="25" t="n">
        <f aca="false">LN(C3568/C3567)</f>
        <v>0.0364739349710334</v>
      </c>
      <c r="G3568" s="25" t="n">
        <f aca="false">IF(AND(D3568=1,A3568&gt;=$R$2),F3568,"")</f>
        <v>0.0364739349710334</v>
      </c>
      <c r="H3568" s="27" t="n">
        <f aca="false">IF(G3568="","",G3568^2)</f>
        <v>0.00133034793227117</v>
      </c>
      <c r="I3568" s="25" t="n">
        <f aca="false">IF(G3568="","",C3568/C3567-1)</f>
        <v>0.0371472703917897</v>
      </c>
      <c r="J3568" s="17" t="n">
        <f aca="false">AVERAGE(C3369:C3568)</f>
        <v>63524.70945</v>
      </c>
      <c r="K3568" s="17" t="n">
        <f aca="false">MAX(K3567,C3568)</f>
        <v>73098.48</v>
      </c>
      <c r="L3568" s="25" t="n">
        <f aca="false">C3568/K3568-1</f>
        <v>-0.144732558050455</v>
      </c>
      <c r="M3568" s="25" t="n">
        <f aca="false">IF(COUNT(G3539:G3568)&lt;20,"",_xlfn.STDEV.S(G3539:G3568)*SQRT($R$3))</f>
        <v>0.383060905541034</v>
      </c>
      <c r="N3568" s="25" t="n">
        <f aca="false">IF(A3568-7&lt;$R$2,"",C3568/INDEX(Clean_Data!$C$2:$C$4314,MATCH(A3568-7,Clean_Data!$A$2:$A$4314,1))-1)</f>
        <v>0.00689378491565007</v>
      </c>
      <c r="O3568" s="25" t="n">
        <f aca="false">IF(A3568-30&lt;$R$2,"",C3568/INDEX(Clean_Data!$C$2:$C$4314,MATCH(A3568-30,Clean_Data!$A$2:$A$4314,1))-1)</f>
        <v>0.0900733861421563</v>
      </c>
    </row>
    <row r="3569" customFormat="false" ht="15" hidden="false" customHeight="false" outlineLevel="0" collapsed="false">
      <c r="A3569" s="16" t="n">
        <v>45576</v>
      </c>
      <c r="B3569" s="23" t="n">
        <f aca="false">YEAR(A3569)</f>
        <v>2024</v>
      </c>
      <c r="C3569" s="17" t="n">
        <v>63187.47</v>
      </c>
      <c r="D3569" s="23" t="n">
        <f aca="false">A3569-A3568</f>
        <v>1</v>
      </c>
      <c r="E3569" s="24" t="n">
        <f aca="false">LN(C3569)</f>
        <v>11.0538613009853</v>
      </c>
      <c r="F3569" s="25" t="n">
        <f aca="false">LN(C3569/C3568)</f>
        <v>0.0106395102517756</v>
      </c>
      <c r="G3569" s="25" t="n">
        <f aca="false">IF(AND(D3569=1,A3569&gt;=$R$2),F3569,"")</f>
        <v>0.0106395102517756</v>
      </c>
      <c r="H3569" s="27" t="n">
        <f aca="false">IF(G3569="","",G3569^2)</f>
        <v>0.000113199178397639</v>
      </c>
      <c r="I3569" s="25" t="n">
        <f aca="false">IF(G3569="","",C3569/C3568-1)</f>
        <v>0.010696311106668</v>
      </c>
      <c r="J3569" s="17" t="n">
        <f aca="false">AVERAGE(C3370:C3569)</f>
        <v>63491.07455</v>
      </c>
      <c r="K3569" s="17" t="n">
        <f aca="false">MAX(K3568,C3569)</f>
        <v>73098.48</v>
      </c>
      <c r="L3569" s="25" t="n">
        <f aca="false">C3569/K3569-1</f>
        <v>-0.135584351411958</v>
      </c>
      <c r="M3569" s="25" t="n">
        <f aca="false">IF(COUNT(G3540:G3569)&lt;20,"",_xlfn.STDEV.S(G3540:G3569)*SQRT($R$3))</f>
        <v>0.382159289393294</v>
      </c>
      <c r="N3569" s="25" t="n">
        <f aca="false">IF(A3569-7&lt;$R$2,"",C3569/INDEX(Clean_Data!$C$2:$C$4314,MATCH(A3569-7,Clean_Data!$A$2:$A$4314,1))-1)</f>
        <v>0.0183103364974362</v>
      </c>
      <c r="O3569" s="25" t="n">
        <f aca="false">IF(A3569-30&lt;$R$2,"",C3569/INDEX(Clean_Data!$C$2:$C$4314,MATCH(A3569-30,Clean_Data!$A$2:$A$4314,1))-1)</f>
        <v>0.0868617764012718</v>
      </c>
    </row>
    <row r="3570" customFormat="false" ht="15" hidden="false" customHeight="false" outlineLevel="0" collapsed="false">
      <c r="A3570" s="16" t="n">
        <v>45577</v>
      </c>
      <c r="B3570" s="23" t="n">
        <f aca="false">YEAR(A3570)</f>
        <v>2024</v>
      </c>
      <c r="C3570" s="17" t="n">
        <v>62845.3</v>
      </c>
      <c r="D3570" s="23" t="n">
        <f aca="false">A3570-A3569</f>
        <v>1</v>
      </c>
      <c r="E3570" s="24" t="n">
        <f aca="false">LN(C3570)</f>
        <v>11.048431429997</v>
      </c>
      <c r="F3570" s="25" t="n">
        <f aca="false">LN(C3570/C3569)</f>
        <v>-0.00542987098826736</v>
      </c>
      <c r="G3570" s="25" t="n">
        <f aca="false">IF(AND(D3570=1,A3570&gt;=$R$2),F3570,"")</f>
        <v>-0.00542987098826736</v>
      </c>
      <c r="H3570" s="27" t="n">
        <f aca="false">IF(G3570="","",G3570^2)</f>
        <v>2.94834989492275E-005</v>
      </c>
      <c r="I3570" s="25" t="n">
        <f aca="false">IF(G3570="","",C3570/C3569-1)</f>
        <v>-0.00541515588454478</v>
      </c>
      <c r="J3570" s="17" t="n">
        <f aca="false">AVERAGE(C3371:C3570)</f>
        <v>63455.41975</v>
      </c>
      <c r="K3570" s="17" t="n">
        <f aca="false">MAX(K3569,C3570)</f>
        <v>73098.48</v>
      </c>
      <c r="L3570" s="25" t="n">
        <f aca="false">C3570/K3570-1</f>
        <v>-0.140265296898102</v>
      </c>
      <c r="M3570" s="25" t="n">
        <f aca="false">IF(COUNT(G3541:G3570)&lt;20,"",_xlfn.STDEV.S(G3541:G3570)*SQRT($R$3))</f>
        <v>0.357840464029575</v>
      </c>
      <c r="N3570" s="25" t="n">
        <f aca="false">IF(A3570-7&lt;$R$2,"",C3570/INDEX(Clean_Data!$C$2:$C$4314,MATCH(A3570-7,Clean_Data!$A$2:$A$4314,1))-1)</f>
        <v>0.000548312823610564</v>
      </c>
      <c r="O3570" s="25" t="n">
        <f aca="false">IF(A3570-30&lt;$R$2,"",C3570/INDEX(Clean_Data!$C$2:$C$4314,MATCH(A3570-30,Clean_Data!$A$2:$A$4314,1))-1)</f>
        <v>0.0380215168139855</v>
      </c>
    </row>
    <row r="3571" customFormat="false" ht="15" hidden="false" customHeight="false" outlineLevel="0" collapsed="false">
      <c r="A3571" s="16" t="n">
        <v>45578</v>
      </c>
      <c r="B3571" s="23" t="n">
        <f aca="false">YEAR(A3571)</f>
        <v>2024</v>
      </c>
      <c r="C3571" s="17" t="n">
        <v>66065.65</v>
      </c>
      <c r="D3571" s="23" t="n">
        <f aca="false">A3571-A3570</f>
        <v>1</v>
      </c>
      <c r="E3571" s="24" t="n">
        <f aca="false">LN(C3571)</f>
        <v>11.098404223595</v>
      </c>
      <c r="F3571" s="25" t="n">
        <f aca="false">LN(C3571/C3570)</f>
        <v>0.0499727935980434</v>
      </c>
      <c r="G3571" s="25" t="n">
        <f aca="false">IF(AND(D3571=1,A3571&gt;=$R$2),F3571,"")</f>
        <v>0.0499727935980434</v>
      </c>
      <c r="H3571" s="27" t="n">
        <f aca="false">IF(G3571="","",G3571^2)</f>
        <v>0.00249728009999264</v>
      </c>
      <c r="I3571" s="25" t="n">
        <f aca="false">IF(G3571="","",C3571/C3570-1)</f>
        <v>0.0512424954610764</v>
      </c>
      <c r="J3571" s="17" t="n">
        <f aca="false">AVERAGE(C3372:C3571)</f>
        <v>63438.8867</v>
      </c>
      <c r="K3571" s="17" t="n">
        <f aca="false">MAX(K3570,C3571)</f>
        <v>73098.48</v>
      </c>
      <c r="L3571" s="25" t="n">
        <f aca="false">C3571/K3571-1</f>
        <v>-0.0962103452766734</v>
      </c>
      <c r="M3571" s="25" t="n">
        <f aca="false">IF(COUNT(G3542:G3571)&lt;20,"",_xlfn.STDEV.S(G3542:G3571)*SQRT($R$3))</f>
        <v>0.393972264378131</v>
      </c>
      <c r="N3571" s="25" t="n">
        <f aca="false">IF(A3571-7&lt;$R$2,"",C3571/INDEX(Clean_Data!$C$2:$C$4314,MATCH(A3571-7,Clean_Data!$A$2:$A$4314,1))-1)</f>
        <v>0.0621439324710436</v>
      </c>
      <c r="O3571" s="25" t="n">
        <f aca="false">IF(A3571-30&lt;$R$2,"",C3571/INDEX(Clean_Data!$C$2:$C$4314,MATCH(A3571-30,Clean_Data!$A$2:$A$4314,1))-1)</f>
        <v>0.100867571424882</v>
      </c>
    </row>
    <row r="3572" customFormat="false" ht="15" hidden="false" customHeight="false" outlineLevel="0" collapsed="false">
      <c r="A3572" s="16" t="n">
        <v>45579</v>
      </c>
      <c r="B3572" s="23" t="n">
        <f aca="false">YEAR(A3572)</f>
        <v>2024</v>
      </c>
      <c r="C3572" s="17" t="n">
        <v>67056.6</v>
      </c>
      <c r="D3572" s="23" t="n">
        <f aca="false">A3572-A3571</f>
        <v>1</v>
      </c>
      <c r="E3572" s="24" t="n">
        <f aca="false">LN(C3572)</f>
        <v>11.11329231787</v>
      </c>
      <c r="F3572" s="25" t="n">
        <f aca="false">LN(C3572/C3571)</f>
        <v>0.0148880942749476</v>
      </c>
      <c r="G3572" s="25" t="n">
        <f aca="false">IF(AND(D3572=1,A3572&gt;=$R$2),F3572,"")</f>
        <v>0.0148880942749476</v>
      </c>
      <c r="H3572" s="27" t="n">
        <f aca="false">IF(G3572="","",G3572^2)</f>
        <v>0.000221655351139729</v>
      </c>
      <c r="I3572" s="25" t="n">
        <f aca="false">IF(G3572="","",C3572/C3571-1)</f>
        <v>0.0149994740080512</v>
      </c>
      <c r="J3572" s="17" t="n">
        <f aca="false">AVERAGE(C3373:C3572)</f>
        <v>63420.3158</v>
      </c>
      <c r="K3572" s="17" t="n">
        <f aca="false">MAX(K3571,C3572)</f>
        <v>73098.48</v>
      </c>
      <c r="L3572" s="25" t="n">
        <f aca="false">C3572/K3572-1</f>
        <v>-0.0826539758419052</v>
      </c>
      <c r="M3572" s="25" t="n">
        <f aca="false">IF(COUNT(G3543:G3572)&lt;20,"",_xlfn.STDEV.S(G3543:G3572)*SQRT($R$3))</f>
        <v>0.390404153335957</v>
      </c>
      <c r="N3572" s="25" t="n">
        <f aca="false">IF(A3572-7&lt;$R$2,"",C3572/INDEX(Clean_Data!$C$2:$C$4314,MATCH(A3572-7,Clean_Data!$A$2:$A$4314,1))-1)</f>
        <v>0.0794336694138409</v>
      </c>
      <c r="O3572" s="25" t="n">
        <f aca="false">IF(A3572-30&lt;$R$2,"",C3572/INDEX(Clean_Data!$C$2:$C$4314,MATCH(A3572-30,Clean_Data!$A$2:$A$4314,1))-1)</f>
        <v>0.134200901757424</v>
      </c>
    </row>
    <row r="3573" customFormat="false" ht="15" hidden="false" customHeight="false" outlineLevel="0" collapsed="false">
      <c r="A3573" s="16" t="n">
        <v>45580</v>
      </c>
      <c r="B3573" s="23" t="n">
        <f aca="false">YEAR(A3573)</f>
        <v>2024</v>
      </c>
      <c r="C3573" s="17" t="n">
        <v>67608.44</v>
      </c>
      <c r="D3573" s="23" t="n">
        <f aca="false">A3573-A3572</f>
        <v>1</v>
      </c>
      <c r="E3573" s="24" t="n">
        <f aca="false">LN(C3573)</f>
        <v>11.1214881063087</v>
      </c>
      <c r="F3573" s="25" t="n">
        <f aca="false">LN(C3573/C3572)</f>
        <v>0.0081957884387</v>
      </c>
      <c r="G3573" s="25" t="n">
        <f aca="false">IF(AND(D3573=1,A3573&gt;=$R$2),F3573,"")</f>
        <v>0.0081957884387</v>
      </c>
      <c r="H3573" s="27" t="n">
        <f aca="false">IF(G3573="","",G3573^2)</f>
        <v>6.71709481319286E-005</v>
      </c>
      <c r="I3573" s="25" t="n">
        <f aca="false">IF(G3573="","",C3573/C3572-1)</f>
        <v>0.00822946585421858</v>
      </c>
      <c r="J3573" s="17" t="n">
        <f aca="false">AVERAGE(C3374:C3573)</f>
        <v>63408.6903</v>
      </c>
      <c r="K3573" s="17" t="n">
        <f aca="false">MAX(K3572,C3573)</f>
        <v>73098.48</v>
      </c>
      <c r="L3573" s="25" t="n">
        <f aca="false">C3573/K3573-1</f>
        <v>-0.0751047080595929</v>
      </c>
      <c r="M3573" s="25" t="n">
        <f aca="false">IF(COUNT(G3544:G3573)&lt;20,"",_xlfn.STDEV.S(G3544:G3573)*SQRT($R$3))</f>
        <v>0.384005100556638</v>
      </c>
      <c r="N3573" s="25" t="n">
        <f aca="false">IF(A3573-7&lt;$R$2,"",C3573/INDEX(Clean_Data!$C$2:$C$4314,MATCH(A3573-7,Clean_Data!$A$2:$A$4314,1))-1)</f>
        <v>0.116050835381923</v>
      </c>
      <c r="O3573" s="25" t="n">
        <f aca="false">IF(A3573-30&lt;$R$2,"",C3573/INDEX(Clean_Data!$C$2:$C$4314,MATCH(A3573-30,Clean_Data!$A$2:$A$4314,1))-1)</f>
        <v>0.16148242317521</v>
      </c>
    </row>
    <row r="3574" customFormat="false" ht="15" hidden="false" customHeight="false" outlineLevel="0" collapsed="false">
      <c r="A3574" s="16" t="n">
        <v>45581</v>
      </c>
      <c r="B3574" s="23" t="n">
        <f aca="false">YEAR(A3574)</f>
        <v>2024</v>
      </c>
      <c r="C3574" s="17" t="n">
        <v>67402.33</v>
      </c>
      <c r="D3574" s="23" t="n">
        <f aca="false">A3574-A3573</f>
        <v>1</v>
      </c>
      <c r="E3574" s="24" t="n">
        <f aca="false">LN(C3574)</f>
        <v>11.1184348660358</v>
      </c>
      <c r="F3574" s="25" t="n">
        <f aca="false">LN(C3574/C3573)</f>
        <v>-0.00305324027287364</v>
      </c>
      <c r="G3574" s="25" t="n">
        <f aca="false">IF(AND(D3574=1,A3574&gt;=$R$2),F3574,"")</f>
        <v>-0.00305324027287364</v>
      </c>
      <c r="H3574" s="27" t="n">
        <f aca="false">IF(G3574="","",G3574^2)</f>
        <v>9.32227616389753E-006</v>
      </c>
      <c r="I3574" s="25" t="n">
        <f aca="false">IF(G3574="","",C3574/C3573-1)</f>
        <v>-0.00304858387503104</v>
      </c>
      <c r="J3574" s="17" t="n">
        <f aca="false">AVERAGE(C3375:C3574)</f>
        <v>63397.4311</v>
      </c>
      <c r="K3574" s="17" t="n">
        <f aca="false">MAX(K3573,C3574)</f>
        <v>73098.48</v>
      </c>
      <c r="L3574" s="25" t="n">
        <f aca="false">C3574/K3574-1</f>
        <v>-0.0779243289326945</v>
      </c>
      <c r="M3574" s="25" t="n">
        <f aca="false">IF(COUNT(G3545:G3574)&lt;20,"",_xlfn.STDEV.S(G3545:G3574)*SQRT($R$3))</f>
        <v>0.368687141698134</v>
      </c>
      <c r="N3574" s="25" t="n">
        <f aca="false">IF(A3574-7&lt;$R$2,"",C3574/INDEX(Clean_Data!$C$2:$C$4314,MATCH(A3574-7,Clean_Data!$A$2:$A$4314,1))-1)</f>
        <v>0.118162832391029</v>
      </c>
      <c r="O3574" s="25" t="n">
        <f aca="false">IF(A3574-30&lt;$R$2,"",C3574/INDEX(Clean_Data!$C$2:$C$4314,MATCH(A3574-30,Clean_Data!$A$2:$A$4314,1))-1)</f>
        <v>0.117549732560029</v>
      </c>
    </row>
    <row r="3575" customFormat="false" ht="15" hidden="false" customHeight="false" outlineLevel="0" collapsed="false">
      <c r="A3575" s="16" t="n">
        <v>45582</v>
      </c>
      <c r="B3575" s="23" t="n">
        <f aca="false">YEAR(A3575)</f>
        <v>2024</v>
      </c>
      <c r="C3575" s="17" t="n">
        <v>68426.11</v>
      </c>
      <c r="D3575" s="23" t="n">
        <f aca="false">A3575-A3574</f>
        <v>1</v>
      </c>
      <c r="E3575" s="24" t="n">
        <f aca="false">LN(C3575)</f>
        <v>11.1335097559183</v>
      </c>
      <c r="F3575" s="25" t="n">
        <f aca="false">LN(C3575/C3574)</f>
        <v>0.0150748898825159</v>
      </c>
      <c r="G3575" s="25" t="n">
        <f aca="false">IF(AND(D3575=1,A3575&gt;=$R$2),F3575,"")</f>
        <v>0.0150748898825159</v>
      </c>
      <c r="H3575" s="27" t="n">
        <f aca="false">IF(G3575="","",G3575^2)</f>
        <v>0.00022725230496998</v>
      </c>
      <c r="I3575" s="25" t="n">
        <f aca="false">IF(G3575="","",C3575/C3574-1)</f>
        <v>0.0151890891605675</v>
      </c>
      <c r="J3575" s="17" t="n">
        <f aca="false">AVERAGE(C3376:C3575)</f>
        <v>63383.4961</v>
      </c>
      <c r="K3575" s="17" t="n">
        <f aca="false">MAX(K3574,C3575)</f>
        <v>73098.48</v>
      </c>
      <c r="L3575" s="25" t="n">
        <f aca="false">C3575/K3575-1</f>
        <v>-0.0639188393520631</v>
      </c>
      <c r="M3575" s="25" t="n">
        <f aca="false">IF(COUNT(G3546:G3575)&lt;20,"",_xlfn.STDEV.S(G3546:G3575)*SQRT($R$3))</f>
        <v>0.363882122365371</v>
      </c>
      <c r="N3575" s="25" t="n">
        <f aca="false">IF(A3575-7&lt;$R$2,"",C3575/INDEX(Clean_Data!$C$2:$C$4314,MATCH(A3575-7,Clean_Data!$A$2:$A$4314,1))-1)</f>
        <v>0.0944894131760472</v>
      </c>
      <c r="O3575" s="25" t="n">
        <f aca="false">IF(A3575-30&lt;$R$2,"",C3575/INDEX(Clean_Data!$C$2:$C$4314,MATCH(A3575-30,Clean_Data!$A$2:$A$4314,1))-1)</f>
        <v>0.107771059936363</v>
      </c>
    </row>
    <row r="3576" customFormat="false" ht="15" hidden="false" customHeight="false" outlineLevel="0" collapsed="false">
      <c r="A3576" s="16" t="n">
        <v>45583</v>
      </c>
      <c r="B3576" s="23" t="n">
        <f aca="false">YEAR(A3576)</f>
        <v>2024</v>
      </c>
      <c r="C3576" s="17" t="n">
        <v>68363.73</v>
      </c>
      <c r="D3576" s="23" t="n">
        <f aca="false">A3576-A3575</f>
        <v>1</v>
      </c>
      <c r="E3576" s="24" t="n">
        <f aca="false">LN(C3576)</f>
        <v>11.1325976998135</v>
      </c>
      <c r="F3576" s="25" t="n">
        <f aca="false">LN(C3576/C3575)</f>
        <v>-0.000912056104813357</v>
      </c>
      <c r="G3576" s="25" t="n">
        <f aca="false">IF(AND(D3576=1,A3576&gt;=$R$2),F3576,"")</f>
        <v>-0.000912056104813357</v>
      </c>
      <c r="H3576" s="27" t="n">
        <f aca="false">IF(G3576="","",G3576^2)</f>
        <v>8.31846338327313E-007</v>
      </c>
      <c r="I3576" s="25" t="n">
        <f aca="false">IF(G3576="","",C3576/C3575-1)</f>
        <v>-0.000911640308063788</v>
      </c>
      <c r="J3576" s="17" t="n">
        <f aca="false">AVERAGE(C3377:C3576)</f>
        <v>63376.8041</v>
      </c>
      <c r="K3576" s="17" t="n">
        <f aca="false">MAX(K3575,C3576)</f>
        <v>73098.48</v>
      </c>
      <c r="L3576" s="25" t="n">
        <f aca="false">C3576/K3576-1</f>
        <v>-0.0647722086697289</v>
      </c>
      <c r="M3576" s="25" t="n">
        <f aca="false">IF(COUNT(G3547:G3576)&lt;20,"",_xlfn.STDEV.S(G3547:G3576)*SQRT($R$3))</f>
        <v>0.359695458109349</v>
      </c>
      <c r="N3576" s="25" t="n">
        <f aca="false">IF(A3576-7&lt;$R$2,"",C3576/INDEX(Clean_Data!$C$2:$C$4314,MATCH(A3576-7,Clean_Data!$A$2:$A$4314,1))-1)</f>
        <v>0.0819190893384401</v>
      </c>
      <c r="O3576" s="25" t="n">
        <f aca="false">IF(A3576-30&lt;$R$2,"",C3576/INDEX(Clean_Data!$C$2:$C$4314,MATCH(A3576-30,Clean_Data!$A$2:$A$4314,1))-1)</f>
        <v>0.0858255715441547</v>
      </c>
    </row>
    <row r="3577" customFormat="false" ht="15" hidden="false" customHeight="false" outlineLevel="0" collapsed="false">
      <c r="A3577" s="16" t="n">
        <v>45584</v>
      </c>
      <c r="B3577" s="23" t="n">
        <f aca="false">YEAR(A3577)</f>
        <v>2024</v>
      </c>
      <c r="C3577" s="17" t="n">
        <v>69014.86</v>
      </c>
      <c r="D3577" s="23" t="n">
        <f aca="false">A3577-A3576</f>
        <v>1</v>
      </c>
      <c r="E3577" s="24" t="n">
        <f aca="false">LN(C3577)</f>
        <v>11.1420771227111</v>
      </c>
      <c r="F3577" s="25" t="n">
        <f aca="false">LN(C3577/C3576)</f>
        <v>0.00947942289758257</v>
      </c>
      <c r="G3577" s="25" t="n">
        <f aca="false">IF(AND(D3577=1,A3577&gt;=$R$2),F3577,"")</f>
        <v>0.00947942289758257</v>
      </c>
      <c r="H3577" s="27" t="n">
        <f aca="false">IF(G3577="","",G3577^2)</f>
        <v>8.98594584712127E-005</v>
      </c>
      <c r="I3577" s="25" t="n">
        <f aca="false">IF(G3577="","",C3577/C3576-1)</f>
        <v>0.00952449493320517</v>
      </c>
      <c r="J3577" s="17" t="n">
        <f aca="false">AVERAGE(C3378:C3577)</f>
        <v>63394.4849</v>
      </c>
      <c r="K3577" s="17" t="n">
        <f aca="false">MAX(K3576,C3577)</f>
        <v>73098.48</v>
      </c>
      <c r="L3577" s="25" t="n">
        <f aca="false">C3577/K3577-1</f>
        <v>-0.055864636309811</v>
      </c>
      <c r="M3577" s="25" t="n">
        <f aca="false">IF(COUNT(G3548:G3577)&lt;20,"",_xlfn.STDEV.S(G3548:G3577)*SQRT($R$3))</f>
        <v>0.360444194723896</v>
      </c>
      <c r="N3577" s="25" t="n">
        <f aca="false">IF(A3577-7&lt;$R$2,"",C3577/INDEX(Clean_Data!$C$2:$C$4314,MATCH(A3577-7,Clean_Data!$A$2:$A$4314,1))-1)</f>
        <v>0.0981705871401679</v>
      </c>
      <c r="O3577" s="25" t="n">
        <f aca="false">IF(A3577-30&lt;$R$2,"",C3577/INDEX(Clean_Data!$C$2:$C$4314,MATCH(A3577-30,Clean_Data!$A$2:$A$4314,1))-1)</f>
        <v>0.0918226015251533</v>
      </c>
    </row>
    <row r="3578" customFormat="false" ht="15" hidden="false" customHeight="false" outlineLevel="0" collapsed="false">
      <c r="A3578" s="16" t="n">
        <v>45585</v>
      </c>
      <c r="B3578" s="23" t="n">
        <f aca="false">YEAR(A3578)</f>
        <v>2024</v>
      </c>
      <c r="C3578" s="17" t="n">
        <v>67346.15</v>
      </c>
      <c r="D3578" s="23" t="n">
        <f aca="false">A3578-A3577</f>
        <v>1</v>
      </c>
      <c r="E3578" s="24" t="n">
        <f aca="false">LN(C3578)</f>
        <v>11.1176010161363</v>
      </c>
      <c r="F3578" s="25" t="n">
        <f aca="false">LN(C3578/C3577)</f>
        <v>-0.0244761065748194</v>
      </c>
      <c r="G3578" s="25" t="n">
        <f aca="false">IF(AND(D3578=1,A3578&gt;=$R$2),F3578,"")</f>
        <v>-0.0244761065748194</v>
      </c>
      <c r="H3578" s="27" t="n">
        <f aca="false">IF(G3578="","",G3578^2)</f>
        <v>0.000599079793061919</v>
      </c>
      <c r="I3578" s="25" t="n">
        <f aca="false">IF(G3578="","",C3578/C3577-1)</f>
        <v>-0.0241789956539795</v>
      </c>
      <c r="J3578" s="17" t="n">
        <f aca="false">AVERAGE(C3379:C3578)</f>
        <v>63401.3045</v>
      </c>
      <c r="K3578" s="17" t="n">
        <f aca="false">MAX(K3577,C3578)</f>
        <v>73098.48</v>
      </c>
      <c r="L3578" s="25" t="n">
        <f aca="false">C3578/K3578-1</f>
        <v>-0.0786928811652445</v>
      </c>
      <c r="M3578" s="25" t="n">
        <f aca="false">IF(COUNT(G3549:G3578)&lt;20,"",_xlfn.STDEV.S(G3549:G3578)*SQRT($R$3))</f>
        <v>0.372915115626472</v>
      </c>
      <c r="N3578" s="25" t="n">
        <f aca="false">IF(A3578-7&lt;$R$2,"",C3578/INDEX(Clean_Data!$C$2:$C$4314,MATCH(A3578-7,Clean_Data!$A$2:$A$4314,1))-1)</f>
        <v>0.0193822357003981</v>
      </c>
      <c r="O3578" s="25" t="n">
        <f aca="false">IF(A3578-30&lt;$R$2,"",C3578/INDEX(Clean_Data!$C$2:$C$4314,MATCH(A3578-30,Clean_Data!$A$2:$A$4314,1))-1)</f>
        <v>0.062866757340355</v>
      </c>
    </row>
    <row r="3579" customFormat="false" ht="15" hidden="false" customHeight="false" outlineLevel="0" collapsed="false">
      <c r="A3579" s="16" t="n">
        <v>45586</v>
      </c>
      <c r="B3579" s="23" t="n">
        <f aca="false">YEAR(A3579)</f>
        <v>2024</v>
      </c>
      <c r="C3579" s="17" t="n">
        <v>67380.08</v>
      </c>
      <c r="D3579" s="23" t="n">
        <f aca="false">A3579-A3578</f>
        <v>1</v>
      </c>
      <c r="E3579" s="24" t="n">
        <f aca="false">LN(C3579)</f>
        <v>11.1181047042558</v>
      </c>
      <c r="F3579" s="25" t="n">
        <f aca="false">LN(C3579/C3578)</f>
        <v>0.000503688119490122</v>
      </c>
      <c r="G3579" s="25" t="n">
        <f aca="false">IF(AND(D3579=1,A3579&gt;=$R$2),F3579,"")</f>
        <v>0.000503688119490122</v>
      </c>
      <c r="H3579" s="27" t="n">
        <f aca="false">IF(G3579="","",G3579^2)</f>
        <v>2.53701721715495E-007</v>
      </c>
      <c r="I3579" s="25" t="n">
        <f aca="false">IF(G3579="","",C3579/C3578-1)</f>
        <v>0.000503814991651419</v>
      </c>
      <c r="J3579" s="17" t="n">
        <f aca="false">AVERAGE(C3380:C3579)</f>
        <v>63396.1253</v>
      </c>
      <c r="K3579" s="17" t="n">
        <f aca="false">MAX(K3578,C3579)</f>
        <v>73098.48</v>
      </c>
      <c r="L3579" s="25" t="n">
        <f aca="false">C3579/K3579-1</f>
        <v>-0.0782287128268604</v>
      </c>
      <c r="M3579" s="25" t="n">
        <f aca="false">IF(COUNT(G3550:G3579)&lt;20,"",_xlfn.STDEV.S(G3550:G3579)*SQRT($R$3))</f>
        <v>0.372918944777404</v>
      </c>
      <c r="N3579" s="25" t="n">
        <f aca="false">IF(A3579-7&lt;$R$2,"",C3579/INDEX(Clean_Data!$C$2:$C$4314,MATCH(A3579-7,Clean_Data!$A$2:$A$4314,1))-1)</f>
        <v>0.00482398451457411</v>
      </c>
      <c r="O3579" s="25" t="n">
        <f aca="false">IF(A3579-30&lt;$R$2,"",C3579/INDEX(Clean_Data!$C$2:$C$4314,MATCH(A3579-30,Clean_Data!$A$2:$A$4314,1))-1)</f>
        <v>0.0598074858370064</v>
      </c>
    </row>
    <row r="3580" customFormat="false" ht="15" hidden="false" customHeight="false" outlineLevel="0" collapsed="false">
      <c r="A3580" s="16" t="n">
        <v>45587</v>
      </c>
      <c r="B3580" s="23" t="n">
        <f aca="false">YEAR(A3580)</f>
        <v>2024</v>
      </c>
      <c r="C3580" s="17" t="n">
        <v>66601.11</v>
      </c>
      <c r="D3580" s="23" t="n">
        <f aca="false">A3580-A3579</f>
        <v>1</v>
      </c>
      <c r="E3580" s="24" t="n">
        <f aca="false">LN(C3580)</f>
        <v>11.1064765230563</v>
      </c>
      <c r="F3580" s="25" t="n">
        <f aca="false">LN(C3580/C3579)</f>
        <v>-0.0116281811995128</v>
      </c>
      <c r="G3580" s="25" t="n">
        <f aca="false">IF(AND(D3580=1,A3580&gt;=$R$2),F3580,"")</f>
        <v>-0.0116281811995128</v>
      </c>
      <c r="H3580" s="27" t="n">
        <f aca="false">IF(G3580="","",G3580^2)</f>
        <v>0.000135214598008703</v>
      </c>
      <c r="I3580" s="25" t="n">
        <f aca="false">IF(G3580="","",C3580/C3579-1)</f>
        <v>-0.0115608351904599</v>
      </c>
      <c r="J3580" s="17" t="n">
        <f aca="false">AVERAGE(C3381:C3580)</f>
        <v>63389.73745</v>
      </c>
      <c r="K3580" s="17" t="n">
        <f aca="false">MAX(K3579,C3580)</f>
        <v>73098.48</v>
      </c>
      <c r="L3580" s="25" t="n">
        <f aca="false">C3580/K3580-1</f>
        <v>-0.0888851587611671</v>
      </c>
      <c r="M3580" s="25" t="n">
        <f aca="false">IF(COUNT(G3551:G3580)&lt;20,"",_xlfn.STDEV.S(G3551:G3580)*SQRT($R$3))</f>
        <v>0.375432493546462</v>
      </c>
      <c r="N3580" s="25" t="n">
        <f aca="false">IF(A3580-7&lt;$R$2,"",C3580/INDEX(Clean_Data!$C$2:$C$4314,MATCH(A3580-7,Clean_Data!$A$2:$A$4314,1))-1)</f>
        <v>-0.0148994711311191</v>
      </c>
      <c r="O3580" s="25" t="n">
        <f aca="false">IF(A3580-30&lt;$R$2,"",C3580/INDEX(Clean_Data!$C$2:$C$4314,MATCH(A3580-30,Clean_Data!$A$2:$A$4314,1))-1)</f>
        <v>0.0515045500495983</v>
      </c>
    </row>
    <row r="3581" customFormat="false" ht="15" hidden="false" customHeight="false" outlineLevel="0" collapsed="false">
      <c r="A3581" s="16" t="n">
        <v>45588</v>
      </c>
      <c r="B3581" s="23" t="n">
        <f aca="false">YEAR(A3581)</f>
        <v>2024</v>
      </c>
      <c r="C3581" s="17" t="n">
        <v>68156.84</v>
      </c>
      <c r="D3581" s="23" t="n">
        <f aca="false">A3581-A3580</f>
        <v>1</v>
      </c>
      <c r="E3581" s="24" t="n">
        <f aca="false">LN(C3581)</f>
        <v>11.1295667989261</v>
      </c>
      <c r="F3581" s="25" t="n">
        <f aca="false">LN(C3581/C3580)</f>
        <v>0.0230902758698625</v>
      </c>
      <c r="G3581" s="25" t="n">
        <f aca="false">IF(AND(D3581=1,A3581&gt;=$R$2),F3581,"")</f>
        <v>0.0230902758698625</v>
      </c>
      <c r="H3581" s="27" t="n">
        <f aca="false">IF(G3581="","",G3581^2)</f>
        <v>0.000533160839746352</v>
      </c>
      <c r="I3581" s="25" t="n">
        <f aca="false">IF(G3581="","",C3581/C3580-1)</f>
        <v>0.0233589199939761</v>
      </c>
      <c r="J3581" s="17" t="n">
        <f aca="false">AVERAGE(C3382:C3581)</f>
        <v>63385.79105</v>
      </c>
      <c r="K3581" s="17" t="n">
        <f aca="false">MAX(K3580,C3581)</f>
        <v>73098.48</v>
      </c>
      <c r="L3581" s="25" t="n">
        <f aca="false">C3581/K3581-1</f>
        <v>-0.067602500079345</v>
      </c>
      <c r="M3581" s="25" t="n">
        <f aca="false">IF(COUNT(G3552:G3581)&lt;20,"",_xlfn.STDEV.S(G3552:G3581)*SQRT($R$3))</f>
        <v>0.380232279223078</v>
      </c>
      <c r="N3581" s="25" t="n">
        <f aca="false">IF(A3581-7&lt;$R$2,"",C3581/INDEX(Clean_Data!$C$2:$C$4314,MATCH(A3581-7,Clean_Data!$A$2:$A$4314,1))-1)</f>
        <v>0.0111941234078998</v>
      </c>
      <c r="O3581" s="25" t="n">
        <f aca="false">IF(A3581-30&lt;$R$2,"",C3581/INDEX(Clean_Data!$C$2:$C$4314,MATCH(A3581-30,Clean_Data!$A$2:$A$4314,1))-1)</f>
        <v>0.0604283949712576</v>
      </c>
    </row>
    <row r="3582" customFormat="false" ht="15" hidden="false" customHeight="false" outlineLevel="0" collapsed="false">
      <c r="A3582" s="16" t="n">
        <v>45589</v>
      </c>
      <c r="B3582" s="23" t="n">
        <f aca="false">YEAR(A3582)</f>
        <v>2024</v>
      </c>
      <c r="C3582" s="17" t="n">
        <v>66564.51</v>
      </c>
      <c r="D3582" s="23" t="n">
        <f aca="false">A3582-A3581</f>
        <v>1</v>
      </c>
      <c r="E3582" s="24" t="n">
        <f aca="false">LN(C3582)</f>
        <v>11.1059268316131</v>
      </c>
      <c r="F3582" s="25" t="n">
        <f aca="false">LN(C3582/C3581)</f>
        <v>-0.0236399673130681</v>
      </c>
      <c r="G3582" s="25" t="n">
        <f aca="false">IF(AND(D3582=1,A3582&gt;=$R$2),F3582,"")</f>
        <v>-0.0236399673130681</v>
      </c>
      <c r="H3582" s="27" t="n">
        <f aca="false">IF(G3582="","",G3582^2)</f>
        <v>0.00055884805456293</v>
      </c>
      <c r="I3582" s="25" t="n">
        <f aca="false">IF(G3582="","",C3582/C3581-1)</f>
        <v>-0.0233627321923963</v>
      </c>
      <c r="J3582" s="17" t="n">
        <f aca="false">AVERAGE(C3383:C3582)</f>
        <v>63371.88975</v>
      </c>
      <c r="K3582" s="17" t="n">
        <f aca="false">MAX(K3581,C3582)</f>
        <v>73098.48</v>
      </c>
      <c r="L3582" s="25" t="n">
        <f aca="false">C3582/K3582-1</f>
        <v>-0.0893858531668511</v>
      </c>
      <c r="M3582" s="25" t="n">
        <f aca="false">IF(COUNT(G3553:G3582)&lt;20,"",_xlfn.STDEV.S(G3553:G3582)*SQRT($R$3))</f>
        <v>0.38448970495904</v>
      </c>
      <c r="N3582" s="25" t="n">
        <f aca="false">IF(A3582-7&lt;$R$2,"",C3582/INDEX(Clean_Data!$C$2:$C$4314,MATCH(A3582-7,Clean_Data!$A$2:$A$4314,1))-1)</f>
        <v>-0.027205989058855</v>
      </c>
      <c r="O3582" s="25" t="n">
        <f aca="false">IF(A3582-30&lt;$R$2,"",C3582/INDEX(Clean_Data!$C$2:$C$4314,MATCH(A3582-30,Clean_Data!$A$2:$A$4314,1))-1)</f>
        <v>0.054388905336199</v>
      </c>
    </row>
    <row r="3583" customFormat="false" ht="15" hidden="false" customHeight="false" outlineLevel="0" collapsed="false">
      <c r="A3583" s="16" t="n">
        <v>45590</v>
      </c>
      <c r="B3583" s="23" t="n">
        <f aca="false">YEAR(A3583)</f>
        <v>2024</v>
      </c>
      <c r="C3583" s="17" t="n">
        <v>67012.56</v>
      </c>
      <c r="D3583" s="23" t="n">
        <f aca="false">A3583-A3582</f>
        <v>1</v>
      </c>
      <c r="E3583" s="24" t="n">
        <f aca="false">LN(C3583)</f>
        <v>11.1126353434907</v>
      </c>
      <c r="F3583" s="25" t="n">
        <f aca="false">LN(C3583/C3582)</f>
        <v>0.00670851187768239</v>
      </c>
      <c r="G3583" s="25" t="n">
        <f aca="false">IF(AND(D3583=1,A3583&gt;=$R$2),F3583,"")</f>
        <v>0.00670851187768239</v>
      </c>
      <c r="H3583" s="27" t="n">
        <f aca="false">IF(G3583="","",G3583^2)</f>
        <v>4.50041316130057E-005</v>
      </c>
      <c r="I3583" s="25" t="n">
        <f aca="false">IF(G3583="","",C3583/C3582-1)</f>
        <v>0.00673106434645132</v>
      </c>
      <c r="J3583" s="17" t="n">
        <f aca="false">AVERAGE(C3384:C3583)</f>
        <v>63348.91315</v>
      </c>
      <c r="K3583" s="17" t="n">
        <f aca="false">MAX(K3582,C3583)</f>
        <v>73098.48</v>
      </c>
      <c r="L3583" s="25" t="n">
        <f aca="false">C3583/K3583-1</f>
        <v>-0.0832564507497283</v>
      </c>
      <c r="M3583" s="25" t="n">
        <f aca="false">IF(COUNT(G3554:G3583)&lt;20,"",_xlfn.STDEV.S(G3554:G3583)*SQRT($R$3))</f>
        <v>0.369383813274968</v>
      </c>
      <c r="N3583" s="25" t="n">
        <f aca="false">IF(A3583-7&lt;$R$2,"",C3583/INDEX(Clean_Data!$C$2:$C$4314,MATCH(A3583-7,Clean_Data!$A$2:$A$4314,1))-1)</f>
        <v>-0.0197644277162758</v>
      </c>
      <c r="O3583" s="25" t="n">
        <f aca="false">IF(A3583-30&lt;$R$2,"",C3583/INDEX(Clean_Data!$C$2:$C$4314,MATCH(A3583-30,Clean_Data!$A$2:$A$4314,1))-1)</f>
        <v>0.0281593827044759</v>
      </c>
    </row>
    <row r="3584" customFormat="false" ht="15" hidden="false" customHeight="false" outlineLevel="0" collapsed="false">
      <c r="A3584" s="16" t="n">
        <v>45591</v>
      </c>
      <c r="B3584" s="23" t="n">
        <f aca="false">YEAR(A3584)</f>
        <v>2024</v>
      </c>
      <c r="C3584" s="17" t="n">
        <v>67943.19</v>
      </c>
      <c r="D3584" s="23" t="n">
        <f aca="false">A3584-A3583</f>
        <v>1</v>
      </c>
      <c r="E3584" s="24" t="n">
        <f aca="false">LN(C3584)</f>
        <v>11.1264271938063</v>
      </c>
      <c r="F3584" s="25" t="n">
        <f aca="false">LN(C3584/C3583)</f>
        <v>0.0137918503155666</v>
      </c>
      <c r="G3584" s="25" t="n">
        <f aca="false">IF(AND(D3584=1,A3584&gt;=$R$2),F3584,"")</f>
        <v>0.0137918503155666</v>
      </c>
      <c r="H3584" s="27" t="n">
        <f aca="false">IF(G3584="","",G3584^2)</f>
        <v>0.000190215135126993</v>
      </c>
      <c r="I3584" s="25" t="n">
        <f aca="false">IF(G3584="","",C3584/C3583-1)</f>
        <v>0.0138873966313182</v>
      </c>
      <c r="J3584" s="17" t="n">
        <f aca="false">AVERAGE(C3385:C3584)</f>
        <v>63343.12505</v>
      </c>
      <c r="K3584" s="17" t="n">
        <f aca="false">MAX(K3583,C3584)</f>
        <v>73098.48</v>
      </c>
      <c r="L3584" s="25" t="n">
        <f aca="false">C3584/K3584-1</f>
        <v>-0.0705252694720875</v>
      </c>
      <c r="M3584" s="25" t="n">
        <f aca="false">IF(COUNT(G3555:G3584)&lt;20,"",_xlfn.STDEV.S(G3555:G3584)*SQRT($R$3))</f>
        <v>0.37098233746754</v>
      </c>
      <c r="N3584" s="25" t="n">
        <f aca="false">IF(A3584-7&lt;$R$2,"",C3584/INDEX(Clean_Data!$C$2:$C$4314,MATCH(A3584-7,Clean_Data!$A$2:$A$4314,1))-1)</f>
        <v>-0.0155281051066394</v>
      </c>
      <c r="O3584" s="25" t="n">
        <f aca="false">IF(A3584-30&lt;$R$2,"",C3584/INDEX(Clean_Data!$C$2:$C$4314,MATCH(A3584-30,Clean_Data!$A$2:$A$4314,1))-1)</f>
        <v>0.032743923756251</v>
      </c>
    </row>
    <row r="3585" customFormat="false" ht="15" hidden="false" customHeight="false" outlineLevel="0" collapsed="false">
      <c r="A3585" s="16" t="n">
        <v>45592</v>
      </c>
      <c r="B3585" s="23" t="n">
        <f aca="false">YEAR(A3585)</f>
        <v>2024</v>
      </c>
      <c r="C3585" s="17" t="n">
        <v>69924.5</v>
      </c>
      <c r="D3585" s="23" t="n">
        <f aca="false">A3585-A3584</f>
        <v>1</v>
      </c>
      <c r="E3585" s="24" t="n">
        <f aca="false">LN(C3585)</f>
        <v>11.1551713675262</v>
      </c>
      <c r="F3585" s="25" t="n">
        <f aca="false">LN(C3585/C3584)</f>
        <v>0.02874417371988</v>
      </c>
      <c r="G3585" s="25" t="n">
        <f aca="false">IF(AND(D3585=1,A3585&gt;=$R$2),F3585,"")</f>
        <v>0.02874417371988</v>
      </c>
      <c r="H3585" s="27" t="n">
        <f aca="false">IF(G3585="","",G3585^2)</f>
        <v>0.000826227522838638</v>
      </c>
      <c r="I3585" s="25" t="n">
        <f aca="false">IF(G3585="","",C3585/C3584-1)</f>
        <v>0.0291612742940095</v>
      </c>
      <c r="J3585" s="17" t="n">
        <f aca="false">AVERAGE(C3386:C3585)</f>
        <v>63339.9737</v>
      </c>
      <c r="K3585" s="17" t="n">
        <f aca="false">MAX(K3584,C3585)</f>
        <v>73098.48</v>
      </c>
      <c r="L3585" s="25" t="n">
        <f aca="false">C3585/K3585-1</f>
        <v>-0.0434206019058125</v>
      </c>
      <c r="M3585" s="25" t="n">
        <f aca="false">IF(COUNT(G3556:G3585)&lt;20,"",_xlfn.STDEV.S(G3556:G3585)*SQRT($R$3))</f>
        <v>0.383331358291925</v>
      </c>
      <c r="N3585" s="25" t="n">
        <f aca="false">IF(A3585-7&lt;$R$2,"",C3585/INDEX(Clean_Data!$C$2:$C$4314,MATCH(A3585-7,Clean_Data!$A$2:$A$4314,1))-1)</f>
        <v>0.038285039308112</v>
      </c>
      <c r="O3585" s="25" t="n">
        <f aca="false">IF(A3585-30&lt;$R$2,"",C3585/INDEX(Clean_Data!$C$2:$C$4314,MATCH(A3585-30,Clean_Data!$A$2:$A$4314,1))-1)</f>
        <v>0.0617305245646798</v>
      </c>
    </row>
    <row r="3586" customFormat="false" ht="15" hidden="false" customHeight="false" outlineLevel="0" collapsed="false">
      <c r="A3586" s="16" t="n">
        <v>45593</v>
      </c>
      <c r="B3586" s="23" t="n">
        <f aca="false">YEAR(A3586)</f>
        <v>2024</v>
      </c>
      <c r="C3586" s="17" t="n">
        <v>72724.35</v>
      </c>
      <c r="D3586" s="23" t="n">
        <f aca="false">A3586-A3585</f>
        <v>1</v>
      </c>
      <c r="E3586" s="24" t="n">
        <f aca="false">LN(C3586)</f>
        <v>11.1944315455442</v>
      </c>
      <c r="F3586" s="25" t="n">
        <f aca="false">LN(C3586/C3585)</f>
        <v>0.0392601780179718</v>
      </c>
      <c r="G3586" s="25" t="n">
        <f aca="false">IF(AND(D3586=1,A3586&gt;=$R$2),F3586,"")</f>
        <v>0.0392601780179718</v>
      </c>
      <c r="H3586" s="27" t="n">
        <f aca="false">IF(G3586="","",G3586^2)</f>
        <v>0.00154136157800284</v>
      </c>
      <c r="I3586" s="25" t="n">
        <f aca="false">IF(G3586="","",C3586/C3585-1)</f>
        <v>0.0400410442691761</v>
      </c>
      <c r="J3586" s="17" t="n">
        <f aca="false">AVERAGE(C3387:C3586)</f>
        <v>63353.58865</v>
      </c>
      <c r="K3586" s="17" t="n">
        <f aca="false">MAX(K3585,C3586)</f>
        <v>73098.48</v>
      </c>
      <c r="L3586" s="25" t="n">
        <f aca="false">C3586/K3586-1</f>
        <v>-0.00511816387974129</v>
      </c>
      <c r="M3586" s="25" t="n">
        <f aca="false">IF(COUNT(G3557:G3586)&lt;20,"",_xlfn.STDEV.S(G3557:G3586)*SQRT($R$3))</f>
        <v>0.403971744387108</v>
      </c>
      <c r="N3586" s="25" t="n">
        <f aca="false">IF(A3586-7&lt;$R$2,"",C3586/INDEX(Clean_Data!$C$2:$C$4314,MATCH(A3586-7,Clean_Data!$A$2:$A$4314,1))-1)</f>
        <v>0.079315281311628</v>
      </c>
      <c r="O3586" s="25" t="n">
        <f aca="false">IF(A3586-30&lt;$R$2,"",C3586/INDEX(Clean_Data!$C$2:$C$4314,MATCH(A3586-30,Clean_Data!$A$2:$A$4314,1))-1)</f>
        <v>0.108602727347145</v>
      </c>
    </row>
    <row r="3587" customFormat="false" ht="15" hidden="false" customHeight="false" outlineLevel="0" collapsed="false">
      <c r="A3587" s="16" t="n">
        <v>45594</v>
      </c>
      <c r="B3587" s="23" t="n">
        <f aca="false">YEAR(A3587)</f>
        <v>2024</v>
      </c>
      <c r="C3587" s="17" t="n">
        <v>72322.91</v>
      </c>
      <c r="D3587" s="23" t="n">
        <f aca="false">A3587-A3586</f>
        <v>1</v>
      </c>
      <c r="E3587" s="24" t="n">
        <f aca="false">LN(C3587)</f>
        <v>11.1888962320884</v>
      </c>
      <c r="F3587" s="25" t="n">
        <f aca="false">LN(C3587/C3586)</f>
        <v>-0.00553531345575791</v>
      </c>
      <c r="G3587" s="25" t="n">
        <f aca="false">IF(AND(D3587=1,A3587&gt;=$R$2),F3587,"")</f>
        <v>-0.00553531345575791</v>
      </c>
      <c r="H3587" s="27" t="n">
        <f aca="false">IF(G3587="","",G3587^2)</f>
        <v>3.06396950534945E-005</v>
      </c>
      <c r="I3587" s="25" t="n">
        <f aca="false">IF(G3587="","",C3587/C3586-1)</f>
        <v>-0.00552002183587752</v>
      </c>
      <c r="J3587" s="17" t="n">
        <f aca="false">AVERAGE(C3388:C3587)</f>
        <v>63379.66685</v>
      </c>
      <c r="K3587" s="17" t="n">
        <f aca="false">MAX(K3586,C3587)</f>
        <v>73098.48</v>
      </c>
      <c r="L3587" s="25" t="n">
        <f aca="false">C3587/K3587-1</f>
        <v>-0.0106099333392431</v>
      </c>
      <c r="M3587" s="25" t="n">
        <f aca="false">IF(COUNT(G3558:G3587)&lt;20,"",_xlfn.STDEV.S(G3558:G3587)*SQRT($R$3))</f>
        <v>0.380231586468486</v>
      </c>
      <c r="N3587" s="25" t="n">
        <f aca="false">IF(A3587-7&lt;$R$2,"",C3587/INDEX(Clean_Data!$C$2:$C$4314,MATCH(A3587-7,Clean_Data!$A$2:$A$4314,1))-1)</f>
        <v>0.0859114810548953</v>
      </c>
      <c r="O3587" s="25" t="n">
        <f aca="false">IF(A3587-30&lt;$R$2,"",C3587/INDEX(Clean_Data!$C$2:$C$4314,MATCH(A3587-30,Clean_Data!$A$2:$A$4314,1))-1)</f>
        <v>0.142519460516183</v>
      </c>
    </row>
    <row r="3588" customFormat="false" ht="15" hidden="false" customHeight="false" outlineLevel="0" collapsed="false">
      <c r="A3588" s="16" t="n">
        <v>45595</v>
      </c>
      <c r="B3588" s="23" t="n">
        <f aca="false">YEAR(A3588)</f>
        <v>2024</v>
      </c>
      <c r="C3588" s="17" t="n">
        <v>70197.83</v>
      </c>
      <c r="D3588" s="23" t="n">
        <f aca="false">A3588-A3587</f>
        <v>1</v>
      </c>
      <c r="E3588" s="24" t="n">
        <f aca="false">LN(C3588)</f>
        <v>11.1590726778552</v>
      </c>
      <c r="F3588" s="25" t="n">
        <f aca="false">LN(C3588/C3587)</f>
        <v>-0.0298235542331817</v>
      </c>
      <c r="G3588" s="25" t="n">
        <f aca="false">IF(AND(D3588=1,A3588&gt;=$R$2),F3588,"")</f>
        <v>-0.0298235542331817</v>
      </c>
      <c r="H3588" s="27" t="n">
        <f aca="false">IF(G3588="","",G3588^2)</f>
        <v>0.000889444387099531</v>
      </c>
      <c r="I3588" s="25" t="n">
        <f aca="false">IF(G3588="","",C3588/C3587-1)</f>
        <v>-0.0293832203377878</v>
      </c>
      <c r="J3588" s="17" t="n">
        <f aca="false">AVERAGE(C3389:C3588)</f>
        <v>63410.486</v>
      </c>
      <c r="K3588" s="17" t="n">
        <f aca="false">MAX(K3587,C3588)</f>
        <v>73098.48</v>
      </c>
      <c r="L3588" s="25" t="n">
        <f aca="false">C3588/K3588-1</f>
        <v>-0.0396813996679547</v>
      </c>
      <c r="M3588" s="25" t="n">
        <f aca="false">IF(COUNT(G3559:G3588)&lt;20,"",_xlfn.STDEV.S(G3559:G3588)*SQRT($R$3))</f>
        <v>0.365934310198903</v>
      </c>
      <c r="N3588" s="25" t="n">
        <f aca="false">IF(A3588-7&lt;$R$2,"",C3588/INDEX(Clean_Data!$C$2:$C$4314,MATCH(A3588-7,Clean_Data!$A$2:$A$4314,1))-1)</f>
        <v>0.0299454904306011</v>
      </c>
      <c r="O3588" s="25" t="n">
        <f aca="false">IF(A3588-30&lt;$R$2,"",C3588/INDEX(Clean_Data!$C$2:$C$4314,MATCH(A3588-30,Clean_Data!$A$2:$A$4314,1))-1)</f>
        <v>0.15475949991775</v>
      </c>
    </row>
    <row r="3589" customFormat="false" ht="15" hidden="false" customHeight="false" outlineLevel="0" collapsed="false">
      <c r="A3589" s="16" t="n">
        <v>45596</v>
      </c>
      <c r="B3589" s="23" t="n">
        <f aca="false">YEAR(A3589)</f>
        <v>2024</v>
      </c>
      <c r="C3589" s="17" t="n">
        <v>69467.29</v>
      </c>
      <c r="D3589" s="23" t="n">
        <f aca="false">A3589-A3588</f>
        <v>1</v>
      </c>
      <c r="E3589" s="24" t="n">
        <f aca="false">LN(C3589)</f>
        <v>11.1486112732816</v>
      </c>
      <c r="F3589" s="25" t="n">
        <f aca="false">LN(C3589/C3588)</f>
        <v>-0.0104614045736353</v>
      </c>
      <c r="G3589" s="25" t="n">
        <f aca="false">IF(AND(D3589=1,A3589&gt;=$R$2),F3589,"")</f>
        <v>-0.0104614045736353</v>
      </c>
      <c r="H3589" s="27" t="n">
        <f aca="false">IF(G3589="","",G3589^2)</f>
        <v>0.000109440985653277</v>
      </c>
      <c r="I3589" s="25" t="n">
        <f aca="false">IF(G3589="","",C3589/C3588-1)</f>
        <v>-0.0104068744005336</v>
      </c>
      <c r="J3589" s="17" t="n">
        <f aca="false">AVERAGE(C3390:C3589)</f>
        <v>63429.6065</v>
      </c>
      <c r="K3589" s="17" t="n">
        <f aca="false">MAX(K3588,C3589)</f>
        <v>73098.48</v>
      </c>
      <c r="L3589" s="25" t="n">
        <f aca="false">C3589/K3589-1</f>
        <v>-0.0496753147261065</v>
      </c>
      <c r="M3589" s="25" t="n">
        <f aca="false">IF(COUNT(G3560:G3589)&lt;20,"",_xlfn.STDEV.S(G3560:G3589)*SQRT($R$3))</f>
        <v>0.368946068788825</v>
      </c>
      <c r="N3589" s="25" t="n">
        <f aca="false">IF(A3589-7&lt;$R$2,"",C3589/INDEX(Clean_Data!$C$2:$C$4314,MATCH(A3589-7,Clean_Data!$A$2:$A$4314,1))-1)</f>
        <v>0.0436085235210175</v>
      </c>
      <c r="O3589" s="25" t="n">
        <f aca="false">IF(A3589-30&lt;$R$2,"",C3589/INDEX(Clean_Data!$C$2:$C$4314,MATCH(A3589-30,Clean_Data!$A$2:$A$4314,1))-1)</f>
        <v>0.145731821662614</v>
      </c>
    </row>
    <row r="3590" customFormat="false" ht="15" hidden="false" customHeight="false" outlineLevel="0" collapsed="false">
      <c r="A3590" s="16" t="n">
        <v>45597</v>
      </c>
      <c r="B3590" s="23" t="n">
        <f aca="false">YEAR(A3590)</f>
        <v>2024</v>
      </c>
      <c r="C3590" s="17" t="n">
        <v>69358.94</v>
      </c>
      <c r="D3590" s="23" t="n">
        <f aca="false">A3590-A3589</f>
        <v>1</v>
      </c>
      <c r="E3590" s="24" t="n">
        <f aca="false">LN(C3590)</f>
        <v>11.147050328754</v>
      </c>
      <c r="F3590" s="25" t="n">
        <f aca="false">LN(C3590/C3589)</f>
        <v>-0.0015609445275578</v>
      </c>
      <c r="G3590" s="25" t="n">
        <f aca="false">IF(AND(D3590=1,A3590&gt;=$R$2),F3590,"")</f>
        <v>-0.0015609445275578</v>
      </c>
      <c r="H3590" s="27" t="n">
        <f aca="false">IF(G3590="","",G3590^2)</f>
        <v>2.43654781811263E-006</v>
      </c>
      <c r="I3590" s="25" t="n">
        <f aca="false">IF(G3590="","",C3590/C3589-1)</f>
        <v>-0.00155972688728745</v>
      </c>
      <c r="J3590" s="17" t="n">
        <f aca="false">AVERAGE(C3391:C3590)</f>
        <v>63459.6048</v>
      </c>
      <c r="K3590" s="17" t="n">
        <f aca="false">MAX(K3589,C3590)</f>
        <v>73098.48</v>
      </c>
      <c r="L3590" s="25" t="n">
        <f aca="false">C3590/K3590-1</f>
        <v>-0.0511575616893811</v>
      </c>
      <c r="M3590" s="25" t="n">
        <f aca="false">IF(COUNT(G3561:G3590)&lt;20,"",_xlfn.STDEV.S(G3561:G3590)*SQRT($R$3))</f>
        <v>0.36945189885374</v>
      </c>
      <c r="N3590" s="25" t="n">
        <f aca="false">IF(A3590-7&lt;$R$2,"",C3590/INDEX(Clean_Data!$C$2:$C$4314,MATCH(A3590-7,Clean_Data!$A$2:$A$4314,1))-1)</f>
        <v>0.035014033190196</v>
      </c>
      <c r="O3590" s="25" t="n">
        <f aca="false">IF(A3590-30&lt;$R$2,"",C3590/INDEX(Clean_Data!$C$2:$C$4314,MATCH(A3590-30,Clean_Data!$A$2:$A$4314,1))-1)</f>
        <v>0.141805110182749</v>
      </c>
    </row>
    <row r="3591" customFormat="false" ht="15" hidden="false" customHeight="false" outlineLevel="0" collapsed="false">
      <c r="A3591" s="16" t="n">
        <v>45598</v>
      </c>
      <c r="B3591" s="23" t="n">
        <f aca="false">YEAR(A3591)</f>
        <v>2024</v>
      </c>
      <c r="C3591" s="17" t="n">
        <v>68738.18</v>
      </c>
      <c r="D3591" s="23" t="n">
        <f aca="false">A3591-A3590</f>
        <v>1</v>
      </c>
      <c r="E3591" s="24" t="n">
        <f aca="false">LN(C3591)</f>
        <v>11.1380600734749</v>
      </c>
      <c r="F3591" s="25" t="n">
        <f aca="false">LN(C3591/C3590)</f>
        <v>-0.00899025527911939</v>
      </c>
      <c r="G3591" s="25" t="n">
        <f aca="false">IF(AND(D3591=1,A3591&gt;=$R$2),F3591,"")</f>
        <v>-0.00899025527911939</v>
      </c>
      <c r="H3591" s="27" t="n">
        <f aca="false">IF(G3591="","",G3591^2)</f>
        <v>8.08246899837341E-005</v>
      </c>
      <c r="I3591" s="25" t="n">
        <f aca="false">IF(G3591="","",C3591/C3590-1)</f>
        <v>-0.00894996376818924</v>
      </c>
      <c r="J3591" s="17" t="n">
        <f aca="false">AVERAGE(C3392:C3591)</f>
        <v>63484.0957</v>
      </c>
      <c r="K3591" s="17" t="n">
        <f aca="false">MAX(K3590,C3591)</f>
        <v>73098.48</v>
      </c>
      <c r="L3591" s="25" t="n">
        <f aca="false">C3591/K3591-1</f>
        <v>-0.0596496671339815</v>
      </c>
      <c r="M3591" s="25" t="n">
        <f aca="false">IF(COUNT(G3562:G3591)&lt;20,"",_xlfn.STDEV.S(G3562:G3591)*SQRT($R$3))</f>
        <v>0.366751797324404</v>
      </c>
      <c r="N3591" s="25" t="n">
        <f aca="false">IF(A3591-7&lt;$R$2,"",C3591/INDEX(Clean_Data!$C$2:$C$4314,MATCH(A3591-7,Clean_Data!$A$2:$A$4314,1))-1)</f>
        <v>0.0117008047458471</v>
      </c>
      <c r="O3591" s="25" t="n">
        <f aca="false">IF(A3591-30&lt;$R$2,"",C3591/INDEX(Clean_Data!$C$2:$C$4314,MATCH(A3591-30,Clean_Data!$A$2:$A$4314,1))-1)</f>
        <v>0.107060621468171</v>
      </c>
    </row>
    <row r="3592" customFormat="false" ht="15" hidden="false" customHeight="false" outlineLevel="0" collapsed="false">
      <c r="A3592" s="16" t="n">
        <v>45599</v>
      </c>
      <c r="B3592" s="23" t="n">
        <f aca="false">YEAR(A3592)</f>
        <v>2024</v>
      </c>
      <c r="C3592" s="17" t="n">
        <v>67807.48</v>
      </c>
      <c r="D3592" s="23" t="n">
        <f aca="false">A3592-A3591</f>
        <v>1</v>
      </c>
      <c r="E3592" s="24" t="n">
        <f aca="false">LN(C3592)</f>
        <v>11.124427792327</v>
      </c>
      <c r="F3592" s="25" t="n">
        <f aca="false">LN(C3592/C3591)</f>
        <v>-0.0136322811479382</v>
      </c>
      <c r="G3592" s="25" t="n">
        <f aca="false">IF(AND(D3592=1,A3592&gt;=$R$2),F3592,"")</f>
        <v>-0.0136322811479382</v>
      </c>
      <c r="H3592" s="27" t="n">
        <f aca="false">IF(G3592="","",G3592^2)</f>
        <v>0.000185839089296431</v>
      </c>
      <c r="I3592" s="25" t="n">
        <f aca="false">IF(G3592="","",C3592/C3591-1)</f>
        <v>-0.0135397824033164</v>
      </c>
      <c r="J3592" s="17" t="n">
        <f aca="false">AVERAGE(C3393:C3592)</f>
        <v>63516.7941</v>
      </c>
      <c r="K3592" s="17" t="n">
        <f aca="false">MAX(K3591,C3592)</f>
        <v>73098.48</v>
      </c>
      <c r="L3592" s="25" t="n">
        <f aca="false">C3592/K3592-1</f>
        <v>-0.0723818060238736</v>
      </c>
      <c r="M3592" s="25" t="n">
        <f aca="false">IF(COUNT(G3563:G3592)&lt;20,"",_xlfn.STDEV.S(G3563:G3592)*SQRT($R$3))</f>
        <v>0.371320809025459</v>
      </c>
      <c r="N3592" s="25" t="n">
        <f aca="false">IF(A3592-7&lt;$R$2,"",C3592/INDEX(Clean_Data!$C$2:$C$4314,MATCH(A3592-7,Clean_Data!$A$2:$A$4314,1))-1)</f>
        <v>-0.0302757974672683</v>
      </c>
      <c r="O3592" s="25" t="n">
        <f aca="false">IF(A3592-30&lt;$R$2,"",C3592/INDEX(Clean_Data!$C$2:$C$4314,MATCH(A3592-30,Clean_Data!$A$2:$A$4314,1))-1)</f>
        <v>0.0927650335714212</v>
      </c>
    </row>
    <row r="3593" customFormat="false" ht="15" hidden="false" customHeight="false" outlineLevel="0" collapsed="false">
      <c r="A3593" s="16" t="n">
        <v>45600</v>
      </c>
      <c r="B3593" s="23" t="n">
        <f aca="false">YEAR(A3593)</f>
        <v>2024</v>
      </c>
      <c r="C3593" s="17" t="n">
        <v>69380.73</v>
      </c>
      <c r="D3593" s="23" t="n">
        <f aca="false">A3593-A3592</f>
        <v>1</v>
      </c>
      <c r="E3593" s="24" t="n">
        <f aca="false">LN(C3593)</f>
        <v>11.1473644422326</v>
      </c>
      <c r="F3593" s="25" t="n">
        <f aca="false">LN(C3593/C3592)</f>
        <v>0.0229366499056202</v>
      </c>
      <c r="G3593" s="25" t="n">
        <f aca="false">IF(AND(D3593=1,A3593&gt;=$R$2),F3593,"")</f>
        <v>0.0229366499056202</v>
      </c>
      <c r="H3593" s="27" t="n">
        <f aca="false">IF(G3593="","",G3593^2)</f>
        <v>0.000526089908892985</v>
      </c>
      <c r="I3593" s="25" t="n">
        <f aca="false">IF(G3593="","",C3593/C3592-1)</f>
        <v>0.0232017175686223</v>
      </c>
      <c r="J3593" s="17" t="n">
        <f aca="false">AVERAGE(C3394:C3593)</f>
        <v>63546.46095</v>
      </c>
      <c r="K3593" s="17" t="n">
        <f aca="false">MAX(K3592,C3593)</f>
        <v>73098.48</v>
      </c>
      <c r="L3593" s="25" t="n">
        <f aca="false">C3593/K3593-1</f>
        <v>-0.0508594706757241</v>
      </c>
      <c r="M3593" s="25" t="n">
        <f aca="false">IF(COUNT(G3564:G3593)&lt;20,"",_xlfn.STDEV.S(G3564:G3593)*SQRT($R$3))</f>
        <v>0.376546372276836</v>
      </c>
      <c r="N3593" s="25" t="n">
        <f aca="false">IF(A3593-7&lt;$R$2,"",C3593/INDEX(Clean_Data!$C$2:$C$4314,MATCH(A3593-7,Clean_Data!$A$2:$A$4314,1))-1)</f>
        <v>-0.0459766226855243</v>
      </c>
      <c r="O3593" s="25" t="n">
        <f aca="false">IF(A3593-30&lt;$R$2,"",C3593/INDEX(Clean_Data!$C$2:$C$4314,MATCH(A3593-30,Clean_Data!$A$2:$A$4314,1))-1)</f>
        <v>0.104597676261716</v>
      </c>
    </row>
    <row r="3594" customFormat="false" ht="15" hidden="false" customHeight="false" outlineLevel="0" collapsed="false">
      <c r="A3594" s="16" t="n">
        <v>45601</v>
      </c>
      <c r="B3594" s="23" t="n">
        <f aca="false">YEAR(A3594)</f>
        <v>2024</v>
      </c>
      <c r="C3594" s="17" t="n">
        <v>75646.55</v>
      </c>
      <c r="D3594" s="23" t="n">
        <f aca="false">A3594-A3593</f>
        <v>1</v>
      </c>
      <c r="E3594" s="24" t="n">
        <f aca="false">LN(C3594)</f>
        <v>11.2338271134178</v>
      </c>
      <c r="F3594" s="25" t="n">
        <f aca="false">LN(C3594/C3593)</f>
        <v>0.0864626711852315</v>
      </c>
      <c r="G3594" s="25" t="n">
        <f aca="false">IF(AND(D3594=1,A3594&gt;=$R$2),F3594,"")</f>
        <v>0.0864626711852315</v>
      </c>
      <c r="H3594" s="27" t="n">
        <f aca="false">IF(G3594="","",G3594^2)</f>
        <v>0.00747579350848546</v>
      </c>
      <c r="I3594" s="25" t="n">
        <f aca="false">IF(G3594="","",C3594/C3593-1)</f>
        <v>0.0903106669532017</v>
      </c>
      <c r="J3594" s="17" t="n">
        <f aca="false">AVERAGE(C3395:C3594)</f>
        <v>63605.5112</v>
      </c>
      <c r="K3594" s="17" t="n">
        <f aca="false">MAX(K3593,C3594)</f>
        <v>75646.55</v>
      </c>
      <c r="L3594" s="25" t="n">
        <f aca="false">C3594/K3594-1</f>
        <v>0</v>
      </c>
      <c r="M3594" s="25" t="n">
        <f aca="false">IF(COUNT(G3565:G3594)&lt;20,"",_xlfn.STDEV.S(G3565:G3594)*SQRT($R$3))</f>
        <v>0.471974825013767</v>
      </c>
      <c r="N3594" s="25" t="n">
        <f aca="false">IF(A3594-7&lt;$R$2,"",C3594/INDEX(Clean_Data!$C$2:$C$4314,MATCH(A3594-7,Clean_Data!$A$2:$A$4314,1))-1)</f>
        <v>0.0459555623522339</v>
      </c>
      <c r="O3594" s="25" t="n">
        <f aca="false">IF(A3594-30&lt;$R$2,"",C3594/INDEX(Clean_Data!$C$2:$C$4314,MATCH(A3594-30,Clean_Data!$A$2:$A$4314,1))-1)</f>
        <v>0.216177001132471</v>
      </c>
    </row>
    <row r="3595" customFormat="false" ht="15" hidden="false" customHeight="false" outlineLevel="0" collapsed="false">
      <c r="A3595" s="16" t="n">
        <v>45602</v>
      </c>
      <c r="B3595" s="23" t="n">
        <f aca="false">YEAR(A3595)</f>
        <v>2024</v>
      </c>
      <c r="C3595" s="17" t="n">
        <v>75920</v>
      </c>
      <c r="D3595" s="23" t="n">
        <f aca="false">A3595-A3594</f>
        <v>1</v>
      </c>
      <c r="E3595" s="24" t="n">
        <f aca="false">LN(C3595)</f>
        <v>11.2374354332838</v>
      </c>
      <c r="F3595" s="25" t="n">
        <f aca="false">LN(C3595/C3594)</f>
        <v>0.0036083198659936</v>
      </c>
      <c r="G3595" s="25" t="n">
        <f aca="false">IF(AND(D3595=1,A3595&gt;=$R$2),F3595,"")</f>
        <v>0.0036083198659936</v>
      </c>
      <c r="H3595" s="27" t="n">
        <f aca="false">IF(G3595="","",G3595^2)</f>
        <v>1.3019972255324E-005</v>
      </c>
      <c r="I3595" s="25" t="n">
        <f aca="false">IF(G3595="","",C3595/C3594-1)</f>
        <v>0.0036148376892271</v>
      </c>
      <c r="J3595" s="17" t="n">
        <f aca="false">AVERAGE(C3396:C3595)</f>
        <v>63660.58145</v>
      </c>
      <c r="K3595" s="17" t="n">
        <f aca="false">MAX(K3594,C3595)</f>
        <v>75920</v>
      </c>
      <c r="L3595" s="25" t="n">
        <f aca="false">C3595/K3595-1</f>
        <v>0</v>
      </c>
      <c r="M3595" s="25" t="n">
        <f aca="false">IF(COUNT(G3566:G3595)&lt;20,"",_xlfn.STDEV.S(G3566:G3595)*SQRT($R$3))</f>
        <v>0.471269474376211</v>
      </c>
      <c r="N3595" s="25" t="n">
        <f aca="false">IF(A3595-7&lt;$R$2,"",C3595/INDEX(Clean_Data!$C$2:$C$4314,MATCH(A3595-7,Clean_Data!$A$2:$A$4314,1))-1)</f>
        <v>0.0815149129253709</v>
      </c>
      <c r="O3595" s="25" t="n">
        <f aca="false">IF(A3595-30&lt;$R$2,"",C3595/INDEX(Clean_Data!$C$2:$C$4314,MATCH(A3595-30,Clean_Data!$A$2:$A$4314,1))-1)</f>
        <v>0.22211093586461</v>
      </c>
    </row>
    <row r="3596" customFormat="false" ht="15" hidden="false" customHeight="false" outlineLevel="0" collapsed="false">
      <c r="A3596" s="16" t="n">
        <v>45603</v>
      </c>
      <c r="B3596" s="23" t="n">
        <f aca="false">YEAR(A3596)</f>
        <v>2024</v>
      </c>
      <c r="C3596" s="17" t="n">
        <v>76566.73</v>
      </c>
      <c r="D3596" s="23" t="n">
        <f aca="false">A3596-A3595</f>
        <v>1</v>
      </c>
      <c r="E3596" s="24" t="n">
        <f aca="false">LN(C3596)</f>
        <v>11.2459179271746</v>
      </c>
      <c r="F3596" s="25" t="n">
        <f aca="false">LN(C3596/C3595)</f>
        <v>0.00848249389079676</v>
      </c>
      <c r="G3596" s="25" t="n">
        <f aca="false">IF(AND(D3596=1,A3596&gt;=$R$2),F3596,"")</f>
        <v>0.00848249389079676</v>
      </c>
      <c r="H3596" s="27" t="n">
        <f aca="false">IF(G3596="","",G3596^2)</f>
        <v>7.19527026074044E-005</v>
      </c>
      <c r="I3596" s="25" t="n">
        <f aca="false">IF(G3596="","",C3596/C3595-1)</f>
        <v>0.0085185721812433</v>
      </c>
      <c r="J3596" s="17" t="n">
        <f aca="false">AVERAGE(C3397:C3596)</f>
        <v>63718.6616</v>
      </c>
      <c r="K3596" s="17" t="n">
        <f aca="false">MAX(K3595,C3596)</f>
        <v>76566.73</v>
      </c>
      <c r="L3596" s="25" t="n">
        <f aca="false">C3596/K3596-1</f>
        <v>0</v>
      </c>
      <c r="M3596" s="25" t="n">
        <f aca="false">IF(COUNT(G3567:G3596)&lt;20,"",_xlfn.STDEV.S(G3567:G3596)*SQRT($R$3))</f>
        <v>0.457047892359732</v>
      </c>
      <c r="N3596" s="25" t="n">
        <f aca="false">IF(A3596-7&lt;$R$2,"",C3596/INDEX(Clean_Data!$C$2:$C$4314,MATCH(A3596-7,Clean_Data!$A$2:$A$4314,1))-1)</f>
        <v>0.102198315207056</v>
      </c>
      <c r="O3596" s="25" t="n">
        <f aca="false">IF(A3596-30&lt;$R$2,"",C3596/INDEX(Clean_Data!$C$2:$C$4314,MATCH(A3596-30,Clean_Data!$A$2:$A$4314,1))-1)</f>
        <v>0.263930405419236</v>
      </c>
    </row>
    <row r="3597" customFormat="false" ht="15" hidden="false" customHeight="false" outlineLevel="0" collapsed="false">
      <c r="A3597" s="16" t="n">
        <v>45604</v>
      </c>
      <c r="B3597" s="23" t="n">
        <f aca="false">YEAR(A3597)</f>
        <v>2024</v>
      </c>
      <c r="C3597" s="17" t="n">
        <v>76716.06</v>
      </c>
      <c r="D3597" s="23" t="n">
        <f aca="false">A3597-A3596</f>
        <v>1</v>
      </c>
      <c r="E3597" s="24" t="n">
        <f aca="false">LN(C3597)</f>
        <v>11.2478663526599</v>
      </c>
      <c r="F3597" s="25" t="n">
        <f aca="false">LN(C3597/C3596)</f>
        <v>0.00194842548524278</v>
      </c>
      <c r="G3597" s="25" t="n">
        <f aca="false">IF(AND(D3597=1,A3597&gt;=$R$2),F3597,"")</f>
        <v>0.00194842548524278</v>
      </c>
      <c r="H3597" s="27" t="n">
        <f aca="false">IF(G3597="","",G3597^2)</f>
        <v>3.79636187154358E-006</v>
      </c>
      <c r="I3597" s="25" t="n">
        <f aca="false">IF(G3597="","",C3597/C3596-1)</f>
        <v>0.00195032489960068</v>
      </c>
      <c r="J3597" s="17" t="n">
        <f aca="false">AVERAGE(C3398:C3597)</f>
        <v>63768.09775</v>
      </c>
      <c r="K3597" s="17" t="n">
        <f aca="false">MAX(K3596,C3597)</f>
        <v>76716.06</v>
      </c>
      <c r="L3597" s="25" t="n">
        <f aca="false">C3597/K3597-1</f>
        <v>0</v>
      </c>
      <c r="M3597" s="25" t="n">
        <f aca="false">IF(COUNT(G3568:G3597)&lt;20,"",_xlfn.STDEV.S(G3568:G3597)*SQRT($R$3))</f>
        <v>0.455256448501042</v>
      </c>
      <c r="N3597" s="25" t="n">
        <f aca="false">IF(A3597-7&lt;$R$2,"",C3597/INDEX(Clean_Data!$C$2:$C$4314,MATCH(A3597-7,Clean_Data!$A$2:$A$4314,1))-1)</f>
        <v>0.106073132028834</v>
      </c>
      <c r="O3597" s="25" t="n">
        <f aca="false">IF(A3597-30&lt;$R$2,"",C3597/INDEX(Clean_Data!$C$2:$C$4314,MATCH(A3597-30,Clean_Data!$A$2:$A$4314,1))-1)</f>
        <v>0.272671834037193</v>
      </c>
    </row>
    <row r="3598" customFormat="false" ht="15" hidden="false" customHeight="false" outlineLevel="0" collapsed="false">
      <c r="A3598" s="16" t="n">
        <v>45605</v>
      </c>
      <c r="B3598" s="23" t="n">
        <f aca="false">YEAR(A3598)</f>
        <v>2024</v>
      </c>
      <c r="C3598" s="17" t="n">
        <v>80428.92</v>
      </c>
      <c r="D3598" s="23" t="n">
        <f aca="false">A3598-A3597</f>
        <v>1</v>
      </c>
      <c r="E3598" s="24" t="n">
        <f aca="false">LN(C3598)</f>
        <v>11.2951290919825</v>
      </c>
      <c r="F3598" s="25" t="n">
        <f aca="false">LN(C3598/C3597)</f>
        <v>0.0472627393226733</v>
      </c>
      <c r="G3598" s="25" t="n">
        <f aca="false">IF(AND(D3598=1,A3598&gt;=$R$2),F3598,"")</f>
        <v>0.0472627393226733</v>
      </c>
      <c r="H3598" s="27" t="n">
        <f aca="false">IF(G3598="","",G3598^2)</f>
        <v>0.00223376652828297</v>
      </c>
      <c r="I3598" s="25" t="n">
        <f aca="false">IF(G3598="","",C3598/C3597-1)</f>
        <v>0.0483974281265227</v>
      </c>
      <c r="J3598" s="17" t="n">
        <f aca="false">AVERAGE(C3399:C3598)</f>
        <v>63837.88085</v>
      </c>
      <c r="K3598" s="17" t="n">
        <f aca="false">MAX(K3597,C3598)</f>
        <v>80428.92</v>
      </c>
      <c r="L3598" s="25" t="n">
        <f aca="false">C3598/K3598-1</f>
        <v>0</v>
      </c>
      <c r="M3598" s="25" t="n">
        <f aca="false">IF(COUNT(G3569:G3598)&lt;20,"",_xlfn.STDEV.S(G3569:G3598)*SQRT($R$3))</f>
        <v>0.465185388987586</v>
      </c>
      <c r="N3598" s="25" t="n">
        <f aca="false">IF(A3598-7&lt;$R$2,"",C3598/INDEX(Clean_Data!$C$2:$C$4314,MATCH(A3598-7,Clean_Data!$A$2:$A$4314,1))-1)</f>
        <v>0.17007636803884</v>
      </c>
      <c r="O3598" s="25" t="n">
        <f aca="false">IF(A3598-30&lt;$R$2,"",C3598/INDEX(Clean_Data!$C$2:$C$4314,MATCH(A3598-30,Clean_Data!$A$2:$A$4314,1))-1)</f>
        <v>0.28647677696691</v>
      </c>
    </row>
    <row r="3599" customFormat="false" ht="15" hidden="false" customHeight="false" outlineLevel="0" collapsed="false">
      <c r="A3599" s="16" t="n">
        <v>45606</v>
      </c>
      <c r="B3599" s="23" t="n">
        <f aca="false">YEAR(A3599)</f>
        <v>2024</v>
      </c>
      <c r="C3599" s="17" t="n">
        <v>88770.73</v>
      </c>
      <c r="D3599" s="23" t="n">
        <f aca="false">A3599-A3598</f>
        <v>1</v>
      </c>
      <c r="E3599" s="24" t="n">
        <f aca="false">LN(C3599)</f>
        <v>11.3938122575275</v>
      </c>
      <c r="F3599" s="25" t="n">
        <f aca="false">LN(C3599/C3598)</f>
        <v>0.0986831655449597</v>
      </c>
      <c r="G3599" s="25" t="n">
        <f aca="false">IF(AND(D3599=1,A3599&gt;=$R$2),F3599,"")</f>
        <v>0.0986831655449597</v>
      </c>
      <c r="H3599" s="27" t="n">
        <f aca="false">IF(G3599="","",G3599^2)</f>
        <v>0.00973836716197392</v>
      </c>
      <c r="I3599" s="25" t="n">
        <f aca="false">IF(G3599="","",C3599/C3598-1)</f>
        <v>0.103716548724016</v>
      </c>
      <c r="J3599" s="17" t="n">
        <f aca="false">AVERAGE(C3400:C3599)</f>
        <v>63960.742</v>
      </c>
      <c r="K3599" s="17" t="n">
        <f aca="false">MAX(K3598,C3599)</f>
        <v>88770.73</v>
      </c>
      <c r="L3599" s="25" t="n">
        <f aca="false">C3599/K3599-1</f>
        <v>0</v>
      </c>
      <c r="M3599" s="25" t="n">
        <f aca="false">IF(COUNT(G3570:G3599)&lt;20,"",_xlfn.STDEV.S(G3570:G3599)*SQRT($R$3))</f>
        <v>0.561853919671453</v>
      </c>
      <c r="N3599" s="25" t="n">
        <f aca="false">IF(A3599-7&lt;$R$2,"",C3599/INDEX(Clean_Data!$C$2:$C$4314,MATCH(A3599-7,Clean_Data!$A$2:$A$4314,1))-1)</f>
        <v>0.309158370138516</v>
      </c>
      <c r="O3599" s="25" t="n">
        <f aca="false">IF(A3599-30&lt;$R$2,"",C3599/INDEX(Clean_Data!$C$2:$C$4314,MATCH(A3599-30,Clean_Data!$A$2:$A$4314,1))-1)</f>
        <v>0.404878688765352</v>
      </c>
    </row>
    <row r="3600" customFormat="false" ht="15" hidden="false" customHeight="false" outlineLevel="0" collapsed="false">
      <c r="A3600" s="16" t="n">
        <v>45607</v>
      </c>
      <c r="B3600" s="23" t="n">
        <f aca="false">YEAR(A3600)</f>
        <v>2024</v>
      </c>
      <c r="C3600" s="17" t="n">
        <v>88035.43</v>
      </c>
      <c r="D3600" s="23" t="n">
        <f aca="false">A3600-A3599</f>
        <v>1</v>
      </c>
      <c r="E3600" s="24" t="n">
        <f aca="false">LN(C3600)</f>
        <v>11.3854946260696</v>
      </c>
      <c r="F3600" s="25" t="n">
        <f aca="false">LN(C3600/C3599)</f>
        <v>-0.00831763145789729</v>
      </c>
      <c r="G3600" s="25" t="n">
        <f aca="false">IF(AND(D3600=1,A3600&gt;=$R$2),F3600,"")</f>
        <v>-0.00831763145789729</v>
      </c>
      <c r="H3600" s="27" t="n">
        <f aca="false">IF(G3600="","",G3600^2)</f>
        <v>6.91829930694027E-005</v>
      </c>
      <c r="I3600" s="25" t="n">
        <f aca="false">IF(G3600="","",C3600/C3599-1)</f>
        <v>-0.0082831356687052</v>
      </c>
      <c r="J3600" s="17" t="n">
        <f aca="false">AVERAGE(C3401:C3600)</f>
        <v>64078.36845</v>
      </c>
      <c r="K3600" s="17" t="n">
        <f aca="false">MAX(K3599,C3600)</f>
        <v>88770.73</v>
      </c>
      <c r="L3600" s="25" t="n">
        <f aca="false">C3600/K3600-1</f>
        <v>-0.0082831356687052</v>
      </c>
      <c r="M3600" s="25" t="n">
        <f aca="false">IF(COUNT(G3571:G3600)&lt;20,"",_xlfn.STDEV.S(G3571:G3600)*SQRT($R$3))</f>
        <v>0.563027279266466</v>
      </c>
      <c r="N3600" s="25" t="n">
        <f aca="false">IF(A3600-7&lt;$R$2,"",C3600/INDEX(Clean_Data!$C$2:$C$4314,MATCH(A3600-7,Clean_Data!$A$2:$A$4314,1))-1)</f>
        <v>0.268874369007072</v>
      </c>
      <c r="O3600" s="25" t="n">
        <f aca="false">IF(A3600-30&lt;$R$2,"",C3600/INDEX(Clean_Data!$C$2:$C$4314,MATCH(A3600-30,Clean_Data!$A$2:$A$4314,1))-1)</f>
        <v>0.400827587743236</v>
      </c>
    </row>
    <row r="3601" customFormat="false" ht="15" hidden="false" customHeight="false" outlineLevel="0" collapsed="false">
      <c r="A3601" s="16" t="n">
        <v>45608</v>
      </c>
      <c r="B3601" s="23" t="n">
        <f aca="false">YEAR(A3601)</f>
        <v>2024</v>
      </c>
      <c r="C3601" s="17" t="n">
        <v>90493.82</v>
      </c>
      <c r="D3601" s="23" t="n">
        <f aca="false">A3601-A3600</f>
        <v>1</v>
      </c>
      <c r="E3601" s="24" t="n">
        <f aca="false">LN(C3601)</f>
        <v>11.4130368400635</v>
      </c>
      <c r="F3601" s="25" t="n">
        <f aca="false">LN(C3601/C3600)</f>
        <v>0.027542213993932</v>
      </c>
      <c r="G3601" s="25" t="n">
        <f aca="false">IF(AND(D3601=1,A3601&gt;=$R$2),F3601,"")</f>
        <v>0.027542213993932</v>
      </c>
      <c r="H3601" s="27" t="n">
        <f aca="false">IF(G3601="","",G3601^2)</f>
        <v>0.000758573551687541</v>
      </c>
      <c r="I3601" s="25" t="n">
        <f aca="false">IF(G3601="","",C3601/C3600-1)</f>
        <v>0.0279250070113819</v>
      </c>
      <c r="J3601" s="17" t="n">
        <f aca="false">AVERAGE(C3402:C3601)</f>
        <v>64212.10095</v>
      </c>
      <c r="K3601" s="17" t="n">
        <f aca="false">MAX(K3600,C3601)</f>
        <v>90493.82</v>
      </c>
      <c r="L3601" s="25" t="n">
        <f aca="false">C3601/K3601-1</f>
        <v>0</v>
      </c>
      <c r="M3601" s="25" t="n">
        <f aca="false">IF(COUNT(G3572:G3601)&lt;20,"",_xlfn.STDEV.S(G3572:G3601)*SQRT($R$3))</f>
        <v>0.548861366999754</v>
      </c>
      <c r="N3601" s="25" t="n">
        <f aca="false">IF(A3601-7&lt;$R$2,"",C3601/INDEX(Clean_Data!$C$2:$C$4314,MATCH(A3601-7,Clean_Data!$A$2:$A$4314,1))-1)</f>
        <v>0.19627160789223</v>
      </c>
      <c r="O3601" s="25" t="n">
        <f aca="false">IF(A3601-30&lt;$R$2,"",C3601/INDEX(Clean_Data!$C$2:$C$4314,MATCH(A3601-30,Clean_Data!$A$2:$A$4314,1))-1)</f>
        <v>0.369755992713309</v>
      </c>
    </row>
    <row r="3602" customFormat="false" ht="15" hidden="false" customHeight="false" outlineLevel="0" collapsed="false">
      <c r="A3602" s="16" t="n">
        <v>45609</v>
      </c>
      <c r="B3602" s="23" t="n">
        <f aca="false">YEAR(A3602)</f>
        <v>2024</v>
      </c>
      <c r="C3602" s="17" t="n">
        <v>87340.4</v>
      </c>
      <c r="D3602" s="23" t="n">
        <f aca="false">A3602-A3601</f>
        <v>1</v>
      </c>
      <c r="E3602" s="24" t="n">
        <f aca="false">LN(C3602)</f>
        <v>11.3775684068321</v>
      </c>
      <c r="F3602" s="25" t="n">
        <f aca="false">LN(C3602/C3601)</f>
        <v>-0.0354684332313835</v>
      </c>
      <c r="G3602" s="25" t="n">
        <f aca="false">IF(AND(D3602=1,A3602&gt;=$R$2),F3602,"")</f>
        <v>-0.0354684332313835</v>
      </c>
      <c r="H3602" s="27" t="n">
        <f aca="false">IF(G3602="","",G3602^2)</f>
        <v>0.00125800975588911</v>
      </c>
      <c r="I3602" s="25" t="n">
        <f aca="false">IF(G3602="","",C3602/C3601-1)</f>
        <v>-0.034846799483103</v>
      </c>
      <c r="J3602" s="17" t="n">
        <f aca="false">AVERAGE(C3403:C3602)</f>
        <v>64331.57555</v>
      </c>
      <c r="K3602" s="17" t="n">
        <f aca="false">MAX(K3601,C3602)</f>
        <v>90493.82</v>
      </c>
      <c r="L3602" s="25" t="n">
        <f aca="false">C3602/K3602-1</f>
        <v>-0.034846799483103</v>
      </c>
      <c r="M3602" s="25" t="n">
        <f aca="false">IF(COUNT(G3573:G3602)&lt;20,"",_xlfn.STDEV.S(G3573:G3602)*SQRT($R$3))</f>
        <v>0.571421855989418</v>
      </c>
      <c r="N3602" s="25" t="n">
        <f aca="false">IF(A3602-7&lt;$R$2,"",C3602/INDEX(Clean_Data!$C$2:$C$4314,MATCH(A3602-7,Clean_Data!$A$2:$A$4314,1))-1)</f>
        <v>0.150426765015806</v>
      </c>
      <c r="O3602" s="25" t="n">
        <f aca="false">IF(A3602-30&lt;$R$2,"",C3602/INDEX(Clean_Data!$C$2:$C$4314,MATCH(A3602-30,Clean_Data!$A$2:$A$4314,1))-1)</f>
        <v>0.302487749155191</v>
      </c>
    </row>
    <row r="3603" customFormat="false" ht="15" hidden="false" customHeight="false" outlineLevel="0" collapsed="false">
      <c r="A3603" s="16" t="n">
        <v>45610</v>
      </c>
      <c r="B3603" s="23" t="n">
        <f aca="false">YEAR(A3603)</f>
        <v>2024</v>
      </c>
      <c r="C3603" s="17" t="n">
        <v>91058.36</v>
      </c>
      <c r="D3603" s="23" t="n">
        <f aca="false">A3603-A3602</f>
        <v>1</v>
      </c>
      <c r="E3603" s="24" t="n">
        <f aca="false">LN(C3603)</f>
        <v>11.4192558986234</v>
      </c>
      <c r="F3603" s="25" t="n">
        <f aca="false">LN(C3603/C3602)</f>
        <v>0.0416874917912276</v>
      </c>
      <c r="G3603" s="25" t="n">
        <f aca="false">IF(AND(D3603=1,A3603&gt;=$R$2),F3603,"")</f>
        <v>0.0416874917912276</v>
      </c>
      <c r="H3603" s="27" t="n">
        <f aca="false">IF(G3603="","",G3603^2)</f>
        <v>0.00173784697184367</v>
      </c>
      <c r="I3603" s="25" t="n">
        <f aca="false">IF(G3603="","",C3603/C3602-1)</f>
        <v>0.042568616585223</v>
      </c>
      <c r="J3603" s="17" t="n">
        <f aca="false">AVERAGE(C3404:C3603)</f>
        <v>64471.911</v>
      </c>
      <c r="K3603" s="17" t="n">
        <f aca="false">MAX(K3602,C3603)</f>
        <v>91058.36</v>
      </c>
      <c r="L3603" s="25" t="n">
        <f aca="false">C3603/K3603-1</f>
        <v>0</v>
      </c>
      <c r="M3603" s="25" t="n">
        <f aca="false">IF(COUNT(G3574:G3603)&lt;20,"",_xlfn.STDEV.S(G3574:G3603)*SQRT($R$3))</f>
        <v>0.582797621221836</v>
      </c>
      <c r="N3603" s="25" t="n">
        <f aca="false">IF(A3603-7&lt;$R$2,"",C3603/INDEX(Clean_Data!$C$2:$C$4314,MATCH(A3603-7,Clean_Data!$A$2:$A$4314,1))-1)</f>
        <v>0.18926797579053</v>
      </c>
      <c r="O3603" s="25" t="n">
        <f aca="false">IF(A3603-30&lt;$R$2,"",C3603/INDEX(Clean_Data!$C$2:$C$4314,MATCH(A3603-30,Clean_Data!$A$2:$A$4314,1))-1)</f>
        <v>0.346849002875972</v>
      </c>
    </row>
    <row r="3604" customFormat="false" ht="15" hidden="false" customHeight="false" outlineLevel="0" collapsed="false">
      <c r="A3604" s="16" t="n">
        <v>45611</v>
      </c>
      <c r="B3604" s="23" t="n">
        <f aca="false">YEAR(A3604)</f>
        <v>2024</v>
      </c>
      <c r="C3604" s="17" t="n">
        <v>90636.24</v>
      </c>
      <c r="D3604" s="23" t="n">
        <f aca="false">A3604-A3603</f>
        <v>1</v>
      </c>
      <c r="E3604" s="24" t="n">
        <f aca="false">LN(C3604)</f>
        <v>11.4146094120524</v>
      </c>
      <c r="F3604" s="25" t="n">
        <f aca="false">LN(C3604/C3603)</f>
        <v>-0.00464648657096286</v>
      </c>
      <c r="G3604" s="25" t="n">
        <f aca="false">IF(AND(D3604=1,A3604&gt;=$R$2),F3604,"")</f>
        <v>-0.00464648657096286</v>
      </c>
      <c r="H3604" s="27" t="n">
        <f aca="false">IF(G3604="","",G3604^2)</f>
        <v>2.15898374541382E-005</v>
      </c>
      <c r="I3604" s="25" t="n">
        <f aca="false">IF(G3604="","",C3604/C3603-1)</f>
        <v>-0.00463570835231375</v>
      </c>
      <c r="J3604" s="17" t="n">
        <f aca="false">AVERAGE(C3405:C3604)</f>
        <v>64606.0702</v>
      </c>
      <c r="K3604" s="17" t="n">
        <f aca="false">MAX(K3603,C3604)</f>
        <v>91058.36</v>
      </c>
      <c r="L3604" s="25" t="n">
        <f aca="false">C3604/K3604-1</f>
        <v>-0.00463570835231375</v>
      </c>
      <c r="M3604" s="25" t="n">
        <f aca="false">IF(COUNT(G3575:G3604)&lt;20,"",_xlfn.STDEV.S(G3575:G3604)*SQRT($R$3))</f>
        <v>0.583270502244793</v>
      </c>
      <c r="N3604" s="25" t="n">
        <f aca="false">IF(A3604-7&lt;$R$2,"",C3604/INDEX(Clean_Data!$C$2:$C$4314,MATCH(A3604-7,Clean_Data!$A$2:$A$4314,1))-1)</f>
        <v>0.181450663655042</v>
      </c>
      <c r="O3604" s="25" t="n">
        <f aca="false">IF(A3604-30&lt;$R$2,"",C3604/INDEX(Clean_Data!$C$2:$C$4314,MATCH(A3604-30,Clean_Data!$A$2:$A$4314,1))-1)</f>
        <v>0.344704849224055</v>
      </c>
    </row>
    <row r="3605" customFormat="false" ht="15" hidden="false" customHeight="false" outlineLevel="0" collapsed="false">
      <c r="A3605" s="16" t="n">
        <v>45612</v>
      </c>
      <c r="B3605" s="23" t="n">
        <f aca="false">YEAR(A3605)</f>
        <v>2024</v>
      </c>
      <c r="C3605" s="17" t="n">
        <v>89886.69</v>
      </c>
      <c r="D3605" s="23" t="n">
        <f aca="false">A3605-A3604</f>
        <v>1</v>
      </c>
      <c r="E3605" s="24" t="n">
        <f aca="false">LN(C3605)</f>
        <v>11.4063051561061</v>
      </c>
      <c r="F3605" s="25" t="n">
        <f aca="false">LN(C3605/C3604)</f>
        <v>-0.00830425594632993</v>
      </c>
      <c r="G3605" s="25" t="n">
        <f aca="false">IF(AND(D3605=1,A3605&gt;=$R$2),F3605,"")</f>
        <v>-0.00830425594632993</v>
      </c>
      <c r="H3605" s="27" t="n">
        <f aca="false">IF(G3605="","",G3605^2)</f>
        <v>6.8960666822156E-005</v>
      </c>
      <c r="I3605" s="25" t="n">
        <f aca="false">IF(G3605="","",C3605/C3604-1)</f>
        <v>-0.00826987085960318</v>
      </c>
      <c r="J3605" s="17" t="n">
        <f aca="false">AVERAGE(C3406:C3605)</f>
        <v>64752.04965</v>
      </c>
      <c r="K3605" s="17" t="n">
        <f aca="false">MAX(K3604,C3605)</f>
        <v>91058.36</v>
      </c>
      <c r="L3605" s="25" t="n">
        <f aca="false">C3605/K3605-1</f>
        <v>-0.0128672425025006</v>
      </c>
      <c r="M3605" s="25" t="n">
        <f aca="false">IF(COUNT(G3576:G3605)&lt;20,"",_xlfn.STDEV.S(G3576:G3605)*SQRT($R$3))</f>
        <v>0.586338575201561</v>
      </c>
      <c r="N3605" s="25" t="n">
        <f aca="false">IF(A3605-7&lt;$R$2,"",C3605/INDEX(Clean_Data!$C$2:$C$4314,MATCH(A3605-7,Clean_Data!$A$2:$A$4314,1))-1)</f>
        <v>0.11759165732923</v>
      </c>
      <c r="O3605" s="25" t="n">
        <f aca="false">IF(A3605-30&lt;$R$2,"",C3605/INDEX(Clean_Data!$C$2:$C$4314,MATCH(A3605-30,Clean_Data!$A$2:$A$4314,1))-1)</f>
        <v>0.313631448580082</v>
      </c>
    </row>
    <row r="3606" customFormat="false" ht="15" hidden="false" customHeight="false" outlineLevel="0" collapsed="false">
      <c r="A3606" s="16" t="n">
        <v>45613</v>
      </c>
      <c r="B3606" s="23" t="n">
        <f aca="false">YEAR(A3606)</f>
        <v>2024</v>
      </c>
      <c r="C3606" s="17" t="n">
        <v>90520.3</v>
      </c>
      <c r="D3606" s="23" t="n">
        <f aca="false">A3606-A3605</f>
        <v>1</v>
      </c>
      <c r="E3606" s="24" t="n">
        <f aca="false">LN(C3606)</f>
        <v>11.4133294139267</v>
      </c>
      <c r="F3606" s="25" t="n">
        <f aca="false">LN(C3606/C3605)</f>
        <v>0.00702425782062473</v>
      </c>
      <c r="G3606" s="25" t="n">
        <f aca="false">IF(AND(D3606=1,A3606&gt;=$R$2),F3606,"")</f>
        <v>0.00702425782062473</v>
      </c>
      <c r="H3606" s="27" t="n">
        <f aca="false">IF(G3606="","",G3606^2)</f>
        <v>4.93401979306077E-005</v>
      </c>
      <c r="I3606" s="25" t="n">
        <f aca="false">IF(G3606="","",C3606/C3605-1)</f>
        <v>0.00704898578421354</v>
      </c>
      <c r="J3606" s="17" t="n">
        <f aca="false">AVERAGE(C3407:C3606)</f>
        <v>64913.2607</v>
      </c>
      <c r="K3606" s="17" t="n">
        <f aca="false">MAX(K3605,C3606)</f>
        <v>91058.36</v>
      </c>
      <c r="L3606" s="25" t="n">
        <f aca="false">C3606/K3606-1</f>
        <v>-0.00590895772776934</v>
      </c>
      <c r="M3606" s="25" t="n">
        <f aca="false">IF(COUNT(G3577:G3606)&lt;20,"",_xlfn.STDEV.S(G3577:G3606)*SQRT($R$3))</f>
        <v>0.585286626701572</v>
      </c>
      <c r="N3606" s="25" t="n">
        <f aca="false">IF(A3606-7&lt;$R$2,"",C3606/INDEX(Clean_Data!$C$2:$C$4314,MATCH(A3606-7,Clean_Data!$A$2:$A$4314,1))-1)</f>
        <v>0.0197088612428895</v>
      </c>
      <c r="O3606" s="25" t="n">
        <f aca="false">IF(A3606-30&lt;$R$2,"",C3606/INDEX(Clean_Data!$C$2:$C$4314,MATCH(A3606-30,Clean_Data!$A$2:$A$4314,1))-1)</f>
        <v>0.324098319386611</v>
      </c>
    </row>
    <row r="3607" customFormat="false" ht="15" hidden="false" customHeight="false" outlineLevel="0" collapsed="false">
      <c r="A3607" s="16" t="n">
        <v>45614</v>
      </c>
      <c r="B3607" s="23" t="n">
        <f aca="false">YEAR(A3607)</f>
        <v>2024</v>
      </c>
      <c r="C3607" s="17" t="n">
        <v>92435.89</v>
      </c>
      <c r="D3607" s="23" t="n">
        <f aca="false">A3607-A3606</f>
        <v>1</v>
      </c>
      <c r="E3607" s="24" t="n">
        <f aca="false">LN(C3607)</f>
        <v>11.4342706021277</v>
      </c>
      <c r="F3607" s="25" t="n">
        <f aca="false">LN(C3607/C3606)</f>
        <v>0.0209411882010164</v>
      </c>
      <c r="G3607" s="25" t="n">
        <f aca="false">IF(AND(D3607=1,A3607&gt;=$R$2),F3607,"")</f>
        <v>0.0209411882010164</v>
      </c>
      <c r="H3607" s="27" t="n">
        <f aca="false">IF(G3607="","",G3607^2)</f>
        <v>0.000438533363270389</v>
      </c>
      <c r="I3607" s="25" t="n">
        <f aca="false">IF(G3607="","",C3607/C3606-1)</f>
        <v>0.0211619934975911</v>
      </c>
      <c r="J3607" s="17" t="n">
        <f aca="false">AVERAGE(C3408:C3607)</f>
        <v>65080.0841</v>
      </c>
      <c r="K3607" s="17" t="n">
        <f aca="false">MAX(K3606,C3607)</f>
        <v>92435.89</v>
      </c>
      <c r="L3607" s="25" t="n">
        <f aca="false">C3607/K3607-1</f>
        <v>0</v>
      </c>
      <c r="M3607" s="25" t="n">
        <f aca="false">IF(COUNT(G3578:G3607)&lt;20,"",_xlfn.STDEV.S(G3578:G3607)*SQRT($R$3))</f>
        <v>0.586680413994768</v>
      </c>
      <c r="N3607" s="25" t="n">
        <f aca="false">IF(A3607-7&lt;$R$2,"",C3607/INDEX(Clean_Data!$C$2:$C$4314,MATCH(A3607-7,Clean_Data!$A$2:$A$4314,1))-1)</f>
        <v>0.0499851025888101</v>
      </c>
      <c r="O3607" s="25" t="n">
        <f aca="false">IF(A3607-30&lt;$R$2,"",C3607/INDEX(Clean_Data!$C$2:$C$4314,MATCH(A3607-30,Clean_Data!$A$2:$A$4314,1))-1)</f>
        <v>0.339362131575722</v>
      </c>
    </row>
    <row r="3608" customFormat="false" ht="15" hidden="false" customHeight="false" outlineLevel="0" collapsed="false">
      <c r="A3608" s="16" t="n">
        <v>45615</v>
      </c>
      <c r="B3608" s="23" t="n">
        <f aca="false">YEAR(A3608)</f>
        <v>2024</v>
      </c>
      <c r="C3608" s="17" t="n">
        <v>94393.15</v>
      </c>
      <c r="D3608" s="23" t="n">
        <f aca="false">A3608-A3607</f>
        <v>1</v>
      </c>
      <c r="E3608" s="24" t="n">
        <f aca="false">LN(C3608)</f>
        <v>11.4552237859414</v>
      </c>
      <c r="F3608" s="25" t="n">
        <f aca="false">LN(C3608/C3607)</f>
        <v>0.0209531838136987</v>
      </c>
      <c r="G3608" s="25" t="n">
        <f aca="false">IF(AND(D3608=1,A3608&gt;=$R$2),F3608,"")</f>
        <v>0.0209531838136987</v>
      </c>
      <c r="H3608" s="27" t="n">
        <f aca="false">IF(G3608="","",G3608^2)</f>
        <v>0.000439035911930646</v>
      </c>
      <c r="I3608" s="25" t="n">
        <f aca="false">IF(G3608="","",C3608/C3607-1)</f>
        <v>0.0211742430348212</v>
      </c>
      <c r="J3608" s="17" t="n">
        <f aca="false">AVERAGE(C3409:C3608)</f>
        <v>65237.77055</v>
      </c>
      <c r="K3608" s="17" t="n">
        <f aca="false">MAX(K3607,C3608)</f>
        <v>94393.15</v>
      </c>
      <c r="L3608" s="25" t="n">
        <f aca="false">C3608/K3608-1</f>
        <v>0</v>
      </c>
      <c r="M3608" s="25" t="n">
        <f aca="false">IF(COUNT(G3579:G3608)&lt;20,"",_xlfn.STDEV.S(G3579:G3608)*SQRT($R$3))</f>
        <v>0.574609113693033</v>
      </c>
      <c r="N3608" s="25" t="n">
        <f aca="false">IF(A3608-7&lt;$R$2,"",C3608/INDEX(Clean_Data!$C$2:$C$4314,MATCH(A3608-7,Clean_Data!$A$2:$A$4314,1))-1)</f>
        <v>0.0430894617997117</v>
      </c>
      <c r="O3608" s="25" t="n">
        <f aca="false">IF(A3608-30&lt;$R$2,"",C3608/INDEX(Clean_Data!$C$2:$C$4314,MATCH(A3608-30,Clean_Data!$A$2:$A$4314,1))-1)</f>
        <v>0.401611673421569</v>
      </c>
    </row>
    <row r="3609" customFormat="false" ht="15" hidden="false" customHeight="false" outlineLevel="0" collapsed="false">
      <c r="A3609" s="16" t="n">
        <v>45616</v>
      </c>
      <c r="B3609" s="23" t="n">
        <f aca="false">YEAR(A3609)</f>
        <v>2024</v>
      </c>
      <c r="C3609" s="17" t="n">
        <v>98439.09</v>
      </c>
      <c r="D3609" s="23" t="n">
        <f aca="false">A3609-A3608</f>
        <v>1</v>
      </c>
      <c r="E3609" s="24" t="n">
        <f aca="false">LN(C3609)</f>
        <v>11.4971932602526</v>
      </c>
      <c r="F3609" s="25" t="n">
        <f aca="false">LN(C3609/C3608)</f>
        <v>0.0419694743111858</v>
      </c>
      <c r="G3609" s="25" t="n">
        <f aca="false">IF(AND(D3609=1,A3609&gt;=$R$2),F3609,"")</f>
        <v>0.0419694743111858</v>
      </c>
      <c r="H3609" s="27" t="n">
        <f aca="false">IF(G3609="","",G3609^2)</f>
        <v>0.00176143677395728</v>
      </c>
      <c r="I3609" s="25" t="n">
        <f aca="false">IF(G3609="","",C3609/C3608-1)</f>
        <v>0.0428626441643276</v>
      </c>
      <c r="J3609" s="17" t="n">
        <f aca="false">AVERAGE(C3410:C3609)</f>
        <v>65409.99465</v>
      </c>
      <c r="K3609" s="17" t="n">
        <f aca="false">MAX(K3608,C3609)</f>
        <v>98439.09</v>
      </c>
      <c r="L3609" s="25" t="n">
        <f aca="false">C3609/K3609-1</f>
        <v>0</v>
      </c>
      <c r="M3609" s="25" t="n">
        <f aca="false">IF(COUNT(G3580:G3609)&lt;20,"",_xlfn.STDEV.S(G3580:G3609)*SQRT($R$3))</f>
        <v>0.582987077528884</v>
      </c>
      <c r="N3609" s="25" t="n">
        <f aca="false">IF(A3609-7&lt;$R$2,"",C3609/INDEX(Clean_Data!$C$2:$C$4314,MATCH(A3609-7,Clean_Data!$A$2:$A$4314,1))-1)</f>
        <v>0.127073954321253</v>
      </c>
      <c r="O3609" s="25" t="n">
        <f aca="false">IF(A3609-30&lt;$R$2,"",C3609/INDEX(Clean_Data!$C$2:$C$4314,MATCH(A3609-30,Clean_Data!$A$2:$A$4314,1))-1)</f>
        <v>0.460952406111717</v>
      </c>
    </row>
    <row r="3610" customFormat="false" ht="15" hidden="false" customHeight="false" outlineLevel="0" collapsed="false">
      <c r="A3610" s="16" t="n">
        <v>45617</v>
      </c>
      <c r="B3610" s="23" t="n">
        <f aca="false">YEAR(A3610)</f>
        <v>2024</v>
      </c>
      <c r="C3610" s="17" t="n">
        <v>99024.03</v>
      </c>
      <c r="D3610" s="23" t="n">
        <f aca="false">A3610-A3609</f>
        <v>1</v>
      </c>
      <c r="E3610" s="24" t="n">
        <f aca="false">LN(C3610)</f>
        <v>11.503117826936</v>
      </c>
      <c r="F3610" s="25" t="n">
        <f aca="false">LN(C3610/C3609)</f>
        <v>0.00592456668336249</v>
      </c>
      <c r="G3610" s="25" t="n">
        <f aca="false">IF(AND(D3610=1,A3610&gt;=$R$2),F3610,"")</f>
        <v>0.00592456668336249</v>
      </c>
      <c r="H3610" s="27" t="n">
        <f aca="false">IF(G3610="","",G3610^2)</f>
        <v>3.51004903856088E-005</v>
      </c>
      <c r="I3610" s="25" t="n">
        <f aca="false">IF(G3610="","",C3610/C3609-1)</f>
        <v>0.00594215163915068</v>
      </c>
      <c r="J3610" s="17" t="n">
        <f aca="false">AVERAGE(C3411:C3610)</f>
        <v>65584.8221</v>
      </c>
      <c r="K3610" s="17" t="n">
        <f aca="false">MAX(K3609,C3610)</f>
        <v>99024.03</v>
      </c>
      <c r="L3610" s="25" t="n">
        <f aca="false">C3610/K3610-1</f>
        <v>0</v>
      </c>
      <c r="M3610" s="25" t="n">
        <f aca="false">IF(COUNT(G3581:G3610)&lt;20,"",_xlfn.STDEV.S(G3581:G3610)*SQRT($R$3))</f>
        <v>0.576976027176207</v>
      </c>
      <c r="N3610" s="25" t="n">
        <f aca="false">IF(A3610-7&lt;$R$2,"",C3610/INDEX(Clean_Data!$C$2:$C$4314,MATCH(A3610-7,Clean_Data!$A$2:$A$4314,1))-1)</f>
        <v>0.0874787334188756</v>
      </c>
      <c r="O3610" s="25" t="n">
        <f aca="false">IF(A3610-30&lt;$R$2,"",C3610/INDEX(Clean_Data!$C$2:$C$4314,MATCH(A3610-30,Clean_Data!$A$2:$A$4314,1))-1)</f>
        <v>0.486822516922015</v>
      </c>
    </row>
    <row r="3611" customFormat="false" ht="15" hidden="false" customHeight="false" outlineLevel="0" collapsed="false">
      <c r="A3611" s="16" t="n">
        <v>45618</v>
      </c>
      <c r="B3611" s="23" t="n">
        <f aca="false">YEAR(A3611)</f>
        <v>2024</v>
      </c>
      <c r="C3611" s="17" t="n">
        <v>97778.77</v>
      </c>
      <c r="D3611" s="23" t="n">
        <f aca="false">A3611-A3610</f>
        <v>1</v>
      </c>
      <c r="E3611" s="24" t="n">
        <f aca="false">LN(C3611)</f>
        <v>11.490462756794</v>
      </c>
      <c r="F3611" s="25" t="n">
        <f aca="false">LN(C3611/C3610)</f>
        <v>-0.012655070142001</v>
      </c>
      <c r="G3611" s="25" t="n">
        <f aca="false">IF(AND(D3611=1,A3611&gt;=$R$2),F3611,"")</f>
        <v>-0.012655070142001</v>
      </c>
      <c r="H3611" s="27" t="n">
        <f aca="false">IF(G3611="","",G3611^2)</f>
        <v>0.000160150800298966</v>
      </c>
      <c r="I3611" s="25" t="n">
        <f aca="false">IF(G3611="","",C3611/C3610-1)</f>
        <v>-0.0125753314624742</v>
      </c>
      <c r="J3611" s="17" t="n">
        <f aca="false">AVERAGE(C3412:C3611)</f>
        <v>65757.9876</v>
      </c>
      <c r="K3611" s="17" t="n">
        <f aca="false">MAX(K3610,C3611)</f>
        <v>99024.03</v>
      </c>
      <c r="L3611" s="25" t="n">
        <f aca="false">C3611/K3611-1</f>
        <v>-0.0125753314624742</v>
      </c>
      <c r="M3611" s="25" t="n">
        <f aca="false">IF(COUNT(G3582:G3611)&lt;20,"",_xlfn.STDEV.S(G3582:G3611)*SQRT($R$3))</f>
        <v>0.582723816054794</v>
      </c>
      <c r="N3611" s="25" t="n">
        <f aca="false">IF(A3611-7&lt;$R$2,"",C3611/INDEX(Clean_Data!$C$2:$C$4314,MATCH(A3611-7,Clean_Data!$A$2:$A$4314,1))-1)</f>
        <v>0.0788043502245901</v>
      </c>
      <c r="O3611" s="25" t="n">
        <f aca="false">IF(A3611-30&lt;$R$2,"",C3611/INDEX(Clean_Data!$C$2:$C$4314,MATCH(A3611-30,Clean_Data!$A$2:$A$4314,1))-1)</f>
        <v>0.43461419279415</v>
      </c>
    </row>
    <row r="3612" customFormat="false" ht="15" hidden="false" customHeight="false" outlineLevel="0" collapsed="false">
      <c r="A3612" s="16" t="n">
        <v>45619</v>
      </c>
      <c r="B3612" s="23" t="n">
        <f aca="false">YEAR(A3612)</f>
        <v>2024</v>
      </c>
      <c r="C3612" s="17" t="n">
        <v>98028.18</v>
      </c>
      <c r="D3612" s="23" t="n">
        <f aca="false">A3612-A3611</f>
        <v>1</v>
      </c>
      <c r="E3612" s="24" t="n">
        <f aca="false">LN(C3612)</f>
        <v>11.4930102673382</v>
      </c>
      <c r="F3612" s="25" t="n">
        <f aca="false">LN(C3612/C3611)</f>
        <v>0.00254751054429131</v>
      </c>
      <c r="G3612" s="25" t="n">
        <f aca="false">IF(AND(D3612=1,A3612&gt;=$R$2),F3612,"")</f>
        <v>0.00254751054429131</v>
      </c>
      <c r="H3612" s="27" t="n">
        <f aca="false">IF(G3612="","",G3612^2)</f>
        <v>6.48980997327538E-006</v>
      </c>
      <c r="I3612" s="25" t="n">
        <f aca="false">IF(G3612="","",C3612/C3611-1)</f>
        <v>0.0025507582065103</v>
      </c>
      <c r="J3612" s="17" t="n">
        <f aca="false">AVERAGE(C3413:C3612)</f>
        <v>65936.4084</v>
      </c>
      <c r="K3612" s="17" t="n">
        <f aca="false">MAX(K3611,C3612)</f>
        <v>99024.03</v>
      </c>
      <c r="L3612" s="25" t="n">
        <f aca="false">C3612/K3612-1</f>
        <v>-0.0100566498858914</v>
      </c>
      <c r="M3612" s="25" t="n">
        <f aca="false">IF(COUNT(G3583:G3612)&lt;20,"",_xlfn.STDEV.S(G3583:G3612)*SQRT($R$3))</f>
        <v>0.569558710834215</v>
      </c>
      <c r="N3612" s="25" t="n">
        <f aca="false">IF(A3612-7&lt;$R$2,"",C3612/INDEX(Clean_Data!$C$2:$C$4314,MATCH(A3612-7,Clean_Data!$A$2:$A$4314,1))-1)</f>
        <v>0.0905750339677653</v>
      </c>
      <c r="O3612" s="25" t="n">
        <f aca="false">IF(A3612-30&lt;$R$2,"",C3612/INDEX(Clean_Data!$C$2:$C$4314,MATCH(A3612-30,Clean_Data!$A$2:$A$4314,1))-1)</f>
        <v>0.47267936021763</v>
      </c>
    </row>
    <row r="3613" customFormat="false" ht="15" hidden="false" customHeight="false" outlineLevel="0" collapsed="false">
      <c r="A3613" s="16" t="n">
        <v>45620</v>
      </c>
      <c r="B3613" s="23" t="n">
        <f aca="false">YEAR(A3613)</f>
        <v>2024</v>
      </c>
      <c r="C3613" s="17" t="n">
        <v>93000.01</v>
      </c>
      <c r="D3613" s="23" t="n">
        <f aca="false">A3613-A3612</f>
        <v>1</v>
      </c>
      <c r="E3613" s="24" t="n">
        <f aca="false">LN(C3613)</f>
        <v>11.4403548796623</v>
      </c>
      <c r="F3613" s="25" t="n">
        <f aca="false">LN(C3613/C3612)</f>
        <v>-0.0526553876759773</v>
      </c>
      <c r="G3613" s="25" t="n">
        <f aca="false">IF(AND(D3613=1,A3613&gt;=$R$2),F3613,"")</f>
        <v>-0.0526553876759773</v>
      </c>
      <c r="H3613" s="27" t="n">
        <f aca="false">IF(G3613="","",G3613^2)</f>
        <v>0.00277258985130746</v>
      </c>
      <c r="I3613" s="25" t="n">
        <f aca="false">IF(G3613="","",C3613/C3612-1)</f>
        <v>-0.0512931077573816</v>
      </c>
      <c r="J3613" s="17" t="n">
        <f aca="false">AVERAGE(C3414:C3613)</f>
        <v>66095.624</v>
      </c>
      <c r="K3613" s="17" t="n">
        <f aca="false">MAX(K3612,C3613)</f>
        <v>99024.03</v>
      </c>
      <c r="L3613" s="25" t="n">
        <f aca="false">C3613/K3613-1</f>
        <v>-0.0608339208169977</v>
      </c>
      <c r="M3613" s="25" t="n">
        <f aca="false">IF(COUNT(G3584:G3613)&lt;20,"",_xlfn.STDEV.S(G3584:G3613)*SQRT($R$3))</f>
        <v>0.61362011065324</v>
      </c>
      <c r="N3613" s="25" t="n">
        <f aca="false">IF(A3613-7&lt;$R$2,"",C3613/INDEX(Clean_Data!$C$2:$C$4314,MATCH(A3613-7,Clean_Data!$A$2:$A$4314,1))-1)</f>
        <v>0.027393965773423</v>
      </c>
      <c r="O3613" s="25" t="n">
        <f aca="false">IF(A3613-30&lt;$R$2,"",C3613/INDEX(Clean_Data!$C$2:$C$4314,MATCH(A3613-30,Clean_Data!$A$2:$A$4314,1))-1)</f>
        <v>0.387799690087948</v>
      </c>
    </row>
    <row r="3614" customFormat="false" ht="15" hidden="false" customHeight="false" outlineLevel="0" collapsed="false">
      <c r="A3614" s="16" t="n">
        <v>45621</v>
      </c>
      <c r="B3614" s="23" t="n">
        <f aca="false">YEAR(A3614)</f>
        <v>2024</v>
      </c>
      <c r="C3614" s="17" t="n">
        <v>91929.54</v>
      </c>
      <c r="D3614" s="23" t="n">
        <f aca="false">A3614-A3613</f>
        <v>1</v>
      </c>
      <c r="E3614" s="24" t="n">
        <f aca="false">LN(C3614)</f>
        <v>11.428777693038</v>
      </c>
      <c r="F3614" s="25" t="n">
        <f aca="false">LN(C3614/C3613)</f>
        <v>-0.0115771866242323</v>
      </c>
      <c r="G3614" s="25" t="n">
        <f aca="false">IF(AND(D3614=1,A3614&gt;=$R$2),F3614,"")</f>
        <v>-0.0115771866242323</v>
      </c>
      <c r="H3614" s="27" t="n">
        <f aca="false">IF(G3614="","",G3614^2)</f>
        <v>0.000134031250132303</v>
      </c>
      <c r="I3614" s="25" t="n">
        <f aca="false">IF(G3614="","",C3614/C3613-1)</f>
        <v>-0.0115104288698463</v>
      </c>
      <c r="J3614" s="17" t="n">
        <f aca="false">AVERAGE(C3415:C3614)</f>
        <v>66239.8286</v>
      </c>
      <c r="K3614" s="17" t="n">
        <f aca="false">MAX(K3613,C3614)</f>
        <v>99024.03</v>
      </c>
      <c r="L3614" s="25" t="n">
        <f aca="false">C3614/K3614-1</f>
        <v>-0.0716441251684061</v>
      </c>
      <c r="M3614" s="25" t="n">
        <f aca="false">IF(COUNT(G3585:G3614)&lt;20,"",_xlfn.STDEV.S(G3585:G3614)*SQRT($R$3))</f>
        <v>0.618488918662914</v>
      </c>
      <c r="N3614" s="25" t="n">
        <f aca="false">IF(A3614-7&lt;$R$2,"",C3614/INDEX(Clean_Data!$C$2:$C$4314,MATCH(A3614-7,Clean_Data!$A$2:$A$4314,1))-1)</f>
        <v>-0.00547785064870376</v>
      </c>
      <c r="O3614" s="25" t="n">
        <f aca="false">IF(A3614-30&lt;$R$2,"",C3614/INDEX(Clean_Data!$C$2:$C$4314,MATCH(A3614-30,Clean_Data!$A$2:$A$4314,1))-1)</f>
        <v>0.353035381470902</v>
      </c>
    </row>
    <row r="3615" customFormat="false" ht="15" hidden="false" customHeight="false" outlineLevel="0" collapsed="false">
      <c r="A3615" s="16" t="n">
        <v>45622</v>
      </c>
      <c r="B3615" s="23" t="n">
        <f aca="false">YEAR(A3615)</f>
        <v>2024</v>
      </c>
      <c r="C3615" s="17" t="n">
        <v>95951.19</v>
      </c>
      <c r="D3615" s="23" t="n">
        <f aca="false">A3615-A3614</f>
        <v>1</v>
      </c>
      <c r="E3615" s="24" t="n">
        <f aca="false">LN(C3615)</f>
        <v>11.4715949036518</v>
      </c>
      <c r="F3615" s="25" t="n">
        <f aca="false">LN(C3615/C3614)</f>
        <v>0.0428172106137626</v>
      </c>
      <c r="G3615" s="25" t="n">
        <f aca="false">IF(AND(D3615=1,A3615&gt;=$R$2),F3615,"")</f>
        <v>0.0428172106137626</v>
      </c>
      <c r="H3615" s="27" t="n">
        <f aca="false">IF(G3615="","",G3615^2)</f>
        <v>0.00183331352474331</v>
      </c>
      <c r="I3615" s="25" t="n">
        <f aca="false">IF(G3615="","",C3615/C3614-1)</f>
        <v>0.0437470915224858</v>
      </c>
      <c r="J3615" s="17" t="n">
        <f aca="false">AVERAGE(C3416:C3615)</f>
        <v>66415.57905</v>
      </c>
      <c r="K3615" s="17" t="n">
        <f aca="false">MAX(K3614,C3615)</f>
        <v>99024.03</v>
      </c>
      <c r="L3615" s="25" t="n">
        <f aca="false">C3615/K3615-1</f>
        <v>-0.0310312557467112</v>
      </c>
      <c r="M3615" s="25" t="n">
        <f aca="false">IF(COUNT(G3586:G3615)&lt;20,"",_xlfn.STDEV.S(G3586:G3615)*SQRT($R$3))</f>
        <v>0.625740015066396</v>
      </c>
      <c r="N3615" s="25" t="n">
        <f aca="false">IF(A3615-7&lt;$R$2,"",C3615/INDEX(Clean_Data!$C$2:$C$4314,MATCH(A3615-7,Clean_Data!$A$2:$A$4314,1))-1)</f>
        <v>0.0165058587408091</v>
      </c>
      <c r="O3615" s="25" t="n">
        <f aca="false">IF(A3615-30&lt;$R$2,"",C3615/INDEX(Clean_Data!$C$2:$C$4314,MATCH(A3615-30,Clean_Data!$A$2:$A$4314,1))-1)</f>
        <v>0.372211313631131</v>
      </c>
    </row>
    <row r="3616" customFormat="false" ht="15" hidden="false" customHeight="false" outlineLevel="0" collapsed="false">
      <c r="A3616" s="16" t="n">
        <v>45623</v>
      </c>
      <c r="B3616" s="23" t="n">
        <f aca="false">YEAR(A3616)</f>
        <v>2024</v>
      </c>
      <c r="C3616" s="17" t="n">
        <v>95665.53</v>
      </c>
      <c r="D3616" s="23" t="n">
        <f aca="false">A3616-A3615</f>
        <v>1</v>
      </c>
      <c r="E3616" s="24" t="n">
        <f aca="false">LN(C3616)</f>
        <v>11.46861332447</v>
      </c>
      <c r="F3616" s="25" t="n">
        <f aca="false">LN(C3616/C3615)</f>
        <v>-0.00298157918183764</v>
      </c>
      <c r="G3616" s="25" t="n">
        <f aca="false">IF(AND(D3616=1,A3616&gt;=$R$2),F3616,"")</f>
        <v>-0.00298157918183764</v>
      </c>
      <c r="H3616" s="27" t="n">
        <f aca="false">IF(G3616="","",G3616^2)</f>
        <v>8.88981441756761E-006</v>
      </c>
      <c r="I3616" s="25" t="n">
        <f aca="false">IF(G3616="","",C3616/C3615-1)</f>
        <v>-0.00297713868895222</v>
      </c>
      <c r="J3616" s="17" t="n">
        <f aca="false">AVERAGE(C3417:C3616)</f>
        <v>66589.95665</v>
      </c>
      <c r="K3616" s="17" t="n">
        <f aca="false">MAX(K3615,C3616)</f>
        <v>99024.03</v>
      </c>
      <c r="L3616" s="25" t="n">
        <f aca="false">C3616/K3616-1</f>
        <v>-0.033916010083613</v>
      </c>
      <c r="M3616" s="25" t="n">
        <f aca="false">IF(COUNT(G3587:G3616)&lt;20,"",_xlfn.STDEV.S(G3587:G3616)*SQRT($R$3))</f>
        <v>0.618651223218796</v>
      </c>
      <c r="N3616" s="25" t="n">
        <f aca="false">IF(A3616-7&lt;$R$2,"",C3616/INDEX(Clean_Data!$C$2:$C$4314,MATCH(A3616-7,Clean_Data!$A$2:$A$4314,1))-1)</f>
        <v>-0.0281753925193742</v>
      </c>
      <c r="O3616" s="25" t="n">
        <f aca="false">IF(A3616-30&lt;$R$2,"",C3616/INDEX(Clean_Data!$C$2:$C$4314,MATCH(A3616-30,Clean_Data!$A$2:$A$4314,1))-1)</f>
        <v>0.315453902303699</v>
      </c>
    </row>
    <row r="3617" customFormat="false" ht="15" hidden="false" customHeight="false" outlineLevel="0" collapsed="false">
      <c r="A3617" s="16" t="n">
        <v>45624</v>
      </c>
      <c r="B3617" s="23" t="n">
        <f aca="false">YEAR(A3617)</f>
        <v>2024</v>
      </c>
      <c r="C3617" s="17" t="n">
        <v>97490.56</v>
      </c>
      <c r="D3617" s="23" t="n">
        <f aca="false">A3617-A3616</f>
        <v>1</v>
      </c>
      <c r="E3617" s="24" t="n">
        <f aca="false">LN(C3617)</f>
        <v>11.4875108317857</v>
      </c>
      <c r="F3617" s="25" t="n">
        <f aca="false">LN(C3617/C3616)</f>
        <v>0.0188975073157481</v>
      </c>
      <c r="G3617" s="25" t="n">
        <f aca="false">IF(AND(D3617=1,A3617&gt;=$R$2),F3617,"")</f>
        <v>0.0188975073157481</v>
      </c>
      <c r="H3617" s="27" t="n">
        <f aca="false">IF(G3617="","",G3617^2)</f>
        <v>0.000357115782748754</v>
      </c>
      <c r="I3617" s="25" t="n">
        <f aca="false">IF(G3617="","",C3617/C3616-1)</f>
        <v>0.0190771953074425</v>
      </c>
      <c r="J3617" s="17" t="n">
        <f aca="false">AVERAGE(C3418:C3617)</f>
        <v>66769.94125</v>
      </c>
      <c r="K3617" s="17" t="n">
        <f aca="false">MAX(K3616,C3617)</f>
        <v>99024.03</v>
      </c>
      <c r="L3617" s="25" t="n">
        <f aca="false">C3617/K3617-1</f>
        <v>-0.0154858371245848</v>
      </c>
      <c r="M3617" s="25" t="n">
        <f aca="false">IF(COUNT(G3588:G3617)&lt;20,"",_xlfn.STDEV.S(G3588:G3617)*SQRT($R$3))</f>
        <v>0.617225204399186</v>
      </c>
      <c r="N3617" s="25" t="n">
        <f aca="false">IF(A3617-7&lt;$R$2,"",C3617/INDEX(Clean_Data!$C$2:$C$4314,MATCH(A3617-7,Clean_Data!$A$2:$A$4314,1))-1)</f>
        <v>-0.0154858371245848</v>
      </c>
      <c r="O3617" s="25" t="n">
        <f aca="false">IF(A3617-30&lt;$R$2,"",C3617/INDEX(Clean_Data!$C$2:$C$4314,MATCH(A3617-30,Clean_Data!$A$2:$A$4314,1))-1)</f>
        <v>0.347990007592338</v>
      </c>
    </row>
    <row r="3618" customFormat="false" ht="15" hidden="false" customHeight="false" outlineLevel="0" collapsed="false">
      <c r="A3618" s="16" t="n">
        <v>45625</v>
      </c>
      <c r="B3618" s="23" t="n">
        <f aca="false">YEAR(A3618)</f>
        <v>2024</v>
      </c>
      <c r="C3618" s="17" t="n">
        <v>96465.42</v>
      </c>
      <c r="D3618" s="23" t="n">
        <f aca="false">A3618-A3617</f>
        <v>1</v>
      </c>
      <c r="E3618" s="24" t="n">
        <f aca="false">LN(C3618)</f>
        <v>11.4769398811383</v>
      </c>
      <c r="F3618" s="25" t="n">
        <f aca="false">LN(C3618/C3617)</f>
        <v>-0.0105709506473698</v>
      </c>
      <c r="G3618" s="25" t="n">
        <f aca="false">IF(AND(D3618=1,A3618&gt;=$R$2),F3618,"")</f>
        <v>-0.0105709506473698</v>
      </c>
      <c r="H3618" s="27" t="n">
        <f aca="false">IF(G3618="","",G3618^2)</f>
        <v>0.000111744997589128</v>
      </c>
      <c r="I3618" s="25" t="n">
        <f aca="false">IF(G3618="","",C3618/C3617-1)</f>
        <v>-0.0105152745045264</v>
      </c>
      <c r="J3618" s="17" t="n">
        <f aca="false">AVERAGE(C3419:C3618)</f>
        <v>66937.7232</v>
      </c>
      <c r="K3618" s="17" t="n">
        <f aca="false">MAX(K3617,C3618)</f>
        <v>99024.03</v>
      </c>
      <c r="L3618" s="25" t="n">
        <f aca="false">C3618/K3618-1</f>
        <v>-0.0258382738008138</v>
      </c>
      <c r="M3618" s="25" t="n">
        <f aca="false">IF(COUNT(G3589:G3618)&lt;20,"",_xlfn.STDEV.S(G3589:G3618)*SQRT($R$3))</f>
        <v>0.605143945667855</v>
      </c>
      <c r="N3618" s="25" t="n">
        <f aca="false">IF(A3618-7&lt;$R$2,"",C3618/INDEX(Clean_Data!$C$2:$C$4314,MATCH(A3618-7,Clean_Data!$A$2:$A$4314,1))-1)</f>
        <v>-0.0134318523335895</v>
      </c>
      <c r="O3618" s="25" t="n">
        <f aca="false">IF(A3618-30&lt;$R$2,"",C3618/INDEX(Clean_Data!$C$2:$C$4314,MATCH(A3618-30,Clean_Data!$A$2:$A$4314,1))-1)</f>
        <v>0.374193760690323</v>
      </c>
    </row>
    <row r="3619" customFormat="false" ht="15" hidden="false" customHeight="false" outlineLevel="0" collapsed="false">
      <c r="A3619" s="16" t="n">
        <v>45626</v>
      </c>
      <c r="B3619" s="23" t="n">
        <f aca="false">YEAR(A3619)</f>
        <v>2024</v>
      </c>
      <c r="C3619" s="17" t="n">
        <v>97263.18</v>
      </c>
      <c r="D3619" s="23" t="n">
        <f aca="false">A3619-A3618</f>
        <v>1</v>
      </c>
      <c r="E3619" s="24" t="n">
        <f aca="false">LN(C3619)</f>
        <v>11.48517577929</v>
      </c>
      <c r="F3619" s="25" t="n">
        <f aca="false">LN(C3619/C3618)</f>
        <v>0.00823589815168776</v>
      </c>
      <c r="G3619" s="25" t="n">
        <f aca="false">IF(AND(D3619=1,A3619&gt;=$R$2),F3619,"")</f>
        <v>0.00823589815168776</v>
      </c>
      <c r="H3619" s="27" t="n">
        <f aca="false">IF(G3619="","",G3619^2)</f>
        <v>6.78300183649738E-005</v>
      </c>
      <c r="I3619" s="25" t="n">
        <f aca="false">IF(G3619="","",C3619/C3618-1)</f>
        <v>0.0082699064597449</v>
      </c>
      <c r="J3619" s="17" t="n">
        <f aca="false">AVERAGE(C3420:C3619)</f>
        <v>67116.2484</v>
      </c>
      <c r="K3619" s="17" t="n">
        <f aca="false">MAX(K3618,C3619)</f>
        <v>99024.03</v>
      </c>
      <c r="L3619" s="25" t="n">
        <f aca="false">C3619/K3619-1</f>
        <v>-0.017782047448483</v>
      </c>
      <c r="M3619" s="25" t="n">
        <f aca="false">IF(COUNT(G3590:G3619)&lt;20,"",_xlfn.STDEV.S(G3590:G3619)*SQRT($R$3))</f>
        <v>0.600451439554758</v>
      </c>
      <c r="N3619" s="25" t="n">
        <f aca="false">IF(A3619-7&lt;$R$2,"",C3619/INDEX(Clean_Data!$C$2:$C$4314,MATCH(A3619-7,Clean_Data!$A$2:$A$4314,1))-1)</f>
        <v>-0.00780387843577224</v>
      </c>
      <c r="O3619" s="25" t="n">
        <f aca="false">IF(A3619-30&lt;$R$2,"",C3619/INDEX(Clean_Data!$C$2:$C$4314,MATCH(A3619-30,Clean_Data!$A$2:$A$4314,1))-1)</f>
        <v>0.40012918310186</v>
      </c>
    </row>
    <row r="3620" customFormat="false" ht="15" hidden="false" customHeight="false" outlineLevel="0" collapsed="false">
      <c r="A3620" s="16" t="n">
        <v>45627</v>
      </c>
      <c r="B3620" s="23" t="n">
        <f aca="false">YEAR(A3620)</f>
        <v>2024</v>
      </c>
      <c r="C3620" s="17" t="n">
        <v>95862.89</v>
      </c>
      <c r="D3620" s="23" t="n">
        <f aca="false">A3620-A3619</f>
        <v>1</v>
      </c>
      <c r="E3620" s="24" t="n">
        <f aca="false">LN(C3620)</f>
        <v>11.4706742203919</v>
      </c>
      <c r="F3620" s="25" t="n">
        <f aca="false">LN(C3620/C3619)</f>
        <v>-0.0145015588981575</v>
      </c>
      <c r="G3620" s="25" t="n">
        <f aca="false">IF(AND(D3620=1,A3620&gt;=$R$2),F3620,"")</f>
        <v>-0.0145015588981575</v>
      </c>
      <c r="H3620" s="27" t="n">
        <f aca="false">IF(G3620="","",G3620^2)</f>
        <v>0.00021029521047673</v>
      </c>
      <c r="I3620" s="25" t="n">
        <f aca="false">IF(G3620="","",C3620/C3619-1)</f>
        <v>-0.0143969177236442</v>
      </c>
      <c r="J3620" s="17" t="n">
        <f aca="false">AVERAGE(C3421:C3620)</f>
        <v>67264.0959</v>
      </c>
      <c r="K3620" s="17" t="n">
        <f aca="false">MAX(K3619,C3620)</f>
        <v>99024.03</v>
      </c>
      <c r="L3620" s="25" t="n">
        <f aca="false">C3620/K3620-1</f>
        <v>-0.0319229584980535</v>
      </c>
      <c r="M3620" s="25" t="n">
        <f aca="false">IF(COUNT(G3591:G3620)&lt;20,"",_xlfn.STDEV.S(G3591:G3620)*SQRT($R$3))</f>
        <v>0.605592534402865</v>
      </c>
      <c r="N3620" s="25" t="n">
        <f aca="false">IF(A3620-7&lt;$R$2,"",C3620/INDEX(Clean_Data!$C$2:$C$4314,MATCH(A3620-7,Clean_Data!$A$2:$A$4314,1))-1)</f>
        <v>0.0307836526039085</v>
      </c>
      <c r="O3620" s="25" t="n">
        <f aca="false">IF(A3620-30&lt;$R$2,"",C3620/INDEX(Clean_Data!$C$2:$C$4314,MATCH(A3620-30,Clean_Data!$A$2:$A$4314,1))-1)</f>
        <v>0.382127379686022</v>
      </c>
    </row>
    <row r="3621" customFormat="false" ht="15" hidden="false" customHeight="false" outlineLevel="0" collapsed="false">
      <c r="A3621" s="16" t="n">
        <v>45628</v>
      </c>
      <c r="B3621" s="23" t="n">
        <f aca="false">YEAR(A3621)</f>
        <v>2024</v>
      </c>
      <c r="C3621" s="17" t="n">
        <v>95924.52</v>
      </c>
      <c r="D3621" s="23" t="n">
        <f aca="false">A3621-A3620</f>
        <v>1</v>
      </c>
      <c r="E3621" s="24" t="n">
        <f aca="false">LN(C3621)</f>
        <v>11.4713169111933</v>
      </c>
      <c r="F3621" s="25" t="n">
        <f aca="false">LN(C3621/C3620)</f>
        <v>0.000642690801459538</v>
      </c>
      <c r="G3621" s="25" t="n">
        <f aca="false">IF(AND(D3621=1,A3621&gt;=$R$2),F3621,"")</f>
        <v>0.000642690801459538</v>
      </c>
      <c r="H3621" s="27" t="n">
        <f aca="false">IF(G3621="","",G3621^2)</f>
        <v>4.13051466280704E-007</v>
      </c>
      <c r="I3621" s="25" t="n">
        <f aca="false">IF(G3621="","",C3621/C3620-1)</f>
        <v>0.000642897371443851</v>
      </c>
      <c r="J3621" s="17" t="n">
        <f aca="false">AVERAGE(C3422:C3621)</f>
        <v>67417.3054</v>
      </c>
      <c r="K3621" s="17" t="n">
        <f aca="false">MAX(K3620,C3621)</f>
        <v>99024.03</v>
      </c>
      <c r="L3621" s="25" t="n">
        <f aca="false">C3621/K3621-1</f>
        <v>-0.0313005843127168</v>
      </c>
      <c r="M3621" s="25" t="n">
        <f aca="false">IF(COUNT(G3592:G3621)&lt;20,"",_xlfn.STDEV.S(G3592:G3621)*SQRT($R$3))</f>
        <v>0.602557480162</v>
      </c>
      <c r="N3621" s="25" t="n">
        <f aca="false">IF(A3621-7&lt;$R$2,"",C3621/INDEX(Clean_Data!$C$2:$C$4314,MATCH(A3621-7,Clean_Data!$A$2:$A$4314,1))-1)</f>
        <v>0.0434569780290428</v>
      </c>
      <c r="O3621" s="25" t="n">
        <f aca="false">IF(A3621-30&lt;$R$2,"",C3621/INDEX(Clean_Data!$C$2:$C$4314,MATCH(A3621-30,Clean_Data!$A$2:$A$4314,1))-1)</f>
        <v>0.395505670938626</v>
      </c>
    </row>
    <row r="3622" customFormat="false" ht="15" hidden="false" customHeight="false" outlineLevel="0" collapsed="false">
      <c r="A3622" s="16" t="n">
        <v>45629</v>
      </c>
      <c r="B3622" s="23" t="n">
        <f aca="false">YEAR(A3622)</f>
        <v>2024</v>
      </c>
      <c r="C3622" s="17" t="n">
        <v>98746.24</v>
      </c>
      <c r="D3622" s="23" t="n">
        <f aca="false">A3622-A3621</f>
        <v>1</v>
      </c>
      <c r="E3622" s="24" t="n">
        <f aca="false">LN(C3622)</f>
        <v>11.5003086060891</v>
      </c>
      <c r="F3622" s="25" t="n">
        <f aca="false">LN(C3622/C3621)</f>
        <v>0.0289916948957644</v>
      </c>
      <c r="G3622" s="25" t="n">
        <f aca="false">IF(AND(D3622=1,A3622&gt;=$R$2),F3622,"")</f>
        <v>0.0289916948957644</v>
      </c>
      <c r="H3622" s="27" t="n">
        <f aca="false">IF(G3622="","",G3622^2)</f>
        <v>0.000840518372929092</v>
      </c>
      <c r="I3622" s="25" t="n">
        <f aca="false">IF(G3622="","",C3622/C3621-1)</f>
        <v>0.0294160450320731</v>
      </c>
      <c r="J3622" s="17" t="n">
        <f aca="false">AVERAGE(C3423:C3622)</f>
        <v>67576.3305</v>
      </c>
      <c r="K3622" s="17" t="n">
        <f aca="false">MAX(K3621,C3622)</f>
        <v>99024.03</v>
      </c>
      <c r="L3622" s="25" t="n">
        <f aca="false">C3622/K3622-1</f>
        <v>-0.0028052786783167</v>
      </c>
      <c r="M3622" s="25" t="n">
        <f aca="false">IF(COUNT(G3593:G3622)&lt;20,"",_xlfn.STDEV.S(G3593:G3622)*SQRT($R$3))</f>
        <v>0.598860844533233</v>
      </c>
      <c r="N3622" s="25" t="n">
        <f aca="false">IF(A3622-7&lt;$R$2,"",C3622/INDEX(Clean_Data!$C$2:$C$4314,MATCH(A3622-7,Clean_Data!$A$2:$A$4314,1))-1)</f>
        <v>0.0291299149077777</v>
      </c>
      <c r="O3622" s="25" t="n">
        <f aca="false">IF(A3622-30&lt;$R$2,"",C3622/INDEX(Clean_Data!$C$2:$C$4314,MATCH(A3622-30,Clean_Data!$A$2:$A$4314,1))-1)</f>
        <v>0.456273555660821</v>
      </c>
    </row>
    <row r="3623" customFormat="false" ht="15" hidden="false" customHeight="false" outlineLevel="0" collapsed="false">
      <c r="A3623" s="16" t="n">
        <v>45630</v>
      </c>
      <c r="B3623" s="23" t="n">
        <f aca="false">YEAR(A3623)</f>
        <v>2024</v>
      </c>
      <c r="C3623" s="17" t="n">
        <v>97044.23</v>
      </c>
      <c r="D3623" s="23" t="n">
        <f aca="false">A3623-A3622</f>
        <v>1</v>
      </c>
      <c r="E3623" s="24" t="n">
        <f aca="false">LN(C3623)</f>
        <v>11.48292213294</v>
      </c>
      <c r="F3623" s="25" t="n">
        <f aca="false">LN(C3623/C3622)</f>
        <v>-0.0173864731491377</v>
      </c>
      <c r="G3623" s="25" t="n">
        <f aca="false">IF(AND(D3623=1,A3623&gt;=$R$2),F3623,"")</f>
        <v>-0.0173864731491377</v>
      </c>
      <c r="H3623" s="27" t="n">
        <f aca="false">IF(G3623="","",G3623^2)</f>
        <v>0.000302289448565686</v>
      </c>
      <c r="I3623" s="25" t="n">
        <f aca="false">IF(G3623="","",C3623/C3622-1)</f>
        <v>-0.0172362005884984</v>
      </c>
      <c r="J3623" s="17" t="n">
        <f aca="false">AVERAGE(C3424:C3623)</f>
        <v>67726.63795</v>
      </c>
      <c r="K3623" s="17" t="n">
        <f aca="false">MAX(K3622,C3623)</f>
        <v>99024.03</v>
      </c>
      <c r="L3623" s="25" t="n">
        <f aca="false">C3623/K3623-1</f>
        <v>-0.019993126920809</v>
      </c>
      <c r="M3623" s="25" t="n">
        <f aca="false">IF(COUNT(G3594:G3623)&lt;20,"",_xlfn.STDEV.S(G3594:G3623)*SQRT($R$3))</f>
        <v>0.606508895227627</v>
      </c>
      <c r="N3623" s="25" t="n">
        <f aca="false">IF(A3623-7&lt;$R$2,"",C3623/INDEX(Clean_Data!$C$2:$C$4314,MATCH(A3623-7,Clean_Data!$A$2:$A$4314,1))-1)</f>
        <v>0.0144116694905678</v>
      </c>
      <c r="O3623" s="25" t="n">
        <f aca="false">IF(A3623-30&lt;$R$2,"",C3623/INDEX(Clean_Data!$C$2:$C$4314,MATCH(A3623-30,Clean_Data!$A$2:$A$4314,1))-1)</f>
        <v>0.398720221018142</v>
      </c>
    </row>
    <row r="3624" customFormat="false" ht="15" hidden="false" customHeight="false" outlineLevel="0" collapsed="false">
      <c r="A3624" s="16" t="n">
        <v>45631</v>
      </c>
      <c r="B3624" s="23" t="n">
        <f aca="false">YEAR(A3624)</f>
        <v>2024</v>
      </c>
      <c r="C3624" s="17" t="n">
        <v>99891.35</v>
      </c>
      <c r="D3624" s="23" t="n">
        <f aca="false">A3624-A3623</f>
        <v>1</v>
      </c>
      <c r="E3624" s="24" t="n">
        <f aca="false">LN(C3624)</f>
        <v>11.5118383743012</v>
      </c>
      <c r="F3624" s="25" t="n">
        <f aca="false">LN(C3624/C3623)</f>
        <v>0.0289162413612673</v>
      </c>
      <c r="G3624" s="25" t="n">
        <f aca="false">IF(AND(D3624=1,A3624&gt;=$R$2),F3624,"")</f>
        <v>0.0289162413612673</v>
      </c>
      <c r="H3624" s="27" t="n">
        <f aca="false">IF(G3624="","",G3624^2)</f>
        <v>0.000836149014463065</v>
      </c>
      <c r="I3624" s="25" t="n">
        <f aca="false">IF(G3624="","",C3624/C3623-1)</f>
        <v>0.0293383748832878</v>
      </c>
      <c r="J3624" s="17" t="n">
        <f aca="false">AVERAGE(C3425:C3624)</f>
        <v>67894.7592</v>
      </c>
      <c r="K3624" s="17" t="n">
        <f aca="false">MAX(K3623,C3624)</f>
        <v>99891.35</v>
      </c>
      <c r="L3624" s="25" t="n">
        <f aca="false">C3624/K3624-1</f>
        <v>0</v>
      </c>
      <c r="M3624" s="25" t="n">
        <f aca="false">IF(COUNT(G3595:G3624)&lt;20,"",_xlfn.STDEV.S(G3595:G3624)*SQRT($R$3))</f>
        <v>0.546899005192833</v>
      </c>
      <c r="N3624" s="25" t="n">
        <f aca="false">IF(A3624-7&lt;$R$2,"",C3624/INDEX(Clean_Data!$C$2:$C$4314,MATCH(A3624-7,Clean_Data!$A$2:$A$4314,1))-1)</f>
        <v>0.0246258714689915</v>
      </c>
      <c r="O3624" s="25" t="n">
        <f aca="false">IF(A3624-30&lt;$R$2,"",C3624/INDEX(Clean_Data!$C$2:$C$4314,MATCH(A3624-30,Clean_Data!$A$2:$A$4314,1))-1)</f>
        <v>0.320501067133927</v>
      </c>
    </row>
    <row r="3625" customFormat="false" ht="15" hidden="false" customHeight="false" outlineLevel="0" collapsed="false">
      <c r="A3625" s="16" t="n">
        <v>45632</v>
      </c>
      <c r="B3625" s="23" t="n">
        <f aca="false">YEAR(A3625)</f>
        <v>2024</v>
      </c>
      <c r="C3625" s="17" t="n">
        <v>99929.32</v>
      </c>
      <c r="D3625" s="23" t="n">
        <f aca="false">A3625-A3624</f>
        <v>1</v>
      </c>
      <c r="E3625" s="24" t="n">
        <f aca="false">LN(C3625)</f>
        <v>11.5122184150693</v>
      </c>
      <c r="F3625" s="25" t="n">
        <f aca="false">LN(C3625/C3624)</f>
        <v>0.000380040768124881</v>
      </c>
      <c r="G3625" s="25" t="n">
        <f aca="false">IF(AND(D3625=1,A3625&gt;=$R$2),F3625,"")</f>
        <v>0.000380040768124881</v>
      </c>
      <c r="H3625" s="27" t="n">
        <f aca="false">IF(G3625="","",G3625^2)</f>
        <v>1.44430985436949E-007</v>
      </c>
      <c r="I3625" s="25" t="n">
        <f aca="false">IF(G3625="","",C3625/C3624-1)</f>
        <v>0.000380112992766746</v>
      </c>
      <c r="J3625" s="17" t="n">
        <f aca="false">AVERAGE(C3426:C3625)</f>
        <v>68037.07475</v>
      </c>
      <c r="K3625" s="17" t="n">
        <f aca="false">MAX(K3624,C3625)</f>
        <v>99929.32</v>
      </c>
      <c r="L3625" s="25" t="n">
        <f aca="false">C3625/K3625-1</f>
        <v>0</v>
      </c>
      <c r="M3625" s="25" t="n">
        <f aca="false">IF(COUNT(G3596:G3625)&lt;20,"",_xlfn.STDEV.S(G3596:G3625)*SQRT($R$3))</f>
        <v>0.547435081340552</v>
      </c>
      <c r="N3625" s="25" t="n">
        <f aca="false">IF(A3625-7&lt;$R$2,"",C3625/INDEX(Clean_Data!$C$2:$C$4314,MATCH(A3625-7,Clean_Data!$A$2:$A$4314,1))-1)</f>
        <v>0.0359082042041594</v>
      </c>
      <c r="O3625" s="25" t="n">
        <f aca="false">IF(A3625-30&lt;$R$2,"",C3625/INDEX(Clean_Data!$C$2:$C$4314,MATCH(A3625-30,Clean_Data!$A$2:$A$4314,1))-1)</f>
        <v>0.316244994731296</v>
      </c>
    </row>
    <row r="3626" customFormat="false" ht="15" hidden="false" customHeight="false" outlineLevel="0" collapsed="false">
      <c r="A3626" s="16" t="n">
        <v>45633</v>
      </c>
      <c r="B3626" s="23" t="n">
        <f aca="false">YEAR(A3626)</f>
        <v>2024</v>
      </c>
      <c r="C3626" s="17" t="n">
        <v>101174.99</v>
      </c>
      <c r="D3626" s="23" t="n">
        <f aca="false">A3626-A3625</f>
        <v>1</v>
      </c>
      <c r="E3626" s="24" t="n">
        <f aca="false">LN(C3626)</f>
        <v>11.5246068709054</v>
      </c>
      <c r="F3626" s="25" t="n">
        <f aca="false">LN(C3626/C3625)</f>
        <v>0.0123884558360674</v>
      </c>
      <c r="G3626" s="25" t="n">
        <f aca="false">IF(AND(D3626=1,A3626&gt;=$R$2),F3626,"")</f>
        <v>0.0123884558360674</v>
      </c>
      <c r="H3626" s="27" t="n">
        <f aca="false">IF(G3626="","",G3626^2)</f>
        <v>0.000153473838002193</v>
      </c>
      <c r="I3626" s="25" t="n">
        <f aca="false">IF(G3626="","",C3626/C3625-1)</f>
        <v>0.0124655106229083</v>
      </c>
      <c r="J3626" s="17" t="n">
        <f aca="false">AVERAGE(C3427:C3626)</f>
        <v>68191.99375</v>
      </c>
      <c r="K3626" s="17" t="n">
        <f aca="false">MAX(K3625,C3626)</f>
        <v>101174.99</v>
      </c>
      <c r="L3626" s="25" t="n">
        <f aca="false">C3626/K3626-1</f>
        <v>0</v>
      </c>
      <c r="M3626" s="25" t="n">
        <f aca="false">IF(COUNT(G3597:G3626)&lt;20,"",_xlfn.STDEV.S(G3597:G3626)*SQRT($R$3))</f>
        <v>0.547543816686205</v>
      </c>
      <c r="N3626" s="25" t="n">
        <f aca="false">IF(A3626-7&lt;$R$2,"",C3626/INDEX(Clean_Data!$C$2:$C$4314,MATCH(A3626-7,Clean_Data!$A$2:$A$4314,1))-1)</f>
        <v>0.0402188166169357</v>
      </c>
      <c r="O3626" s="25" t="n">
        <f aca="false">IF(A3626-30&lt;$R$2,"",C3626/INDEX(Clean_Data!$C$2:$C$4314,MATCH(A3626-30,Clean_Data!$A$2:$A$4314,1))-1)</f>
        <v>0.321396251348334</v>
      </c>
    </row>
    <row r="3627" customFormat="false" ht="15" hidden="false" customHeight="false" outlineLevel="0" collapsed="false">
      <c r="A3627" s="16" t="n">
        <v>45634</v>
      </c>
      <c r="B3627" s="23" t="n">
        <f aca="false">YEAR(A3627)</f>
        <v>2024</v>
      </c>
      <c r="C3627" s="17" t="n">
        <v>97324.81</v>
      </c>
      <c r="D3627" s="23" t="n">
        <f aca="false">A3627-A3626</f>
        <v>1</v>
      </c>
      <c r="E3627" s="24" t="n">
        <f aca="false">LN(C3627)</f>
        <v>11.4858092202548</v>
      </c>
      <c r="F3627" s="25" t="n">
        <f aca="false">LN(C3627/C3626)</f>
        <v>-0.0387976506506015</v>
      </c>
      <c r="G3627" s="25" t="n">
        <f aca="false">IF(AND(D3627=1,A3627&gt;=$R$2),F3627,"")</f>
        <v>-0.0387976506506015</v>
      </c>
      <c r="H3627" s="27" t="n">
        <f aca="false">IF(G3627="","",G3627^2)</f>
        <v>0.00150525769600612</v>
      </c>
      <c r="I3627" s="25" t="n">
        <f aca="false">IF(G3627="","",C3627/C3626-1)</f>
        <v>-0.0380546615324598</v>
      </c>
      <c r="J3627" s="17" t="n">
        <f aca="false">AVERAGE(C3428:C3627)</f>
        <v>68332.88825</v>
      </c>
      <c r="K3627" s="17" t="n">
        <f aca="false">MAX(K3626,C3627)</f>
        <v>101174.99</v>
      </c>
      <c r="L3627" s="25" t="n">
        <f aca="false">C3627/K3627-1</f>
        <v>-0.0380546615324598</v>
      </c>
      <c r="M3627" s="25" t="n">
        <f aca="false">IF(COUNT(G3598:G3627)&lt;20,"",_xlfn.STDEV.S(G3598:G3627)*SQRT($R$3))</f>
        <v>0.572305475885126</v>
      </c>
      <c r="N3627" s="25" t="n">
        <f aca="false">IF(A3627-7&lt;$R$2,"",C3627/INDEX(Clean_Data!$C$2:$C$4314,MATCH(A3627-7,Clean_Data!$A$2:$A$4314,1))-1)</f>
        <v>0.0152501139909302</v>
      </c>
      <c r="O3627" s="25" t="n">
        <f aca="false">IF(A3627-30&lt;$R$2,"",C3627/INDEX(Clean_Data!$C$2:$C$4314,MATCH(A3627-30,Clean_Data!$A$2:$A$4314,1))-1)</f>
        <v>0.268636710487999</v>
      </c>
    </row>
    <row r="3628" customFormat="false" ht="15" hidden="false" customHeight="false" outlineLevel="0" collapsed="false">
      <c r="A3628" s="16" t="n">
        <v>45635</v>
      </c>
      <c r="B3628" s="23" t="n">
        <f aca="false">YEAR(A3628)</f>
        <v>2024</v>
      </c>
      <c r="C3628" s="17" t="n">
        <v>96660.76</v>
      </c>
      <c r="D3628" s="23" t="n">
        <f aca="false">A3628-A3627</f>
        <v>1</v>
      </c>
      <c r="E3628" s="24" t="n">
        <f aca="false">LN(C3628)</f>
        <v>11.4789628079794</v>
      </c>
      <c r="F3628" s="25" t="n">
        <f aca="false">LN(C3628/C3627)</f>
        <v>-0.0068464122754346</v>
      </c>
      <c r="G3628" s="25" t="n">
        <f aca="false">IF(AND(D3628=1,A3628&gt;=$R$2),F3628,"")</f>
        <v>-0.0068464122754346</v>
      </c>
      <c r="H3628" s="27" t="n">
        <f aca="false">IF(G3628="","",G3628^2)</f>
        <v>4.68733610452215E-005</v>
      </c>
      <c r="I3628" s="25" t="n">
        <f aca="false">IF(G3628="","",C3628/C3627-1)</f>
        <v>-0.00682302898921661</v>
      </c>
      <c r="J3628" s="17" t="n">
        <f aca="false">AVERAGE(C3429:C3628)</f>
        <v>68476.67295</v>
      </c>
      <c r="K3628" s="17" t="n">
        <f aca="false">MAX(K3627,C3628)</f>
        <v>101174.99</v>
      </c>
      <c r="L3628" s="25" t="n">
        <f aca="false">C3628/K3628-1</f>
        <v>-0.0446180424628657</v>
      </c>
      <c r="M3628" s="25" t="n">
        <f aca="false">IF(COUNT(G3599:G3628)&lt;20,"",_xlfn.STDEV.S(G3599:G3628)*SQRT($R$3))</f>
        <v>0.556402375719476</v>
      </c>
      <c r="N3628" s="25" t="n">
        <f aca="false">IF(A3628-7&lt;$R$2,"",C3628/INDEX(Clean_Data!$C$2:$C$4314,MATCH(A3628-7,Clean_Data!$A$2:$A$4314,1))-1)</f>
        <v>0.00767520129368382</v>
      </c>
      <c r="O3628" s="25" t="n">
        <f aca="false">IF(A3628-30&lt;$R$2,"",C3628/INDEX(Clean_Data!$C$2:$C$4314,MATCH(A3628-30,Clean_Data!$A$2:$A$4314,1))-1)</f>
        <v>0.201815963710566</v>
      </c>
    </row>
    <row r="3629" customFormat="false" ht="15" hidden="false" customHeight="false" outlineLevel="0" collapsed="false">
      <c r="A3629" s="16" t="n">
        <v>45636</v>
      </c>
      <c r="B3629" s="23" t="n">
        <f aca="false">YEAR(A3629)</f>
        <v>2024</v>
      </c>
      <c r="C3629" s="17" t="n">
        <v>101202.11</v>
      </c>
      <c r="D3629" s="23" t="n">
        <f aca="false">A3629-A3628</f>
        <v>1</v>
      </c>
      <c r="E3629" s="24" t="n">
        <f aca="false">LN(C3629)</f>
        <v>11.5248748854205</v>
      </c>
      <c r="F3629" s="25" t="n">
        <f aca="false">LN(C3629/C3628)</f>
        <v>0.0459120774411402</v>
      </c>
      <c r="G3629" s="25" t="n">
        <f aca="false">IF(AND(D3629=1,A3629&gt;=$R$2),F3629,"")</f>
        <v>0.0459120774411402</v>
      </c>
      <c r="H3629" s="27" t="n">
        <f aca="false">IF(G3629="","",G3629^2)</f>
        <v>0.00210791885496126</v>
      </c>
      <c r="I3629" s="25" t="n">
        <f aca="false">IF(G3629="","",C3629/C3628-1)</f>
        <v>0.0469823535424303</v>
      </c>
      <c r="J3629" s="17" t="n">
        <f aca="false">AVERAGE(C3430:C3629)</f>
        <v>68639.84545</v>
      </c>
      <c r="K3629" s="17" t="n">
        <f aca="false">MAX(K3628,C3629)</f>
        <v>101202.11</v>
      </c>
      <c r="L3629" s="25" t="n">
        <f aca="false">C3629/K3629-1</f>
        <v>0</v>
      </c>
      <c r="M3629" s="25" t="n">
        <f aca="false">IF(COUNT(G3600:G3629)&lt;20,"",_xlfn.STDEV.S(G3600:G3629)*SQRT($R$3))</f>
        <v>0.469592248598034</v>
      </c>
      <c r="N3629" s="25" t="n">
        <f aca="false">IF(A3629-7&lt;$R$2,"",C3629/INDEX(Clean_Data!$C$2:$C$4314,MATCH(A3629-7,Clean_Data!$A$2:$A$4314,1))-1)</f>
        <v>0.0248705165887835</v>
      </c>
      <c r="O3629" s="25" t="n">
        <f aca="false">IF(A3629-30&lt;$R$2,"",C3629/INDEX(Clean_Data!$C$2:$C$4314,MATCH(A3629-30,Clean_Data!$A$2:$A$4314,1))-1)</f>
        <v>0.140039177327932</v>
      </c>
    </row>
    <row r="3630" customFormat="false" ht="15" hidden="false" customHeight="false" outlineLevel="0" collapsed="false">
      <c r="A3630" s="16" t="n">
        <v>45637</v>
      </c>
      <c r="B3630" s="23" t="n">
        <f aca="false">YEAR(A3630)</f>
        <v>2024</v>
      </c>
      <c r="C3630" s="17" t="n">
        <v>100030.47</v>
      </c>
      <c r="D3630" s="23" t="n">
        <f aca="false">A3630-A3629</f>
        <v>1</v>
      </c>
      <c r="E3630" s="24" t="n">
        <f aca="false">LN(C3630)</f>
        <v>11.5132301185586</v>
      </c>
      <c r="F3630" s="25" t="n">
        <f aca="false">LN(C3630/C3629)</f>
        <v>-0.0116447668619087</v>
      </c>
      <c r="G3630" s="25" t="n">
        <f aca="false">IF(AND(D3630=1,A3630&gt;=$R$2),F3630,"")</f>
        <v>-0.0116447668619087</v>
      </c>
      <c r="H3630" s="27" t="n">
        <f aca="false">IF(G3630="","",G3630^2)</f>
        <v>0.000135600595268207</v>
      </c>
      <c r="I3630" s="25" t="n">
        <f aca="false">IF(G3630="","",C3630/C3629-1)</f>
        <v>-0.0115772289727951</v>
      </c>
      <c r="J3630" s="17" t="n">
        <f aca="false">AVERAGE(C3431:C3630)</f>
        <v>68793.4748</v>
      </c>
      <c r="K3630" s="17" t="n">
        <f aca="false">MAX(K3629,C3630)</f>
        <v>101202.11</v>
      </c>
      <c r="L3630" s="25" t="n">
        <f aca="false">C3630/K3630-1</f>
        <v>-0.0115772289727951</v>
      </c>
      <c r="M3630" s="25" t="n">
        <f aca="false">IF(COUNT(G3601:G3630)&lt;20,"",_xlfn.STDEV.S(G3601:G3630)*SQRT($R$3))</f>
        <v>0.470865239130595</v>
      </c>
      <c r="N3630" s="25" t="n">
        <f aca="false">IF(A3630-7&lt;$R$2,"",C3630/INDEX(Clean_Data!$C$2:$C$4314,MATCH(A3630-7,Clean_Data!$A$2:$A$4314,1))-1)</f>
        <v>0.030771948007625</v>
      </c>
      <c r="O3630" s="25" t="n">
        <f aca="false">IF(A3630-30&lt;$R$2,"",C3630/INDEX(Clean_Data!$C$2:$C$4314,MATCH(A3630-30,Clean_Data!$A$2:$A$4314,1))-1)</f>
        <v>0.136252415646746</v>
      </c>
    </row>
    <row r="3631" customFormat="false" ht="15" hidden="false" customHeight="false" outlineLevel="0" collapsed="false">
      <c r="A3631" s="16" t="n">
        <v>45638</v>
      </c>
      <c r="B3631" s="23" t="n">
        <f aca="false">YEAR(A3631)</f>
        <v>2024</v>
      </c>
      <c r="C3631" s="17" t="n">
        <v>101428.75</v>
      </c>
      <c r="D3631" s="23" t="n">
        <f aca="false">A3631-A3630</f>
        <v>1</v>
      </c>
      <c r="E3631" s="24" t="n">
        <f aca="false">LN(C3631)</f>
        <v>11.527111860524</v>
      </c>
      <c r="F3631" s="25" t="n">
        <f aca="false">LN(C3631/C3630)</f>
        <v>0.0138817419654045</v>
      </c>
      <c r="G3631" s="25" t="n">
        <f aca="false">IF(AND(D3631=1,A3631&gt;=$R$2),F3631,"")</f>
        <v>0.0138817419654045</v>
      </c>
      <c r="H3631" s="27" t="n">
        <f aca="false">IF(G3631="","",G3631^2)</f>
        <v>0.000192702759994072</v>
      </c>
      <c r="I3631" s="25" t="n">
        <f aca="false">IF(G3631="","",C3631/C3630-1)</f>
        <v>0.013978540738637</v>
      </c>
      <c r="J3631" s="17" t="n">
        <f aca="false">AVERAGE(C3432:C3631)</f>
        <v>68958.24555</v>
      </c>
      <c r="K3631" s="17" t="n">
        <f aca="false">MAX(K3630,C3631)</f>
        <v>101428.75</v>
      </c>
      <c r="L3631" s="25" t="n">
        <f aca="false">C3631/K3631-1</f>
        <v>0</v>
      </c>
      <c r="M3631" s="25" t="n">
        <f aca="false">IF(COUNT(G3602:G3631)&lt;20,"",_xlfn.STDEV.S(G3602:G3631)*SQRT($R$3))</f>
        <v>0.464734064859865</v>
      </c>
      <c r="N3631" s="25" t="n">
        <f aca="false">IF(A3631-7&lt;$R$2,"",C3631/INDEX(Clean_Data!$C$2:$C$4314,MATCH(A3631-7,Clean_Data!$A$2:$A$4314,1))-1)</f>
        <v>0.015390722019474</v>
      </c>
      <c r="O3631" s="25" t="n">
        <f aca="false">IF(A3631-30&lt;$R$2,"",C3631/INDEX(Clean_Data!$C$2:$C$4314,MATCH(A3631-30,Clean_Data!$A$2:$A$4314,1))-1)</f>
        <v>0.120836207378581</v>
      </c>
    </row>
    <row r="3632" customFormat="false" ht="15" hidden="false" customHeight="false" outlineLevel="0" collapsed="false">
      <c r="A3632" s="16" t="n">
        <v>45639</v>
      </c>
      <c r="B3632" s="23" t="n">
        <f aca="false">YEAR(A3632)</f>
        <v>2024</v>
      </c>
      <c r="C3632" s="17" t="n">
        <v>101399.99</v>
      </c>
      <c r="D3632" s="23" t="n">
        <f aca="false">A3632-A3631</f>
        <v>1</v>
      </c>
      <c r="E3632" s="24" t="n">
        <f aca="false">LN(C3632)</f>
        <v>11.5268282715199</v>
      </c>
      <c r="F3632" s="25" t="n">
        <f aca="false">LN(C3632/C3631)</f>
        <v>-0.000283589004129734</v>
      </c>
      <c r="G3632" s="25" t="n">
        <f aca="false">IF(AND(D3632=1,A3632&gt;=$R$2),F3632,"")</f>
        <v>-0.000283589004129734</v>
      </c>
      <c r="H3632" s="27" t="n">
        <f aca="false">IF(G3632="","",G3632^2)</f>
        <v>8.04227232632944E-008</v>
      </c>
      <c r="I3632" s="25" t="n">
        <f aca="false">IF(G3632="","",C3632/C3631-1)</f>
        <v>-0.000283548796569</v>
      </c>
      <c r="J3632" s="17" t="n">
        <f aca="false">AVERAGE(C3433:C3632)</f>
        <v>69118.42635</v>
      </c>
      <c r="K3632" s="17" t="n">
        <f aca="false">MAX(K3631,C3632)</f>
        <v>101428.75</v>
      </c>
      <c r="L3632" s="25" t="n">
        <f aca="false">C3632/K3632-1</f>
        <v>-0.000283548796569</v>
      </c>
      <c r="M3632" s="25" t="n">
        <f aca="false">IF(COUNT(G3603:G3632)&lt;20,"",_xlfn.STDEV.S(G3603:G3632)*SQRT($R$3))</f>
        <v>0.443010141465884</v>
      </c>
      <c r="N3632" s="25" t="n">
        <f aca="false">IF(A3632-7&lt;$R$2,"",C3632/INDEX(Clean_Data!$C$2:$C$4314,MATCH(A3632-7,Clean_Data!$A$2:$A$4314,1))-1)</f>
        <v>0.0147171020477272</v>
      </c>
      <c r="O3632" s="25" t="n">
        <f aca="false">IF(A3632-30&lt;$R$2,"",C3632/INDEX(Clean_Data!$C$2:$C$4314,MATCH(A3632-30,Clean_Data!$A$2:$A$4314,1))-1)</f>
        <v>0.160974646326328</v>
      </c>
    </row>
    <row r="3633" customFormat="false" ht="15" hidden="false" customHeight="false" outlineLevel="0" collapsed="false">
      <c r="A3633" s="16" t="n">
        <v>45640</v>
      </c>
      <c r="B3633" s="23" t="n">
        <f aca="false">YEAR(A3633)</f>
        <v>2024</v>
      </c>
      <c r="C3633" s="17" t="n">
        <v>104447.76</v>
      </c>
      <c r="D3633" s="23" t="n">
        <f aca="false">A3633-A3632</f>
        <v>1</v>
      </c>
      <c r="E3633" s="24" t="n">
        <f aca="false">LN(C3633)</f>
        <v>11.556442321087</v>
      </c>
      <c r="F3633" s="25" t="n">
        <f aca="false">LN(C3633/C3632)</f>
        <v>0.029614049567081</v>
      </c>
      <c r="G3633" s="25" t="n">
        <f aca="false">IF(AND(D3633=1,A3633&gt;=$R$2),F3633,"")</f>
        <v>0.029614049567081</v>
      </c>
      <c r="H3633" s="27" t="n">
        <f aca="false">IF(G3633="","",G3633^2)</f>
        <v>0.000876991931761529</v>
      </c>
      <c r="I3633" s="25" t="n">
        <f aca="false">IF(G3633="","",C3633/C3632-1)</f>
        <v>0.0300569063172491</v>
      </c>
      <c r="J3633" s="17" t="n">
        <f aca="false">AVERAGE(C3434:C3633)</f>
        <v>69298.91355</v>
      </c>
      <c r="K3633" s="17" t="n">
        <f aca="false">MAX(K3632,C3633)</f>
        <v>104447.76</v>
      </c>
      <c r="L3633" s="25" t="n">
        <f aca="false">C3633/K3633-1</f>
        <v>0</v>
      </c>
      <c r="M3633" s="25" t="n">
        <f aca="false">IF(COUNT(G3604:G3633)&lt;20,"",_xlfn.STDEV.S(G3604:G3633)*SQRT($R$3))</f>
        <v>0.432289278917327</v>
      </c>
      <c r="N3633" s="25" t="n">
        <f aca="false">IF(A3633-7&lt;$R$2,"",C3633/INDEX(Clean_Data!$C$2:$C$4314,MATCH(A3633-7,Clean_Data!$A$2:$A$4314,1))-1)</f>
        <v>0.0323476187148621</v>
      </c>
      <c r="O3633" s="25" t="n">
        <f aca="false">IF(A3633-30&lt;$R$2,"",C3633/INDEX(Clean_Data!$C$2:$C$4314,MATCH(A3633-30,Clean_Data!$A$2:$A$4314,1))-1)</f>
        <v>0.147041962978468</v>
      </c>
    </row>
    <row r="3634" customFormat="false" ht="15" hidden="false" customHeight="false" outlineLevel="0" collapsed="false">
      <c r="A3634" s="16" t="n">
        <v>45641</v>
      </c>
      <c r="B3634" s="23" t="n">
        <f aca="false">YEAR(A3634)</f>
        <v>2024</v>
      </c>
      <c r="C3634" s="17" t="n">
        <v>106099.81</v>
      </c>
      <c r="D3634" s="23" t="n">
        <f aca="false">A3634-A3633</f>
        <v>1</v>
      </c>
      <c r="E3634" s="24" t="n">
        <f aca="false">LN(C3634)</f>
        <v>11.572135533837</v>
      </c>
      <c r="F3634" s="25" t="n">
        <f aca="false">LN(C3634/C3633)</f>
        <v>0.0156932127500737</v>
      </c>
      <c r="G3634" s="25" t="n">
        <f aca="false">IF(AND(D3634=1,A3634&gt;=$R$2),F3634,"")</f>
        <v>0.0156932127500737</v>
      </c>
      <c r="H3634" s="27" t="n">
        <f aca="false">IF(G3634="","",G3634^2)</f>
        <v>0.000246276926419077</v>
      </c>
      <c r="I3634" s="25" t="n">
        <f aca="false">IF(G3634="","",C3634/C3633-1)</f>
        <v>0.0158169978944498</v>
      </c>
      <c r="J3634" s="17" t="n">
        <f aca="false">AVERAGE(C3435:C3634)</f>
        <v>69491.54475</v>
      </c>
      <c r="K3634" s="17" t="n">
        <f aca="false">MAX(K3633,C3634)</f>
        <v>106099.81</v>
      </c>
      <c r="L3634" s="25" t="n">
        <f aca="false">C3634/K3634-1</f>
        <v>0</v>
      </c>
      <c r="M3634" s="25" t="n">
        <f aca="false">IF(COUNT(G3605:G3634)&lt;20,"",_xlfn.STDEV.S(G3605:G3634)*SQRT($R$3))</f>
        <v>0.432651247288216</v>
      </c>
      <c r="N3634" s="25" t="n">
        <f aca="false">IF(A3634-7&lt;$R$2,"",C3634/INDEX(Clean_Data!$C$2:$C$4314,MATCH(A3634-7,Clean_Data!$A$2:$A$4314,1))-1)</f>
        <v>0.0901620049399532</v>
      </c>
      <c r="O3634" s="25" t="n">
        <f aca="false">IF(A3634-30&lt;$R$2,"",C3634/INDEX(Clean_Data!$C$2:$C$4314,MATCH(A3634-30,Clean_Data!$A$2:$A$4314,1))-1)</f>
        <v>0.170611336039536</v>
      </c>
    </row>
    <row r="3635" customFormat="false" ht="15" hidden="false" customHeight="false" outlineLevel="0" collapsed="false">
      <c r="A3635" s="16" t="n">
        <v>45642</v>
      </c>
      <c r="B3635" s="23" t="n">
        <f aca="false">YEAR(A3635)</f>
        <v>2024</v>
      </c>
      <c r="C3635" s="17" t="n">
        <v>106136.99</v>
      </c>
      <c r="D3635" s="23" t="n">
        <f aca="false">A3635-A3634</f>
        <v>1</v>
      </c>
      <c r="E3635" s="24" t="n">
        <f aca="false">LN(C3635)</f>
        <v>11.5724858972083</v>
      </c>
      <c r="F3635" s="25" t="n">
        <f aca="false">LN(C3635/C3634)</f>
        <v>0.000350363371294187</v>
      </c>
      <c r="G3635" s="25" t="n">
        <f aca="false">IF(AND(D3635=1,A3635&gt;=$R$2),F3635,"")</f>
        <v>0.000350363371294187</v>
      </c>
      <c r="H3635" s="27" t="n">
        <f aca="false">IF(G3635="","",G3635^2)</f>
        <v>1.22754491944628E-007</v>
      </c>
      <c r="I3635" s="25" t="n">
        <f aca="false">IF(G3635="","",C3635/C3634-1)</f>
        <v>0.0003504247557089</v>
      </c>
      <c r="J3635" s="17" t="n">
        <f aca="false">AVERAGE(C3436:C3635)</f>
        <v>69680.44915</v>
      </c>
      <c r="K3635" s="17" t="n">
        <f aca="false">MAX(K3634,C3635)</f>
        <v>106136.99</v>
      </c>
      <c r="L3635" s="25" t="n">
        <f aca="false">C3635/K3635-1</f>
        <v>0</v>
      </c>
      <c r="M3635" s="25" t="n">
        <f aca="false">IF(COUNT(G3606:G3635)&lt;20,"",_xlfn.STDEV.S(G3606:G3635)*SQRT($R$3))</f>
        <v>0.43028516891203</v>
      </c>
      <c r="N3635" s="25" t="n">
        <f aca="false">IF(A3635-7&lt;$R$2,"",C3635/INDEX(Clean_Data!$C$2:$C$4314,MATCH(A3635-7,Clean_Data!$A$2:$A$4314,1))-1)</f>
        <v>0.098035955852199</v>
      </c>
      <c r="O3635" s="25" t="n">
        <f aca="false">IF(A3635-30&lt;$R$2,"",C3635/INDEX(Clean_Data!$C$2:$C$4314,MATCH(A3635-30,Clean_Data!$A$2:$A$4314,1))-1)</f>
        <v>0.180786499091245</v>
      </c>
    </row>
    <row r="3636" customFormat="false" ht="15" hidden="false" customHeight="false" outlineLevel="0" collapsed="false">
      <c r="A3636" s="16" t="n">
        <v>45643</v>
      </c>
      <c r="B3636" s="23" t="n">
        <f aca="false">YEAR(A3636)</f>
        <v>2024</v>
      </c>
      <c r="C3636" s="17" t="n">
        <v>100150.73</v>
      </c>
      <c r="D3636" s="23" t="n">
        <f aca="false">A3636-A3635</f>
        <v>1</v>
      </c>
      <c r="E3636" s="24" t="n">
        <f aca="false">LN(C3636)</f>
        <v>11.5144316301338</v>
      </c>
      <c r="F3636" s="25" t="n">
        <f aca="false">LN(C3636/C3635)</f>
        <v>-0.0580542670745349</v>
      </c>
      <c r="G3636" s="25" t="n">
        <f aca="false">IF(AND(D3636=1,A3636&gt;=$R$2),F3636,"")</f>
        <v>-0.0580542670745349</v>
      </c>
      <c r="H3636" s="27" t="n">
        <f aca="false">IF(G3636="","",G3636^2)</f>
        <v>0.00337029792556143</v>
      </c>
      <c r="I3636" s="25" t="n">
        <f aca="false">IF(G3636="","",C3636/C3635-1)</f>
        <v>-0.0564012602957744</v>
      </c>
      <c r="J3636" s="17" t="n">
        <f aca="false">AVERAGE(C3437:C3636)</f>
        <v>69843.67265</v>
      </c>
      <c r="K3636" s="17" t="n">
        <f aca="false">MAX(K3635,C3636)</f>
        <v>106136.99</v>
      </c>
      <c r="L3636" s="25" t="n">
        <f aca="false">C3636/K3636-1</f>
        <v>-0.0564012602957744</v>
      </c>
      <c r="M3636" s="25" t="n">
        <f aca="false">IF(COUNT(G3607:G3636)&lt;20,"",_xlfn.STDEV.S(G3607:G3636)*SQRT($R$3))</f>
        <v>0.483984741569716</v>
      </c>
      <c r="N3636" s="25" t="n">
        <f aca="false">IF(A3636-7&lt;$R$2,"",C3636/INDEX(Clean_Data!$C$2:$C$4314,MATCH(A3636-7,Clean_Data!$A$2:$A$4314,1))-1)</f>
        <v>-0.0103889138279825</v>
      </c>
      <c r="O3636" s="25" t="n">
        <f aca="false">IF(A3636-30&lt;$R$2,"",C3636/INDEX(Clean_Data!$C$2:$C$4314,MATCH(A3636-30,Clean_Data!$A$2:$A$4314,1))-1)</f>
        <v>0.106389726945227</v>
      </c>
    </row>
    <row r="3637" customFormat="false" ht="15" hidden="false" customHeight="false" outlineLevel="0" collapsed="false">
      <c r="A3637" s="16" t="n">
        <v>45644</v>
      </c>
      <c r="B3637" s="23" t="n">
        <f aca="false">YEAR(A3637)</f>
        <v>2024</v>
      </c>
      <c r="C3637" s="17" t="n">
        <v>97372.21</v>
      </c>
      <c r="D3637" s="23" t="n">
        <f aca="false">A3637-A3636</f>
        <v>1</v>
      </c>
      <c r="E3637" s="24" t="n">
        <f aca="false">LN(C3637)</f>
        <v>11.4862961306445</v>
      </c>
      <c r="F3637" s="25" t="n">
        <f aca="false">LN(C3637/C3636)</f>
        <v>-0.0281354994893301</v>
      </c>
      <c r="G3637" s="25" t="n">
        <f aca="false">IF(AND(D3637=1,A3637&gt;=$R$2),F3637,"")</f>
        <v>-0.0281354994893301</v>
      </c>
      <c r="H3637" s="27" t="n">
        <f aca="false">IF(G3637="","",G3637^2)</f>
        <v>0.000791606331514092</v>
      </c>
      <c r="I3637" s="25" t="n">
        <f aca="false">IF(G3637="","",C3637/C3636-1)</f>
        <v>-0.0277433823997089</v>
      </c>
      <c r="J3637" s="17" t="n">
        <f aca="false">AVERAGE(C3438:C3637)</f>
        <v>69991.9339</v>
      </c>
      <c r="K3637" s="17" t="n">
        <f aca="false">MAX(K3636,C3637)</f>
        <v>106136.99</v>
      </c>
      <c r="L3637" s="25" t="n">
        <f aca="false">C3637/K3637-1</f>
        <v>-0.0825798809632721</v>
      </c>
      <c r="M3637" s="25" t="n">
        <f aca="false">IF(COUNT(G3608:G3637)&lt;20,"",_xlfn.STDEV.S(G3608:G3637)*SQRT($R$3))</f>
        <v>0.49177019569972</v>
      </c>
      <c r="N3637" s="25" t="n">
        <f aca="false">IF(A3637-7&lt;$R$2,"",C3637/INDEX(Clean_Data!$C$2:$C$4314,MATCH(A3637-7,Clean_Data!$A$2:$A$4314,1))-1)</f>
        <v>-0.0265745027490123</v>
      </c>
      <c r="O3637" s="25" t="n">
        <f aca="false">IF(A3637-30&lt;$R$2,"",C3637/INDEX(Clean_Data!$C$2:$C$4314,MATCH(A3637-30,Clean_Data!$A$2:$A$4314,1))-1)</f>
        <v>0.0534026339769109</v>
      </c>
    </row>
    <row r="3638" customFormat="false" ht="15" hidden="false" customHeight="false" outlineLevel="0" collapsed="false">
      <c r="A3638" s="16" t="n">
        <v>45645</v>
      </c>
      <c r="B3638" s="23" t="n">
        <f aca="false">YEAR(A3638)</f>
        <v>2024</v>
      </c>
      <c r="C3638" s="17" t="n">
        <v>97765</v>
      </c>
      <c r="D3638" s="23" t="n">
        <f aca="false">A3638-A3637</f>
        <v>1</v>
      </c>
      <c r="E3638" s="24" t="n">
        <f aca="false">LN(C3638)</f>
        <v>11.4903219187604</v>
      </c>
      <c r="F3638" s="25" t="n">
        <f aca="false">LN(C3638/C3637)</f>
        <v>0.00402578811590562</v>
      </c>
      <c r="G3638" s="25" t="n">
        <f aca="false">IF(AND(D3638=1,A3638&gt;=$R$2),F3638,"")</f>
        <v>0.00402578811590562</v>
      </c>
      <c r="H3638" s="27" t="n">
        <f aca="false">IF(G3638="","",G3638^2)</f>
        <v>1.62069699541669E-005</v>
      </c>
      <c r="I3638" s="25" t="n">
        <f aca="false">IF(G3638="","",C3638/C3637-1)</f>
        <v>0.00403390248614044</v>
      </c>
      <c r="J3638" s="17" t="n">
        <f aca="false">AVERAGE(C3439:C3638)</f>
        <v>70142.1497</v>
      </c>
      <c r="K3638" s="17" t="n">
        <f aca="false">MAX(K3637,C3638)</f>
        <v>106136.99</v>
      </c>
      <c r="L3638" s="25" t="n">
        <f aca="false">C3638/K3638-1</f>
        <v>-0.0788790976642545</v>
      </c>
      <c r="M3638" s="25" t="n">
        <f aca="false">IF(COUNT(G3609:G3638)&lt;20,"",_xlfn.STDEV.S(G3609:G3638)*SQRT($R$3))</f>
        <v>0.486964927879366</v>
      </c>
      <c r="N3638" s="25" t="n">
        <f aca="false">IF(A3638-7&lt;$R$2,"",C3638/INDEX(Clean_Data!$C$2:$C$4314,MATCH(A3638-7,Clean_Data!$A$2:$A$4314,1))-1)</f>
        <v>-0.0361214152791984</v>
      </c>
      <c r="O3638" s="25" t="n">
        <f aca="false">IF(A3638-30&lt;$R$2,"",C3638/INDEX(Clean_Data!$C$2:$C$4314,MATCH(A3638-30,Clean_Data!$A$2:$A$4314,1))-1)</f>
        <v>0.0357213420677243</v>
      </c>
    </row>
    <row r="3639" customFormat="false" ht="15" hidden="false" customHeight="false" outlineLevel="0" collapsed="false">
      <c r="A3639" s="16" t="n">
        <v>45646</v>
      </c>
      <c r="B3639" s="23" t="n">
        <f aca="false">YEAR(A3639)</f>
        <v>2024</v>
      </c>
      <c r="C3639" s="17" t="n">
        <v>97230.08</v>
      </c>
      <c r="D3639" s="23" t="n">
        <f aca="false">A3639-A3638</f>
        <v>1</v>
      </c>
      <c r="E3639" s="24" t="n">
        <f aca="false">LN(C3639)</f>
        <v>11.4848354075947</v>
      </c>
      <c r="F3639" s="25" t="n">
        <f aca="false">LN(C3639/C3638)</f>
        <v>-0.00548651116569136</v>
      </c>
      <c r="G3639" s="25" t="n">
        <f aca="false">IF(AND(D3639=1,A3639&gt;=$R$2),F3639,"")</f>
        <v>-0.00548651116569136</v>
      </c>
      <c r="H3639" s="27" t="n">
        <f aca="false">IF(G3639="","",G3639^2)</f>
        <v>3.0101804771256E-005</v>
      </c>
      <c r="I3639" s="25" t="n">
        <f aca="false">IF(G3639="","",C3639/C3638-1)</f>
        <v>-0.00547148775124018</v>
      </c>
      <c r="J3639" s="17" t="n">
        <f aca="false">AVERAGE(C3440:C3639)</f>
        <v>70284.32725</v>
      </c>
      <c r="K3639" s="17" t="n">
        <f aca="false">MAX(K3638,C3639)</f>
        <v>106136.99</v>
      </c>
      <c r="L3639" s="25" t="n">
        <f aca="false">C3639/K3639-1</f>
        <v>-0.0839189993987959</v>
      </c>
      <c r="M3639" s="25" t="n">
        <f aca="false">IF(COUNT(G3610:G3639)&lt;20,"",_xlfn.STDEV.S(G3610:G3639)*SQRT($R$3))</f>
        <v>0.464539183383544</v>
      </c>
      <c r="N3639" s="25" t="n">
        <f aca="false">IF(A3639-7&lt;$R$2,"",C3639/INDEX(Clean_Data!$C$2:$C$4314,MATCH(A3639-7,Clean_Data!$A$2:$A$4314,1))-1)</f>
        <v>-0.0411233768366249</v>
      </c>
      <c r="O3639" s="25" t="n">
        <f aca="false">IF(A3639-30&lt;$R$2,"",C3639/INDEX(Clean_Data!$C$2:$C$4314,MATCH(A3639-30,Clean_Data!$A$2:$A$4314,1))-1)</f>
        <v>-0.0122818079687652</v>
      </c>
    </row>
    <row r="3640" customFormat="false" ht="15" hidden="false" customHeight="false" outlineLevel="0" collapsed="false">
      <c r="A3640" s="16" t="n">
        <v>45647</v>
      </c>
      <c r="B3640" s="23" t="n">
        <f aca="false">YEAR(A3640)</f>
        <v>2024</v>
      </c>
      <c r="C3640" s="17" t="n">
        <v>95087.75</v>
      </c>
      <c r="D3640" s="23" t="n">
        <f aca="false">A3640-A3639</f>
        <v>1</v>
      </c>
      <c r="E3640" s="24" t="n">
        <f aca="false">LN(C3640)</f>
        <v>11.4625554284595</v>
      </c>
      <c r="F3640" s="25" t="n">
        <f aca="false">LN(C3640/C3639)</f>
        <v>-0.0222799791352284</v>
      </c>
      <c r="G3640" s="25" t="n">
        <f aca="false">IF(AND(D3640=1,A3640&gt;=$R$2),F3640,"")</f>
        <v>-0.0222799791352284</v>
      </c>
      <c r="H3640" s="27" t="n">
        <f aca="false">IF(G3640="","",G3640^2)</f>
        <v>0.000496397470266211</v>
      </c>
      <c r="I3640" s="25" t="n">
        <f aca="false">IF(G3640="","",C3640/C3639-1)</f>
        <v>-0.0220336134661208</v>
      </c>
      <c r="J3640" s="17" t="n">
        <f aca="false">AVERAGE(C3441:C3640)</f>
        <v>70406.7832</v>
      </c>
      <c r="K3640" s="17" t="n">
        <f aca="false">MAX(K3639,C3640)</f>
        <v>106136.99</v>
      </c>
      <c r="L3640" s="25" t="n">
        <f aca="false">C3640/K3640-1</f>
        <v>-0.1041035740697</v>
      </c>
      <c r="M3640" s="25" t="n">
        <f aca="false">IF(COUNT(G3611:G3640)&lt;20,"",_xlfn.STDEV.S(G3611:G3640)*SQRT($R$3))</f>
        <v>0.470081301356603</v>
      </c>
      <c r="N3640" s="25" t="n">
        <f aca="false">IF(A3640-7&lt;$R$2,"",C3640/INDEX(Clean_Data!$C$2:$C$4314,MATCH(A3640-7,Clean_Data!$A$2:$A$4314,1))-1)</f>
        <v>-0.0896142722448045</v>
      </c>
      <c r="O3640" s="25" t="n">
        <f aca="false">IF(A3640-30&lt;$R$2,"",C3640/INDEX(Clean_Data!$C$2:$C$4314,MATCH(A3640-30,Clean_Data!$A$2:$A$4314,1))-1)</f>
        <v>-0.0397507554479453</v>
      </c>
    </row>
    <row r="3641" customFormat="false" ht="15" hidden="false" customHeight="false" outlineLevel="0" collapsed="false">
      <c r="A3641" s="16" t="n">
        <v>45648</v>
      </c>
      <c r="B3641" s="23" t="n">
        <f aca="false">YEAR(A3641)</f>
        <v>2024</v>
      </c>
      <c r="C3641" s="17" t="n">
        <v>94764.56</v>
      </c>
      <c r="D3641" s="23" t="n">
        <f aca="false">A3641-A3640</f>
        <v>1</v>
      </c>
      <c r="E3641" s="24" t="n">
        <f aca="false">LN(C3641)</f>
        <v>11.4591507786852</v>
      </c>
      <c r="F3641" s="25" t="n">
        <f aca="false">LN(C3641/C3640)</f>
        <v>-0.00340464977425652</v>
      </c>
      <c r="G3641" s="25" t="n">
        <f aca="false">IF(AND(D3641=1,A3641&gt;=$R$2),F3641,"")</f>
        <v>-0.00340464977425652</v>
      </c>
      <c r="H3641" s="27" t="n">
        <f aca="false">IF(G3641="","",G3641^2)</f>
        <v>1.1591640085345E-005</v>
      </c>
      <c r="I3641" s="25" t="n">
        <f aca="false">IF(G3641="","",C3641/C3640-1)</f>
        <v>-0.0033988605261982</v>
      </c>
      <c r="J3641" s="17" t="n">
        <f aca="false">AVERAGE(C3442:C3641)</f>
        <v>70524.78405</v>
      </c>
      <c r="K3641" s="17" t="n">
        <f aca="false">MAX(K3640,C3641)</f>
        <v>106136.99</v>
      </c>
      <c r="L3641" s="25" t="n">
        <f aca="false">C3641/K3641-1</f>
        <v>-0.107148601067356</v>
      </c>
      <c r="M3641" s="25" t="n">
        <f aca="false">IF(COUNT(G3612:G3641)&lt;20,"",_xlfn.STDEV.S(G3612:G3641)*SQRT($R$3))</f>
        <v>0.46838613612546</v>
      </c>
      <c r="N3641" s="25" t="n">
        <f aca="false">IF(A3641-7&lt;$R$2,"",C3641/INDEX(Clean_Data!$C$2:$C$4314,MATCH(A3641-7,Clean_Data!$A$2:$A$4314,1))-1)</f>
        <v>-0.106835723834001</v>
      </c>
      <c r="O3641" s="25" t="n">
        <f aca="false">IF(A3641-30&lt;$R$2,"",C3641/INDEX(Clean_Data!$C$2:$C$4314,MATCH(A3641-30,Clean_Data!$A$2:$A$4314,1))-1)</f>
        <v>-0.0308268349049595</v>
      </c>
    </row>
    <row r="3642" customFormat="false" ht="15" hidden="false" customHeight="false" outlineLevel="0" collapsed="false">
      <c r="A3642" s="16" t="n">
        <v>45649</v>
      </c>
      <c r="B3642" s="23" t="n">
        <f aca="false">YEAR(A3642)</f>
        <v>2024</v>
      </c>
      <c r="C3642" s="17" t="n">
        <v>98594.47</v>
      </c>
      <c r="D3642" s="23" t="n">
        <f aca="false">A3642-A3641</f>
        <v>1</v>
      </c>
      <c r="E3642" s="24" t="n">
        <f aca="false">LN(C3642)</f>
        <v>11.4987704538252</v>
      </c>
      <c r="F3642" s="25" t="n">
        <f aca="false">LN(C3642/C3641)</f>
        <v>0.0396196751399968</v>
      </c>
      <c r="G3642" s="25" t="n">
        <f aca="false">IF(AND(D3642=1,A3642&gt;=$R$2),F3642,"")</f>
        <v>0.0396196751399968</v>
      </c>
      <c r="H3642" s="27" t="n">
        <f aca="false">IF(G3642="","",G3642^2)</f>
        <v>0.00156971865819888</v>
      </c>
      <c r="I3642" s="25" t="n">
        <f aca="false">IF(G3642="","",C3642/C3641-1)</f>
        <v>0.0404150032459392</v>
      </c>
      <c r="J3642" s="17" t="n">
        <f aca="false">AVERAGE(C3443:C3642)</f>
        <v>70663.9029</v>
      </c>
      <c r="K3642" s="17" t="n">
        <f aca="false">MAX(K3641,C3642)</f>
        <v>106136.99</v>
      </c>
      <c r="L3642" s="25" t="n">
        <f aca="false">C3642/K3642-1</f>
        <v>-0.0710640088813523</v>
      </c>
      <c r="M3642" s="25" t="n">
        <f aca="false">IF(COUNT(G3613:G3642)&lt;20,"",_xlfn.STDEV.S(G3613:G3642)*SQRT($R$3))</f>
        <v>0.489344569804758</v>
      </c>
      <c r="N3642" s="25" t="n">
        <f aca="false">IF(A3642-7&lt;$R$2,"",C3642/INDEX(Clean_Data!$C$2:$C$4314,MATCH(A3642-7,Clean_Data!$A$2:$A$4314,1))-1)</f>
        <v>-0.0710640088813523</v>
      </c>
      <c r="O3642" s="25" t="n">
        <f aca="false">IF(A3642-30&lt;$R$2,"",C3642/INDEX(Clean_Data!$C$2:$C$4314,MATCH(A3642-30,Clean_Data!$A$2:$A$4314,1))-1)</f>
        <v>0.00577680826064508</v>
      </c>
    </row>
    <row r="3643" customFormat="false" ht="15" hidden="false" customHeight="false" outlineLevel="0" collapsed="false">
      <c r="A3643" s="16" t="n">
        <v>45650</v>
      </c>
      <c r="B3643" s="23" t="n">
        <f aca="false">YEAR(A3643)</f>
        <v>2024</v>
      </c>
      <c r="C3643" s="17" t="n">
        <v>99346.28</v>
      </c>
      <c r="D3643" s="23" t="n">
        <f aca="false">A3643-A3642</f>
        <v>1</v>
      </c>
      <c r="E3643" s="24" t="n">
        <f aca="false">LN(C3643)</f>
        <v>11.506366803897</v>
      </c>
      <c r="F3643" s="25" t="n">
        <f aca="false">LN(C3643/C3642)</f>
        <v>0.00759635007176338</v>
      </c>
      <c r="G3643" s="25" t="n">
        <f aca="false">IF(AND(D3643=1,A3643&gt;=$R$2),F3643,"")</f>
        <v>0.00759635007176338</v>
      </c>
      <c r="H3643" s="27" t="n">
        <f aca="false">IF(G3643="","",G3643^2)</f>
        <v>5.77045344127796E-005</v>
      </c>
      <c r="I3643" s="25" t="n">
        <f aca="false">IF(G3643="","",C3643/C3642-1)</f>
        <v>0.0076252755352304</v>
      </c>
      <c r="J3643" s="17" t="n">
        <f aca="false">AVERAGE(C3444:C3643)</f>
        <v>70814.2164</v>
      </c>
      <c r="K3643" s="17" t="n">
        <f aca="false">MAX(K3642,C3643)</f>
        <v>106136.99</v>
      </c>
      <c r="L3643" s="25" t="n">
        <f aca="false">C3643/K3643-1</f>
        <v>-0.0639806159944804</v>
      </c>
      <c r="M3643" s="25" t="n">
        <f aca="false">IF(COUNT(G3614:G3643)&lt;20,"",_xlfn.STDEV.S(G3614:G3643)*SQRT($R$3))</f>
        <v>0.451080638335194</v>
      </c>
      <c r="N3643" s="25" t="n">
        <f aca="false">IF(A3643-7&lt;$R$2,"",C3643/INDEX(Clean_Data!$C$2:$C$4314,MATCH(A3643-7,Clean_Data!$A$2:$A$4314,1))-1)</f>
        <v>-0.00803239277437118</v>
      </c>
      <c r="O3643" s="25" t="n">
        <f aca="false">IF(A3643-30&lt;$R$2,"",C3643/INDEX(Clean_Data!$C$2:$C$4314,MATCH(A3643-30,Clean_Data!$A$2:$A$4314,1))-1)</f>
        <v>0.0682394550280157</v>
      </c>
    </row>
    <row r="3644" customFormat="false" ht="15" hidden="false" customHeight="false" outlineLevel="0" collapsed="false">
      <c r="A3644" s="16" t="n">
        <v>45651</v>
      </c>
      <c r="B3644" s="23" t="n">
        <f aca="false">YEAR(A3644)</f>
        <v>2024</v>
      </c>
      <c r="C3644" s="17" t="n">
        <v>95669.49</v>
      </c>
      <c r="D3644" s="23" t="n">
        <f aca="false">A3644-A3643</f>
        <v>1</v>
      </c>
      <c r="E3644" s="24" t="n">
        <f aca="false">LN(C3644)</f>
        <v>11.4686547178333</v>
      </c>
      <c r="F3644" s="25" t="n">
        <f aca="false">LN(C3644/C3643)</f>
        <v>-0.0377120860636649</v>
      </c>
      <c r="G3644" s="25" t="n">
        <f aca="false">IF(AND(D3644=1,A3644&gt;=$R$2),F3644,"")</f>
        <v>-0.0377120860636649</v>
      </c>
      <c r="H3644" s="27" t="n">
        <f aca="false">IF(G3644="","",G3644^2)</f>
        <v>0.00142220143527326</v>
      </c>
      <c r="I3644" s="25" t="n">
        <f aca="false">IF(G3644="","",C3644/C3643-1)</f>
        <v>-0.0370098407308255</v>
      </c>
      <c r="J3644" s="17" t="n">
        <f aca="false">AVERAGE(C3445:C3644)</f>
        <v>70946.03435</v>
      </c>
      <c r="K3644" s="17" t="n">
        <f aca="false">MAX(K3643,C3644)</f>
        <v>106136.99</v>
      </c>
      <c r="L3644" s="25" t="n">
        <f aca="false">C3644/K3644-1</f>
        <v>-0.0986225443174901</v>
      </c>
      <c r="M3644" s="25" t="n">
        <f aca="false">IF(COUNT(G3615:G3644)&lt;20,"",_xlfn.STDEV.S(G3615:G3644)*SQRT($R$3))</f>
        <v>0.46994462773516</v>
      </c>
      <c r="N3644" s="25" t="n">
        <f aca="false">IF(A3644-7&lt;$R$2,"",C3644/INDEX(Clean_Data!$C$2:$C$4314,MATCH(A3644-7,Clean_Data!$A$2:$A$4314,1))-1)</f>
        <v>-0.0174867141251082</v>
      </c>
      <c r="O3644" s="25" t="n">
        <f aca="false">IF(A3644-30&lt;$R$2,"",C3644/INDEX(Clean_Data!$C$2:$C$4314,MATCH(A3644-30,Clean_Data!$A$2:$A$4314,1))-1)</f>
        <v>0.0406827881440504</v>
      </c>
    </row>
    <row r="3645" customFormat="false" ht="15" hidden="false" customHeight="false" outlineLevel="0" collapsed="false">
      <c r="A3645" s="16" t="n">
        <v>45652</v>
      </c>
      <c r="B3645" s="23" t="n">
        <f aca="false">YEAR(A3645)</f>
        <v>2024</v>
      </c>
      <c r="C3645" s="17" t="n">
        <v>94171.89</v>
      </c>
      <c r="D3645" s="23" t="n">
        <f aca="false">A3645-A3644</f>
        <v>1</v>
      </c>
      <c r="E3645" s="24" t="n">
        <f aca="false">LN(C3645)</f>
        <v>11.4528770083887</v>
      </c>
      <c r="F3645" s="25" t="n">
        <f aca="false">LN(C3645/C3644)</f>
        <v>-0.0157777094445722</v>
      </c>
      <c r="G3645" s="25" t="n">
        <f aca="false">IF(AND(D3645=1,A3645&gt;=$R$2),F3645,"")</f>
        <v>-0.0157777094445722</v>
      </c>
      <c r="H3645" s="27" t="n">
        <f aca="false">IF(G3645="","",G3645^2)</f>
        <v>0.000248936115317342</v>
      </c>
      <c r="I3645" s="25" t="n">
        <f aca="false">IF(G3645="","",C3645/C3644-1)</f>
        <v>-0.0156538934199399</v>
      </c>
      <c r="J3645" s="17" t="n">
        <f aca="false">AVERAGE(C3446:C3645)</f>
        <v>71068.61885</v>
      </c>
      <c r="K3645" s="17" t="n">
        <f aca="false">MAX(K3644,C3645)</f>
        <v>106136.99</v>
      </c>
      <c r="L3645" s="25" t="n">
        <f aca="false">C3645/K3645-1</f>
        <v>-0.112732610939881</v>
      </c>
      <c r="M3645" s="25" t="n">
        <f aca="false">IF(COUNT(G3616:G3645)&lt;20,"",_xlfn.STDEV.S(G3616:G3645)*SQRT($R$3))</f>
        <v>0.448805976542526</v>
      </c>
      <c r="N3645" s="25" t="n">
        <f aca="false">IF(A3645-7&lt;$R$2,"",C3645/INDEX(Clean_Data!$C$2:$C$4314,MATCH(A3645-7,Clean_Data!$A$2:$A$4314,1))-1)</f>
        <v>-0.0367525187950698</v>
      </c>
      <c r="O3645" s="25" t="n">
        <f aca="false">IF(A3645-30&lt;$R$2,"",C3645/INDEX(Clean_Data!$C$2:$C$4314,MATCH(A3645-30,Clean_Data!$A$2:$A$4314,1))-1)</f>
        <v>-0.0185438033650235</v>
      </c>
    </row>
    <row r="3646" customFormat="false" ht="15" hidden="false" customHeight="false" outlineLevel="0" collapsed="false">
      <c r="A3646" s="16" t="n">
        <v>45653</v>
      </c>
      <c r="B3646" s="23" t="n">
        <f aca="false">YEAR(A3646)</f>
        <v>2024</v>
      </c>
      <c r="C3646" s="17" t="n">
        <v>95130.82</v>
      </c>
      <c r="D3646" s="23" t="n">
        <f aca="false">A3646-A3645</f>
        <v>1</v>
      </c>
      <c r="E3646" s="24" t="n">
        <f aca="false">LN(C3646)</f>
        <v>11.4630082759468</v>
      </c>
      <c r="F3646" s="25" t="n">
        <f aca="false">LN(C3646/C3645)</f>
        <v>0.0101312675580849</v>
      </c>
      <c r="G3646" s="25" t="n">
        <f aca="false">IF(AND(D3646=1,A3646&gt;=$R$2),F3646,"")</f>
        <v>0.0101312675580849</v>
      </c>
      <c r="H3646" s="27" t="n">
        <f aca="false">IF(G3646="","",G3646^2)</f>
        <v>0.000102642582333503</v>
      </c>
      <c r="I3646" s="25" t="n">
        <f aca="false">IF(G3646="","",C3646/C3645-1)</f>
        <v>0.0101827626056992</v>
      </c>
      <c r="J3646" s="17" t="n">
        <f aca="false">AVERAGE(C3447:C3646)</f>
        <v>71196.81985</v>
      </c>
      <c r="K3646" s="17" t="n">
        <f aca="false">MAX(K3645,C3646)</f>
        <v>106136.99</v>
      </c>
      <c r="L3646" s="25" t="n">
        <f aca="false">C3646/K3646-1</f>
        <v>-0.103697777749303</v>
      </c>
      <c r="M3646" s="25" t="n">
        <f aca="false">IF(COUNT(G3617:G3646)&lt;20,"",_xlfn.STDEV.S(G3617:G3646)*SQRT($R$3))</f>
        <v>0.450267260355741</v>
      </c>
      <c r="N3646" s="25" t="n">
        <f aca="false">IF(A3646-7&lt;$R$2,"",C3646/INDEX(Clean_Data!$C$2:$C$4314,MATCH(A3646-7,Clean_Data!$A$2:$A$4314,1))-1)</f>
        <v>-0.0215906435539289</v>
      </c>
      <c r="O3646" s="25" t="n">
        <f aca="false">IF(A3646-30&lt;$R$2,"",C3646/INDEX(Clean_Data!$C$2:$C$4314,MATCH(A3646-30,Clean_Data!$A$2:$A$4314,1))-1)</f>
        <v>-0.00558936954616773</v>
      </c>
    </row>
    <row r="3647" customFormat="false" ht="15" hidden="false" customHeight="false" outlineLevel="0" collapsed="false">
      <c r="A3647" s="16" t="n">
        <v>45654</v>
      </c>
      <c r="B3647" s="23" t="n">
        <f aca="false">YEAR(A3647)</f>
        <v>2024</v>
      </c>
      <c r="C3647" s="17" t="n">
        <v>93563.35</v>
      </c>
      <c r="D3647" s="23" t="n">
        <f aca="false">A3647-A3646</f>
        <v>1</v>
      </c>
      <c r="E3647" s="24" t="n">
        <f aca="false">LN(C3647)</f>
        <v>11.4463940259571</v>
      </c>
      <c r="F3647" s="25" t="n">
        <f aca="false">LN(C3647/C3646)</f>
        <v>-0.0166142499897502</v>
      </c>
      <c r="G3647" s="25" t="n">
        <f aca="false">IF(AND(D3647=1,A3647&gt;=$R$2),F3647,"")</f>
        <v>-0.0166142499897502</v>
      </c>
      <c r="H3647" s="27" t="n">
        <f aca="false">IF(G3647="","",G3647^2)</f>
        <v>0.000276033302721913</v>
      </c>
      <c r="I3647" s="25" t="n">
        <f aca="false">IF(G3647="","",C3647/C3646-1)</f>
        <v>-0.0164769945218595</v>
      </c>
      <c r="J3647" s="17" t="n">
        <f aca="false">AVERAGE(C3448:C3647)</f>
        <v>71328.0544</v>
      </c>
      <c r="K3647" s="17" t="n">
        <f aca="false">MAX(K3646,C3647)</f>
        <v>106136.99</v>
      </c>
      <c r="L3647" s="25" t="n">
        <f aca="false">C3647/K3647-1</f>
        <v>-0.118466144555258</v>
      </c>
      <c r="M3647" s="25" t="n">
        <f aca="false">IF(COUNT(G3618:G3647)&lt;20,"",_xlfn.STDEV.S(G3618:G3647)*SQRT($R$3))</f>
        <v>0.448356994095127</v>
      </c>
      <c r="N3647" s="25" t="n">
        <f aca="false">IF(A3647-7&lt;$R$2,"",C3647/INDEX(Clean_Data!$C$2:$C$4314,MATCH(A3647-7,Clean_Data!$A$2:$A$4314,1))-1)</f>
        <v>-0.0160315077389043</v>
      </c>
      <c r="O3647" s="25" t="n">
        <f aca="false">IF(A3647-30&lt;$R$2,"",C3647/INDEX(Clean_Data!$C$2:$C$4314,MATCH(A3647-30,Clean_Data!$A$2:$A$4314,1))-1)</f>
        <v>-0.0402829771415816</v>
      </c>
    </row>
    <row r="3648" customFormat="false" ht="15" hidden="false" customHeight="false" outlineLevel="0" collapsed="false">
      <c r="A3648" s="16" t="n">
        <v>45655</v>
      </c>
      <c r="B3648" s="23" t="n">
        <f aca="false">YEAR(A3648)</f>
        <v>2024</v>
      </c>
      <c r="C3648" s="17" t="n">
        <v>92620.71</v>
      </c>
      <c r="D3648" s="23" t="n">
        <f aca="false">A3648-A3647</f>
        <v>1</v>
      </c>
      <c r="E3648" s="24" t="n">
        <f aca="false">LN(C3648)</f>
        <v>11.4362680457363</v>
      </c>
      <c r="F3648" s="25" t="n">
        <f aca="false">LN(C3648/C3647)</f>
        <v>-0.0101259802207516</v>
      </c>
      <c r="G3648" s="25" t="n">
        <f aca="false">IF(AND(D3648=1,A3648&gt;=$R$2),F3648,"")</f>
        <v>-0.0101259802207516</v>
      </c>
      <c r="H3648" s="27" t="n">
        <f aca="false">IF(G3648="","",G3648^2)</f>
        <v>0.000102535475431052</v>
      </c>
      <c r="I3648" s="25" t="n">
        <f aca="false">IF(G3648="","",C3648/C3647-1)</f>
        <v>-0.0100748850912242</v>
      </c>
      <c r="J3648" s="17" t="n">
        <f aca="false">AVERAGE(C3449:C3648)</f>
        <v>71449.80305</v>
      </c>
      <c r="K3648" s="17" t="n">
        <f aca="false">MAX(K3647,C3648)</f>
        <v>106136.99</v>
      </c>
      <c r="L3648" s="25" t="n">
        <f aca="false">C3648/K3648-1</f>
        <v>-0.127347496852888</v>
      </c>
      <c r="M3648" s="25" t="n">
        <f aca="false">IF(COUNT(G3619:G3648)&lt;20,"",_xlfn.STDEV.S(G3619:G3648)*SQRT($R$3))</f>
        <v>0.448244743138418</v>
      </c>
      <c r="N3648" s="25" t="n">
        <f aca="false">IF(A3648-7&lt;$R$2,"",C3648/INDEX(Clean_Data!$C$2:$C$4314,MATCH(A3648-7,Clean_Data!$A$2:$A$4314,1))-1)</f>
        <v>-0.022622908817389</v>
      </c>
      <c r="O3648" s="25" t="n">
        <f aca="false">IF(A3648-30&lt;$R$2,"",C3648/INDEX(Clean_Data!$C$2:$C$4314,MATCH(A3648-30,Clean_Data!$A$2:$A$4314,1))-1)</f>
        <v>-0.0398558364230415</v>
      </c>
    </row>
    <row r="3649" customFormat="false" ht="15" hidden="false" customHeight="false" outlineLevel="0" collapsed="false">
      <c r="A3649" s="16" t="n">
        <v>45656</v>
      </c>
      <c r="B3649" s="23" t="n">
        <f aca="false">YEAR(A3649)</f>
        <v>2024</v>
      </c>
      <c r="C3649" s="17" t="n">
        <v>93354.22</v>
      </c>
      <c r="D3649" s="23" t="n">
        <f aca="false">A3649-A3648</f>
        <v>1</v>
      </c>
      <c r="E3649" s="24" t="n">
        <f aca="false">LN(C3649)</f>
        <v>11.4441563541613</v>
      </c>
      <c r="F3649" s="25" t="n">
        <f aca="false">LN(C3649/C3648)</f>
        <v>0.00788830842496979</v>
      </c>
      <c r="G3649" s="25" t="n">
        <f aca="false">IF(AND(D3649=1,A3649&gt;=$R$2),F3649,"")</f>
        <v>0.00788830842496979</v>
      </c>
      <c r="H3649" s="27" t="n">
        <f aca="false">IF(G3649="","",G3649^2)</f>
        <v>6.22254098074493E-005</v>
      </c>
      <c r="I3649" s="25" t="n">
        <f aca="false">IF(G3649="","",C3649/C3648-1)</f>
        <v>0.00791950310033251</v>
      </c>
      <c r="J3649" s="17" t="n">
        <f aca="false">AVERAGE(C3450:C3649)</f>
        <v>71582.75265</v>
      </c>
      <c r="K3649" s="17" t="n">
        <f aca="false">MAX(K3648,C3649)</f>
        <v>106136.99</v>
      </c>
      <c r="L3649" s="25" t="n">
        <f aca="false">C3649/K3649-1</f>
        <v>-0.120436522648702</v>
      </c>
      <c r="M3649" s="25" t="n">
        <f aca="false">IF(COUNT(G3620:G3649)&lt;20,"",_xlfn.STDEV.S(G3620:G3649)*SQRT($R$3))</f>
        <v>0.448152759810214</v>
      </c>
      <c r="N3649" s="25" t="n">
        <f aca="false">IF(A3649-7&lt;$R$2,"",C3649/INDEX(Clean_Data!$C$2:$C$4314,MATCH(A3649-7,Clean_Data!$A$2:$A$4314,1))-1)</f>
        <v>-0.053149532625917</v>
      </c>
      <c r="O3649" s="25" t="n">
        <f aca="false">IF(A3649-30&lt;$R$2,"",C3649/INDEX(Clean_Data!$C$2:$C$4314,MATCH(A3649-30,Clean_Data!$A$2:$A$4314,1))-1)</f>
        <v>-0.0401895146755431</v>
      </c>
    </row>
    <row r="3650" customFormat="false" ht="15" hidden="false" customHeight="false" outlineLevel="0" collapsed="false">
      <c r="A3650" s="16" t="n">
        <v>45657</v>
      </c>
      <c r="B3650" s="23" t="n">
        <f aca="false">YEAR(A3650)</f>
        <v>2024</v>
      </c>
      <c r="C3650" s="17" t="n">
        <v>94383.59</v>
      </c>
      <c r="D3650" s="23" t="n">
        <f aca="false">A3650-A3649</f>
        <v>1</v>
      </c>
      <c r="E3650" s="24" t="n">
        <f aca="false">LN(C3650)</f>
        <v>11.4551225022768</v>
      </c>
      <c r="F3650" s="25" t="n">
        <f aca="false">LN(C3650/C3649)</f>
        <v>0.0109661481155438</v>
      </c>
      <c r="G3650" s="25" t="n">
        <f aca="false">IF(AND(D3650=1,A3650&gt;=$R$2),F3650,"")</f>
        <v>0.0109661481155438</v>
      </c>
      <c r="H3650" s="27" t="n">
        <f aca="false">IF(G3650="","",G3650^2)</f>
        <v>0.000120256404492045</v>
      </c>
      <c r="I3650" s="25" t="n">
        <f aca="false">IF(G3650="","",C3650/C3649-1)</f>
        <v>0.0110264967132712</v>
      </c>
      <c r="J3650" s="17" t="n">
        <f aca="false">AVERAGE(C3451:C3650)</f>
        <v>71724.5585</v>
      </c>
      <c r="K3650" s="17" t="n">
        <f aca="false">MAX(K3649,C3650)</f>
        <v>106136.99</v>
      </c>
      <c r="L3650" s="25" t="n">
        <f aca="false">C3650/K3650-1</f>
        <v>-0.110738018856574</v>
      </c>
      <c r="M3650" s="25" t="n">
        <f aca="false">IF(COUNT(G3621:G3650)&lt;20,"",_xlfn.STDEV.S(G3621:G3650)*SQRT($R$3))</f>
        <v>0.447562393799313</v>
      </c>
      <c r="N3650" s="25" t="n">
        <f aca="false">IF(A3650-7&lt;$R$2,"",C3650/INDEX(Clean_Data!$C$2:$C$4314,MATCH(A3650-7,Clean_Data!$A$2:$A$4314,1))-1)</f>
        <v>-0.0499534557308035</v>
      </c>
      <c r="O3650" s="25" t="n">
        <f aca="false">IF(A3650-30&lt;$R$2,"",C3650/INDEX(Clean_Data!$C$2:$C$4314,MATCH(A3650-30,Clean_Data!$A$2:$A$4314,1))-1)</f>
        <v>-0.0154314145964095</v>
      </c>
    </row>
    <row r="3651" customFormat="false" ht="15" hidden="false" customHeight="false" outlineLevel="0" collapsed="false">
      <c r="A3651" s="16" t="n">
        <v>45658</v>
      </c>
      <c r="B3651" s="23" t="n">
        <f aca="false">YEAR(A3651)</f>
        <v>2025</v>
      </c>
      <c r="C3651" s="17" t="n">
        <v>96903.19</v>
      </c>
      <c r="D3651" s="23" t="n">
        <f aca="false">A3651-A3650</f>
        <v>1</v>
      </c>
      <c r="E3651" s="24" t="n">
        <f aca="false">LN(C3651)</f>
        <v>11.4814677178736</v>
      </c>
      <c r="F3651" s="25" t="n">
        <f aca="false">LN(C3651/C3650)</f>
        <v>0.0263452155968057</v>
      </c>
      <c r="G3651" s="25" t="n">
        <f aca="false">IF(AND(D3651=1,A3651&gt;=$R$2),F3651,"")</f>
        <v>0.0263452155968057</v>
      </c>
      <c r="H3651" s="27" t="n">
        <f aca="false">IF(G3651="","",G3651^2)</f>
        <v>0.000694070384842172</v>
      </c>
      <c r="I3651" s="25" t="n">
        <f aca="false">IF(G3651="","",C3651/C3650-1)</f>
        <v>0.0266953185400132</v>
      </c>
      <c r="J3651" s="17" t="n">
        <f aca="false">AVERAGE(C3452:C3651)</f>
        <v>71878.2996</v>
      </c>
      <c r="K3651" s="17" t="n">
        <f aca="false">MAX(K3650,C3651)</f>
        <v>106136.99</v>
      </c>
      <c r="L3651" s="25" t="n">
        <f aca="false">C3651/K3651-1</f>
        <v>-0.086998887004427</v>
      </c>
      <c r="M3651" s="25" t="n">
        <f aca="false">IF(COUNT(G3622:G3651)&lt;20,"",_xlfn.STDEV.S(G3622:G3651)*SQRT($R$3))</f>
        <v>0.457275464460804</v>
      </c>
      <c r="N3651" s="25" t="n">
        <f aca="false">IF(A3651-7&lt;$R$2,"",C3651/INDEX(Clean_Data!$C$2:$C$4314,MATCH(A3651-7,Clean_Data!$A$2:$A$4314,1))-1)</f>
        <v>0.0128954382426414</v>
      </c>
      <c r="O3651" s="25" t="n">
        <f aca="false">IF(A3651-30&lt;$R$2,"",C3651/INDEX(Clean_Data!$C$2:$C$4314,MATCH(A3651-30,Clean_Data!$A$2:$A$4314,1))-1)</f>
        <v>0.0102025008829858</v>
      </c>
    </row>
    <row r="3652" customFormat="false" ht="15" hidden="false" customHeight="false" outlineLevel="0" collapsed="false">
      <c r="A3652" s="16" t="n">
        <v>45659</v>
      </c>
      <c r="B3652" s="23" t="n">
        <f aca="false">YEAR(A3652)</f>
        <v>2025</v>
      </c>
      <c r="C3652" s="17" t="n">
        <v>98136.51</v>
      </c>
      <c r="D3652" s="23" t="n">
        <f aca="false">A3652-A3651</f>
        <v>1</v>
      </c>
      <c r="E3652" s="24" t="n">
        <f aca="false">LN(C3652)</f>
        <v>11.4941147475687</v>
      </c>
      <c r="F3652" s="25" t="n">
        <f aca="false">LN(C3652/C3651)</f>
        <v>0.0126470296951102</v>
      </c>
      <c r="G3652" s="25" t="n">
        <f aca="false">IF(AND(D3652=1,A3652&gt;=$R$2),F3652,"")</f>
        <v>0.0126470296951102</v>
      </c>
      <c r="H3652" s="27" t="n">
        <f aca="false">IF(G3652="","",G3652^2)</f>
        <v>0.000159947360108999</v>
      </c>
      <c r="I3652" s="25" t="n">
        <f aca="false">IF(G3652="","",C3652/C3651-1)</f>
        <v>0.0127273415870004</v>
      </c>
      <c r="J3652" s="17" t="n">
        <f aca="false">AVERAGE(C3453:C3652)</f>
        <v>72035.91405</v>
      </c>
      <c r="K3652" s="17" t="n">
        <f aca="false">MAX(K3651,C3652)</f>
        <v>106136.99</v>
      </c>
      <c r="L3652" s="25" t="n">
        <f aca="false">C3652/K3652-1</f>
        <v>-0.0753788099700209</v>
      </c>
      <c r="M3652" s="25" t="n">
        <f aca="false">IF(COUNT(G3623:G3652)&lt;20,"",_xlfn.STDEV.S(G3623:G3652)*SQRT($R$3))</f>
        <v>0.447841686965472</v>
      </c>
      <c r="N3652" s="25" t="n">
        <f aca="false">IF(A3652-7&lt;$R$2,"",C3652/INDEX(Clean_Data!$C$2:$C$4314,MATCH(A3652-7,Clean_Data!$A$2:$A$4314,1))-1)</f>
        <v>0.0420998240557771</v>
      </c>
      <c r="O3652" s="25" t="n">
        <f aca="false">IF(A3652-30&lt;$R$2,"",C3652/INDEX(Clean_Data!$C$2:$C$4314,MATCH(A3652-30,Clean_Data!$A$2:$A$4314,1))-1)</f>
        <v>-0.00617471612083675</v>
      </c>
    </row>
    <row r="3653" customFormat="false" ht="15" hidden="false" customHeight="false" outlineLevel="0" collapsed="false">
      <c r="A3653" s="16" t="n">
        <v>45660</v>
      </c>
      <c r="B3653" s="23" t="n">
        <f aca="false">YEAR(A3653)</f>
        <v>2025</v>
      </c>
      <c r="C3653" s="17" t="n">
        <v>98209.85</v>
      </c>
      <c r="D3653" s="23" t="n">
        <f aca="false">A3653-A3652</f>
        <v>1</v>
      </c>
      <c r="E3653" s="24" t="n">
        <f aca="false">LN(C3653)</f>
        <v>11.4948617948113</v>
      </c>
      <c r="F3653" s="25" t="n">
        <f aca="false">LN(C3653/C3652)</f>
        <v>0.000747047242544255</v>
      </c>
      <c r="G3653" s="25" t="n">
        <f aca="false">IF(AND(D3653=1,A3653&gt;=$R$2),F3653,"")</f>
        <v>0.000747047242544255</v>
      </c>
      <c r="H3653" s="27" t="n">
        <f aca="false">IF(G3653="","",G3653^2)</f>
        <v>5.58079582592974E-007</v>
      </c>
      <c r="I3653" s="25" t="n">
        <f aca="false">IF(G3653="","",C3653/C3652-1)</f>
        <v>0.000747326351833832</v>
      </c>
      <c r="J3653" s="17" t="n">
        <f aca="false">AVERAGE(C3454:C3653)</f>
        <v>72194.37555</v>
      </c>
      <c r="K3653" s="17" t="n">
        <f aca="false">MAX(K3652,C3653)</f>
        <v>106136.99</v>
      </c>
      <c r="L3653" s="25" t="n">
        <f aca="false">C3653/K3653-1</f>
        <v>-0.0746878161892475</v>
      </c>
      <c r="M3653" s="25" t="n">
        <f aca="false">IF(COUNT(G3624:G3653)&lt;20,"",_xlfn.STDEV.S(G3624:G3653)*SQRT($R$3))</f>
        <v>0.443532197885729</v>
      </c>
      <c r="N3653" s="25" t="n">
        <f aca="false">IF(A3653-7&lt;$R$2,"",C3653/INDEX(Clean_Data!$C$2:$C$4314,MATCH(A3653-7,Clean_Data!$A$2:$A$4314,1))-1)</f>
        <v>0.032366272045169</v>
      </c>
      <c r="O3653" s="25" t="n">
        <f aca="false">IF(A3653-30&lt;$R$2,"",C3653/INDEX(Clean_Data!$C$2:$C$4314,MATCH(A3653-30,Clean_Data!$A$2:$A$4314,1))-1)</f>
        <v>0.0120112241603649</v>
      </c>
    </row>
    <row r="3654" customFormat="false" ht="15" hidden="false" customHeight="false" outlineLevel="0" collapsed="false">
      <c r="A3654" s="16" t="n">
        <v>45661</v>
      </c>
      <c r="B3654" s="23" t="n">
        <f aca="false">YEAR(A3654)</f>
        <v>2025</v>
      </c>
      <c r="C3654" s="17" t="n">
        <v>98345.33</v>
      </c>
      <c r="D3654" s="23" t="n">
        <f aca="false">A3654-A3653</f>
        <v>1</v>
      </c>
      <c r="E3654" s="24" t="n">
        <f aca="false">LN(C3654)</f>
        <v>11.4962403392125</v>
      </c>
      <c r="F3654" s="25" t="n">
        <f aca="false">LN(C3654/C3653)</f>
        <v>0.0013785444011736</v>
      </c>
      <c r="G3654" s="25" t="n">
        <f aca="false">IF(AND(D3654=1,A3654&gt;=$R$2),F3654,"")</f>
        <v>0.0013785444011736</v>
      </c>
      <c r="H3654" s="27" t="n">
        <f aca="false">IF(G3654="","",G3654^2)</f>
        <v>1.90038466600707E-006</v>
      </c>
      <c r="I3654" s="25" t="n">
        <f aca="false">IF(G3654="","",C3654/C3653-1)</f>
        <v>0.00137949503028456</v>
      </c>
      <c r="J3654" s="17" t="n">
        <f aca="false">AVERAGE(C3455:C3654)</f>
        <v>72360.4692</v>
      </c>
      <c r="K3654" s="17" t="n">
        <f aca="false">MAX(K3653,C3654)</f>
        <v>106136.99</v>
      </c>
      <c r="L3654" s="25" t="n">
        <f aca="false">C3654/K3654-1</f>
        <v>-0.0734113526302188</v>
      </c>
      <c r="M3654" s="25" t="n">
        <f aca="false">IF(COUNT(G3625:G3654)&lt;20,"",_xlfn.STDEV.S(G3625:G3654)*SQRT($R$3))</f>
        <v>0.431484088802337</v>
      </c>
      <c r="N3654" s="25" t="n">
        <f aca="false">IF(A3654-7&lt;$R$2,"",C3654/INDEX(Clean_Data!$C$2:$C$4314,MATCH(A3654-7,Clean_Data!$A$2:$A$4314,1))-1)</f>
        <v>0.0511095423581989</v>
      </c>
      <c r="O3654" s="25" t="n">
        <f aca="false">IF(A3654-30&lt;$R$2,"",C3654/INDEX(Clean_Data!$C$2:$C$4314,MATCH(A3654-30,Clean_Data!$A$2:$A$4314,1))-1)</f>
        <v>-0.0154770157776425</v>
      </c>
    </row>
    <row r="3655" customFormat="false" ht="15" hidden="false" customHeight="false" outlineLevel="0" collapsed="false">
      <c r="A3655" s="16" t="n">
        <v>45662</v>
      </c>
      <c r="B3655" s="23" t="n">
        <f aca="false">YEAR(A3655)</f>
        <v>2025</v>
      </c>
      <c r="C3655" s="17" t="n">
        <v>102279.41</v>
      </c>
      <c r="D3655" s="23" t="n">
        <f aca="false">A3655-A3654</f>
        <v>1</v>
      </c>
      <c r="E3655" s="24" t="n">
        <f aca="false">LN(C3655)</f>
        <v>11.5354636609098</v>
      </c>
      <c r="F3655" s="25" t="n">
        <f aca="false">LN(C3655/C3654)</f>
        <v>0.0392233216973469</v>
      </c>
      <c r="G3655" s="25" t="n">
        <f aca="false">IF(AND(D3655=1,A3655&gt;=$R$2),F3655,"")</f>
        <v>0.0392233216973469</v>
      </c>
      <c r="H3655" s="27" t="n">
        <f aca="false">IF(G3655="","",G3655^2)</f>
        <v>0.00153846896497356</v>
      </c>
      <c r="I3655" s="25" t="n">
        <f aca="false">IF(G3655="","",C3655/C3654-1)</f>
        <v>0.0400027128893665</v>
      </c>
      <c r="J3655" s="17" t="n">
        <f aca="false">AVERAGE(C3456:C3655)</f>
        <v>72547.3486</v>
      </c>
      <c r="K3655" s="17" t="n">
        <f aca="false">MAX(K3654,C3655)</f>
        <v>106136.99</v>
      </c>
      <c r="L3655" s="25" t="n">
        <f aca="false">C3655/K3655-1</f>
        <v>-0.036345293002939</v>
      </c>
      <c r="M3655" s="25" t="n">
        <f aca="false">IF(COUNT(G3626:G3655)&lt;20,"",_xlfn.STDEV.S(G3626:G3655)*SQRT($R$3))</f>
        <v>0.45322794305123</v>
      </c>
      <c r="N3655" s="25" t="n">
        <f aca="false">IF(A3655-7&lt;$R$2,"",C3655/INDEX(Clean_Data!$C$2:$C$4314,MATCH(A3655-7,Clean_Data!$A$2:$A$4314,1))-1)</f>
        <v>0.104282292804708</v>
      </c>
      <c r="O3655" s="25" t="n">
        <f aca="false">IF(A3655-30&lt;$R$2,"",C3655/INDEX(Clean_Data!$C$2:$C$4314,MATCH(A3655-30,Clean_Data!$A$2:$A$4314,1))-1)</f>
        <v>0.0235175221846802</v>
      </c>
    </row>
    <row r="3656" customFormat="false" ht="15" hidden="false" customHeight="false" outlineLevel="0" collapsed="false">
      <c r="A3656" s="16" t="n">
        <v>45663</v>
      </c>
      <c r="B3656" s="23" t="n">
        <f aca="false">YEAR(A3656)</f>
        <v>2025</v>
      </c>
      <c r="C3656" s="17" t="n">
        <v>96941.98</v>
      </c>
      <c r="D3656" s="23" t="n">
        <f aca="false">A3656-A3655</f>
        <v>1</v>
      </c>
      <c r="E3656" s="24" t="n">
        <f aca="false">LN(C3656)</f>
        <v>11.4818679341959</v>
      </c>
      <c r="F3656" s="25" t="n">
        <f aca="false">LN(C3656/C3655)</f>
        <v>-0.0535957267138621</v>
      </c>
      <c r="G3656" s="25" t="n">
        <f aca="false">IF(AND(D3656=1,A3656&gt;=$R$2),F3656,"")</f>
        <v>-0.0535957267138621</v>
      </c>
      <c r="H3656" s="27" t="n">
        <f aca="false">IF(G3656="","",G3656^2)</f>
        <v>0.00287250192198699</v>
      </c>
      <c r="I3656" s="25" t="n">
        <f aca="false">IF(G3656="","",C3656/C3655-1)</f>
        <v>-0.0521847945740008</v>
      </c>
      <c r="J3656" s="17" t="n">
        <f aca="false">AVERAGE(C3457:C3656)</f>
        <v>72707.84585</v>
      </c>
      <c r="K3656" s="17" t="n">
        <f aca="false">MAX(K3655,C3656)</f>
        <v>106136.99</v>
      </c>
      <c r="L3656" s="25" t="n">
        <f aca="false">C3656/K3656-1</f>
        <v>-0.0866334159278496</v>
      </c>
      <c r="M3656" s="25" t="n">
        <f aca="false">IF(COUNT(G3627:G3656)&lt;20,"",_xlfn.STDEV.S(G3627:G3656)*SQRT($R$3))</f>
        <v>0.488976660146526</v>
      </c>
      <c r="N3656" s="25" t="n">
        <f aca="false">IF(A3656-7&lt;$R$2,"",C3656/INDEX(Clean_Data!$C$2:$C$4314,MATCH(A3656-7,Clean_Data!$A$2:$A$4314,1))-1)</f>
        <v>0.0384316852521502</v>
      </c>
      <c r="O3656" s="25" t="n">
        <f aca="false">IF(A3656-30&lt;$R$2,"",C3656/INDEX(Clean_Data!$C$2:$C$4314,MATCH(A3656-30,Clean_Data!$A$2:$A$4314,1))-1)</f>
        <v>-0.0418385017878431</v>
      </c>
    </row>
    <row r="3657" customFormat="false" ht="15" hidden="false" customHeight="false" outlineLevel="0" collapsed="false">
      <c r="A3657" s="16" t="n">
        <v>45664</v>
      </c>
      <c r="B3657" s="23" t="n">
        <f aca="false">YEAR(A3657)</f>
        <v>2025</v>
      </c>
      <c r="C3657" s="17" t="n">
        <v>95036.63</v>
      </c>
      <c r="D3657" s="23" t="n">
        <f aca="false">A3657-A3656</f>
        <v>1</v>
      </c>
      <c r="E3657" s="24" t="n">
        <f aca="false">LN(C3657)</f>
        <v>11.4620176752136</v>
      </c>
      <c r="F3657" s="25" t="n">
        <f aca="false">LN(C3657/C3656)</f>
        <v>-0.0198502589823506</v>
      </c>
      <c r="G3657" s="25" t="n">
        <f aca="false">IF(AND(D3657=1,A3657&gt;=$R$2),F3657,"")</f>
        <v>-0.0198502589823506</v>
      </c>
      <c r="H3657" s="27" t="n">
        <f aca="false">IF(G3657="","",G3657^2)</f>
        <v>0.000394032781666389</v>
      </c>
      <c r="I3657" s="25" t="n">
        <f aca="false">IF(G3657="","",C3657/C3656-1)</f>
        <v>-0.0196545397566668</v>
      </c>
      <c r="J3657" s="17" t="n">
        <f aca="false">AVERAGE(C3458:C3657)</f>
        <v>72862.3471</v>
      </c>
      <c r="K3657" s="17" t="n">
        <f aca="false">MAX(K3656,C3657)</f>
        <v>106136.99</v>
      </c>
      <c r="L3657" s="25" t="n">
        <f aca="false">C3657/K3657-1</f>
        <v>-0.104585215766906</v>
      </c>
      <c r="M3657" s="25" t="n">
        <f aca="false">IF(COUNT(G3628:G3657)&lt;20,"",_xlfn.STDEV.S(G3628:G3657)*SQRT($R$3))</f>
        <v>0.475016769315704</v>
      </c>
      <c r="N3657" s="25" t="n">
        <f aca="false">IF(A3657-7&lt;$R$2,"",C3657/INDEX(Clean_Data!$C$2:$C$4314,MATCH(A3657-7,Clean_Data!$A$2:$A$4314,1))-1)</f>
        <v>0.00691899937266638</v>
      </c>
      <c r="O3657" s="25" t="n">
        <f aca="false">IF(A3657-30&lt;$R$2,"",C3657/INDEX(Clean_Data!$C$2:$C$4314,MATCH(A3657-30,Clean_Data!$A$2:$A$4314,1))-1)</f>
        <v>-0.023510757431738</v>
      </c>
    </row>
    <row r="3658" customFormat="false" ht="15" hidden="false" customHeight="false" outlineLevel="0" collapsed="false">
      <c r="A3658" s="16" t="n">
        <v>45665</v>
      </c>
      <c r="B3658" s="23" t="n">
        <f aca="false">YEAR(A3658)</f>
        <v>2025</v>
      </c>
      <c r="C3658" s="17" t="n">
        <v>92547.44</v>
      </c>
      <c r="D3658" s="23" t="n">
        <f aca="false">A3658-A3657</f>
        <v>1</v>
      </c>
      <c r="E3658" s="24" t="n">
        <f aca="false">LN(C3658)</f>
        <v>11.4354766568951</v>
      </c>
      <c r="F3658" s="25" t="n">
        <f aca="false">LN(C3658/C3657)</f>
        <v>-0.026541018318441</v>
      </c>
      <c r="G3658" s="25" t="n">
        <f aca="false">IF(AND(D3658=1,A3658&gt;=$R$2),F3658,"")</f>
        <v>-0.026541018318441</v>
      </c>
      <c r="H3658" s="27" t="n">
        <f aca="false">IF(G3658="","",G3658^2)</f>
        <v>0.000704425653379821</v>
      </c>
      <c r="I3658" s="25" t="n">
        <f aca="false">IF(G3658="","",C3658/C3657-1)</f>
        <v>-0.0261919009544005</v>
      </c>
      <c r="J3658" s="17" t="n">
        <f aca="false">AVERAGE(C3459:C3658)</f>
        <v>73003.79315</v>
      </c>
      <c r="K3658" s="17" t="n">
        <f aca="false">MAX(K3657,C3658)</f>
        <v>106136.99</v>
      </c>
      <c r="L3658" s="25" t="n">
        <f aca="false">C3658/K3658-1</f>
        <v>-0.128037831108646</v>
      </c>
      <c r="M3658" s="25" t="n">
        <f aca="false">IF(COUNT(G3629:G3658)&lt;20,"",_xlfn.STDEV.S(G3629:G3658)*SQRT($R$3))</f>
        <v>0.483074659120123</v>
      </c>
      <c r="N3658" s="25" t="n">
        <f aca="false">IF(A3658-7&lt;$R$2,"",C3658/INDEX(Clean_Data!$C$2:$C$4314,MATCH(A3658-7,Clean_Data!$A$2:$A$4314,1))-1)</f>
        <v>-0.0449495006304747</v>
      </c>
      <c r="O3658" s="25" t="n">
        <f aca="false">IF(A3658-30&lt;$R$2,"",C3658/INDEX(Clean_Data!$C$2:$C$4314,MATCH(A3658-30,Clean_Data!$A$2:$A$4314,1))-1)</f>
        <v>-0.042554186414425</v>
      </c>
    </row>
    <row r="3659" customFormat="false" ht="15" hidden="false" customHeight="false" outlineLevel="0" collapsed="false">
      <c r="A3659" s="16" t="n">
        <v>45666</v>
      </c>
      <c r="B3659" s="23" t="n">
        <f aca="false">YEAR(A3659)</f>
        <v>2025</v>
      </c>
      <c r="C3659" s="17" t="n">
        <v>94701.18</v>
      </c>
      <c r="D3659" s="23" t="n">
        <f aca="false">A3659-A3658</f>
        <v>1</v>
      </c>
      <c r="E3659" s="24" t="n">
        <f aca="false">LN(C3659)</f>
        <v>11.4584817394978</v>
      </c>
      <c r="F3659" s="25" t="n">
        <f aca="false">LN(C3659/C3658)</f>
        <v>0.0230050826026607</v>
      </c>
      <c r="G3659" s="25" t="n">
        <f aca="false">IF(AND(D3659=1,A3659&gt;=$R$2),F3659,"")</f>
        <v>0.0230050826026607</v>
      </c>
      <c r="H3659" s="27" t="n">
        <f aca="false">IF(G3659="","",G3659^2)</f>
        <v>0.000529233825555244</v>
      </c>
      <c r="I3659" s="25" t="n">
        <f aca="false">IF(G3659="","",C3659/C3658-1)</f>
        <v>0.023271740417671</v>
      </c>
      <c r="J3659" s="17" t="n">
        <f aca="false">AVERAGE(C3460:C3659)</f>
        <v>73161.22725</v>
      </c>
      <c r="K3659" s="17" t="n">
        <f aca="false">MAX(K3658,C3659)</f>
        <v>106136.99</v>
      </c>
      <c r="L3659" s="25" t="n">
        <f aca="false">C3659/K3659-1</f>
        <v>-0.107745753860176</v>
      </c>
      <c r="M3659" s="25" t="n">
        <f aca="false">IF(COUNT(G3630:G3659)&lt;20,"",_xlfn.STDEV.S(G3630:G3659)*SQRT($R$3))</f>
        <v>0.46090724146766</v>
      </c>
      <c r="N3659" s="25" t="n">
        <f aca="false">IF(A3659-7&lt;$R$2,"",C3659/INDEX(Clean_Data!$C$2:$C$4314,MATCH(A3659-7,Clean_Data!$A$2:$A$4314,1))-1)</f>
        <v>-0.0350056263464026</v>
      </c>
      <c r="O3659" s="25" t="n">
        <f aca="false">IF(A3659-30&lt;$R$2,"",C3659/INDEX(Clean_Data!$C$2:$C$4314,MATCH(A3659-30,Clean_Data!$A$2:$A$4314,1))-1)</f>
        <v>-0.0642370994043504</v>
      </c>
    </row>
    <row r="3660" customFormat="false" ht="15" hidden="false" customHeight="false" outlineLevel="0" collapsed="false">
      <c r="A3660" s="16" t="n">
        <v>45667</v>
      </c>
      <c r="B3660" s="23" t="n">
        <f aca="false">YEAR(A3660)</f>
        <v>2025</v>
      </c>
      <c r="C3660" s="17" t="n">
        <v>94565.02</v>
      </c>
      <c r="D3660" s="23" t="n">
        <f aca="false">A3660-A3659</f>
        <v>1</v>
      </c>
      <c r="E3660" s="24" t="n">
        <f aca="false">LN(C3660)</f>
        <v>11.4570429192173</v>
      </c>
      <c r="F3660" s="25" t="n">
        <f aca="false">LN(C3660/C3659)</f>
        <v>-0.00143882028053499</v>
      </c>
      <c r="G3660" s="25" t="n">
        <f aca="false">IF(AND(D3660=1,A3660&gt;=$R$2),F3660,"")</f>
        <v>-0.00143882028053499</v>
      </c>
      <c r="H3660" s="27" t="n">
        <f aca="false">IF(G3660="","",G3660^2)</f>
        <v>2.07020379967878E-006</v>
      </c>
      <c r="I3660" s="25" t="n">
        <f aca="false">IF(G3660="","",C3660/C3659-1)</f>
        <v>-0.0014377856748985</v>
      </c>
      <c r="J3660" s="17" t="n">
        <f aca="false">AVERAGE(C3461:C3660)</f>
        <v>73332.8723</v>
      </c>
      <c r="K3660" s="17" t="n">
        <f aca="false">MAX(K3659,C3660)</f>
        <v>106136.99</v>
      </c>
      <c r="L3660" s="25" t="n">
        <f aca="false">C3660/K3660-1</f>
        <v>-0.109028624233644</v>
      </c>
      <c r="M3660" s="25" t="n">
        <f aca="false">IF(COUNT(G3631:G3660)&lt;20,"",_xlfn.STDEV.S(G3631:G3660)*SQRT($R$3))</f>
        <v>0.459651726049219</v>
      </c>
      <c r="N3660" s="25" t="n">
        <f aca="false">IF(A3660-7&lt;$R$2,"",C3660/INDEX(Clean_Data!$C$2:$C$4314,MATCH(A3660-7,Clean_Data!$A$2:$A$4314,1))-1)</f>
        <v>-0.037112672506882</v>
      </c>
      <c r="O3660" s="25" t="n">
        <f aca="false">IF(A3660-30&lt;$R$2,"",C3660/INDEX(Clean_Data!$C$2:$C$4314,MATCH(A3660-30,Clean_Data!$A$2:$A$4314,1))-1)</f>
        <v>-0.0546378518465424</v>
      </c>
    </row>
    <row r="3661" customFormat="false" ht="15" hidden="false" customHeight="false" outlineLevel="0" collapsed="false">
      <c r="A3661" s="16" t="n">
        <v>45668</v>
      </c>
      <c r="B3661" s="23" t="n">
        <f aca="false">YEAR(A3661)</f>
        <v>2025</v>
      </c>
      <c r="C3661" s="17" t="n">
        <v>94509.62</v>
      </c>
      <c r="D3661" s="23" t="n">
        <f aca="false">A3661-A3660</f>
        <v>1</v>
      </c>
      <c r="E3661" s="24" t="n">
        <f aca="false">LN(C3661)</f>
        <v>11.4564569072425</v>
      </c>
      <c r="F3661" s="25" t="n">
        <f aca="false">LN(C3661/C3660)</f>
        <v>-0.000586011974799138</v>
      </c>
      <c r="G3661" s="25" t="n">
        <f aca="false">IF(AND(D3661=1,A3661&gt;=$R$2),F3661,"")</f>
        <v>-0.000586011974799138</v>
      </c>
      <c r="H3661" s="27" t="n">
        <f aca="false">IF(G3661="","",G3661^2)</f>
        <v>3.43410034607986E-007</v>
      </c>
      <c r="I3661" s="25" t="n">
        <f aca="false">IF(G3661="","",C3661/C3660-1)</f>
        <v>-0.00058584030331732</v>
      </c>
      <c r="J3661" s="17" t="n">
        <f aca="false">AVERAGE(C3462:C3661)</f>
        <v>73496.3155</v>
      </c>
      <c r="K3661" s="17" t="n">
        <f aca="false">MAX(K3660,C3661)</f>
        <v>106136.99</v>
      </c>
      <c r="L3661" s="25" t="n">
        <f aca="false">C3661/K3661-1</f>
        <v>-0.10955059117467</v>
      </c>
      <c r="M3661" s="25" t="n">
        <f aca="false">IF(COUNT(G3632:G3661)&lt;20,"",_xlfn.STDEV.S(G3632:G3661)*SQRT($R$3))</f>
        <v>0.456167433706465</v>
      </c>
      <c r="N3661" s="25" t="n">
        <f aca="false">IF(A3661-7&lt;$R$2,"",C3661/INDEX(Clean_Data!$C$2:$C$4314,MATCH(A3661-7,Clean_Data!$A$2:$A$4314,1))-1)</f>
        <v>-0.0390024620386144</v>
      </c>
      <c r="O3661" s="25" t="n">
        <f aca="false">IF(A3661-30&lt;$R$2,"",C3661/INDEX(Clean_Data!$C$2:$C$4314,MATCH(A3661-30,Clean_Data!$A$2:$A$4314,1))-1)</f>
        <v>-0.0682166545481434</v>
      </c>
    </row>
    <row r="3662" customFormat="false" ht="15" hidden="false" customHeight="false" outlineLevel="0" collapsed="false">
      <c r="A3662" s="16" t="n">
        <v>45669</v>
      </c>
      <c r="B3662" s="23" t="n">
        <f aca="false">YEAR(A3662)</f>
        <v>2025</v>
      </c>
      <c r="C3662" s="17" t="n">
        <v>94506.45</v>
      </c>
      <c r="D3662" s="23" t="n">
        <f aca="false">A3662-A3661</f>
        <v>1</v>
      </c>
      <c r="E3662" s="24" t="n">
        <f aca="false">LN(C3662)</f>
        <v>11.4564233651209</v>
      </c>
      <c r="F3662" s="25" t="n">
        <f aca="false">LN(C3662/C3661)</f>
        <v>-3.35421215804473E-005</v>
      </c>
      <c r="G3662" s="25" t="n">
        <f aca="false">IF(AND(D3662=1,A3662&gt;=$R$2),F3662,"")</f>
        <v>-3.35421215804473E-005</v>
      </c>
      <c r="H3662" s="27" t="n">
        <f aca="false">IF(G3662="","",G3662^2)</f>
        <v>1.12507392011751E-009</v>
      </c>
      <c r="I3662" s="25" t="n">
        <f aca="false">IF(G3662="","",C3662/C3661-1)</f>
        <v>-3.35415590497767E-005</v>
      </c>
      <c r="J3662" s="17" t="n">
        <f aca="false">AVERAGE(C3463:C3662)</f>
        <v>73664.8761</v>
      </c>
      <c r="K3662" s="17" t="n">
        <f aca="false">MAX(K3661,C3662)</f>
        <v>106136.99</v>
      </c>
      <c r="L3662" s="25" t="n">
        <f aca="false">C3662/K3662-1</f>
        <v>-0.109580458236097</v>
      </c>
      <c r="M3662" s="25" t="n">
        <f aca="false">IF(COUNT(G3633:G3662)&lt;20,"",_xlfn.STDEV.S(G3633:G3662)*SQRT($R$3))</f>
        <v>0.45618255924984</v>
      </c>
      <c r="N3662" s="25" t="n">
        <f aca="false">IF(A3662-7&lt;$R$2,"",C3662/INDEX(Clean_Data!$C$2:$C$4314,MATCH(A3662-7,Clean_Data!$A$2:$A$4314,1))-1)</f>
        <v>-0.0759973097224554</v>
      </c>
      <c r="O3662" s="25" t="n">
        <f aca="false">IF(A3662-30&lt;$R$2,"",C3662/INDEX(Clean_Data!$C$2:$C$4314,MATCH(A3662-30,Clean_Data!$A$2:$A$4314,1))-1)</f>
        <v>-0.0679836358958221</v>
      </c>
    </row>
    <row r="3663" customFormat="false" ht="15" hidden="false" customHeight="false" outlineLevel="0" collapsed="false">
      <c r="A3663" s="16" t="n">
        <v>45670</v>
      </c>
      <c r="B3663" s="23" t="n">
        <f aca="false">YEAR(A3663)</f>
        <v>2025</v>
      </c>
      <c r="C3663" s="17" t="n">
        <v>96534.96</v>
      </c>
      <c r="D3663" s="23" t="n">
        <f aca="false">A3663-A3662</f>
        <v>1</v>
      </c>
      <c r="E3663" s="24" t="n">
        <f aca="false">LN(C3663)</f>
        <v>11.4776605015123</v>
      </c>
      <c r="F3663" s="25" t="n">
        <f aca="false">LN(C3663/C3662)</f>
        <v>0.0212371363914524</v>
      </c>
      <c r="G3663" s="25" t="n">
        <f aca="false">IF(AND(D3663=1,A3663&gt;=$R$2),F3663,"")</f>
        <v>0.0212371363914524</v>
      </c>
      <c r="H3663" s="27" t="n">
        <f aca="false">IF(G3663="","",G3663^2)</f>
        <v>0.000451015962109151</v>
      </c>
      <c r="I3663" s="25" t="n">
        <f aca="false">IF(G3663="","",C3663/C3662-1)</f>
        <v>0.0214642492655264</v>
      </c>
      <c r="J3663" s="17" t="n">
        <f aca="false">AVERAGE(C3464:C3663)</f>
        <v>73839.4377</v>
      </c>
      <c r="K3663" s="17" t="n">
        <f aca="false">MAX(K3662,C3663)</f>
        <v>106136.99</v>
      </c>
      <c r="L3663" s="25" t="n">
        <f aca="false">C3663/K3663-1</f>
        <v>-0.0904682712407804</v>
      </c>
      <c r="M3663" s="25" t="n">
        <f aca="false">IF(COUNT(G3634:G3663)&lt;20,"",_xlfn.STDEV.S(G3634:G3663)*SQRT($R$3))</f>
        <v>0.449685218878059</v>
      </c>
      <c r="N3663" s="25" t="n">
        <f aca="false">IF(A3663-7&lt;$R$2,"",C3663/INDEX(Clean_Data!$C$2:$C$4314,MATCH(A3663-7,Clean_Data!$A$2:$A$4314,1))-1)</f>
        <v>-0.00419859383932519</v>
      </c>
      <c r="O3663" s="25" t="n">
        <f aca="false">IF(A3663-30&lt;$R$2,"",C3663/INDEX(Clean_Data!$C$2:$C$4314,MATCH(A3663-30,Clean_Data!$A$2:$A$4314,1))-1)</f>
        <v>-0.0757584461361354</v>
      </c>
    </row>
    <row r="3664" customFormat="false" ht="15" hidden="false" customHeight="false" outlineLevel="0" collapsed="false">
      <c r="A3664" s="16" t="n">
        <v>45671</v>
      </c>
      <c r="B3664" s="23" t="n">
        <f aca="false">YEAR(A3664)</f>
        <v>2025</v>
      </c>
      <c r="C3664" s="17" t="n">
        <v>100510.23</v>
      </c>
      <c r="D3664" s="23" t="n">
        <f aca="false">A3664-A3663</f>
        <v>1</v>
      </c>
      <c r="E3664" s="24" t="n">
        <f aca="false">LN(C3664)</f>
        <v>11.5180147923457</v>
      </c>
      <c r="F3664" s="25" t="n">
        <f aca="false">LN(C3664/C3663)</f>
        <v>0.0403542908333423</v>
      </c>
      <c r="G3664" s="25" t="n">
        <f aca="false">IF(AND(D3664=1,A3664&gt;=$R$2),F3664,"")</f>
        <v>0.0403542908333423</v>
      </c>
      <c r="H3664" s="27" t="n">
        <f aca="false">IF(G3664="","",G3664^2)</f>
        <v>0.00162846878866197</v>
      </c>
      <c r="I3664" s="25" t="n">
        <f aca="false">IF(G3664="","",C3664/C3663-1)</f>
        <v>0.0411795892389657</v>
      </c>
      <c r="J3664" s="17" t="n">
        <f aca="false">AVERAGE(C3465:C3664)</f>
        <v>74040.37745</v>
      </c>
      <c r="K3664" s="17" t="n">
        <f aca="false">MAX(K3663,C3664)</f>
        <v>106136.99</v>
      </c>
      <c r="L3664" s="25" t="n">
        <f aca="false">C3664/K3664-1</f>
        <v>-0.0530141282506693</v>
      </c>
      <c r="M3664" s="25" t="n">
        <f aca="false">IF(COUNT(G3635:G3664)&lt;20,"",_xlfn.STDEV.S(G3635:G3664)*SQRT($R$3))</f>
        <v>0.470094033682053</v>
      </c>
      <c r="N3664" s="25" t="n">
        <f aca="false">IF(A3664-7&lt;$R$2,"",C3664/INDEX(Clean_Data!$C$2:$C$4314,MATCH(A3664-7,Clean_Data!$A$2:$A$4314,1))-1)</f>
        <v>0.0575946348265926</v>
      </c>
      <c r="O3664" s="25" t="n">
        <f aca="false">IF(A3664-30&lt;$R$2,"",C3664/INDEX(Clean_Data!$C$2:$C$4314,MATCH(A3664-30,Clean_Data!$A$2:$A$4314,1))-1)</f>
        <v>-0.0526822809579018</v>
      </c>
    </row>
    <row r="3665" customFormat="false" ht="15" hidden="false" customHeight="false" outlineLevel="0" collapsed="false">
      <c r="A3665" s="16" t="n">
        <v>45672</v>
      </c>
      <c r="B3665" s="23" t="n">
        <f aca="false">YEAR(A3665)</f>
        <v>2025</v>
      </c>
      <c r="C3665" s="17" t="n">
        <v>99981.78</v>
      </c>
      <c r="D3665" s="23" t="n">
        <f aca="false">A3665-A3664</f>
        <v>1</v>
      </c>
      <c r="E3665" s="24" t="n">
        <f aca="false">LN(C3665)</f>
        <v>11.5127432483698</v>
      </c>
      <c r="F3665" s="25" t="n">
        <f aca="false">LN(C3665/C3664)</f>
        <v>-0.00527154397589477</v>
      </c>
      <c r="G3665" s="25" t="n">
        <f aca="false">IF(AND(D3665=1,A3665&gt;=$R$2),F3665,"")</f>
        <v>-0.00527154397589477</v>
      </c>
      <c r="H3665" s="27" t="n">
        <f aca="false">IF(G3665="","",G3665^2)</f>
        <v>2.77891758897924E-005</v>
      </c>
      <c r="I3665" s="25" t="n">
        <f aca="false">IF(G3665="","",C3665/C3664-1)</f>
        <v>-0.00525767377111763</v>
      </c>
      <c r="J3665" s="17" t="n">
        <f aca="false">AVERAGE(C3466:C3665)</f>
        <v>74235.83515</v>
      </c>
      <c r="K3665" s="17" t="n">
        <f aca="false">MAX(K3664,C3665)</f>
        <v>106136.99</v>
      </c>
      <c r="L3665" s="25" t="n">
        <f aca="false">C3665/K3665-1</f>
        <v>-0.0579930710301847</v>
      </c>
      <c r="M3665" s="25" t="n">
        <f aca="false">IF(COUNT(G3636:G3665)&lt;20,"",_xlfn.STDEV.S(G3636:G3665)*SQRT($R$3))</f>
        <v>0.470178748731548</v>
      </c>
      <c r="N3665" s="25" t="n">
        <f aca="false">IF(A3665-7&lt;$R$2,"",C3665/INDEX(Clean_Data!$C$2:$C$4314,MATCH(A3665-7,Clean_Data!$A$2:$A$4314,1))-1)</f>
        <v>0.0803300447856796</v>
      </c>
      <c r="O3665" s="25" t="n">
        <f aca="false">IF(A3665-30&lt;$R$2,"",C3665/INDEX(Clean_Data!$C$2:$C$4314,MATCH(A3665-30,Clean_Data!$A$2:$A$4314,1))-1)</f>
        <v>-0.0579930710301847</v>
      </c>
    </row>
    <row r="3666" customFormat="false" ht="15" hidden="false" customHeight="false" outlineLevel="0" collapsed="false">
      <c r="A3666" s="16" t="n">
        <v>45673</v>
      </c>
      <c r="B3666" s="23" t="n">
        <f aca="false">YEAR(A3666)</f>
        <v>2025</v>
      </c>
      <c r="C3666" s="17" t="n">
        <v>104107</v>
      </c>
      <c r="D3666" s="23" t="n">
        <f aca="false">A3666-A3665</f>
        <v>1</v>
      </c>
      <c r="E3666" s="24" t="n">
        <f aca="false">LN(C3666)</f>
        <v>11.5531744953779</v>
      </c>
      <c r="F3666" s="25" t="n">
        <f aca="false">LN(C3666/C3665)</f>
        <v>0.0404312470080995</v>
      </c>
      <c r="G3666" s="25" t="n">
        <f aca="false">IF(AND(D3666=1,A3666&gt;=$R$2),F3666,"")</f>
        <v>0.0404312470080995</v>
      </c>
      <c r="H3666" s="27" t="n">
        <f aca="false">IF(G3666="","",G3666^2)</f>
        <v>0.00163468573462995</v>
      </c>
      <c r="I3666" s="25" t="n">
        <f aca="false">IF(G3666="","",C3666/C3665-1)</f>
        <v>0.0412597175205323</v>
      </c>
      <c r="J3666" s="17" t="n">
        <f aca="false">AVERAGE(C3467:C3666)</f>
        <v>74442.97965</v>
      </c>
      <c r="K3666" s="17" t="n">
        <f aca="false">MAX(K3665,C3666)</f>
        <v>106136.99</v>
      </c>
      <c r="L3666" s="25" t="n">
        <f aca="false">C3666/K3666-1</f>
        <v>-0.019126131238506</v>
      </c>
      <c r="M3666" s="25" t="n">
        <f aca="false">IF(COUNT(G3637:G3666)&lt;20,"",_xlfn.STDEV.S(G3637:G3666)*SQRT($R$3))</f>
        <v>0.447315284815454</v>
      </c>
      <c r="N3666" s="25" t="n">
        <f aca="false">IF(A3666-7&lt;$R$2,"",C3666/INDEX(Clean_Data!$C$2:$C$4314,MATCH(A3666-7,Clean_Data!$A$2:$A$4314,1))-1)</f>
        <v>0.0993210433069578</v>
      </c>
      <c r="O3666" s="25" t="n">
        <f aca="false">IF(A3666-30&lt;$R$2,"",C3666/INDEX(Clean_Data!$C$2:$C$4314,MATCH(A3666-30,Clean_Data!$A$2:$A$4314,1))-1)</f>
        <v>0.0395031568916173</v>
      </c>
    </row>
    <row r="3667" customFormat="false" ht="15" hidden="false" customHeight="false" outlineLevel="0" collapsed="false">
      <c r="A3667" s="16" t="n">
        <v>45674</v>
      </c>
      <c r="B3667" s="23" t="n">
        <f aca="false">YEAR(A3667)</f>
        <v>2025</v>
      </c>
      <c r="C3667" s="17" t="n">
        <v>104435</v>
      </c>
      <c r="D3667" s="23" t="n">
        <f aca="false">A3667-A3666</f>
        <v>1</v>
      </c>
      <c r="E3667" s="24" t="n">
        <f aca="false">LN(C3667)</f>
        <v>11.5563201472894</v>
      </c>
      <c r="F3667" s="25" t="n">
        <f aca="false">LN(C3667/C3666)</f>
        <v>0.00314565191152612</v>
      </c>
      <c r="G3667" s="25" t="n">
        <f aca="false">IF(AND(D3667=1,A3667&gt;=$R$2),F3667,"")</f>
        <v>0.00314565191152612</v>
      </c>
      <c r="H3667" s="27" t="n">
        <f aca="false">IF(G3667="","",G3667^2)</f>
        <v>9.89512594848795E-006</v>
      </c>
      <c r="I3667" s="25" t="n">
        <f aca="false">IF(G3667="","",C3667/C3666-1)</f>
        <v>0.00315060466635297</v>
      </c>
      <c r="J3667" s="17" t="n">
        <f aca="false">AVERAGE(C3468:C3667)</f>
        <v>74650.80295</v>
      </c>
      <c r="K3667" s="17" t="n">
        <f aca="false">MAX(K3666,C3667)</f>
        <v>106136.99</v>
      </c>
      <c r="L3667" s="25" t="n">
        <f aca="false">C3667/K3667-1</f>
        <v>-0.0160357854504825</v>
      </c>
      <c r="M3667" s="25" t="n">
        <f aca="false">IF(COUNT(G3638:G3667)&lt;20,"",_xlfn.STDEV.S(G3638:G3667)*SQRT($R$3))</f>
        <v>0.434539711622993</v>
      </c>
      <c r="N3667" s="25" t="n">
        <f aca="false">IF(A3667-7&lt;$R$2,"",C3667/INDEX(Clean_Data!$C$2:$C$4314,MATCH(A3667-7,Clean_Data!$A$2:$A$4314,1))-1)</f>
        <v>0.104372420161282</v>
      </c>
      <c r="O3667" s="25" t="n">
        <f aca="false">IF(A3667-30&lt;$R$2,"",C3667/INDEX(Clean_Data!$C$2:$C$4314,MATCH(A3667-30,Clean_Data!$A$2:$A$4314,1))-1)</f>
        <v>0.0725339396117228</v>
      </c>
    </row>
    <row r="3668" customFormat="false" ht="15" hidden="false" customHeight="false" outlineLevel="0" collapsed="false">
      <c r="A3668" s="16" t="n">
        <v>45675</v>
      </c>
      <c r="B3668" s="23" t="n">
        <f aca="false">YEAR(A3668)</f>
        <v>2025</v>
      </c>
      <c r="C3668" s="17" t="n">
        <v>101211.13</v>
      </c>
      <c r="D3668" s="23" t="n">
        <f aca="false">A3668-A3667</f>
        <v>1</v>
      </c>
      <c r="E3668" s="24" t="n">
        <f aca="false">LN(C3668)</f>
        <v>11.5249640100253</v>
      </c>
      <c r="F3668" s="25" t="n">
        <f aca="false">LN(C3668/C3667)</f>
        <v>-0.0313561372641439</v>
      </c>
      <c r="G3668" s="25" t="n">
        <f aca="false">IF(AND(D3668=1,A3668&gt;=$R$2),F3668,"")</f>
        <v>-0.0313561372641439</v>
      </c>
      <c r="H3668" s="27" t="n">
        <f aca="false">IF(G3668="","",G3668^2)</f>
        <v>0.000983207344127835</v>
      </c>
      <c r="I3668" s="25" t="n">
        <f aca="false">IF(G3668="","",C3668/C3667-1)</f>
        <v>-0.03086963182841</v>
      </c>
      <c r="J3668" s="17" t="n">
        <f aca="false">AVERAGE(C3469:C3668)</f>
        <v>74846.5759</v>
      </c>
      <c r="K3668" s="17" t="n">
        <f aca="false">MAX(K3667,C3668)</f>
        <v>106136.99</v>
      </c>
      <c r="L3668" s="25" t="n">
        <f aca="false">C3668/K3668-1</f>
        <v>-0.0464103984859567</v>
      </c>
      <c r="M3668" s="25" t="n">
        <f aca="false">IF(COUNT(G3639:G3668)&lt;20,"",_xlfn.STDEV.S(G3639:G3668)*SQRT($R$3))</f>
        <v>0.450054781366442</v>
      </c>
      <c r="N3668" s="25" t="n">
        <f aca="false">IF(A3668-7&lt;$R$2,"",C3668/INDEX(Clean_Data!$C$2:$C$4314,MATCH(A3668-7,Clean_Data!$A$2:$A$4314,1))-1)</f>
        <v>0.0709082313525333</v>
      </c>
      <c r="O3668" s="25" t="n">
        <f aca="false">IF(A3668-30&lt;$R$2,"",C3668/INDEX(Clean_Data!$C$2:$C$4314,MATCH(A3668-30,Clean_Data!$A$2:$A$4314,1))-1)</f>
        <v>0.0352491177824374</v>
      </c>
    </row>
    <row r="3669" customFormat="false" ht="15" hidden="false" customHeight="false" outlineLevel="0" collapsed="false">
      <c r="A3669" s="16" t="n">
        <v>45676</v>
      </c>
      <c r="B3669" s="23" t="n">
        <f aca="false">YEAR(A3669)</f>
        <v>2025</v>
      </c>
      <c r="C3669" s="17" t="n">
        <v>102145.43</v>
      </c>
      <c r="D3669" s="23" t="n">
        <f aca="false">A3669-A3668</f>
        <v>1</v>
      </c>
      <c r="E3669" s="24" t="n">
        <f aca="false">LN(C3669)</f>
        <v>11.5341528611148</v>
      </c>
      <c r="F3669" s="25" t="n">
        <f aca="false">LN(C3669/C3668)</f>
        <v>0.00918885108951377</v>
      </c>
      <c r="G3669" s="25" t="n">
        <f aca="false">IF(AND(D3669=1,A3669&gt;=$R$2),F3669,"")</f>
        <v>0.00918885108951377</v>
      </c>
      <c r="H3669" s="27" t="n">
        <f aca="false">IF(G3669="","",G3669^2)</f>
        <v>8.44349843452584E-005</v>
      </c>
      <c r="I3669" s="25" t="n">
        <f aca="false">IF(G3669="","",C3669/C3668-1)</f>
        <v>0.00923119818936891</v>
      </c>
      <c r="J3669" s="17" t="n">
        <f aca="false">AVERAGE(C3470:C3669)</f>
        <v>75056.36635</v>
      </c>
      <c r="K3669" s="17" t="n">
        <f aca="false">MAX(K3668,C3669)</f>
        <v>106136.99</v>
      </c>
      <c r="L3669" s="25" t="n">
        <f aca="false">C3669/K3669-1</f>
        <v>-0.0376076238830592</v>
      </c>
      <c r="M3669" s="25" t="n">
        <f aca="false">IF(COUNT(G3640:G3669)&lt;20,"",_xlfn.STDEV.S(G3640:G3669)*SQRT($R$3))</f>
        <v>0.450240184725241</v>
      </c>
      <c r="N3669" s="25" t="n">
        <f aca="false">IF(A3669-7&lt;$R$2,"",C3669/INDEX(Clean_Data!$C$2:$C$4314,MATCH(A3669-7,Clean_Data!$A$2:$A$4314,1))-1)</f>
        <v>0.0808302502104354</v>
      </c>
      <c r="O3669" s="25" t="n">
        <f aca="false">IF(A3669-30&lt;$R$2,"",C3669/INDEX(Clean_Data!$C$2:$C$4314,MATCH(A3669-30,Clean_Data!$A$2:$A$4314,1))-1)</f>
        <v>0.0505537998117454</v>
      </c>
    </row>
    <row r="3670" customFormat="false" ht="15" hidden="false" customHeight="false" outlineLevel="0" collapsed="false">
      <c r="A3670" s="16" t="n">
        <v>45677</v>
      </c>
      <c r="B3670" s="23" t="n">
        <f aca="false">YEAR(A3670)</f>
        <v>2025</v>
      </c>
      <c r="C3670" s="17" t="n">
        <v>106159.26</v>
      </c>
      <c r="D3670" s="23" t="n">
        <f aca="false">A3670-A3669</f>
        <v>1</v>
      </c>
      <c r="E3670" s="24" t="n">
        <f aca="false">LN(C3670)</f>
        <v>11.5726956983714</v>
      </c>
      <c r="F3670" s="25" t="n">
        <f aca="false">LN(C3670/C3669)</f>
        <v>0.0385428372566074</v>
      </c>
      <c r="G3670" s="25" t="n">
        <f aca="false">IF(AND(D3670=1,A3670&gt;=$R$2),F3670,"")</f>
        <v>0.0385428372566074</v>
      </c>
      <c r="H3670" s="27" t="n">
        <f aca="false">IF(G3670="","",G3670^2)</f>
        <v>0.00148555030378932</v>
      </c>
      <c r="I3670" s="25" t="n">
        <f aca="false">IF(G3670="","",C3670/C3669-1)</f>
        <v>0.0392952479616562</v>
      </c>
      <c r="J3670" s="17" t="n">
        <f aca="false">AVERAGE(C3471:C3670)</f>
        <v>75301.3067</v>
      </c>
      <c r="K3670" s="17" t="n">
        <f aca="false">MAX(K3669,C3670)</f>
        <v>106159.26</v>
      </c>
      <c r="L3670" s="25" t="n">
        <f aca="false">C3670/K3670-1</f>
        <v>0</v>
      </c>
      <c r="M3670" s="25" t="n">
        <f aca="false">IF(COUNT(G3641:G3670)&lt;20,"",_xlfn.STDEV.S(G3641:G3670)*SQRT($R$3))</f>
        <v>0.45945285375494</v>
      </c>
      <c r="N3670" s="25" t="n">
        <f aca="false">IF(A3670-7&lt;$R$2,"",C3670/INDEX(Clean_Data!$C$2:$C$4314,MATCH(A3670-7,Clean_Data!$A$2:$A$4314,1))-1)</f>
        <v>0.0996975603449775</v>
      </c>
      <c r="O3670" s="25" t="n">
        <f aca="false">IF(A3670-30&lt;$R$2,"",C3670/INDEX(Clean_Data!$C$2:$C$4314,MATCH(A3670-30,Clean_Data!$A$2:$A$4314,1))-1)</f>
        <v>0.116434661667775</v>
      </c>
    </row>
    <row r="3671" customFormat="false" ht="15" hidden="false" customHeight="false" outlineLevel="0" collapsed="false">
      <c r="A3671" s="16" t="n">
        <v>45678</v>
      </c>
      <c r="B3671" s="23" t="n">
        <f aca="false">YEAR(A3671)</f>
        <v>2025</v>
      </c>
      <c r="C3671" s="17" t="n">
        <v>103667.11</v>
      </c>
      <c r="D3671" s="23" t="n">
        <f aca="false">A3671-A3670</f>
        <v>1</v>
      </c>
      <c r="E3671" s="24" t="n">
        <f aca="false">LN(C3671)</f>
        <v>11.5489401790115</v>
      </c>
      <c r="F3671" s="25" t="n">
        <f aca="false">LN(C3671/C3670)</f>
        <v>-0.0237555193599465</v>
      </c>
      <c r="G3671" s="25" t="n">
        <f aca="false">IF(AND(D3671=1,A3671&gt;=$R$2),F3671,"")</f>
        <v>-0.0237555193599465</v>
      </c>
      <c r="H3671" s="27" t="n">
        <f aca="false">IF(G3671="","",G3671^2)</f>
        <v>0.000564324700060793</v>
      </c>
      <c r="I3671" s="25" t="n">
        <f aca="false">IF(G3671="","",C3671/C3670-1)</f>
        <v>-0.0234755781078353</v>
      </c>
      <c r="J3671" s="17" t="n">
        <f aca="false">AVERAGE(C3472:C3671)</f>
        <v>75536.5188</v>
      </c>
      <c r="K3671" s="17" t="n">
        <f aca="false">MAX(K3670,C3671)</f>
        <v>106159.26</v>
      </c>
      <c r="L3671" s="25" t="n">
        <f aca="false">C3671/K3671-1</f>
        <v>-0.0234755781078353</v>
      </c>
      <c r="M3671" s="25" t="n">
        <f aca="false">IF(COUNT(G3642:G3671)&lt;20,"",_xlfn.STDEV.S(G3642:G3671)*SQRT($R$3))</f>
        <v>0.468786453195629</v>
      </c>
      <c r="N3671" s="25" t="n">
        <f aca="false">IF(A3671-7&lt;$R$2,"",C3671/INDEX(Clean_Data!$C$2:$C$4314,MATCH(A3671-7,Clean_Data!$A$2:$A$4314,1))-1)</f>
        <v>0.0314085441850049</v>
      </c>
      <c r="O3671" s="25" t="n">
        <f aca="false">IF(A3671-30&lt;$R$2,"",C3671/INDEX(Clean_Data!$C$2:$C$4314,MATCH(A3671-30,Clean_Data!$A$2:$A$4314,1))-1)</f>
        <v>0.0939438752208632</v>
      </c>
    </row>
    <row r="3672" customFormat="false" ht="15" hidden="false" customHeight="false" outlineLevel="0" collapsed="false">
      <c r="A3672" s="16" t="n">
        <v>45679</v>
      </c>
      <c r="B3672" s="23" t="n">
        <f aca="false">YEAR(A3672)</f>
        <v>2025</v>
      </c>
      <c r="C3672" s="17" t="n">
        <v>103926.36</v>
      </c>
      <c r="D3672" s="23" t="n">
        <f aca="false">A3672-A3671</f>
        <v>1</v>
      </c>
      <c r="E3672" s="24" t="n">
        <f aca="false">LN(C3672)</f>
        <v>11.5514378503956</v>
      </c>
      <c r="F3672" s="25" t="n">
        <f aca="false">LN(C3672/C3671)</f>
        <v>0.00249767138412017</v>
      </c>
      <c r="G3672" s="25" t="n">
        <f aca="false">IF(AND(D3672=1,A3672&gt;=$R$2),F3672,"")</f>
        <v>0.00249767138412017</v>
      </c>
      <c r="H3672" s="27" t="n">
        <f aca="false">IF(G3672="","",G3672^2)</f>
        <v>6.23836234305279E-006</v>
      </c>
      <c r="I3672" s="25" t="n">
        <f aca="false">IF(G3672="","",C3672/C3671-1)</f>
        <v>0.00250079316381058</v>
      </c>
      <c r="J3672" s="17" t="n">
        <f aca="false">AVERAGE(C3473:C3672)</f>
        <v>75765.05395</v>
      </c>
      <c r="K3672" s="17" t="n">
        <f aca="false">MAX(K3671,C3672)</f>
        <v>106159.26</v>
      </c>
      <c r="L3672" s="25" t="n">
        <f aca="false">C3672/K3672-1</f>
        <v>-0.0210334925092733</v>
      </c>
      <c r="M3672" s="25" t="n">
        <f aca="false">IF(COUNT(G3643:G3672)&lt;20,"",_xlfn.STDEV.S(G3643:G3672)*SQRT($R$3))</f>
        <v>0.449778944769844</v>
      </c>
      <c r="N3672" s="25" t="n">
        <f aca="false">IF(A3672-7&lt;$R$2,"",C3672/INDEX(Clean_Data!$C$2:$C$4314,MATCH(A3672-7,Clean_Data!$A$2:$A$4314,1))-1)</f>
        <v>0.0394529883344745</v>
      </c>
      <c r="O3672" s="25" t="n">
        <f aca="false">IF(A3672-30&lt;$R$2,"",C3672/INDEX(Clean_Data!$C$2:$C$4314,MATCH(A3672-30,Clean_Data!$A$2:$A$4314,1))-1)</f>
        <v>0.0540789965197845</v>
      </c>
    </row>
    <row r="3673" customFormat="false" ht="15" hidden="false" customHeight="false" outlineLevel="0" collapsed="false">
      <c r="A3673" s="16" t="n">
        <v>45680</v>
      </c>
      <c r="B3673" s="23" t="n">
        <f aca="false">YEAR(A3673)</f>
        <v>2025</v>
      </c>
      <c r="C3673" s="17" t="n">
        <v>104850.27</v>
      </c>
      <c r="D3673" s="23" t="n">
        <f aca="false">A3673-A3672</f>
        <v>1</v>
      </c>
      <c r="E3673" s="24" t="n">
        <f aca="false">LN(C3673)</f>
        <v>11.560288611434</v>
      </c>
      <c r="F3673" s="25" t="n">
        <f aca="false">LN(C3673/C3672)</f>
        <v>0.00885076103847811</v>
      </c>
      <c r="G3673" s="25" t="n">
        <f aca="false">IF(AND(D3673=1,A3673&gt;=$R$2),F3673,"")</f>
        <v>0.00885076103847811</v>
      </c>
      <c r="H3673" s="27" t="n">
        <f aca="false">IF(G3673="","",G3673^2)</f>
        <v>7.83359709602421E-005</v>
      </c>
      <c r="I3673" s="25" t="n">
        <f aca="false">IF(G3673="","",C3673/C3672-1)</f>
        <v>0.0088900448355933</v>
      </c>
      <c r="J3673" s="17" t="n">
        <f aca="false">AVERAGE(C3474:C3673)</f>
        <v>76009.73795</v>
      </c>
      <c r="K3673" s="17" t="n">
        <f aca="false">MAX(K3672,C3673)</f>
        <v>106159.26</v>
      </c>
      <c r="L3673" s="25" t="n">
        <f aca="false">C3673/K3673-1</f>
        <v>-0.0123304363651366</v>
      </c>
      <c r="M3673" s="25" t="n">
        <f aca="false">IF(COUNT(G3644:G3673)&lt;20,"",_xlfn.STDEV.S(G3644:G3673)*SQRT($R$3))</f>
        <v>0.450005194816243</v>
      </c>
      <c r="N3673" s="25" t="n">
        <f aca="false">IF(A3673-7&lt;$R$2,"",C3673/INDEX(Clean_Data!$C$2:$C$4314,MATCH(A3673-7,Clean_Data!$A$2:$A$4314,1))-1)</f>
        <v>0.00713948149500032</v>
      </c>
      <c r="O3673" s="25" t="n">
        <f aca="false">IF(A3673-30&lt;$R$2,"",C3673/INDEX(Clean_Data!$C$2:$C$4314,MATCH(A3673-30,Clean_Data!$A$2:$A$4314,1))-1)</f>
        <v>0.055402074441036</v>
      </c>
    </row>
    <row r="3674" customFormat="false" ht="15" hidden="false" customHeight="false" outlineLevel="0" collapsed="false">
      <c r="A3674" s="16" t="n">
        <v>45681</v>
      </c>
      <c r="B3674" s="23" t="n">
        <f aca="false">YEAR(A3674)</f>
        <v>2025</v>
      </c>
      <c r="C3674" s="17" t="n">
        <v>104733.56</v>
      </c>
      <c r="D3674" s="23" t="n">
        <f aca="false">A3674-A3673</f>
        <v>1</v>
      </c>
      <c r="E3674" s="24" t="n">
        <f aca="false">LN(C3674)</f>
        <v>11.5591748803598</v>
      </c>
      <c r="F3674" s="25" t="n">
        <f aca="false">LN(C3674/C3673)</f>
        <v>-0.0011137310742332</v>
      </c>
      <c r="G3674" s="25" t="n">
        <f aca="false">IF(AND(D3674=1,A3674&gt;=$R$2),F3674,"")</f>
        <v>-0.0011137310742332</v>
      </c>
      <c r="H3674" s="27" t="n">
        <f aca="false">IF(G3674="","",G3674^2)</f>
        <v>1.24039690571265E-006</v>
      </c>
      <c r="I3674" s="25" t="n">
        <f aca="false">IF(G3674="","",C3674/C3673-1)</f>
        <v>-0.00111311110596102</v>
      </c>
      <c r="J3674" s="17" t="n">
        <f aca="false">AVERAGE(C3475:C3674)</f>
        <v>76249.9821</v>
      </c>
      <c r="K3674" s="17" t="n">
        <f aca="false">MAX(K3673,C3674)</f>
        <v>106159.26</v>
      </c>
      <c r="L3674" s="25" t="n">
        <f aca="false">C3674/K3674-1</f>
        <v>-0.0134298223254382</v>
      </c>
      <c r="M3674" s="25" t="n">
        <f aca="false">IF(COUNT(G3645:G3674)&lt;20,"",_xlfn.STDEV.S(G3645:G3674)*SQRT($R$3))</f>
        <v>0.427085862647092</v>
      </c>
      <c r="N3674" s="25" t="n">
        <f aca="false">IF(A3674-7&lt;$R$2,"",C3674/INDEX(Clean_Data!$C$2:$C$4314,MATCH(A3674-7,Clean_Data!$A$2:$A$4314,1))-1)</f>
        <v>0.00285881170105795</v>
      </c>
      <c r="O3674" s="25" t="n">
        <f aca="false">IF(A3674-30&lt;$R$2,"",C3674/INDEX(Clean_Data!$C$2:$C$4314,MATCH(A3674-30,Clean_Data!$A$2:$A$4314,1))-1)</f>
        <v>0.0947435802155943</v>
      </c>
    </row>
    <row r="3675" customFormat="false" ht="15" hidden="false" customHeight="false" outlineLevel="0" collapsed="false">
      <c r="A3675" s="16" t="n">
        <v>45682</v>
      </c>
      <c r="B3675" s="23" t="n">
        <f aca="false">YEAR(A3675)</f>
        <v>2025</v>
      </c>
      <c r="C3675" s="17" t="n">
        <v>102563</v>
      </c>
      <c r="D3675" s="23" t="n">
        <f aca="false">A3675-A3674</f>
        <v>1</v>
      </c>
      <c r="E3675" s="24" t="n">
        <f aca="false">LN(C3675)</f>
        <v>11.5382325228967</v>
      </c>
      <c r="F3675" s="25" t="n">
        <f aca="false">LN(C3675/C3674)</f>
        <v>-0.0209423574630769</v>
      </c>
      <c r="G3675" s="25" t="n">
        <f aca="false">IF(AND(D3675=1,A3675&gt;=$R$2),F3675,"")</f>
        <v>-0.0209423574630769</v>
      </c>
      <c r="H3675" s="27" t="n">
        <f aca="false">IF(G3675="","",G3675^2)</f>
        <v>0.000438582336111291</v>
      </c>
      <c r="I3675" s="25" t="n">
        <f aca="false">IF(G3675="","",C3675/C3674-1)</f>
        <v>-0.0207245891383813</v>
      </c>
      <c r="J3675" s="17" t="n">
        <f aca="false">AVERAGE(C3476:C3675)</f>
        <v>76472.81925</v>
      </c>
      <c r="K3675" s="17" t="n">
        <f aca="false">MAX(K3674,C3675)</f>
        <v>106159.26</v>
      </c>
      <c r="L3675" s="25" t="n">
        <f aca="false">C3675/K3675-1</f>
        <v>-0.0338760839139233</v>
      </c>
      <c r="M3675" s="25" t="n">
        <f aca="false">IF(COUNT(G3646:G3675)&lt;20,"",_xlfn.STDEV.S(G3646:G3675)*SQRT($R$3))</f>
        <v>0.430314238813263</v>
      </c>
      <c r="N3675" s="25" t="n">
        <f aca="false">IF(A3675-7&lt;$R$2,"",C3675/INDEX(Clean_Data!$C$2:$C$4314,MATCH(A3675-7,Clean_Data!$A$2:$A$4314,1))-1)</f>
        <v>0.0133569302111338</v>
      </c>
      <c r="O3675" s="25" t="n">
        <f aca="false">IF(A3675-30&lt;$R$2,"",C3675/INDEX(Clean_Data!$C$2:$C$4314,MATCH(A3675-30,Clean_Data!$A$2:$A$4314,1))-1)</f>
        <v>0.08910419022067</v>
      </c>
    </row>
    <row r="3676" customFormat="false" ht="15" hidden="false" customHeight="false" outlineLevel="0" collapsed="false">
      <c r="A3676" s="16" t="n">
        <v>45683</v>
      </c>
      <c r="B3676" s="23" t="n">
        <f aca="false">YEAR(A3676)</f>
        <v>2025</v>
      </c>
      <c r="C3676" s="17" t="n">
        <v>102062.42</v>
      </c>
      <c r="D3676" s="23" t="n">
        <f aca="false">A3676-A3675</f>
        <v>1</v>
      </c>
      <c r="E3676" s="24" t="n">
        <f aca="false">LN(C3676)</f>
        <v>11.5333398658791</v>
      </c>
      <c r="F3676" s="25" t="n">
        <f aca="false">LN(C3676/C3675)</f>
        <v>-0.00489265701765829</v>
      </c>
      <c r="G3676" s="25" t="n">
        <f aca="false">IF(AND(D3676=1,A3676&gt;=$R$2),F3676,"")</f>
        <v>-0.00489265701765829</v>
      </c>
      <c r="H3676" s="27" t="n">
        <f aca="false">IF(G3676="","",G3676^2)</f>
        <v>2.39380926924409E-005</v>
      </c>
      <c r="I3676" s="25" t="n">
        <f aca="false">IF(G3676="","",C3676/C3675-1)</f>
        <v>-0.00488070746760527</v>
      </c>
      <c r="J3676" s="17" t="n">
        <f aca="false">AVERAGE(C3477:C3676)</f>
        <v>76694.86475</v>
      </c>
      <c r="K3676" s="17" t="n">
        <f aca="false">MAX(K3675,C3676)</f>
        <v>106159.26</v>
      </c>
      <c r="L3676" s="25" t="n">
        <f aca="false">C3676/K3676-1</f>
        <v>-0.0385914521257966</v>
      </c>
      <c r="M3676" s="25" t="n">
        <f aca="false">IF(COUNT(G3647:G3676)&lt;20,"",_xlfn.STDEV.S(G3647:G3676)*SQRT($R$3))</f>
        <v>0.430303463698043</v>
      </c>
      <c r="N3676" s="25" t="n">
        <f aca="false">IF(A3676-7&lt;$R$2,"",C3676/INDEX(Clean_Data!$C$2:$C$4314,MATCH(A3676-7,Clean_Data!$A$2:$A$4314,1))-1)</f>
        <v>-0.000812664844623945</v>
      </c>
      <c r="O3676" s="25" t="n">
        <f aca="false">IF(A3676-30&lt;$R$2,"",C3676/INDEX(Clean_Data!$C$2:$C$4314,MATCH(A3676-30,Clean_Data!$A$2:$A$4314,1))-1)</f>
        <v>0.072863873138064</v>
      </c>
    </row>
    <row r="3677" customFormat="false" ht="15" hidden="false" customHeight="false" outlineLevel="0" collapsed="false">
      <c r="A3677" s="16" t="n">
        <v>45684</v>
      </c>
      <c r="B3677" s="23" t="n">
        <f aca="false">YEAR(A3677)</f>
        <v>2025</v>
      </c>
      <c r="C3677" s="17" t="n">
        <v>101290</v>
      </c>
      <c r="D3677" s="23" t="n">
        <f aca="false">A3677-A3676</f>
        <v>1</v>
      </c>
      <c r="E3677" s="24" t="n">
        <f aca="false">LN(C3677)</f>
        <v>11.5257429686808</v>
      </c>
      <c r="F3677" s="25" t="n">
        <f aca="false">LN(C3677/C3676)</f>
        <v>-0.00759689719823548</v>
      </c>
      <c r="G3677" s="25" t="n">
        <f aca="false">IF(AND(D3677=1,A3677&gt;=$R$2),F3677,"")</f>
        <v>-0.00759689719823548</v>
      </c>
      <c r="H3677" s="27" t="n">
        <f aca="false">IF(G3677="","",G3677^2)</f>
        <v>5.77128470405581E-005</v>
      </c>
      <c r="I3677" s="25" t="n">
        <f aca="false">IF(G3677="","",C3677/C3676-1)</f>
        <v>-0.00756811370923793</v>
      </c>
      <c r="J3677" s="17" t="n">
        <f aca="false">AVERAGE(C3478:C3677)</f>
        <v>76914.39065</v>
      </c>
      <c r="K3677" s="17" t="n">
        <f aca="false">MAX(K3676,C3677)</f>
        <v>106159.26</v>
      </c>
      <c r="L3677" s="25" t="n">
        <f aca="false">C3677/K3677-1</f>
        <v>-0.0458675013371419</v>
      </c>
      <c r="M3677" s="25" t="n">
        <f aca="false">IF(COUNT(G3648:G3677)&lt;20,"",_xlfn.STDEV.S(G3648:G3677)*SQRT($R$3))</f>
        <v>0.42643520222482</v>
      </c>
      <c r="N3677" s="25" t="n">
        <f aca="false">IF(A3677-7&lt;$R$2,"",C3677/INDEX(Clean_Data!$C$2:$C$4314,MATCH(A3677-7,Clean_Data!$A$2:$A$4314,1))-1)</f>
        <v>-0.0458675013371419</v>
      </c>
      <c r="O3677" s="25" t="n">
        <f aca="false">IF(A3677-30&lt;$R$2,"",C3677/INDEX(Clean_Data!$C$2:$C$4314,MATCH(A3677-30,Clean_Data!$A$2:$A$4314,1))-1)</f>
        <v>0.0825820152869685</v>
      </c>
    </row>
    <row r="3678" customFormat="false" ht="15" hidden="false" customHeight="false" outlineLevel="0" collapsed="false">
      <c r="A3678" s="16" t="n">
        <v>45685</v>
      </c>
      <c r="B3678" s="23" t="n">
        <f aca="false">YEAR(A3678)</f>
        <v>2025</v>
      </c>
      <c r="C3678" s="17" t="n">
        <v>103747.25</v>
      </c>
      <c r="D3678" s="23" t="n">
        <f aca="false">A3678-A3677</f>
        <v>1</v>
      </c>
      <c r="E3678" s="24" t="n">
        <f aca="false">LN(C3678)</f>
        <v>11.5497129317176</v>
      </c>
      <c r="F3678" s="25" t="n">
        <f aca="false">LN(C3678/C3677)</f>
        <v>0.0239699630367147</v>
      </c>
      <c r="G3678" s="25" t="n">
        <f aca="false">IF(AND(D3678=1,A3678&gt;=$R$2),F3678,"")</f>
        <v>0.0239699630367147</v>
      </c>
      <c r="H3678" s="27" t="n">
        <f aca="false">IF(G3678="","",G3678^2)</f>
        <v>0.000574559127981469</v>
      </c>
      <c r="I3678" s="25" t="n">
        <f aca="false">IF(G3678="","",C3678/C3677-1)</f>
        <v>0.0242595517820121</v>
      </c>
      <c r="J3678" s="17" t="n">
        <f aca="false">AVERAGE(C3479:C3678)</f>
        <v>77143.57395</v>
      </c>
      <c r="K3678" s="17" t="n">
        <f aca="false">MAX(K3677,C3678)</f>
        <v>106159.26</v>
      </c>
      <c r="L3678" s="25" t="n">
        <f aca="false">C3678/K3678-1</f>
        <v>-0.0227206745789298</v>
      </c>
      <c r="M3678" s="25" t="n">
        <f aca="false">IF(COUNT(G3649:G3678)&lt;20,"",_xlfn.STDEV.S(G3649:G3678)*SQRT($R$3))</f>
        <v>0.430151283404131</v>
      </c>
      <c r="N3678" s="25" t="n">
        <f aca="false">IF(A3678-7&lt;$R$2,"",C3678/INDEX(Clean_Data!$C$2:$C$4314,MATCH(A3678-7,Clean_Data!$A$2:$A$4314,1))-1)</f>
        <v>0.000773051356404153</v>
      </c>
      <c r="O3678" s="25" t="n">
        <f aca="false">IF(A3678-30&lt;$R$2,"",C3678/INDEX(Clean_Data!$C$2:$C$4314,MATCH(A3678-30,Clean_Data!$A$2:$A$4314,1))-1)</f>
        <v>0.120130152316906</v>
      </c>
    </row>
    <row r="3679" customFormat="false" ht="15" hidden="false" customHeight="false" outlineLevel="0" collapsed="false">
      <c r="A3679" s="16" t="n">
        <v>45686</v>
      </c>
      <c r="B3679" s="23" t="n">
        <f aca="false">YEAR(A3679)</f>
        <v>2025</v>
      </c>
      <c r="C3679" s="17" t="n">
        <v>104742.64</v>
      </c>
      <c r="D3679" s="23" t="n">
        <f aca="false">A3679-A3678</f>
        <v>1</v>
      </c>
      <c r="E3679" s="24" t="n">
        <f aca="false">LN(C3679)</f>
        <v>11.559261572786</v>
      </c>
      <c r="F3679" s="25" t="n">
        <f aca="false">LN(C3679/C3678)</f>
        <v>0.00954864106846652</v>
      </c>
      <c r="G3679" s="25" t="n">
        <f aca="false">IF(AND(D3679=1,A3679&gt;=$R$2),F3679,"")</f>
        <v>0.00954864106846652</v>
      </c>
      <c r="H3679" s="27" t="n">
        <f aca="false">IF(G3679="","",G3679^2)</f>
        <v>9.11765462544055E-005</v>
      </c>
      <c r="I3679" s="25" t="n">
        <f aca="false">IF(G3679="","",C3679/C3678-1)</f>
        <v>0.00959437479065706</v>
      </c>
      <c r="J3679" s="17" t="n">
        <f aca="false">AVERAGE(C3480:C3679)</f>
        <v>77371.0311</v>
      </c>
      <c r="K3679" s="17" t="n">
        <f aca="false">MAX(K3678,C3679)</f>
        <v>106159.26</v>
      </c>
      <c r="L3679" s="25" t="n">
        <f aca="false">C3679/K3679-1</f>
        <v>-0.0133442904556794</v>
      </c>
      <c r="M3679" s="25" t="n">
        <f aca="false">IF(COUNT(G3650:G3679)&lt;20,"",_xlfn.STDEV.S(G3650:G3679)*SQRT($R$3))</f>
        <v>0.430389717595928</v>
      </c>
      <c r="N3679" s="25" t="n">
        <f aca="false">IF(A3679-7&lt;$R$2,"",C3679/INDEX(Clean_Data!$C$2:$C$4314,MATCH(A3679-7,Clean_Data!$A$2:$A$4314,1))-1)</f>
        <v>0.00785440767866774</v>
      </c>
      <c r="O3679" s="25" t="n">
        <f aca="false">IF(A3679-30&lt;$R$2,"",C3679/INDEX(Clean_Data!$C$2:$C$4314,MATCH(A3679-30,Clean_Data!$A$2:$A$4314,1))-1)</f>
        <v>0.121991485762508</v>
      </c>
    </row>
    <row r="3680" customFormat="false" ht="15" hidden="false" customHeight="false" outlineLevel="0" collapsed="false">
      <c r="A3680" s="16" t="n">
        <v>45687</v>
      </c>
      <c r="B3680" s="23" t="n">
        <f aca="false">YEAR(A3680)</f>
        <v>2025</v>
      </c>
      <c r="C3680" s="17" t="n">
        <v>102411.26</v>
      </c>
      <c r="D3680" s="23" t="n">
        <f aca="false">A3680-A3679</f>
        <v>1</v>
      </c>
      <c r="E3680" s="24" t="n">
        <f aca="false">LN(C3680)</f>
        <v>11.5367519464798</v>
      </c>
      <c r="F3680" s="25" t="n">
        <f aca="false">LN(C3680/C3679)</f>
        <v>-0.0225096263062404</v>
      </c>
      <c r="G3680" s="25" t="n">
        <f aca="false">IF(AND(D3680=1,A3680&gt;=$R$2),F3680,"")</f>
        <v>-0.0225096263062404</v>
      </c>
      <c r="H3680" s="27" t="n">
        <f aca="false">IF(G3680="","",G3680^2)</f>
        <v>0.00050668327644659</v>
      </c>
      <c r="I3680" s="25" t="n">
        <f aca="false">IF(G3680="","",C3680/C3679-1)</f>
        <v>-0.0222581748941979</v>
      </c>
      <c r="J3680" s="17" t="n">
        <f aca="false">AVERAGE(C3481:C3680)</f>
        <v>77579.09675</v>
      </c>
      <c r="K3680" s="17" t="n">
        <f aca="false">MAX(K3679,C3680)</f>
        <v>106159.26</v>
      </c>
      <c r="L3680" s="25" t="n">
        <f aca="false">C3680/K3680-1</f>
        <v>-0.0353054457990758</v>
      </c>
      <c r="M3680" s="25" t="n">
        <f aca="false">IF(COUNT(G3651:G3680)&lt;20,"",_xlfn.STDEV.S(G3651:G3680)*SQRT($R$3))</f>
        <v>0.43916054533586</v>
      </c>
      <c r="N3680" s="25" t="n">
        <f aca="false">IF(A3680-7&lt;$R$2,"",C3680/INDEX(Clean_Data!$C$2:$C$4314,MATCH(A3680-7,Clean_Data!$A$2:$A$4314,1))-1)</f>
        <v>-0.0232618380477229</v>
      </c>
      <c r="O3680" s="25" t="n">
        <f aca="false">IF(A3680-30&lt;$R$2,"",C3680/INDEX(Clean_Data!$C$2:$C$4314,MATCH(A3680-30,Clean_Data!$A$2:$A$4314,1))-1)</f>
        <v>0.0850536624004237</v>
      </c>
    </row>
    <row r="3681" customFormat="false" ht="15" hidden="false" customHeight="false" outlineLevel="0" collapsed="false">
      <c r="A3681" s="16" t="n">
        <v>45688</v>
      </c>
      <c r="B3681" s="23" t="n">
        <f aca="false">YEAR(A3681)</f>
        <v>2025</v>
      </c>
      <c r="C3681" s="17" t="n">
        <v>100623.85</v>
      </c>
      <c r="D3681" s="23" t="n">
        <f aca="false">A3681-A3680</f>
        <v>1</v>
      </c>
      <c r="E3681" s="24" t="n">
        <f aca="false">LN(C3681)</f>
        <v>11.5191445860841</v>
      </c>
      <c r="F3681" s="25" t="n">
        <f aca="false">LN(C3681/C3680)</f>
        <v>-0.0176073603956544</v>
      </c>
      <c r="G3681" s="25" t="n">
        <f aca="false">IF(AND(D3681=1,A3681&gt;=$R$2),F3681,"")</f>
        <v>-0.0176073603956544</v>
      </c>
      <c r="H3681" s="27" t="n">
        <f aca="false">IF(G3681="","",G3681^2)</f>
        <v>0.000310019140102458</v>
      </c>
      <c r="I3681" s="25" t="n">
        <f aca="false">IF(G3681="","",C3681/C3680-1)</f>
        <v>-0.0174532566047912</v>
      </c>
      <c r="J3681" s="17" t="n">
        <f aca="false">AVERAGE(C3482:C3681)</f>
        <v>77758.35315</v>
      </c>
      <c r="K3681" s="17" t="n">
        <f aca="false">MAX(K3680,C3681)</f>
        <v>106159.26</v>
      </c>
      <c r="L3681" s="25" t="n">
        <f aca="false">C3681/K3681-1</f>
        <v>-0.0521425073987892</v>
      </c>
      <c r="M3681" s="25" t="n">
        <f aca="false">IF(COUNT(G3652:G3681)&lt;20,"",_xlfn.STDEV.S(G3652:G3681)*SQRT($R$3))</f>
        <v>0.43615161297793</v>
      </c>
      <c r="N3681" s="25" t="n">
        <f aca="false">IF(A3681-7&lt;$R$2,"",C3681/INDEX(Clean_Data!$C$2:$C$4314,MATCH(A3681-7,Clean_Data!$A$2:$A$4314,1))-1)</f>
        <v>-0.0392396668269464</v>
      </c>
      <c r="O3681" s="25" t="n">
        <f aca="false">IF(A3681-30&lt;$R$2,"",C3681/INDEX(Clean_Data!$C$2:$C$4314,MATCH(A3681-30,Clean_Data!$A$2:$A$4314,1))-1)</f>
        <v>0.0383956400196939</v>
      </c>
    </row>
    <row r="3682" customFormat="false" ht="15" hidden="false" customHeight="false" outlineLevel="0" collapsed="false">
      <c r="A3682" s="16" t="n">
        <v>45689</v>
      </c>
      <c r="B3682" s="23" t="n">
        <f aca="false">YEAR(A3682)</f>
        <v>2025</v>
      </c>
      <c r="C3682" s="17" t="n">
        <v>97676.52</v>
      </c>
      <c r="D3682" s="23" t="n">
        <f aca="false">A3682-A3681</f>
        <v>1</v>
      </c>
      <c r="E3682" s="24" t="n">
        <f aca="false">LN(C3682)</f>
        <v>11.4894164816143</v>
      </c>
      <c r="F3682" s="25" t="n">
        <f aca="false">LN(C3682/C3681)</f>
        <v>-0.0297281044698097</v>
      </c>
      <c r="G3682" s="25" t="n">
        <f aca="false">IF(AND(D3682=1,A3682&gt;=$R$2),F3682,"")</f>
        <v>-0.0297281044698097</v>
      </c>
      <c r="H3682" s="27" t="n">
        <f aca="false">IF(G3682="","",G3682^2)</f>
        <v>0.000883760195367918</v>
      </c>
      <c r="I3682" s="25" t="n">
        <f aca="false">IF(G3682="","",C3682/C3681-1)</f>
        <v>-0.029290570774225</v>
      </c>
      <c r="J3682" s="17" t="n">
        <f aca="false">AVERAGE(C3483:C3682)</f>
        <v>77921.5067</v>
      </c>
      <c r="K3682" s="17" t="n">
        <f aca="false">MAX(K3681,C3682)</f>
        <v>106159.26</v>
      </c>
      <c r="L3682" s="25" t="n">
        <f aca="false">C3682/K3682-1</f>
        <v>-0.0799057943697045</v>
      </c>
      <c r="M3682" s="25" t="n">
        <f aca="false">IF(COUNT(G3653:G3682)&lt;20,"",_xlfn.STDEV.S(G3653:G3682)*SQRT($R$3))</f>
        <v>0.447129269471357</v>
      </c>
      <c r="N3682" s="25" t="n">
        <f aca="false">IF(A3682-7&lt;$R$2,"",C3682/INDEX(Clean_Data!$C$2:$C$4314,MATCH(A3682-7,Clean_Data!$A$2:$A$4314,1))-1)</f>
        <v>-0.0476436921696908</v>
      </c>
      <c r="O3682" s="25" t="n">
        <f aca="false">IF(A3682-30&lt;$R$2,"",C3682/INDEX(Clean_Data!$C$2:$C$4314,MATCH(A3682-30,Clean_Data!$A$2:$A$4314,1))-1)</f>
        <v>-0.00468724636733042</v>
      </c>
    </row>
    <row r="3683" customFormat="false" ht="15" hidden="false" customHeight="false" outlineLevel="0" collapsed="false">
      <c r="A3683" s="16" t="n">
        <v>45690</v>
      </c>
      <c r="B3683" s="23" t="n">
        <f aca="false">YEAR(A3683)</f>
        <v>2025</v>
      </c>
      <c r="C3683" s="17" t="n">
        <v>101460.2</v>
      </c>
      <c r="D3683" s="23" t="n">
        <f aca="false">A3683-A3682</f>
        <v>1</v>
      </c>
      <c r="E3683" s="24" t="n">
        <f aca="false">LN(C3683)</f>
        <v>11.5274218823389</v>
      </c>
      <c r="F3683" s="25" t="n">
        <f aca="false">LN(C3683/C3682)</f>
        <v>0.0380054007246037</v>
      </c>
      <c r="G3683" s="25" t="n">
        <f aca="false">IF(AND(D3683=1,A3683&gt;=$R$2),F3683,"")</f>
        <v>0.0380054007246037</v>
      </c>
      <c r="H3683" s="27" t="n">
        <f aca="false">IF(G3683="","",G3683^2)</f>
        <v>0.00144441048423771</v>
      </c>
      <c r="I3683" s="25" t="n">
        <f aca="false">IF(G3683="","",C3683/C3682-1)</f>
        <v>0.0387368427949726</v>
      </c>
      <c r="J3683" s="17" t="n">
        <f aca="false">AVERAGE(C3484:C3683)</f>
        <v>78108.02105</v>
      </c>
      <c r="K3683" s="17" t="n">
        <f aca="false">MAX(K3682,C3683)</f>
        <v>106159.26</v>
      </c>
      <c r="L3683" s="25" t="n">
        <f aca="false">C3683/K3683-1</f>
        <v>-0.0442642497696385</v>
      </c>
      <c r="M3683" s="25" t="n">
        <f aca="false">IF(COUNT(G3654:G3683)&lt;20,"",_xlfn.STDEV.S(G3654:G3683)*SQRT($R$3))</f>
        <v>0.466542270369072</v>
      </c>
      <c r="N3683" s="25" t="n">
        <f aca="false">IF(A3683-7&lt;$R$2,"",C3683/INDEX(Clean_Data!$C$2:$C$4314,MATCH(A3683-7,Clean_Data!$A$2:$A$4314,1))-1)</f>
        <v>-0.005900506768309</v>
      </c>
      <c r="O3683" s="25" t="n">
        <f aca="false">IF(A3683-30&lt;$R$2,"",C3683/INDEX(Clean_Data!$C$2:$C$4314,MATCH(A3683-30,Clean_Data!$A$2:$A$4314,1))-1)</f>
        <v>0.0330959674615121</v>
      </c>
    </row>
    <row r="3684" customFormat="false" ht="15" hidden="false" customHeight="false" outlineLevel="0" collapsed="false">
      <c r="A3684" s="16" t="n">
        <v>45691</v>
      </c>
      <c r="B3684" s="23" t="n">
        <f aca="false">YEAR(A3684)</f>
        <v>2025</v>
      </c>
      <c r="C3684" s="17" t="n">
        <v>97795.05</v>
      </c>
      <c r="D3684" s="23" t="n">
        <f aca="false">A3684-A3683</f>
        <v>1</v>
      </c>
      <c r="E3684" s="24" t="n">
        <f aca="false">LN(C3684)</f>
        <v>11.4906292412451</v>
      </c>
      <c r="F3684" s="25" t="n">
        <f aca="false">LN(C3684/C3683)</f>
        <v>-0.0367926410938534</v>
      </c>
      <c r="G3684" s="25" t="n">
        <f aca="false">IF(AND(D3684=1,A3684&gt;=$R$2),F3684,"")</f>
        <v>-0.0367926410938534</v>
      </c>
      <c r="H3684" s="27" t="n">
        <f aca="false">IF(G3684="","",G3684^2)</f>
        <v>0.00135369843866111</v>
      </c>
      <c r="I3684" s="25" t="n">
        <f aca="false">IF(G3684="","",C3684/C3683-1)</f>
        <v>-0.0361240171022725</v>
      </c>
      <c r="J3684" s="17" t="n">
        <f aca="false">AVERAGE(C3485:C3684)</f>
        <v>78276.99835</v>
      </c>
      <c r="K3684" s="17" t="n">
        <f aca="false">MAX(K3683,C3684)</f>
        <v>106159.26</v>
      </c>
      <c r="L3684" s="25" t="n">
        <f aca="false">C3684/K3684-1</f>
        <v>-0.0787892643562134</v>
      </c>
      <c r="M3684" s="25" t="n">
        <f aca="false">IF(COUNT(G3655:G3684)&lt;20,"",_xlfn.STDEV.S(G3655:G3684)*SQRT($R$3))</f>
        <v>0.484878614218498</v>
      </c>
      <c r="N3684" s="25" t="n">
        <f aca="false">IF(A3684-7&lt;$R$2,"",C3684/INDEX(Clean_Data!$C$2:$C$4314,MATCH(A3684-7,Clean_Data!$A$2:$A$4314,1))-1)</f>
        <v>-0.0345043933260933</v>
      </c>
      <c r="O3684" s="25" t="n">
        <f aca="false">IF(A3684-30&lt;$R$2,"",C3684/INDEX(Clean_Data!$C$2:$C$4314,MATCH(A3684-30,Clean_Data!$A$2:$A$4314,1))-1)</f>
        <v>-0.00559538515962066</v>
      </c>
    </row>
    <row r="3685" customFormat="false" ht="15" hidden="false" customHeight="false" outlineLevel="0" collapsed="false">
      <c r="A3685" s="16" t="n">
        <v>45692</v>
      </c>
      <c r="B3685" s="23" t="n">
        <f aca="false">YEAR(A3685)</f>
        <v>2025</v>
      </c>
      <c r="C3685" s="17" t="n">
        <v>96638.33</v>
      </c>
      <c r="D3685" s="23" t="n">
        <f aca="false">A3685-A3684</f>
        <v>1</v>
      </c>
      <c r="E3685" s="24" t="n">
        <f aca="false">LN(C3685)</f>
        <v>11.4787307323902</v>
      </c>
      <c r="F3685" s="25" t="n">
        <f aca="false">LN(C3685/C3684)</f>
        <v>-0.011898508854879</v>
      </c>
      <c r="G3685" s="25" t="n">
        <f aca="false">IF(AND(D3685=1,A3685&gt;=$R$2),F3685,"")</f>
        <v>-0.011898508854879</v>
      </c>
      <c r="H3685" s="27" t="n">
        <f aca="false">IF(G3685="","",G3685^2)</f>
        <v>0.000141574512969633</v>
      </c>
      <c r="I3685" s="25" t="n">
        <f aca="false">IF(G3685="","",C3685/C3684-1)</f>
        <v>-0.0118280015195044</v>
      </c>
      <c r="J3685" s="17" t="n">
        <f aca="false">AVERAGE(C3486:C3685)</f>
        <v>78426.3337</v>
      </c>
      <c r="K3685" s="17" t="n">
        <f aca="false">MAX(K3684,C3685)</f>
        <v>106159.26</v>
      </c>
      <c r="L3685" s="25" t="n">
        <f aca="false">C3685/K3685-1</f>
        <v>-0.0896853463371918</v>
      </c>
      <c r="M3685" s="25" t="n">
        <f aca="false">IF(COUNT(G3656:G3685)&lt;20,"",_xlfn.STDEV.S(G3656:G3685)*SQRT($R$3))</f>
        <v>0.464960787781714</v>
      </c>
      <c r="N3685" s="25" t="n">
        <f aca="false">IF(A3685-7&lt;$R$2,"",C3685/INDEX(Clean_Data!$C$2:$C$4314,MATCH(A3685-7,Clean_Data!$A$2:$A$4314,1))-1)</f>
        <v>-0.0685215270766213</v>
      </c>
      <c r="O3685" s="25" t="n">
        <f aca="false">IF(A3685-30&lt;$R$2,"",C3685/INDEX(Clean_Data!$C$2:$C$4314,MATCH(A3685-30,Clean_Data!$A$2:$A$4314,1))-1)</f>
        <v>-0.0551536228063889</v>
      </c>
    </row>
    <row r="3686" customFormat="false" ht="15" hidden="false" customHeight="false" outlineLevel="0" collapsed="false">
      <c r="A3686" s="16" t="n">
        <v>45693</v>
      </c>
      <c r="B3686" s="23" t="n">
        <f aca="false">YEAR(A3686)</f>
        <v>2025</v>
      </c>
      <c r="C3686" s="17" t="n">
        <v>96564.62</v>
      </c>
      <c r="D3686" s="23" t="n">
        <f aca="false">A3686-A3685</f>
        <v>1</v>
      </c>
      <c r="E3686" s="24" t="n">
        <f aca="false">LN(C3686)</f>
        <v>11.4779677005258</v>
      </c>
      <c r="F3686" s="25" t="n">
        <f aca="false">LN(C3686/C3685)</f>
        <v>-0.000763031864433538</v>
      </c>
      <c r="G3686" s="25" t="n">
        <f aca="false">IF(AND(D3686=1,A3686&gt;=$R$2),F3686,"")</f>
        <v>-0.000763031864433538</v>
      </c>
      <c r="H3686" s="27" t="n">
        <f aca="false">IF(G3686="","",G3686^2)</f>
        <v>5.8221762614092E-007</v>
      </c>
      <c r="I3686" s="25" t="n">
        <f aca="false">IF(G3686="","",C3686/C3685-1)</f>
        <v>-0.000762740829648112</v>
      </c>
      <c r="J3686" s="17" t="n">
        <f aca="false">AVERAGE(C3487:C3686)</f>
        <v>78573.07585</v>
      </c>
      <c r="K3686" s="17" t="n">
        <f aca="false">MAX(K3685,C3686)</f>
        <v>106159.26</v>
      </c>
      <c r="L3686" s="25" t="n">
        <f aca="false">C3686/K3686-1</f>
        <v>-0.0903796804913674</v>
      </c>
      <c r="M3686" s="25" t="n">
        <f aca="false">IF(COUNT(G3657:G3686)&lt;20,"",_xlfn.STDEV.S(G3657:G3686)*SQRT($R$3))</f>
        <v>0.425894258426786</v>
      </c>
      <c r="N3686" s="25" t="n">
        <f aca="false">IF(A3686-7&lt;$R$2,"",C3686/INDEX(Clean_Data!$C$2:$C$4314,MATCH(A3686-7,Clean_Data!$A$2:$A$4314,1))-1)</f>
        <v>-0.0780772758830597</v>
      </c>
      <c r="O3686" s="25" t="n">
        <f aca="false">IF(A3686-30&lt;$R$2,"",C3686/INDEX(Clean_Data!$C$2:$C$4314,MATCH(A3686-30,Clean_Data!$A$2:$A$4314,1))-1)</f>
        <v>-0.00389263763748171</v>
      </c>
    </row>
    <row r="3687" customFormat="false" ht="15" hidden="false" customHeight="false" outlineLevel="0" collapsed="false">
      <c r="A3687" s="16" t="n">
        <v>45694</v>
      </c>
      <c r="B3687" s="23" t="n">
        <f aca="false">YEAR(A3687)</f>
        <v>2025</v>
      </c>
      <c r="C3687" s="17" t="n">
        <v>96537.08</v>
      </c>
      <c r="D3687" s="23" t="n">
        <f aca="false">A3687-A3686</f>
        <v>1</v>
      </c>
      <c r="E3687" s="24" t="n">
        <f aca="false">LN(C3687)</f>
        <v>11.4776824622271</v>
      </c>
      <c r="F3687" s="25" t="n">
        <f aca="false">LN(C3687/C3686)</f>
        <v>-0.000285238298644931</v>
      </c>
      <c r="G3687" s="25" t="n">
        <f aca="false">IF(AND(D3687=1,A3687&gt;=$R$2),F3687,"")</f>
        <v>-0.000285238298644931</v>
      </c>
      <c r="H3687" s="27" t="n">
        <f aca="false">IF(G3687="","",G3687^2)</f>
        <v>8.13608870138551E-008</v>
      </c>
      <c r="I3687" s="25" t="n">
        <f aca="false">IF(G3687="","",C3687/C3686-1)</f>
        <v>-0.000285197622069022</v>
      </c>
      <c r="J3687" s="17" t="n">
        <f aca="false">AVERAGE(C3488:C3687)</f>
        <v>78714.56305</v>
      </c>
      <c r="K3687" s="17" t="n">
        <f aca="false">MAX(K3686,C3687)</f>
        <v>106159.26</v>
      </c>
      <c r="L3687" s="25" t="n">
        <f aca="false">C3687/K3687-1</f>
        <v>-0.0906391020434769</v>
      </c>
      <c r="M3687" s="25" t="n">
        <f aca="false">IF(COUNT(G3658:G3687)&lt;20,"",_xlfn.STDEV.S(G3658:G3687)*SQRT($R$3))</f>
        <v>0.419917846884835</v>
      </c>
      <c r="N3687" s="25" t="n">
        <f aca="false">IF(A3687-7&lt;$R$2,"",C3687/INDEX(Clean_Data!$C$2:$C$4314,MATCH(A3687-7,Clean_Data!$A$2:$A$4314,1))-1)</f>
        <v>-0.0573587318425727</v>
      </c>
      <c r="O3687" s="25" t="n">
        <f aca="false">IF(A3687-30&lt;$R$2,"",C3687/INDEX(Clean_Data!$C$2:$C$4314,MATCH(A3687-30,Clean_Data!$A$2:$A$4314,1))-1)</f>
        <v>0.0157881229584844</v>
      </c>
    </row>
    <row r="3688" customFormat="false" ht="15" hidden="false" customHeight="false" outlineLevel="0" collapsed="false">
      <c r="A3688" s="16" t="n">
        <v>45695</v>
      </c>
      <c r="B3688" s="23" t="n">
        <f aca="false">YEAR(A3688)</f>
        <v>2025</v>
      </c>
      <c r="C3688" s="17" t="n">
        <v>96476.25</v>
      </c>
      <c r="D3688" s="23" t="n">
        <f aca="false">A3688-A3687</f>
        <v>1</v>
      </c>
      <c r="E3688" s="24" t="n">
        <f aca="false">LN(C3688)</f>
        <v>11.4770521430464</v>
      </c>
      <c r="F3688" s="25" t="n">
        <f aca="false">LN(C3688/C3687)</f>
        <v>-0.000630319180690672</v>
      </c>
      <c r="G3688" s="25" t="n">
        <f aca="false">IF(AND(D3688=1,A3688&gt;=$R$2),F3688,"")</f>
        <v>-0.000630319180690672</v>
      </c>
      <c r="H3688" s="27" t="n">
        <f aca="false">IF(G3688="","",G3688^2)</f>
        <v>3.9730226954656E-007</v>
      </c>
      <c r="I3688" s="25" t="n">
        <f aca="false">IF(G3688="","",C3688/C3687-1)</f>
        <v>-0.000630120571287196</v>
      </c>
      <c r="J3688" s="17" t="n">
        <f aca="false">AVERAGE(C3489:C3688)</f>
        <v>78859.0166</v>
      </c>
      <c r="K3688" s="17" t="n">
        <f aca="false">MAX(K3687,C3688)</f>
        <v>106159.26</v>
      </c>
      <c r="L3688" s="25" t="n">
        <f aca="false">C3688/K3688-1</f>
        <v>-0.0912121090520035</v>
      </c>
      <c r="M3688" s="25" t="n">
        <f aca="false">IF(COUNT(G3659:G3688)&lt;20,"",_xlfn.STDEV.S(G3659:G3688)*SQRT($R$3))</f>
        <v>0.408469970300286</v>
      </c>
      <c r="N3688" s="25" t="n">
        <f aca="false">IF(A3688-7&lt;$R$2,"",C3688/INDEX(Clean_Data!$C$2:$C$4314,MATCH(A3688-7,Clean_Data!$A$2:$A$4314,1))-1)</f>
        <v>-0.0412188561658097</v>
      </c>
      <c r="O3688" s="25" t="n">
        <f aca="false">IF(A3688-30&lt;$R$2,"",C3688/INDEX(Clean_Data!$C$2:$C$4314,MATCH(A3688-30,Clean_Data!$A$2:$A$4314,1))-1)</f>
        <v>0.0424518495595341</v>
      </c>
    </row>
    <row r="3689" customFormat="false" ht="15" hidden="false" customHeight="false" outlineLevel="0" collapsed="false">
      <c r="A3689" s="16" t="n">
        <v>45696</v>
      </c>
      <c r="B3689" s="23" t="n">
        <f aca="false">YEAR(A3689)</f>
        <v>2025</v>
      </c>
      <c r="C3689" s="17" t="n">
        <v>96475.82</v>
      </c>
      <c r="D3689" s="23" t="n">
        <f aca="false">A3689-A3688</f>
        <v>1</v>
      </c>
      <c r="E3689" s="24" t="n">
        <f aca="false">LN(C3689)</f>
        <v>11.477047685981</v>
      </c>
      <c r="F3689" s="25" t="n">
        <f aca="false">LN(C3689/C3688)</f>
        <v>-4.45706542560267E-006</v>
      </c>
      <c r="G3689" s="25" t="n">
        <f aca="false">IF(AND(D3689=1,A3689&gt;=$R$2),F3689,"")</f>
        <v>-4.45706542560267E-006</v>
      </c>
      <c r="H3689" s="27" t="n">
        <f aca="false">IF(G3689="","",G3689^2)</f>
        <v>1.98654322081027E-011</v>
      </c>
      <c r="I3689" s="25" t="n">
        <f aca="false">IF(G3689="","",C3689/C3688-1)</f>
        <v>-4.45705549290132E-006</v>
      </c>
      <c r="J3689" s="17" t="n">
        <f aca="false">AVERAGE(C3490:C3689)</f>
        <v>79011.777</v>
      </c>
      <c r="K3689" s="17" t="n">
        <f aca="false">MAX(K3688,C3689)</f>
        <v>106159.26</v>
      </c>
      <c r="L3689" s="25" t="n">
        <f aca="false">C3689/K3689-1</f>
        <v>-0.0912161595700647</v>
      </c>
      <c r="M3689" s="25" t="n">
        <f aca="false">IF(COUNT(G3660:G3689)&lt;20,"",_xlfn.STDEV.S(G3660:G3689)*SQRT($R$3))</f>
        <v>0.400957904804807</v>
      </c>
      <c r="N3689" s="25" t="n">
        <f aca="false">IF(A3689-7&lt;$R$2,"",C3689/INDEX(Clean_Data!$C$2:$C$4314,MATCH(A3689-7,Clean_Data!$A$2:$A$4314,1))-1)</f>
        <v>-0.0122926164855177</v>
      </c>
      <c r="O3689" s="25" t="n">
        <f aca="false">IF(A3689-30&lt;$R$2,"",C3689/INDEX(Clean_Data!$C$2:$C$4314,MATCH(A3689-30,Clean_Data!$A$2:$A$4314,1))-1)</f>
        <v>0.0187393652328305</v>
      </c>
    </row>
    <row r="3690" customFormat="false" ht="15" hidden="false" customHeight="false" outlineLevel="0" collapsed="false">
      <c r="A3690" s="16" t="n">
        <v>45697</v>
      </c>
      <c r="B3690" s="23" t="n">
        <f aca="false">YEAR(A3690)</f>
        <v>2025</v>
      </c>
      <c r="C3690" s="17" t="n">
        <v>97444.41</v>
      </c>
      <c r="D3690" s="23" t="n">
        <f aca="false">A3690-A3689</f>
        <v>1</v>
      </c>
      <c r="E3690" s="24" t="n">
        <f aca="false">LN(C3690)</f>
        <v>11.4870373405403</v>
      </c>
      <c r="F3690" s="25" t="n">
        <f aca="false">LN(C3690/C3689)</f>
        <v>0.0099896545592768</v>
      </c>
      <c r="G3690" s="25" t="n">
        <f aca="false">IF(AND(D3690=1,A3690&gt;=$R$2),F3690,"")</f>
        <v>0.0099896545592768</v>
      </c>
      <c r="H3690" s="27" t="n">
        <f aca="false">IF(G3690="","",G3690^2)</f>
        <v>9.97931982136797E-005</v>
      </c>
      <c r="I3690" s="25" t="n">
        <f aca="false">IF(G3690="","",C3690/C3689-1)</f>
        <v>0.0100397177240887</v>
      </c>
      <c r="J3690" s="17" t="n">
        <f aca="false">AVERAGE(C3491:C3690)</f>
        <v>79171.8456</v>
      </c>
      <c r="K3690" s="17" t="n">
        <f aca="false">MAX(K3689,C3690)</f>
        <v>106159.26</v>
      </c>
      <c r="L3690" s="25" t="n">
        <f aca="false">C3690/K3690-1</f>
        <v>-0.0820922263399349</v>
      </c>
      <c r="M3690" s="25" t="n">
        <f aca="false">IF(COUNT(G3661:G3690)&lt;20,"",_xlfn.STDEV.S(G3661:G3690)*SQRT($R$3))</f>
        <v>0.40219941647801</v>
      </c>
      <c r="N3690" s="25" t="n">
        <f aca="false">IF(A3690-7&lt;$R$2,"",C3690/INDEX(Clean_Data!$C$2:$C$4314,MATCH(A3690-7,Clean_Data!$A$2:$A$4314,1))-1)</f>
        <v>-0.0395799535187196</v>
      </c>
      <c r="O3690" s="25" t="n">
        <f aca="false">IF(A3690-30&lt;$R$2,"",C3690/INDEX(Clean_Data!$C$2:$C$4314,MATCH(A3690-30,Clean_Data!$A$2:$A$4314,1))-1)</f>
        <v>0.0304487853965452</v>
      </c>
    </row>
    <row r="3691" customFormat="false" ht="15" hidden="false" customHeight="false" outlineLevel="0" collapsed="false">
      <c r="A3691" s="16" t="n">
        <v>45698</v>
      </c>
      <c r="B3691" s="23" t="n">
        <f aca="false">YEAR(A3691)</f>
        <v>2025</v>
      </c>
      <c r="C3691" s="17" t="n">
        <v>95774.08</v>
      </c>
      <c r="D3691" s="23" t="n">
        <f aca="false">A3691-A3690</f>
        <v>1</v>
      </c>
      <c r="E3691" s="24" t="n">
        <f aca="false">LN(C3691)</f>
        <v>11.4697473636757</v>
      </c>
      <c r="F3691" s="25" t="n">
        <f aca="false">LN(C3691/C3690)</f>
        <v>-0.0172899768645972</v>
      </c>
      <c r="G3691" s="25" t="n">
        <f aca="false">IF(AND(D3691=1,A3691&gt;=$R$2),F3691,"")</f>
        <v>-0.0172899768645972</v>
      </c>
      <c r="H3691" s="27" t="n">
        <f aca="false">IF(G3691="","",G3691^2)</f>
        <v>0.000298943299978306</v>
      </c>
      <c r="I3691" s="25" t="n">
        <f aca="false">IF(G3691="","",C3691/C3690-1)</f>
        <v>-0.0171413629576084</v>
      </c>
      <c r="J3691" s="17" t="n">
        <f aca="false">AVERAGE(C3492:C3691)</f>
        <v>79321.63495</v>
      </c>
      <c r="K3691" s="17" t="n">
        <f aca="false">MAX(K3690,C3691)</f>
        <v>106159.26</v>
      </c>
      <c r="L3691" s="25" t="n">
        <f aca="false">C3691/K3691-1</f>
        <v>-0.0978264166498523</v>
      </c>
      <c r="M3691" s="25" t="n">
        <f aca="false">IF(COUNT(G3662:G3691)&lt;20,"",_xlfn.STDEV.S(G3662:G3691)*SQRT($R$3))</f>
        <v>0.407217325755049</v>
      </c>
      <c r="N3691" s="25" t="n">
        <f aca="false">IF(A3691-7&lt;$R$2,"",C3691/INDEX(Clean_Data!$C$2:$C$4314,MATCH(A3691-7,Clean_Data!$A$2:$A$4314,1))-1)</f>
        <v>-0.0206653608746046</v>
      </c>
      <c r="O3691" s="25" t="n">
        <f aca="false">IF(A3691-30&lt;$R$2,"",C3691/INDEX(Clean_Data!$C$2:$C$4314,MATCH(A3691-30,Clean_Data!$A$2:$A$4314,1))-1)</f>
        <v>0.0133791671154746</v>
      </c>
    </row>
    <row r="3692" customFormat="false" ht="15" hidden="false" customHeight="false" outlineLevel="0" collapsed="false">
      <c r="A3692" s="16" t="n">
        <v>45699</v>
      </c>
      <c r="B3692" s="23" t="n">
        <f aca="false">YEAR(A3692)</f>
        <v>2025</v>
      </c>
      <c r="C3692" s="17" t="n">
        <v>97862.53</v>
      </c>
      <c r="D3692" s="23" t="n">
        <f aca="false">A3692-A3691</f>
        <v>1</v>
      </c>
      <c r="E3692" s="24" t="n">
        <f aca="false">LN(C3692)</f>
        <v>11.4913190177687</v>
      </c>
      <c r="F3692" s="25" t="n">
        <f aca="false">LN(C3692/C3691)</f>
        <v>0.0215716540930077</v>
      </c>
      <c r="G3692" s="25" t="n">
        <f aca="false">IF(AND(D3692=1,A3692&gt;=$R$2),F3692,"")</f>
        <v>0.0215716540930077</v>
      </c>
      <c r="H3692" s="27" t="n">
        <f aca="false">IF(G3692="","",G3692^2)</f>
        <v>0.000465336260308377</v>
      </c>
      <c r="I3692" s="25" t="n">
        <f aca="false">IF(G3692="","",C3692/C3691-1)</f>
        <v>0.0218060042967785</v>
      </c>
      <c r="J3692" s="17" t="n">
        <f aca="false">AVERAGE(C3493:C3692)</f>
        <v>79471.2991</v>
      </c>
      <c r="K3692" s="17" t="n">
        <f aca="false">MAX(K3691,C3692)</f>
        <v>106159.26</v>
      </c>
      <c r="L3692" s="25" t="n">
        <f aca="false">C3692/K3692-1</f>
        <v>-0.078153615614879</v>
      </c>
      <c r="M3692" s="25" t="n">
        <f aca="false">IF(COUNT(G3663:G3692)&lt;20,"",_xlfn.STDEV.S(G3663:G3692)*SQRT($R$3))</f>
        <v>0.413818781343941</v>
      </c>
      <c r="N3692" s="25" t="n">
        <f aca="false">IF(A3692-7&lt;$R$2,"",C3692/INDEX(Clean_Data!$C$2:$C$4314,MATCH(A3692-7,Clean_Data!$A$2:$A$4314,1))-1)</f>
        <v>0.0126678513587724</v>
      </c>
      <c r="O3692" s="25" t="n">
        <f aca="false">IF(A3692-30&lt;$R$2,"",C3692/INDEX(Clean_Data!$C$2:$C$4314,MATCH(A3692-30,Clean_Data!$A$2:$A$4314,1))-1)</f>
        <v>0.0355116502630244</v>
      </c>
    </row>
    <row r="3693" customFormat="false" ht="15" hidden="false" customHeight="false" outlineLevel="0" collapsed="false">
      <c r="A3693" s="16" t="n">
        <v>45700</v>
      </c>
      <c r="B3693" s="23" t="n">
        <f aca="false">YEAR(A3693)</f>
        <v>2025</v>
      </c>
      <c r="C3693" s="17" t="n">
        <v>96625.29</v>
      </c>
      <c r="D3693" s="23" t="n">
        <f aca="false">A3693-A3692</f>
        <v>1</v>
      </c>
      <c r="E3693" s="24" t="n">
        <f aca="false">LN(C3693)</f>
        <v>11.4785957871789</v>
      </c>
      <c r="F3693" s="25" t="n">
        <f aca="false">LN(C3693/C3692)</f>
        <v>-0.0127232305898034</v>
      </c>
      <c r="G3693" s="25" t="n">
        <f aca="false">IF(AND(D3693=1,A3693&gt;=$R$2),F3693,"")</f>
        <v>-0.0127232305898034</v>
      </c>
      <c r="H3693" s="27" t="n">
        <f aca="false">IF(G3693="","",G3693^2)</f>
        <v>0.000161880596641309</v>
      </c>
      <c r="I3693" s="25" t="n">
        <f aca="false">IF(G3693="","",C3693/C3692-1)</f>
        <v>-0.0126426324763932</v>
      </c>
      <c r="J3693" s="17" t="n">
        <f aca="false">AVERAGE(C3494:C3693)</f>
        <v>79615.39815</v>
      </c>
      <c r="K3693" s="17" t="n">
        <f aca="false">MAX(K3692,C3693)</f>
        <v>106159.26</v>
      </c>
      <c r="L3693" s="25" t="n">
        <f aca="false">C3693/K3693-1</f>
        <v>-0.089808180652352</v>
      </c>
      <c r="M3693" s="25" t="n">
        <f aca="false">IF(COUNT(G3664:G3693)&lt;20,"",_xlfn.STDEV.S(G3664:G3693)*SQRT($R$3))</f>
        <v>0.410021189892982</v>
      </c>
      <c r="N3693" s="25" t="n">
        <f aca="false">IF(A3693-7&lt;$R$2,"",C3693/INDEX(Clean_Data!$C$2:$C$4314,MATCH(A3693-7,Clean_Data!$A$2:$A$4314,1))-1)</f>
        <v>0.00062828394084713</v>
      </c>
      <c r="O3693" s="25" t="n">
        <f aca="false">IF(A3693-30&lt;$R$2,"",C3693/INDEX(Clean_Data!$C$2:$C$4314,MATCH(A3693-30,Clean_Data!$A$2:$A$4314,1))-1)</f>
        <v>0.000935723182565074</v>
      </c>
    </row>
    <row r="3694" customFormat="false" ht="15" hidden="false" customHeight="false" outlineLevel="0" collapsed="false">
      <c r="A3694" s="16" t="n">
        <v>45701</v>
      </c>
      <c r="B3694" s="23" t="n">
        <f aca="false">YEAR(A3694)</f>
        <v>2025</v>
      </c>
      <c r="C3694" s="17" t="n">
        <v>97509.03</v>
      </c>
      <c r="D3694" s="23" t="n">
        <f aca="false">A3694-A3693</f>
        <v>1</v>
      </c>
      <c r="E3694" s="24" t="n">
        <f aca="false">LN(C3694)</f>
        <v>11.487700268082</v>
      </c>
      <c r="F3694" s="25" t="n">
        <f aca="false">LN(C3694/C3693)</f>
        <v>0.00910448090313386</v>
      </c>
      <c r="G3694" s="25" t="n">
        <f aca="false">IF(AND(D3694=1,A3694&gt;=$R$2),F3694,"")</f>
        <v>0.00910448090313386</v>
      </c>
      <c r="H3694" s="27" t="n">
        <f aca="false">IF(G3694="","",G3694^2)</f>
        <v>8.28915725155292E-005</v>
      </c>
      <c r="I3694" s="25" t="n">
        <f aca="false">IF(G3694="","",C3694/C3693-1)</f>
        <v>0.00914605275699576</v>
      </c>
      <c r="J3694" s="17" t="n">
        <f aca="false">AVERAGE(C3495:C3694)</f>
        <v>79761.57035</v>
      </c>
      <c r="K3694" s="17" t="n">
        <f aca="false">MAX(K3693,C3694)</f>
        <v>106159.26</v>
      </c>
      <c r="L3694" s="25" t="n">
        <f aca="false">C3694/K3694-1</f>
        <v>-0.0814835182536126</v>
      </c>
      <c r="M3694" s="25" t="n">
        <f aca="false">IF(COUNT(G3665:G3694)&lt;20,"",_xlfn.STDEV.S(G3665:G3694)*SQRT($R$3))</f>
        <v>0.385070439654757</v>
      </c>
      <c r="N3694" s="25" t="n">
        <f aca="false">IF(A3694-7&lt;$R$2,"",C3694/INDEX(Clean_Data!$C$2:$C$4314,MATCH(A3694-7,Clean_Data!$A$2:$A$4314,1))-1)</f>
        <v>0.0100681520510046</v>
      </c>
      <c r="O3694" s="25" t="n">
        <f aca="false">IF(A3694-30&lt;$R$2,"",C3694/INDEX(Clean_Data!$C$2:$C$4314,MATCH(A3694-30,Clean_Data!$A$2:$A$4314,1))-1)</f>
        <v>-0.0298596471224869</v>
      </c>
    </row>
    <row r="3695" customFormat="false" ht="15" hidden="false" customHeight="false" outlineLevel="0" collapsed="false">
      <c r="A3695" s="16" t="n">
        <v>45702</v>
      </c>
      <c r="B3695" s="23" t="n">
        <f aca="false">YEAR(A3695)</f>
        <v>2025</v>
      </c>
      <c r="C3695" s="17" t="n">
        <v>97596.94</v>
      </c>
      <c r="D3695" s="23" t="n">
        <f aca="false">A3695-A3694</f>
        <v>1</v>
      </c>
      <c r="E3695" s="24" t="n">
        <f aca="false">LN(C3695)</f>
        <v>11.4886014194507</v>
      </c>
      <c r="F3695" s="25" t="n">
        <f aca="false">LN(C3695/C3694)</f>
        <v>0.000901151368654952</v>
      </c>
      <c r="G3695" s="25" t="n">
        <f aca="false">IF(AND(D3695=1,A3695&gt;=$R$2),F3695,"")</f>
        <v>0.000901151368654952</v>
      </c>
      <c r="H3695" s="27" t="n">
        <f aca="false">IF(G3695="","",G3695^2)</f>
        <v>8.12073789228694E-007</v>
      </c>
      <c r="I3695" s="25" t="n">
        <f aca="false">IF(G3695="","",C3695/C3694-1)</f>
        <v>0.00090155752754395</v>
      </c>
      <c r="J3695" s="17" t="n">
        <f aca="false">AVERAGE(C3496:C3695)</f>
        <v>79915.4156</v>
      </c>
      <c r="K3695" s="17" t="n">
        <f aca="false">MAX(K3694,C3695)</f>
        <v>106159.26</v>
      </c>
      <c r="L3695" s="25" t="n">
        <f aca="false">C3695/K3695-1</f>
        <v>-0.0806554228053209</v>
      </c>
      <c r="M3695" s="25" t="n">
        <f aca="false">IF(COUNT(G3666:G3695)&lt;20,"",_xlfn.STDEV.S(G3666:G3695)*SQRT($R$3))</f>
        <v>0.384812589970494</v>
      </c>
      <c r="N3695" s="25" t="n">
        <f aca="false">IF(A3695-7&lt;$R$2,"",C3695/INDEX(Clean_Data!$C$2:$C$4314,MATCH(A3695-7,Clean_Data!$A$2:$A$4314,1))-1)</f>
        <v>0.0116162267915678</v>
      </c>
      <c r="O3695" s="25" t="n">
        <f aca="false">IF(A3695-30&lt;$R$2,"",C3695/INDEX(Clean_Data!$C$2:$C$4314,MATCH(A3695-30,Clean_Data!$A$2:$A$4314,1))-1)</f>
        <v>-0.0238527459703157</v>
      </c>
    </row>
    <row r="3696" customFormat="false" ht="15" hidden="false" customHeight="false" outlineLevel="0" collapsed="false">
      <c r="A3696" s="16" t="n">
        <v>45703</v>
      </c>
      <c r="B3696" s="23" t="n">
        <f aca="false">YEAR(A3696)</f>
        <v>2025</v>
      </c>
      <c r="C3696" s="17" t="n">
        <v>96119.88</v>
      </c>
      <c r="D3696" s="23" t="n">
        <f aca="false">A3696-A3695</f>
        <v>1</v>
      </c>
      <c r="E3696" s="24" t="n">
        <f aca="false">LN(C3696)</f>
        <v>11.4733514414102</v>
      </c>
      <c r="F3696" s="25" t="n">
        <f aca="false">LN(C3696/C3695)</f>
        <v>-0.0152499780404936</v>
      </c>
      <c r="G3696" s="25" t="n">
        <f aca="false">IF(AND(D3696=1,A3696&gt;=$R$2),F3696,"")</f>
        <v>-0.0152499780404936</v>
      </c>
      <c r="H3696" s="27" t="n">
        <f aca="false">IF(G3696="","",G3696^2)</f>
        <v>0.000232561830235538</v>
      </c>
      <c r="I3696" s="25" t="n">
        <f aca="false">IF(G3696="","",C3696/C3695-1)</f>
        <v>-0.0151342859724906</v>
      </c>
      <c r="J3696" s="17" t="n">
        <f aca="false">AVERAGE(C3497:C3696)</f>
        <v>80065.01095</v>
      </c>
      <c r="K3696" s="17" t="n">
        <f aca="false">MAX(K3695,C3696)</f>
        <v>106159.26</v>
      </c>
      <c r="L3696" s="25" t="n">
        <f aca="false">C3696/K3696-1</f>
        <v>-0.0945690465438436</v>
      </c>
      <c r="M3696" s="25" t="n">
        <f aca="false">IF(COUNT(G3667:G3696)&lt;20,"",_xlfn.STDEV.S(G3667:G3696)*SQRT($R$3))</f>
        <v>0.357777353596839</v>
      </c>
      <c r="N3696" s="25" t="n">
        <f aca="false">IF(A3696-7&lt;$R$2,"",C3696/INDEX(Clean_Data!$C$2:$C$4314,MATCH(A3696-7,Clean_Data!$A$2:$A$4314,1))-1)</f>
        <v>-0.0036894218675726</v>
      </c>
      <c r="O3696" s="25" t="n">
        <f aca="false">IF(A3696-30&lt;$R$2,"",C3696/INDEX(Clean_Data!$C$2:$C$4314,MATCH(A3696-30,Clean_Data!$A$2:$A$4314,1))-1)</f>
        <v>-0.0767202973863429</v>
      </c>
    </row>
    <row r="3697" customFormat="false" ht="15" hidden="false" customHeight="false" outlineLevel="0" collapsed="false">
      <c r="A3697" s="16" t="n">
        <v>45704</v>
      </c>
      <c r="B3697" s="23" t="n">
        <f aca="false">YEAR(A3697)</f>
        <v>2025</v>
      </c>
      <c r="C3697" s="17" t="n">
        <v>95781.8</v>
      </c>
      <c r="D3697" s="23" t="n">
        <f aca="false">A3697-A3696</f>
        <v>1</v>
      </c>
      <c r="E3697" s="24" t="n">
        <f aca="false">LN(C3697)</f>
        <v>11.4698279667875</v>
      </c>
      <c r="F3697" s="25" t="n">
        <f aca="false">LN(C3697/C3696)</f>
        <v>-0.00352347462271611</v>
      </c>
      <c r="G3697" s="25" t="n">
        <f aca="false">IF(AND(D3697=1,A3697&gt;=$R$2),F3697,"")</f>
        <v>-0.00352347462271611</v>
      </c>
      <c r="H3697" s="27" t="n">
        <f aca="false">IF(G3697="","",G3697^2)</f>
        <v>1.24148734169244E-005</v>
      </c>
      <c r="I3697" s="25" t="n">
        <f aca="false">IF(G3697="","",C3697/C3696-1)</f>
        <v>-0.00351727447017203</v>
      </c>
      <c r="J3697" s="17" t="n">
        <f aca="false">AVERAGE(C3498:C3697)</f>
        <v>80220.8814</v>
      </c>
      <c r="K3697" s="17" t="n">
        <f aca="false">MAX(K3696,C3697)</f>
        <v>106159.26</v>
      </c>
      <c r="L3697" s="25" t="n">
        <f aca="false">C3697/K3697-1</f>
        <v>-0.0977536957209385</v>
      </c>
      <c r="M3697" s="25" t="n">
        <f aca="false">IF(COUNT(G3668:G3697)&lt;20,"",_xlfn.STDEV.S(G3668:G3697)*SQRT($R$3))</f>
        <v>0.357170833484695</v>
      </c>
      <c r="N3697" s="25" t="n">
        <f aca="false">IF(A3697-7&lt;$R$2,"",C3697/INDEX(Clean_Data!$C$2:$C$4314,MATCH(A3697-7,Clean_Data!$A$2:$A$4314,1))-1)</f>
        <v>-0.0170621383001858</v>
      </c>
      <c r="O3697" s="25" t="n">
        <f aca="false">IF(A3697-30&lt;$R$2,"",C3697/INDEX(Clean_Data!$C$2:$C$4314,MATCH(A3697-30,Clean_Data!$A$2:$A$4314,1))-1)</f>
        <v>-0.0828572796476277</v>
      </c>
    </row>
    <row r="3698" customFormat="false" ht="15" hidden="false" customHeight="false" outlineLevel="0" collapsed="false">
      <c r="A3698" s="16" t="n">
        <v>45705</v>
      </c>
      <c r="B3698" s="23" t="n">
        <f aca="false">YEAR(A3698)</f>
        <v>2025</v>
      </c>
      <c r="C3698" s="17" t="n">
        <v>95607.4</v>
      </c>
      <c r="D3698" s="23" t="n">
        <f aca="false">A3698-A3697</f>
        <v>1</v>
      </c>
      <c r="E3698" s="24" t="n">
        <f aca="false">LN(C3698)</f>
        <v>11.4680055019016</v>
      </c>
      <c r="F3698" s="25" t="n">
        <f aca="false">LN(C3698/C3697)</f>
        <v>-0.00182246488590482</v>
      </c>
      <c r="G3698" s="25" t="n">
        <f aca="false">IF(AND(D3698=1,A3698&gt;=$R$2),F3698,"")</f>
        <v>-0.00182246488590482</v>
      </c>
      <c r="H3698" s="27" t="n">
        <f aca="false">IF(G3698="","",G3698^2)</f>
        <v>3.32137826035606E-006</v>
      </c>
      <c r="I3698" s="25" t="n">
        <f aca="false">IF(G3698="","",C3698/C3697-1)</f>
        <v>-0.00182080520516437</v>
      </c>
      <c r="J3698" s="17" t="n">
        <f aca="false">AVERAGE(C3499:C3698)</f>
        <v>80372.2064</v>
      </c>
      <c r="K3698" s="17" t="n">
        <f aca="false">MAX(K3697,C3698)</f>
        <v>106159.26</v>
      </c>
      <c r="L3698" s="25" t="n">
        <f aca="false">C3698/K3698-1</f>
        <v>-0.0993965104881101</v>
      </c>
      <c r="M3698" s="25" t="n">
        <f aca="false">IF(COUNT(G3669:G3698)&lt;20,"",_xlfn.STDEV.S(G3669:G3698)*SQRT($R$3))</f>
        <v>0.342075125792253</v>
      </c>
      <c r="N3698" s="25" t="n">
        <f aca="false">IF(A3698-7&lt;$R$2,"",C3698/INDEX(Clean_Data!$C$2:$C$4314,MATCH(A3698-7,Clean_Data!$A$2:$A$4314,1))-1)</f>
        <v>-0.00174034561334346</v>
      </c>
      <c r="O3698" s="25" t="n">
        <f aca="false">IF(A3698-30&lt;$R$2,"",C3698/INDEX(Clean_Data!$C$2:$C$4314,MATCH(A3698-30,Clean_Data!$A$2:$A$4314,1))-1)</f>
        <v>-0.0553667368401085</v>
      </c>
    </row>
    <row r="3699" customFormat="false" ht="15" hidden="false" customHeight="false" outlineLevel="0" collapsed="false">
      <c r="A3699" s="16" t="n">
        <v>45706</v>
      </c>
      <c r="B3699" s="23" t="n">
        <f aca="false">YEAR(A3699)</f>
        <v>2025</v>
      </c>
      <c r="C3699" s="17" t="n">
        <v>96632.03</v>
      </c>
      <c r="D3699" s="23" t="n">
        <f aca="false">A3699-A3698</f>
        <v>1</v>
      </c>
      <c r="E3699" s="24" t="n">
        <f aca="false">LN(C3699)</f>
        <v>11.4786655387412</v>
      </c>
      <c r="F3699" s="25" t="n">
        <f aca="false">LN(C3699/C3698)</f>
        <v>0.0106600368396754</v>
      </c>
      <c r="G3699" s="25" t="n">
        <f aca="false">IF(AND(D3699=1,A3699&gt;=$R$2),F3699,"")</f>
        <v>0.0106600368396754</v>
      </c>
      <c r="H3699" s="27" t="n">
        <f aca="false">IF(G3699="","",G3699^2)</f>
        <v>0.000113636385423236</v>
      </c>
      <c r="I3699" s="25" t="n">
        <f aca="false">IF(G3699="","",C3699/C3698-1)</f>
        <v>0.0107170574662632</v>
      </c>
      <c r="J3699" s="17" t="n">
        <f aca="false">AVERAGE(C3500:C3699)</f>
        <v>80548.03325</v>
      </c>
      <c r="K3699" s="17" t="n">
        <f aca="false">MAX(K3698,C3699)</f>
        <v>106159.26</v>
      </c>
      <c r="L3699" s="25" t="n">
        <f aca="false">C3699/K3699-1</f>
        <v>-0.089744691136694</v>
      </c>
      <c r="M3699" s="25" t="n">
        <f aca="false">IF(COUNT(G3670:G3699)&lt;20,"",_xlfn.STDEV.S(G3670:G3699)*SQRT($R$3))</f>
        <v>0.342713189938344</v>
      </c>
      <c r="N3699" s="25" t="n">
        <f aca="false">IF(A3699-7&lt;$R$2,"",C3699/INDEX(Clean_Data!$C$2:$C$4314,MATCH(A3699-7,Clean_Data!$A$2:$A$4314,1))-1)</f>
        <v>-0.0125737603554701</v>
      </c>
      <c r="O3699" s="25" t="n">
        <f aca="false">IF(A3699-30&lt;$R$2,"",C3699/INDEX(Clean_Data!$C$2:$C$4314,MATCH(A3699-30,Clean_Data!$A$2:$A$4314,1))-1)</f>
        <v>-0.0539759830664964</v>
      </c>
    </row>
    <row r="3700" customFormat="false" ht="15" hidden="false" customHeight="false" outlineLevel="0" collapsed="false">
      <c r="A3700" s="16" t="n">
        <v>45707</v>
      </c>
      <c r="B3700" s="23" t="n">
        <f aca="false">YEAR(A3700)</f>
        <v>2025</v>
      </c>
      <c r="C3700" s="17" t="n">
        <v>98347.2</v>
      </c>
      <c r="D3700" s="23" t="n">
        <f aca="false">A3700-A3699</f>
        <v>1</v>
      </c>
      <c r="E3700" s="24" t="n">
        <f aca="false">LN(C3700)</f>
        <v>11.496259353661</v>
      </c>
      <c r="F3700" s="25" t="n">
        <f aca="false">LN(C3700/C3699)</f>
        <v>0.0175938149198147</v>
      </c>
      <c r="G3700" s="25" t="n">
        <f aca="false">IF(AND(D3700=1,A3700&gt;=$R$2),F3700,"")</f>
        <v>0.0175938149198147</v>
      </c>
      <c r="H3700" s="27" t="n">
        <f aca="false">IF(G3700="","",G3700^2)</f>
        <v>0.000309542323432693</v>
      </c>
      <c r="I3700" s="25" t="n">
        <f aca="false">IF(G3700="","",C3700/C3699-1)</f>
        <v>0.0177494977596973</v>
      </c>
      <c r="J3700" s="17" t="n">
        <f aca="false">AVERAGE(C3501:C3700)</f>
        <v>80736.6137</v>
      </c>
      <c r="K3700" s="17" t="n">
        <f aca="false">MAX(K3699,C3700)</f>
        <v>106159.26</v>
      </c>
      <c r="L3700" s="25" t="n">
        <f aca="false">C3700/K3700-1</f>
        <v>-0.0735881165712723</v>
      </c>
      <c r="M3700" s="25" t="n">
        <f aca="false">IF(COUNT(G3671:G3700)&lt;20,"",_xlfn.STDEV.S(G3671:G3700)*SQRT($R$3))</f>
        <v>0.318577116695954</v>
      </c>
      <c r="N3700" s="25" t="n">
        <f aca="false">IF(A3700-7&lt;$R$2,"",C3700/INDEX(Clean_Data!$C$2:$C$4314,MATCH(A3700-7,Clean_Data!$A$2:$A$4314,1))-1)</f>
        <v>0.0178204898531222</v>
      </c>
      <c r="O3700" s="25" t="n">
        <f aca="false">IF(A3700-30&lt;$R$2,"",C3700/INDEX(Clean_Data!$C$2:$C$4314,MATCH(A3700-30,Clean_Data!$A$2:$A$4314,1))-1)</f>
        <v>-0.0735881165712723</v>
      </c>
    </row>
    <row r="3701" customFormat="false" ht="15" hidden="false" customHeight="false" outlineLevel="0" collapsed="false">
      <c r="A3701" s="16" t="n">
        <v>45708</v>
      </c>
      <c r="B3701" s="23" t="n">
        <f aca="false">YEAR(A3701)</f>
        <v>2025</v>
      </c>
      <c r="C3701" s="17" t="n">
        <v>96157.03</v>
      </c>
      <c r="D3701" s="23" t="n">
        <f aca="false">A3701-A3700</f>
        <v>1</v>
      </c>
      <c r="E3701" s="24" t="n">
        <f aca="false">LN(C3701)</f>
        <v>11.4737378632688</v>
      </c>
      <c r="F3701" s="25" t="n">
        <f aca="false">LN(C3701/C3700)</f>
        <v>-0.0225214903922874</v>
      </c>
      <c r="G3701" s="25" t="n">
        <f aca="false">IF(AND(D3701=1,A3701&gt;=$R$2),F3701,"")</f>
        <v>-0.0225214903922874</v>
      </c>
      <c r="H3701" s="27" t="n">
        <f aca="false">IF(G3701="","",G3701^2)</f>
        <v>0.000507217529489894</v>
      </c>
      <c r="I3701" s="25" t="n">
        <f aca="false">IF(G3701="","",C3701/C3700-1)</f>
        <v>-0.0222697748385312</v>
      </c>
      <c r="J3701" s="17" t="n">
        <f aca="false">AVERAGE(C3502:C3701)</f>
        <v>80926.4936</v>
      </c>
      <c r="K3701" s="17" t="n">
        <f aca="false">MAX(K3700,C3701)</f>
        <v>106159.26</v>
      </c>
      <c r="L3701" s="25" t="n">
        <f aca="false">C3701/K3701-1</f>
        <v>-0.0942191006229697</v>
      </c>
      <c r="M3701" s="25" t="n">
        <f aca="false">IF(COUNT(G3672:G3701)&lt;20,"",_xlfn.STDEV.S(G3672:G3701)*SQRT($R$3))</f>
        <v>0.317570659401797</v>
      </c>
      <c r="N3701" s="25" t="n">
        <f aca="false">IF(A3701-7&lt;$R$2,"",C3701/INDEX(Clean_Data!$C$2:$C$4314,MATCH(A3701-7,Clean_Data!$A$2:$A$4314,1))-1)</f>
        <v>-0.0138653825189319</v>
      </c>
      <c r="O3701" s="25" t="n">
        <f aca="false">IF(A3701-30&lt;$R$2,"",C3701/INDEX(Clean_Data!$C$2:$C$4314,MATCH(A3701-30,Clean_Data!$A$2:$A$4314,1))-1)</f>
        <v>-0.0724441917981509</v>
      </c>
    </row>
    <row r="3702" customFormat="false" ht="15" hidden="false" customHeight="false" outlineLevel="0" collapsed="false">
      <c r="A3702" s="16" t="n">
        <v>45709</v>
      </c>
      <c r="B3702" s="23" t="n">
        <f aca="false">YEAR(A3702)</f>
        <v>2025</v>
      </c>
      <c r="C3702" s="17" t="n">
        <v>96582.12</v>
      </c>
      <c r="D3702" s="23" t="n">
        <f aca="false">A3702-A3701</f>
        <v>1</v>
      </c>
      <c r="E3702" s="24" t="n">
        <f aca="false">LN(C3702)</f>
        <v>11.4781489099011</v>
      </c>
      <c r="F3702" s="25" t="n">
        <f aca="false">LN(C3702/C3701)</f>
        <v>0.00441104663229622</v>
      </c>
      <c r="G3702" s="25" t="n">
        <f aca="false">IF(AND(D3702=1,A3702&gt;=$R$2),F3702,"")</f>
        <v>0.00441104663229622</v>
      </c>
      <c r="H3702" s="27" t="n">
        <f aca="false">IF(G3702="","",G3702^2)</f>
        <v>1.94573323922918E-005</v>
      </c>
      <c r="I3702" s="25" t="n">
        <f aca="false">IF(G3702="","",C3702/C3701-1)</f>
        <v>0.0044207896188142</v>
      </c>
      <c r="J3702" s="17" t="n">
        <f aca="false">AVERAGE(C3503:C3702)</f>
        <v>81139.2747</v>
      </c>
      <c r="K3702" s="17" t="n">
        <f aca="false">MAX(K3701,C3702)</f>
        <v>106159.26</v>
      </c>
      <c r="L3702" s="25" t="n">
        <f aca="false">C3702/K3702-1</f>
        <v>-0.0902148338260835</v>
      </c>
      <c r="M3702" s="25" t="n">
        <f aca="false">IF(COUNT(G3673:G3702)&lt;20,"",_xlfn.STDEV.S(G3673:G3702)*SQRT($R$3))</f>
        <v>0.318019967868097</v>
      </c>
      <c r="N3702" s="25" t="n">
        <f aca="false">IF(A3702-7&lt;$R$2,"",C3702/INDEX(Clean_Data!$C$2:$C$4314,MATCH(A3702-7,Clean_Data!$A$2:$A$4314,1))-1)</f>
        <v>-0.0103980719067627</v>
      </c>
      <c r="O3702" s="25" t="n">
        <f aca="false">IF(A3702-30&lt;$R$2,"",C3702/INDEX(Clean_Data!$C$2:$C$4314,MATCH(A3702-30,Clean_Data!$A$2:$A$4314,1))-1)</f>
        <v>-0.0706677304968634</v>
      </c>
    </row>
    <row r="3703" customFormat="false" ht="15" hidden="false" customHeight="false" outlineLevel="0" collapsed="false">
      <c r="A3703" s="16" t="n">
        <v>45710</v>
      </c>
      <c r="B3703" s="23" t="n">
        <f aca="false">YEAR(A3703)</f>
        <v>2025</v>
      </c>
      <c r="C3703" s="17" t="n">
        <v>96265.98</v>
      </c>
      <c r="D3703" s="23" t="n">
        <f aca="false">A3703-A3702</f>
        <v>1</v>
      </c>
      <c r="E3703" s="24" t="n">
        <f aca="false">LN(C3703)</f>
        <v>11.4748702643433</v>
      </c>
      <c r="F3703" s="25" t="n">
        <f aca="false">LN(C3703/C3702)</f>
        <v>-0.00327864555778322</v>
      </c>
      <c r="G3703" s="25" t="n">
        <f aca="false">IF(AND(D3703=1,A3703&gt;=$R$2),F3703,"")</f>
        <v>-0.00327864555778322</v>
      </c>
      <c r="H3703" s="27" t="n">
        <f aca="false">IF(G3703="","",G3703^2)</f>
        <v>1.07495166935716E-005</v>
      </c>
      <c r="I3703" s="25" t="n">
        <f aca="false">IF(G3703="","",C3703/C3702-1)</f>
        <v>-0.00327327666860078</v>
      </c>
      <c r="J3703" s="17" t="n">
        <f aca="false">AVERAGE(C3504:C3703)</f>
        <v>81340.1202</v>
      </c>
      <c r="K3703" s="17" t="n">
        <f aca="false">MAX(K3702,C3703)</f>
        <v>106159.26</v>
      </c>
      <c r="L3703" s="25" t="n">
        <f aca="false">C3703/K3703-1</f>
        <v>-0.0931928123839597</v>
      </c>
      <c r="M3703" s="25" t="n">
        <f aca="false">IF(COUNT(G3674:G3703)&lt;20,"",_xlfn.STDEV.S(G3674:G3703)*SQRT($R$3))</f>
        <v>0.315401993244027</v>
      </c>
      <c r="N3703" s="25" t="n">
        <f aca="false">IF(A3703-7&lt;$R$2,"",C3703/INDEX(Clean_Data!$C$2:$C$4314,MATCH(A3703-7,Clean_Data!$A$2:$A$4314,1))-1)</f>
        <v>0.00151997692881012</v>
      </c>
      <c r="O3703" s="25" t="n">
        <f aca="false">IF(A3703-30&lt;$R$2,"",C3703/INDEX(Clean_Data!$C$2:$C$4314,MATCH(A3703-30,Clean_Data!$A$2:$A$4314,1))-1)</f>
        <v>-0.081871892175385</v>
      </c>
    </row>
    <row r="3704" customFormat="false" ht="15" hidden="false" customHeight="false" outlineLevel="0" collapsed="false">
      <c r="A3704" s="16" t="n">
        <v>45711</v>
      </c>
      <c r="B3704" s="23" t="n">
        <f aca="false">YEAR(A3704)</f>
        <v>2025</v>
      </c>
      <c r="C3704" s="17" t="n">
        <v>91510.82</v>
      </c>
      <c r="D3704" s="23" t="n">
        <f aca="false">A3704-A3703</f>
        <v>1</v>
      </c>
      <c r="E3704" s="24" t="n">
        <f aca="false">LN(C3704)</f>
        <v>11.4242124956386</v>
      </c>
      <c r="F3704" s="25" t="n">
        <f aca="false">LN(C3704/C3703)</f>
        <v>-0.0506577687046785</v>
      </c>
      <c r="G3704" s="25" t="n">
        <f aca="false">IF(AND(D3704=1,A3704&gt;=$R$2),F3704,"")</f>
        <v>-0.0506577687046785</v>
      </c>
      <c r="H3704" s="27" t="n">
        <f aca="false">IF(G3704="","",G3704^2)</f>
        <v>0.00256620953013671</v>
      </c>
      <c r="I3704" s="25" t="n">
        <f aca="false">IF(G3704="","",C3704/C3703-1)</f>
        <v>-0.049396058711499</v>
      </c>
      <c r="J3704" s="17" t="n">
        <f aca="false">AVERAGE(C3505:C3704)</f>
        <v>81522.1694</v>
      </c>
      <c r="K3704" s="17" t="n">
        <f aca="false">MAX(K3703,C3704)</f>
        <v>106159.26</v>
      </c>
      <c r="L3704" s="25" t="n">
        <f aca="false">C3704/K3704-1</f>
        <v>-0.137985513463451</v>
      </c>
      <c r="M3704" s="25" t="n">
        <f aca="false">IF(COUNT(G3675:G3704)&lt;20,"",_xlfn.STDEV.S(G3675:G3704)*SQRT($R$3))</f>
        <v>0.356624281319467</v>
      </c>
      <c r="N3704" s="25" t="n">
        <f aca="false">IF(A3704-7&lt;$R$2,"",C3704/INDEX(Clean_Data!$C$2:$C$4314,MATCH(A3704-7,Clean_Data!$A$2:$A$4314,1))-1)</f>
        <v>-0.0445907260043139</v>
      </c>
      <c r="O3704" s="25" t="n">
        <f aca="false">IF(A3704-30&lt;$R$2,"",C3704/INDEX(Clean_Data!$C$2:$C$4314,MATCH(A3704-30,Clean_Data!$A$2:$A$4314,1))-1)</f>
        <v>-0.126251222626253</v>
      </c>
    </row>
    <row r="3705" customFormat="false" ht="15" hidden="false" customHeight="false" outlineLevel="0" collapsed="false">
      <c r="A3705" s="16" t="n">
        <v>45712</v>
      </c>
      <c r="B3705" s="23" t="n">
        <f aca="false">YEAR(A3705)</f>
        <v>2025</v>
      </c>
      <c r="C3705" s="17" t="n">
        <v>88583.74</v>
      </c>
      <c r="D3705" s="23" t="n">
        <f aca="false">A3705-A3704</f>
        <v>1</v>
      </c>
      <c r="E3705" s="24" t="n">
        <f aca="false">LN(C3705)</f>
        <v>11.3917035983064</v>
      </c>
      <c r="F3705" s="25" t="n">
        <f aca="false">LN(C3705/C3704)</f>
        <v>-0.0325088973322351</v>
      </c>
      <c r="G3705" s="25" t="n">
        <f aca="false">IF(AND(D3705=1,A3705&gt;=$R$2),F3705,"")</f>
        <v>-0.0325088973322351</v>
      </c>
      <c r="H3705" s="27" t="n">
        <f aca="false">IF(G3705="","",G3705^2)</f>
        <v>0.0010568284057578</v>
      </c>
      <c r="I3705" s="25" t="n">
        <f aca="false">IF(G3705="","",C3705/C3704-1)</f>
        <v>-0.0319861629477257</v>
      </c>
      <c r="J3705" s="17" t="n">
        <f aca="false">AVERAGE(C3506:C3705)</f>
        <v>81656.86465</v>
      </c>
      <c r="K3705" s="17" t="n">
        <f aca="false">MAX(K3704,C3705)</f>
        <v>106159.26</v>
      </c>
      <c r="L3705" s="25" t="n">
        <f aca="false">C3705/K3705-1</f>
        <v>-0.165558049293109</v>
      </c>
      <c r="M3705" s="25" t="n">
        <f aca="false">IF(COUNT(G3676:G3705)&lt;20,"",_xlfn.STDEV.S(G3676:G3705)*SQRT($R$3))</f>
        <v>0.365508246334987</v>
      </c>
      <c r="N3705" s="25" t="n">
        <f aca="false">IF(A3705-7&lt;$R$2,"",C3705/INDEX(Clean_Data!$C$2:$C$4314,MATCH(A3705-7,Clean_Data!$A$2:$A$4314,1))-1)</f>
        <v>-0.0734635603520228</v>
      </c>
      <c r="O3705" s="25" t="n">
        <f aca="false">IF(A3705-30&lt;$R$2,"",C3705/INDEX(Clean_Data!$C$2:$C$4314,MATCH(A3705-30,Clean_Data!$A$2:$A$4314,1))-1)</f>
        <v>-0.13629925021694</v>
      </c>
    </row>
    <row r="3706" customFormat="false" ht="15" hidden="false" customHeight="false" outlineLevel="0" collapsed="false">
      <c r="A3706" s="16" t="n">
        <v>45713</v>
      </c>
      <c r="B3706" s="23" t="n">
        <f aca="false">YEAR(A3706)</f>
        <v>2025</v>
      </c>
      <c r="C3706" s="17" t="n">
        <v>84111.78</v>
      </c>
      <c r="D3706" s="23" t="n">
        <f aca="false">A3706-A3705</f>
        <v>1</v>
      </c>
      <c r="E3706" s="24" t="n">
        <f aca="false">LN(C3706)</f>
        <v>11.3399019074956</v>
      </c>
      <c r="F3706" s="25" t="n">
        <f aca="false">LN(C3706/C3705)</f>
        <v>-0.0518016908107529</v>
      </c>
      <c r="G3706" s="25" t="n">
        <f aca="false">IF(AND(D3706=1,A3706&gt;=$R$2),F3706,"")</f>
        <v>-0.0518016908107529</v>
      </c>
      <c r="H3706" s="27" t="n">
        <f aca="false">IF(G3706="","",G3706^2)</f>
        <v>0.00268341517085284</v>
      </c>
      <c r="I3706" s="25" t="n">
        <f aca="false">IF(G3706="","",C3706/C3705-1)</f>
        <v>-0.0504828538510567</v>
      </c>
      <c r="J3706" s="17" t="n">
        <f aca="false">AVERAGE(C3507:C3706)</f>
        <v>81773.3303</v>
      </c>
      <c r="K3706" s="17" t="n">
        <f aca="false">MAX(K3705,C3706)</f>
        <v>106159.26</v>
      </c>
      <c r="L3706" s="25" t="n">
        <f aca="false">C3706/K3706-1</f>
        <v>-0.207683060337836</v>
      </c>
      <c r="M3706" s="25" t="n">
        <f aca="false">IF(COUNT(G3677:G3706)&lt;20,"",_xlfn.STDEV.S(G3677:G3706)*SQRT($R$3))</f>
        <v>0.400472697586996</v>
      </c>
      <c r="N3706" s="25" t="n">
        <f aca="false">IF(A3706-7&lt;$R$2,"",C3706/INDEX(Clean_Data!$C$2:$C$4314,MATCH(A3706-7,Clean_Data!$A$2:$A$4314,1))-1)</f>
        <v>-0.129566252514823</v>
      </c>
      <c r="O3706" s="25" t="n">
        <f aca="false">IF(A3706-30&lt;$R$2,"",C3706/INDEX(Clean_Data!$C$2:$C$4314,MATCH(A3706-30,Clean_Data!$A$2:$A$4314,1))-1)</f>
        <v>-0.1758790355941</v>
      </c>
    </row>
    <row r="3707" customFormat="false" ht="15" hidden="false" customHeight="false" outlineLevel="0" collapsed="false">
      <c r="A3707" s="16" t="n">
        <v>45714</v>
      </c>
      <c r="B3707" s="23" t="n">
        <f aca="false">YEAR(A3707)</f>
        <v>2025</v>
      </c>
      <c r="C3707" s="17" t="n">
        <v>84625.19</v>
      </c>
      <c r="D3707" s="23" t="n">
        <f aca="false">A3707-A3706</f>
        <v>1</v>
      </c>
      <c r="E3707" s="24" t="n">
        <f aca="false">LN(C3707)</f>
        <v>11.3459872554115</v>
      </c>
      <c r="F3707" s="25" t="n">
        <f aca="false">LN(C3707/C3706)</f>
        <v>0.00608534791586166</v>
      </c>
      <c r="G3707" s="25" t="n">
        <f aca="false">IF(AND(D3707=1,A3707&gt;=$R$2),F3707,"")</f>
        <v>0.00608534791586166</v>
      </c>
      <c r="H3707" s="27" t="n">
        <f aca="false">IF(G3707="","",G3707^2)</f>
        <v>3.70314592570818E-005</v>
      </c>
      <c r="I3707" s="25" t="n">
        <f aca="false">IF(G3707="","",C3707/C3706-1)</f>
        <v>0.00610390126091742</v>
      </c>
      <c r="J3707" s="17" t="n">
        <f aca="false">AVERAGE(C3508:C3707)</f>
        <v>81891.7474</v>
      </c>
      <c r="K3707" s="17" t="n">
        <f aca="false">MAX(K3706,C3707)</f>
        <v>106159.26</v>
      </c>
      <c r="L3707" s="25" t="n">
        <f aca="false">C3707/K3707-1</f>
        <v>-0.202846835970786</v>
      </c>
      <c r="M3707" s="25" t="n">
        <f aca="false">IF(COUNT(G3678:G3707)&lt;20,"",_xlfn.STDEV.S(G3678:G3707)*SQRT($R$3))</f>
        <v>0.402815475254326</v>
      </c>
      <c r="N3707" s="25" t="n">
        <f aca="false">IF(A3707-7&lt;$R$2,"",C3707/INDEX(Clean_Data!$C$2:$C$4314,MATCH(A3707-7,Clean_Data!$A$2:$A$4314,1))-1)</f>
        <v>-0.139526188849301</v>
      </c>
      <c r="O3707" s="25" t="n">
        <f aca="false">IF(A3707-30&lt;$R$2,"",C3707/INDEX(Clean_Data!$C$2:$C$4314,MATCH(A3707-30,Clean_Data!$A$2:$A$4314,1))-1)</f>
        <v>-0.164525718234771</v>
      </c>
    </row>
    <row r="3708" customFormat="false" ht="15" hidden="false" customHeight="false" outlineLevel="0" collapsed="false">
      <c r="A3708" s="16" t="n">
        <v>45715</v>
      </c>
      <c r="B3708" s="23" t="n">
        <f aca="false">YEAR(A3708)</f>
        <v>2025</v>
      </c>
      <c r="C3708" s="17" t="n">
        <v>84297.73</v>
      </c>
      <c r="D3708" s="23" t="n">
        <f aca="false">A3708-A3707</f>
        <v>1</v>
      </c>
      <c r="E3708" s="24" t="n">
        <f aca="false">LN(C3708)</f>
        <v>11.342110215988</v>
      </c>
      <c r="F3708" s="25" t="n">
        <f aca="false">LN(C3708/C3707)</f>
        <v>-0.00387703942345657</v>
      </c>
      <c r="G3708" s="25" t="n">
        <f aca="false">IF(AND(D3708=1,A3708&gt;=$R$2),F3708,"")</f>
        <v>-0.00387703942345657</v>
      </c>
      <c r="H3708" s="27" t="n">
        <f aca="false">IF(G3708="","",G3708^2)</f>
        <v>1.50314346910364E-005</v>
      </c>
      <c r="I3708" s="25" t="n">
        <f aca="false">IF(G3708="","",C3708/C3707-1)</f>
        <v>-0.00386953340961482</v>
      </c>
      <c r="J3708" s="17" t="n">
        <f aca="false">AVERAGE(C3509:C3708)</f>
        <v>82019.5713</v>
      </c>
      <c r="K3708" s="17" t="n">
        <f aca="false">MAX(K3707,C3708)</f>
        <v>106159.26</v>
      </c>
      <c r="L3708" s="25" t="n">
        <f aca="false">C3708/K3708-1</f>
        <v>-0.205931446771577</v>
      </c>
      <c r="M3708" s="25" t="n">
        <f aca="false">IF(COUNT(G3679:G3708)&lt;20,"",_xlfn.STDEV.S(G3679:G3708)*SQRT($R$3))</f>
        <v>0.388191307675273</v>
      </c>
      <c r="N3708" s="25" t="n">
        <f aca="false">IF(A3708-7&lt;$R$2,"",C3708/INDEX(Clean_Data!$C$2:$C$4314,MATCH(A3708-7,Clean_Data!$A$2:$A$4314,1))-1)</f>
        <v>-0.12333263620975</v>
      </c>
      <c r="O3708" s="25" t="n">
        <f aca="false">IF(A3708-30&lt;$R$2,"",C3708/INDEX(Clean_Data!$C$2:$C$4314,MATCH(A3708-30,Clean_Data!$A$2:$A$4314,1))-1)</f>
        <v>-0.187470222102273</v>
      </c>
    </row>
    <row r="3709" customFormat="false" ht="15" hidden="false" customHeight="false" outlineLevel="0" collapsed="false">
      <c r="A3709" s="16" t="n">
        <v>45716</v>
      </c>
      <c r="B3709" s="23" t="n">
        <f aca="false">YEAR(A3709)</f>
        <v>2025</v>
      </c>
      <c r="C3709" s="17" t="n">
        <v>86018.76</v>
      </c>
      <c r="D3709" s="23" t="n">
        <f aca="false">A3709-A3708</f>
        <v>1</v>
      </c>
      <c r="E3709" s="24" t="n">
        <f aca="false">LN(C3709)</f>
        <v>11.3623206909816</v>
      </c>
      <c r="F3709" s="25" t="n">
        <f aca="false">LN(C3709/C3708)</f>
        <v>0.0202104749935515</v>
      </c>
      <c r="G3709" s="25" t="n">
        <f aca="false">IF(AND(D3709=1,A3709&gt;=$R$2),F3709,"")</f>
        <v>0.0202104749935515</v>
      </c>
      <c r="H3709" s="27" t="n">
        <f aca="false">IF(G3709="","",G3709^2)</f>
        <v>0.000408463299464969</v>
      </c>
      <c r="I3709" s="25" t="n">
        <f aca="false">IF(G3709="","",C3709/C3708-1)</f>
        <v>0.0204160894961229</v>
      </c>
      <c r="J3709" s="17" t="n">
        <f aca="false">AVERAGE(C3510:C3709)</f>
        <v>82152.97555</v>
      </c>
      <c r="K3709" s="17" t="n">
        <f aca="false">MAX(K3708,C3709)</f>
        <v>106159.26</v>
      </c>
      <c r="L3709" s="25" t="n">
        <f aca="false">C3709/K3709-1</f>
        <v>-0.189719672122809</v>
      </c>
      <c r="M3709" s="25" t="n">
        <f aca="false">IF(COUNT(G3680:G3709)&lt;20,"",_xlfn.STDEV.S(G3680:G3709)*SQRT($R$3))</f>
        <v>0.395595095015534</v>
      </c>
      <c r="N3709" s="25" t="n">
        <f aca="false">IF(A3709-7&lt;$R$2,"",C3709/INDEX(Clean_Data!$C$2:$C$4314,MATCH(A3709-7,Clean_Data!$A$2:$A$4314,1))-1)</f>
        <v>-0.109371796767352</v>
      </c>
      <c r="O3709" s="25" t="n">
        <f aca="false">IF(A3709-30&lt;$R$2,"",C3709/INDEX(Clean_Data!$C$2:$C$4314,MATCH(A3709-30,Clean_Data!$A$2:$A$4314,1))-1)</f>
        <v>-0.178760817943867</v>
      </c>
    </row>
    <row r="3710" customFormat="false" ht="15" hidden="false" customHeight="false" outlineLevel="0" collapsed="false">
      <c r="A3710" s="16" t="n">
        <v>45717</v>
      </c>
      <c r="B3710" s="23" t="n">
        <f aca="false">YEAR(A3710)</f>
        <v>2025</v>
      </c>
      <c r="C3710" s="17" t="n">
        <v>94265.48</v>
      </c>
      <c r="D3710" s="23" t="n">
        <f aca="false">A3710-A3709</f>
        <v>1</v>
      </c>
      <c r="E3710" s="24" t="n">
        <f aca="false">LN(C3710)</f>
        <v>11.4538703358555</v>
      </c>
      <c r="F3710" s="25" t="n">
        <f aca="false">LN(C3710/C3709)</f>
        <v>0.0915496448739535</v>
      </c>
      <c r="G3710" s="25" t="n">
        <f aca="false">IF(AND(D3710=1,A3710&gt;=$R$2),F3710,"")</f>
        <v>0.0915496448739535</v>
      </c>
      <c r="H3710" s="27" t="n">
        <f aca="false">IF(G3710="","",G3710^2)</f>
        <v>0.00838133747654701</v>
      </c>
      <c r="I3710" s="25" t="n">
        <f aca="false">IF(G3710="","",C3710/C3709-1)</f>
        <v>0.0958711797287011</v>
      </c>
      <c r="J3710" s="17" t="n">
        <f aca="false">AVERAGE(C3511:C3710)</f>
        <v>82321.3229</v>
      </c>
      <c r="K3710" s="17" t="n">
        <f aca="false">MAX(K3709,C3710)</f>
        <v>106159.26</v>
      </c>
      <c r="L3710" s="25" t="n">
        <f aca="false">C3710/K3710-1</f>
        <v>-0.112037141178264</v>
      </c>
      <c r="M3710" s="25" t="n">
        <f aca="false">IF(COUNT(G3681:G3710)&lt;20,"",_xlfn.STDEV.S(G3681:G3710)*SQRT($R$3))</f>
        <v>0.518649880774437</v>
      </c>
      <c r="N3710" s="25" t="n">
        <f aca="false">IF(A3710-7&lt;$R$2,"",C3710/INDEX(Clean_Data!$C$2:$C$4314,MATCH(A3710-7,Clean_Data!$A$2:$A$4314,1))-1)</f>
        <v>-0.0207809654043931</v>
      </c>
      <c r="O3710" s="25" t="n">
        <f aca="false">IF(A3710-30&lt;$R$2,"",C3710/INDEX(Clean_Data!$C$2:$C$4314,MATCH(A3710-30,Clean_Data!$A$2:$A$4314,1))-1)</f>
        <v>-0.0795398865320083</v>
      </c>
    </row>
    <row r="3711" customFormat="false" ht="15" hidden="false" customHeight="false" outlineLevel="0" collapsed="false">
      <c r="A3711" s="16" t="n">
        <v>45718</v>
      </c>
      <c r="B3711" s="23" t="n">
        <f aca="false">YEAR(A3711)</f>
        <v>2025</v>
      </c>
      <c r="C3711" s="17" t="n">
        <v>86161.1</v>
      </c>
      <c r="D3711" s="23" t="n">
        <f aca="false">A3711-A3710</f>
        <v>1</v>
      </c>
      <c r="E3711" s="24" t="n">
        <f aca="false">LN(C3711)</f>
        <v>11.363974078694</v>
      </c>
      <c r="F3711" s="25" t="n">
        <f aca="false">LN(C3711/C3710)</f>
        <v>-0.0898962571615214</v>
      </c>
      <c r="G3711" s="25" t="n">
        <f aca="false">IF(AND(D3711=1,A3711&gt;=$R$2),F3711,"")</f>
        <v>-0.0898962571615214</v>
      </c>
      <c r="H3711" s="27" t="n">
        <f aca="false">IF(G3711="","",G3711^2)</f>
        <v>0.00808133705165039</v>
      </c>
      <c r="I3711" s="25" t="n">
        <f aca="false">IF(G3711="","",C3711/C3710-1)</f>
        <v>-0.0859739959951404</v>
      </c>
      <c r="J3711" s="17" t="n">
        <f aca="false">AVERAGE(C3512:C3711)</f>
        <v>82458.2319</v>
      </c>
      <c r="K3711" s="17" t="n">
        <f aca="false">MAX(K3710,C3711)</f>
        <v>106159.26</v>
      </c>
      <c r="L3711" s="25" t="n">
        <f aca="false">C3711/K3711-1</f>
        <v>-0.188378856446437</v>
      </c>
      <c r="M3711" s="25" t="n">
        <f aca="false">IF(COUNT(G3682:G3711)&lt;20,"",_xlfn.STDEV.S(G3682:G3711)*SQRT($R$3))</f>
        <v>0.599657773561864</v>
      </c>
      <c r="N3711" s="25" t="n">
        <f aca="false">IF(A3711-7&lt;$R$2,"",C3711/INDEX(Clean_Data!$C$2:$C$4314,MATCH(A3711-7,Clean_Data!$A$2:$A$4314,1))-1)</f>
        <v>-0.0584599722743169</v>
      </c>
      <c r="O3711" s="25" t="n">
        <f aca="false">IF(A3711-30&lt;$R$2,"",C3711/INDEX(Clean_Data!$C$2:$C$4314,MATCH(A3711-30,Clean_Data!$A$2:$A$4314,1))-1)</f>
        <v>-0.1437308351847</v>
      </c>
    </row>
    <row r="3712" customFormat="false" ht="15" hidden="false" customHeight="false" outlineLevel="0" collapsed="false">
      <c r="A3712" s="16" t="n">
        <v>45719</v>
      </c>
      <c r="B3712" s="23" t="n">
        <f aca="false">YEAR(A3712)</f>
        <v>2025</v>
      </c>
      <c r="C3712" s="17" t="n">
        <v>87249.96</v>
      </c>
      <c r="D3712" s="23" t="n">
        <f aca="false">A3712-A3711</f>
        <v>1</v>
      </c>
      <c r="E3712" s="24" t="n">
        <f aca="false">LN(C3712)</f>
        <v>11.3765323816118</v>
      </c>
      <c r="F3712" s="25" t="n">
        <f aca="false">LN(C3712/C3711)</f>
        <v>0.0125583029178549</v>
      </c>
      <c r="G3712" s="25" t="n">
        <f aca="false">IF(AND(D3712=1,A3712&gt;=$R$2),F3712,"")</f>
        <v>0.0125583029178549</v>
      </c>
      <c r="H3712" s="27" t="n">
        <f aca="false">IF(G3712="","",G3712^2)</f>
        <v>0.000157710972176602</v>
      </c>
      <c r="I3712" s="25" t="n">
        <f aca="false">IF(G3712="","",C3712/C3711-1)</f>
        <v>0.0126374895399433</v>
      </c>
      <c r="J3712" s="17" t="n">
        <f aca="false">AVERAGE(C3513:C3712)</f>
        <v>82606.9702</v>
      </c>
      <c r="K3712" s="17" t="n">
        <f aca="false">MAX(K3711,C3712)</f>
        <v>106159.26</v>
      </c>
      <c r="L3712" s="25" t="n">
        <f aca="false">C3712/K3712-1</f>
        <v>-0.178122002734382</v>
      </c>
      <c r="M3712" s="25" t="n">
        <f aca="false">IF(COUNT(G3683:G3712)&lt;20,"",_xlfn.STDEV.S(G3683:G3712)*SQRT($R$3))</f>
        <v>0.595992244905083</v>
      </c>
      <c r="N3712" s="25" t="n">
        <f aca="false">IF(A3712-7&lt;$R$2,"",C3712/INDEX(Clean_Data!$C$2:$C$4314,MATCH(A3712-7,Clean_Data!$A$2:$A$4314,1))-1)</f>
        <v>-0.0150567135684269</v>
      </c>
      <c r="O3712" s="25" t="n">
        <f aca="false">IF(A3712-30&lt;$R$2,"",C3712/INDEX(Clean_Data!$C$2:$C$4314,MATCH(A3712-30,Clean_Data!$A$2:$A$4314,1))-1)</f>
        <v>-0.106745817725693</v>
      </c>
    </row>
    <row r="3713" customFormat="false" ht="15" hidden="false" customHeight="false" outlineLevel="0" collapsed="false">
      <c r="A3713" s="16" t="n">
        <v>45720</v>
      </c>
      <c r="B3713" s="23" t="n">
        <f aca="false">YEAR(A3713)</f>
        <v>2025</v>
      </c>
      <c r="C3713" s="17" t="n">
        <v>90603.73</v>
      </c>
      <c r="D3713" s="23" t="n">
        <f aca="false">A3713-A3712</f>
        <v>1</v>
      </c>
      <c r="E3713" s="24" t="n">
        <f aca="false">LN(C3713)</f>
        <v>11.4142506611615</v>
      </c>
      <c r="F3713" s="25" t="n">
        <f aca="false">LN(C3713/C3712)</f>
        <v>0.0377182795496888</v>
      </c>
      <c r="G3713" s="25" t="n">
        <f aca="false">IF(AND(D3713=1,A3713&gt;=$R$2),F3713,"")</f>
        <v>0.0377182795496888</v>
      </c>
      <c r="H3713" s="27" t="n">
        <f aca="false">IF(G3713="","",G3713^2)</f>
        <v>0.00142266861218847</v>
      </c>
      <c r="I3713" s="25" t="n">
        <f aca="false">IF(G3713="","",C3713/C3712-1)</f>
        <v>0.0384386422641339</v>
      </c>
      <c r="J3713" s="17" t="n">
        <f aca="false">AVERAGE(C3514:C3713)</f>
        <v>82765.59025</v>
      </c>
      <c r="K3713" s="17" t="n">
        <f aca="false">MAX(K3712,C3713)</f>
        <v>106159.26</v>
      </c>
      <c r="L3713" s="25" t="n">
        <f aca="false">C3713/K3713-1</f>
        <v>-0.146530128412726</v>
      </c>
      <c r="M3713" s="25" t="n">
        <f aca="false">IF(COUNT(G3684:G3713)&lt;20,"",_xlfn.STDEV.S(G3684:G3713)*SQRT($R$3))</f>
        <v>0.595739773655763</v>
      </c>
      <c r="N3713" s="25" t="n">
        <f aca="false">IF(A3713-7&lt;$R$2,"",C3713/INDEX(Clean_Data!$C$2:$C$4314,MATCH(A3713-7,Clean_Data!$A$2:$A$4314,1))-1)</f>
        <v>0.0771824113102826</v>
      </c>
      <c r="O3713" s="25" t="n">
        <f aca="false">IF(A3713-30&lt;$R$2,"",C3713/INDEX(Clean_Data!$C$2:$C$4314,MATCH(A3713-30,Clean_Data!$A$2:$A$4314,1))-1)</f>
        <v>-0.10700225310023</v>
      </c>
    </row>
    <row r="3714" customFormat="false" ht="15" hidden="false" customHeight="false" outlineLevel="0" collapsed="false">
      <c r="A3714" s="16" t="n">
        <v>45721</v>
      </c>
      <c r="B3714" s="23" t="n">
        <f aca="false">YEAR(A3714)</f>
        <v>2025</v>
      </c>
      <c r="C3714" s="17" t="n">
        <v>89921.85</v>
      </c>
      <c r="D3714" s="23" t="n">
        <f aca="false">A3714-A3713</f>
        <v>1</v>
      </c>
      <c r="E3714" s="24" t="n">
        <f aca="false">LN(C3714)</f>
        <v>11.4066962387593</v>
      </c>
      <c r="F3714" s="25" t="n">
        <f aca="false">LN(C3714/C3713)</f>
        <v>-0.00755442240223954</v>
      </c>
      <c r="G3714" s="25" t="n">
        <f aca="false">IF(AND(D3714=1,A3714&gt;=$R$2),F3714,"")</f>
        <v>-0.00755442240223954</v>
      </c>
      <c r="H3714" s="27" t="n">
        <f aca="false">IF(G3714="","",G3714^2)</f>
        <v>5.70692978314587E-005</v>
      </c>
      <c r="I3714" s="25" t="n">
        <f aca="false">IF(G3714="","",C3714/C3713-1)</f>
        <v>-0.0075259594720879</v>
      </c>
      <c r="J3714" s="17" t="n">
        <f aca="false">AVERAGE(C3515:C3714)</f>
        <v>82917.81375</v>
      </c>
      <c r="K3714" s="17" t="n">
        <f aca="false">MAX(K3713,C3714)</f>
        <v>106159.26</v>
      </c>
      <c r="L3714" s="25" t="n">
        <f aca="false">C3714/K3714-1</f>
        <v>-0.15295330807694</v>
      </c>
      <c r="M3714" s="25" t="n">
        <f aca="false">IF(COUNT(G3685:G3714)&lt;20,"",_xlfn.STDEV.S(G3685:G3714)*SQRT($R$3))</f>
        <v>0.583955508342075</v>
      </c>
      <c r="N3714" s="25" t="n">
        <f aca="false">IF(A3714-7&lt;$R$2,"",C3714/INDEX(Clean_Data!$C$2:$C$4314,MATCH(A3714-7,Clean_Data!$A$2:$A$4314,1))-1)</f>
        <v>0.0625896379080508</v>
      </c>
      <c r="O3714" s="25" t="n">
        <f aca="false">IF(A3714-30&lt;$R$2,"",C3714/INDEX(Clean_Data!$C$2:$C$4314,MATCH(A3714-30,Clean_Data!$A$2:$A$4314,1))-1)</f>
        <v>-0.080507142232659</v>
      </c>
    </row>
    <row r="3715" customFormat="false" ht="15" hidden="false" customHeight="false" outlineLevel="0" collapsed="false">
      <c r="A3715" s="16" t="n">
        <v>45722</v>
      </c>
      <c r="B3715" s="23" t="n">
        <f aca="false">YEAR(A3715)</f>
        <v>2025</v>
      </c>
      <c r="C3715" s="17" t="n">
        <v>86756.98</v>
      </c>
      <c r="D3715" s="23" t="n">
        <f aca="false">A3715-A3714</f>
        <v>1</v>
      </c>
      <c r="E3715" s="24" t="n">
        <f aca="false">LN(C3715)</f>
        <v>11.3708661556674</v>
      </c>
      <c r="F3715" s="25" t="n">
        <f aca="false">LN(C3715/C3714)</f>
        <v>-0.0358300830919097</v>
      </c>
      <c r="G3715" s="25" t="n">
        <f aca="false">IF(AND(D3715=1,A3715&gt;=$R$2),F3715,"")</f>
        <v>-0.0358300830919097</v>
      </c>
      <c r="H3715" s="27" t="n">
        <f aca="false">IF(G3715="","",G3715^2)</f>
        <v>0.00128379485437315</v>
      </c>
      <c r="I3715" s="25" t="n">
        <f aca="false">IF(G3715="","",C3715/C3714-1)</f>
        <v>-0.0351957838945708</v>
      </c>
      <c r="J3715" s="17" t="n">
        <f aca="false">AVERAGE(C3516:C3715)</f>
        <v>83059.3584</v>
      </c>
      <c r="K3715" s="17" t="n">
        <f aca="false">MAX(K3714,C3715)</f>
        <v>106159.26</v>
      </c>
      <c r="L3715" s="25" t="n">
        <f aca="false">C3715/K3715-1</f>
        <v>-0.182765780394475</v>
      </c>
      <c r="M3715" s="25" t="n">
        <f aca="false">IF(COUNT(G3686:G3715)&lt;20,"",_xlfn.STDEV.S(G3686:G3715)*SQRT($R$3))</f>
        <v>0.594520445445134</v>
      </c>
      <c r="N3715" s="25" t="n">
        <f aca="false">IF(A3715-7&lt;$R$2,"",C3715/INDEX(Clean_Data!$C$2:$C$4314,MATCH(A3715-7,Clean_Data!$A$2:$A$4314,1))-1)</f>
        <v>0.0291733834351173</v>
      </c>
      <c r="O3715" s="25" t="n">
        <f aca="false">IF(A3715-30&lt;$R$2,"",C3715/INDEX(Clean_Data!$C$2:$C$4314,MATCH(A3715-30,Clean_Data!$A$2:$A$4314,1))-1)</f>
        <v>-0.10225083566738</v>
      </c>
    </row>
    <row r="3716" customFormat="false" ht="15" hidden="false" customHeight="false" outlineLevel="0" collapsed="false">
      <c r="A3716" s="16" t="n">
        <v>45723</v>
      </c>
      <c r="B3716" s="23" t="n">
        <f aca="false">YEAR(A3716)</f>
        <v>2025</v>
      </c>
      <c r="C3716" s="17" t="n">
        <v>86206.69</v>
      </c>
      <c r="D3716" s="23" t="n">
        <f aca="false">A3716-A3715</f>
        <v>1</v>
      </c>
      <c r="E3716" s="24" t="n">
        <f aca="false">LN(C3716)</f>
        <v>11.3645030638491</v>
      </c>
      <c r="F3716" s="25" t="n">
        <f aca="false">LN(C3716/C3715)</f>
        <v>-0.00636309181830136</v>
      </c>
      <c r="G3716" s="25" t="n">
        <f aca="false">IF(AND(D3716=1,A3716&gt;=$R$2),F3716,"")</f>
        <v>-0.00636309181830136</v>
      </c>
      <c r="H3716" s="27" t="n">
        <f aca="false">IF(G3716="","",G3716^2)</f>
        <v>4.04889374881337E-005</v>
      </c>
      <c r="I3716" s="25" t="n">
        <f aca="false">IF(G3716="","",C3716/C3715-1)</f>
        <v>-0.00634289022047552</v>
      </c>
      <c r="J3716" s="17" t="n">
        <f aca="false">AVERAGE(C3517:C3716)</f>
        <v>83193.0443</v>
      </c>
      <c r="K3716" s="17" t="n">
        <f aca="false">MAX(K3715,C3716)</f>
        <v>106159.26</v>
      </c>
      <c r="L3716" s="25" t="n">
        <f aca="false">C3716/K3716-1</f>
        <v>-0.187949407333849</v>
      </c>
      <c r="M3716" s="25" t="n">
        <f aca="false">IF(COUNT(G3687:G3716)&lt;20,"",_xlfn.STDEV.S(G3687:G3716)*SQRT($R$3))</f>
        <v>0.594505535943214</v>
      </c>
      <c r="N3716" s="25" t="n">
        <f aca="false">IF(A3716-7&lt;$R$2,"",C3716/INDEX(Clean_Data!$C$2:$C$4314,MATCH(A3716-7,Clean_Data!$A$2:$A$4314,1))-1)</f>
        <v>0.00218475597648715</v>
      </c>
      <c r="O3716" s="25" t="n">
        <f aca="false">IF(A3716-30&lt;$R$2,"",C3716/INDEX(Clean_Data!$C$2:$C$4314,MATCH(A3716-30,Clean_Data!$A$2:$A$4314,1))-1)</f>
        <v>-0.107264234043483</v>
      </c>
    </row>
    <row r="3717" customFormat="false" ht="15" hidden="false" customHeight="false" outlineLevel="0" collapsed="false">
      <c r="A3717" s="16" t="n">
        <v>45724</v>
      </c>
      <c r="B3717" s="23" t="n">
        <f aca="false">YEAR(A3717)</f>
        <v>2025</v>
      </c>
      <c r="C3717" s="17" t="n">
        <v>80699.17</v>
      </c>
      <c r="D3717" s="23" t="n">
        <f aca="false">A3717-A3716</f>
        <v>1</v>
      </c>
      <c r="E3717" s="24" t="n">
        <f aca="false">LN(C3717)</f>
        <v>11.298483569199</v>
      </c>
      <c r="F3717" s="25" t="n">
        <f aca="false">LN(C3717/C3716)</f>
        <v>-0.0660194946501315</v>
      </c>
      <c r="G3717" s="25" t="n">
        <f aca="false">IF(AND(D3717=1,A3717&gt;=$R$2),F3717,"")</f>
        <v>-0.0660194946501315</v>
      </c>
      <c r="H3717" s="27" t="n">
        <f aca="false">IF(G3717="","",G3717^2)</f>
        <v>0.00435857367385874</v>
      </c>
      <c r="I3717" s="25" t="n">
        <f aca="false">IF(G3717="","",C3717/C3716-1)</f>
        <v>-0.0638873850741747</v>
      </c>
      <c r="J3717" s="17" t="n">
        <f aca="false">AVERAGE(C3518:C3717)</f>
        <v>83301.2277</v>
      </c>
      <c r="K3717" s="17" t="n">
        <f aca="false">MAX(K3716,C3717)</f>
        <v>106159.26</v>
      </c>
      <c r="L3717" s="25" t="n">
        <f aca="false">C3717/K3717-1</f>
        <v>-0.239829196247223</v>
      </c>
      <c r="M3717" s="25" t="n">
        <f aca="false">IF(COUNT(G3688:G3717)&lt;20,"",_xlfn.STDEV.S(G3688:G3717)*SQRT($R$3))</f>
        <v>0.632631484481593</v>
      </c>
      <c r="N3717" s="25" t="n">
        <f aca="false">IF(A3717-7&lt;$R$2,"",C3717/INDEX(Clean_Data!$C$2:$C$4314,MATCH(A3717-7,Clean_Data!$A$2:$A$4314,1))-1)</f>
        <v>-0.143915991304558</v>
      </c>
      <c r="O3717" s="25" t="n">
        <f aca="false">IF(A3717-30&lt;$R$2,"",C3717/INDEX(Clean_Data!$C$2:$C$4314,MATCH(A3717-30,Clean_Data!$A$2:$A$4314,1))-1)</f>
        <v>-0.164060379700733</v>
      </c>
    </row>
    <row r="3718" customFormat="false" ht="15" hidden="false" customHeight="false" outlineLevel="0" collapsed="false">
      <c r="A3718" s="16" t="n">
        <v>45725</v>
      </c>
      <c r="B3718" s="23" t="n">
        <f aca="false">YEAR(A3718)</f>
        <v>2025</v>
      </c>
      <c r="C3718" s="17" t="n">
        <v>78544.71</v>
      </c>
      <c r="D3718" s="23" t="n">
        <f aca="false">A3718-A3717</f>
        <v>1</v>
      </c>
      <c r="E3718" s="24" t="n">
        <f aca="false">LN(C3718)</f>
        <v>11.2714232957762</v>
      </c>
      <c r="F3718" s="25" t="n">
        <f aca="false">LN(C3718/C3717)</f>
        <v>-0.0270602734227253</v>
      </c>
      <c r="G3718" s="25" t="n">
        <f aca="false">IF(AND(D3718=1,A3718&gt;=$R$2),F3718,"")</f>
        <v>-0.0270602734227253</v>
      </c>
      <c r="H3718" s="27" t="n">
        <f aca="false">IF(G3718="","",G3718^2)</f>
        <v>0.000732258397712654</v>
      </c>
      <c r="I3718" s="25" t="n">
        <f aca="false">IF(G3718="","",C3718/C3717-1)</f>
        <v>-0.0266974245212186</v>
      </c>
      <c r="J3718" s="17" t="n">
        <f aca="false">AVERAGE(C3519:C3718)</f>
        <v>83387.9819</v>
      </c>
      <c r="K3718" s="17" t="n">
        <f aca="false">MAX(K3717,C3718)</f>
        <v>106159.26</v>
      </c>
      <c r="L3718" s="25" t="n">
        <f aca="false">C3718/K3718-1</f>
        <v>-0.260123798903647</v>
      </c>
      <c r="M3718" s="25" t="n">
        <f aca="false">IF(COUNT(G3689:G3718)&lt;20,"",_xlfn.STDEV.S(G3689:G3718)*SQRT($R$3))</f>
        <v>0.636527151988357</v>
      </c>
      <c r="N3718" s="25" t="n">
        <f aca="false">IF(A3718-7&lt;$R$2,"",C3718/INDEX(Clean_Data!$C$2:$C$4314,MATCH(A3718-7,Clean_Data!$A$2:$A$4314,1))-1)</f>
        <v>-0.0883970840669397</v>
      </c>
      <c r="O3718" s="25" t="n">
        <f aca="false">IF(A3718-30&lt;$R$2,"",C3718/INDEX(Clean_Data!$C$2:$C$4314,MATCH(A3718-30,Clean_Data!$A$2:$A$4314,1))-1)</f>
        <v>-0.185864811287752</v>
      </c>
    </row>
    <row r="3719" customFormat="false" ht="15" hidden="false" customHeight="false" outlineLevel="0" collapsed="false">
      <c r="A3719" s="16" t="n">
        <v>45726</v>
      </c>
      <c r="B3719" s="23" t="n">
        <f aca="false">YEAR(A3719)</f>
        <v>2025</v>
      </c>
      <c r="C3719" s="17" t="n">
        <v>82914.51</v>
      </c>
      <c r="D3719" s="23" t="n">
        <f aca="false">A3719-A3718</f>
        <v>1</v>
      </c>
      <c r="E3719" s="24" t="n">
        <f aca="false">LN(C3719)</f>
        <v>11.3255653559642</v>
      </c>
      <c r="F3719" s="25" t="n">
        <f aca="false">LN(C3719/C3718)</f>
        <v>0.0541420601879831</v>
      </c>
      <c r="G3719" s="25" t="n">
        <f aca="false">IF(AND(D3719=1,A3719&gt;=$R$2),F3719,"")</f>
        <v>0.0541420601879831</v>
      </c>
      <c r="H3719" s="27" t="n">
        <f aca="false">IF(G3719="","",G3719^2)</f>
        <v>0.00293136268139918</v>
      </c>
      <c r="I3719" s="25" t="n">
        <f aca="false">IF(G3719="","",C3719/C3718-1)</f>
        <v>0.0556345551469983</v>
      </c>
      <c r="J3719" s="17" t="n">
        <f aca="false">AVERAGE(C3520:C3719)</f>
        <v>83500.66095</v>
      </c>
      <c r="K3719" s="17" t="n">
        <f aca="false">MAX(K3718,C3719)</f>
        <v>106159.26</v>
      </c>
      <c r="L3719" s="25" t="n">
        <f aca="false">C3719/K3719-1</f>
        <v>-0.2189611155918</v>
      </c>
      <c r="M3719" s="25" t="n">
        <f aca="false">IF(COUNT(G3690:G3719)&lt;20,"",_xlfn.STDEV.S(G3690:G3719)*SQRT($R$3))</f>
        <v>0.670950012325524</v>
      </c>
      <c r="N3719" s="25" t="n">
        <f aca="false">IF(A3719-7&lt;$R$2,"",C3719/INDEX(Clean_Data!$C$2:$C$4314,MATCH(A3719-7,Clean_Data!$A$2:$A$4314,1))-1)</f>
        <v>-0.0496899941272181</v>
      </c>
      <c r="O3719" s="25" t="n">
        <f aca="false">IF(A3719-30&lt;$R$2,"",C3719/INDEX(Clean_Data!$C$2:$C$4314,MATCH(A3719-30,Clean_Data!$A$2:$A$4314,1))-1)</f>
        <v>-0.140566931693351</v>
      </c>
    </row>
    <row r="3720" customFormat="false" ht="15" hidden="false" customHeight="false" outlineLevel="0" collapsed="false">
      <c r="A3720" s="16" t="n">
        <v>45727</v>
      </c>
      <c r="B3720" s="23" t="n">
        <f aca="false">YEAR(A3720)</f>
        <v>2025</v>
      </c>
      <c r="C3720" s="17" t="n">
        <v>83659.43</v>
      </c>
      <c r="D3720" s="23" t="n">
        <f aca="false">A3720-A3719</f>
        <v>1</v>
      </c>
      <c r="E3720" s="24" t="n">
        <f aca="false">LN(C3720)</f>
        <v>11.3345094316811</v>
      </c>
      <c r="F3720" s="25" t="n">
        <f aca="false">LN(C3720/C3719)</f>
        <v>0.00894407571687203</v>
      </c>
      <c r="G3720" s="25" t="n">
        <f aca="false">IF(AND(D3720=1,A3720&gt;=$R$2),F3720,"")</f>
        <v>0.00894407571687203</v>
      </c>
      <c r="H3720" s="27" t="n">
        <f aca="false">IF(G3720="","",G3720^2)</f>
        <v>7.99964904291399E-005</v>
      </c>
      <c r="I3720" s="25" t="n">
        <f aca="false">IF(G3720="","",C3720/C3719-1)</f>
        <v>0.0089841934783188</v>
      </c>
      <c r="J3720" s="17" t="n">
        <f aca="false">AVERAGE(C3521:C3720)</f>
        <v>83598.30375</v>
      </c>
      <c r="K3720" s="17" t="n">
        <f aca="false">MAX(K3719,C3720)</f>
        <v>106159.26</v>
      </c>
      <c r="L3720" s="25" t="n">
        <f aca="false">C3720/K3720-1</f>
        <v>-0.211944111140187</v>
      </c>
      <c r="M3720" s="25" t="n">
        <f aca="false">IF(COUNT(G3691:G3720)&lt;20,"",_xlfn.STDEV.S(G3691:G3720)*SQRT($R$3))</f>
        <v>0.670664890777981</v>
      </c>
      <c r="N3720" s="25" t="n">
        <f aca="false">IF(A3720-7&lt;$R$2,"",C3720/INDEX(Clean_Data!$C$2:$C$4314,MATCH(A3720-7,Clean_Data!$A$2:$A$4314,1))-1)</f>
        <v>-0.0766447474071984</v>
      </c>
      <c r="O3720" s="25" t="n">
        <f aca="false">IF(A3720-30&lt;$R$2,"",C3720/INDEX(Clean_Data!$C$2:$C$4314,MATCH(A3720-30,Clean_Data!$A$2:$A$4314,1))-1)</f>
        <v>-0.141465067108519</v>
      </c>
    </row>
    <row r="3721" customFormat="false" ht="15" hidden="false" customHeight="false" outlineLevel="0" collapsed="false">
      <c r="A3721" s="16" t="n">
        <v>45728</v>
      </c>
      <c r="B3721" s="23" t="n">
        <f aca="false">YEAR(A3721)</f>
        <v>2025</v>
      </c>
      <c r="C3721" s="17" t="n">
        <v>81073.43</v>
      </c>
      <c r="D3721" s="23" t="n">
        <f aca="false">A3721-A3720</f>
        <v>1</v>
      </c>
      <c r="E3721" s="24" t="n">
        <f aca="false">LN(C3721)</f>
        <v>11.3031105662023</v>
      </c>
      <c r="F3721" s="25" t="n">
        <f aca="false">LN(C3721/C3720)</f>
        <v>-0.0313988654787565</v>
      </c>
      <c r="G3721" s="25" t="n">
        <f aca="false">IF(AND(D3721=1,A3721&gt;=$R$2),F3721,"")</f>
        <v>-0.0313988654787565</v>
      </c>
      <c r="H3721" s="27" t="n">
        <f aca="false">IF(G3721="","",G3721^2)</f>
        <v>0.000985888753353044</v>
      </c>
      <c r="I3721" s="25" t="n">
        <f aca="false">IF(G3721="","",C3721/C3720-1)</f>
        <v>-0.0309110401541105</v>
      </c>
      <c r="J3721" s="17" t="n">
        <f aca="false">AVERAGE(C3522:C3721)</f>
        <v>83682.88155</v>
      </c>
      <c r="K3721" s="17" t="n">
        <f aca="false">MAX(K3720,C3721)</f>
        <v>106159.26</v>
      </c>
      <c r="L3721" s="25" t="n">
        <f aca="false">C3721/K3721-1</f>
        <v>-0.236303738364416</v>
      </c>
      <c r="M3721" s="25" t="n">
        <f aca="false">IF(COUNT(G3692:G3721)&lt;20,"",_xlfn.STDEV.S(G3692:G3721)*SQRT($R$3))</f>
        <v>0.675683519700487</v>
      </c>
      <c r="N3721" s="25" t="n">
        <f aca="false">IF(A3721-7&lt;$R$2,"",C3721/INDEX(Clean_Data!$C$2:$C$4314,MATCH(A3721-7,Clean_Data!$A$2:$A$4314,1))-1)</f>
        <v>-0.0984012228396103</v>
      </c>
      <c r="O3721" s="25" t="n">
        <f aca="false">IF(A3721-30&lt;$R$2,"",C3721/INDEX(Clean_Data!$C$2:$C$4314,MATCH(A3721-30,Clean_Data!$A$2:$A$4314,1))-1)</f>
        <v>-0.1534929910055</v>
      </c>
    </row>
    <row r="3722" customFormat="false" ht="15" hidden="false" customHeight="false" outlineLevel="0" collapsed="false">
      <c r="A3722" s="16" t="n">
        <v>45729</v>
      </c>
      <c r="B3722" s="23" t="n">
        <f aca="false">YEAR(A3722)</f>
        <v>2025</v>
      </c>
      <c r="C3722" s="17" t="n">
        <v>83980.49</v>
      </c>
      <c r="D3722" s="23" t="n">
        <f aca="false">A3722-A3721</f>
        <v>1</v>
      </c>
      <c r="E3722" s="24" t="n">
        <f aca="false">LN(C3722)</f>
        <v>11.3383397889437</v>
      </c>
      <c r="F3722" s="25" t="n">
        <f aca="false">LN(C3722/C3721)</f>
        <v>0.0352292227413889</v>
      </c>
      <c r="G3722" s="25" t="n">
        <f aca="false">IF(AND(D3722=1,A3722&gt;=$R$2),F3722,"")</f>
        <v>0.0352292227413889</v>
      </c>
      <c r="H3722" s="27" t="n">
        <f aca="false">IF(G3722="","",G3722^2)</f>
        <v>0.00124109813496239</v>
      </c>
      <c r="I3722" s="25" t="n">
        <f aca="false">IF(G3722="","",C3722/C3721-1)</f>
        <v>0.0358571235977065</v>
      </c>
      <c r="J3722" s="17" t="n">
        <f aca="false">AVERAGE(C3523:C3722)</f>
        <v>83781.3495</v>
      </c>
      <c r="K3722" s="17" t="n">
        <f aca="false">MAX(K3721,C3722)</f>
        <v>106159.26</v>
      </c>
      <c r="L3722" s="25" t="n">
        <f aca="false">C3722/K3722-1</f>
        <v>-0.208919787119842</v>
      </c>
      <c r="M3722" s="25" t="n">
        <f aca="false">IF(COUNT(G3693:G3722)&lt;20,"",_xlfn.STDEV.S(G3693:G3722)*SQRT($R$3))</f>
        <v>0.684210118280857</v>
      </c>
      <c r="N3722" s="25" t="n">
        <f aca="false">IF(A3722-7&lt;$R$2,"",C3722/INDEX(Clean_Data!$C$2:$C$4314,MATCH(A3722-7,Clean_Data!$A$2:$A$4314,1))-1)</f>
        <v>-0.0320030734126521</v>
      </c>
      <c r="O3722" s="25" t="n">
        <f aca="false">IF(A3722-30&lt;$R$2,"",C3722/INDEX(Clean_Data!$C$2:$C$4314,MATCH(A3722-30,Clean_Data!$A$2:$A$4314,1))-1)</f>
        <v>-0.141852453640837</v>
      </c>
    </row>
    <row r="3723" customFormat="false" ht="15" hidden="false" customHeight="false" outlineLevel="0" collapsed="false">
      <c r="A3723" s="16" t="n">
        <v>45730</v>
      </c>
      <c r="B3723" s="23" t="n">
        <f aca="false">YEAR(A3723)</f>
        <v>2025</v>
      </c>
      <c r="C3723" s="17" t="n">
        <v>84351.46</v>
      </c>
      <c r="D3723" s="23" t="n">
        <f aca="false">A3723-A3722</f>
        <v>1</v>
      </c>
      <c r="E3723" s="24" t="n">
        <f aca="false">LN(C3723)</f>
        <v>11.3427473966566</v>
      </c>
      <c r="F3723" s="25" t="n">
        <f aca="false">LN(C3723/C3722)</f>
        <v>0.00440760771284959</v>
      </c>
      <c r="G3723" s="25" t="n">
        <f aca="false">IF(AND(D3723=1,A3723&gt;=$R$2),F3723,"")</f>
        <v>0.00440760771284959</v>
      </c>
      <c r="H3723" s="27" t="n">
        <f aca="false">IF(G3723="","",G3723^2)</f>
        <v>1.94270057503712E-005</v>
      </c>
      <c r="I3723" s="25" t="n">
        <f aca="false">IF(G3723="","",C3723/C3722-1)</f>
        <v>0.0044173355025674</v>
      </c>
      <c r="J3723" s="17" t="n">
        <f aca="false">AVERAGE(C3524:C3723)</f>
        <v>83888.91405</v>
      </c>
      <c r="K3723" s="17" t="n">
        <f aca="false">MAX(K3722,C3723)</f>
        <v>106159.26</v>
      </c>
      <c r="L3723" s="25" t="n">
        <f aca="false">C3723/K3723-1</f>
        <v>-0.205425320410108</v>
      </c>
      <c r="M3723" s="25" t="n">
        <f aca="false">IF(COUNT(G3694:G3723)&lt;20,"",_xlfn.STDEV.S(G3694:G3723)*SQRT($R$3))</f>
        <v>0.684416803997842</v>
      </c>
      <c r="N3723" s="25" t="n">
        <f aca="false">IF(A3723-7&lt;$R$2,"",C3723/INDEX(Clean_Data!$C$2:$C$4314,MATCH(A3723-7,Clean_Data!$A$2:$A$4314,1))-1)</f>
        <v>-0.021520719563644</v>
      </c>
      <c r="O3723" s="25" t="n">
        <f aca="false">IF(A3723-30&lt;$R$2,"",C3723/INDEX(Clean_Data!$C$2:$C$4314,MATCH(A3723-30,Clean_Data!$A$2:$A$4314,1))-1)</f>
        <v>-0.127025026263828</v>
      </c>
    </row>
    <row r="3724" customFormat="false" ht="15" hidden="false" customHeight="false" outlineLevel="0" collapsed="false">
      <c r="A3724" s="16" t="n">
        <v>45731</v>
      </c>
      <c r="B3724" s="23" t="n">
        <f aca="false">YEAR(A3724)</f>
        <v>2025</v>
      </c>
      <c r="C3724" s="17" t="n">
        <v>82562.57</v>
      </c>
      <c r="D3724" s="23" t="n">
        <f aca="false">A3724-A3723</f>
        <v>1</v>
      </c>
      <c r="E3724" s="24" t="n">
        <f aca="false">LN(C3724)</f>
        <v>11.3213117091069</v>
      </c>
      <c r="F3724" s="25" t="n">
        <f aca="false">LN(C3724/C3723)</f>
        <v>-0.0214356875496996</v>
      </c>
      <c r="G3724" s="25" t="n">
        <f aca="false">IF(AND(D3724=1,A3724&gt;=$R$2),F3724,"")</f>
        <v>-0.0214356875496996</v>
      </c>
      <c r="H3724" s="27" t="n">
        <f aca="false">IF(G3724="","",G3724^2)</f>
        <v>0.000459488700728346</v>
      </c>
      <c r="I3724" s="25" t="n">
        <f aca="false">IF(G3724="","",C3724/C3723-1)</f>
        <v>-0.0212075760158745</v>
      </c>
      <c r="J3724" s="17" t="n">
        <f aca="false">AVERAGE(C3525:C3724)</f>
        <v>84004.73305</v>
      </c>
      <c r="K3724" s="17" t="n">
        <f aca="false">MAX(K3723,C3724)</f>
        <v>106159.26</v>
      </c>
      <c r="L3724" s="25" t="n">
        <f aca="false">C3724/K3724-1</f>
        <v>-0.2222763233278</v>
      </c>
      <c r="M3724" s="25" t="n">
        <f aca="false">IF(COUNT(G3695:G3724)&lt;20,"",_xlfn.STDEV.S(G3695:G3724)*SQRT($R$3))</f>
        <v>0.685050202924483</v>
      </c>
      <c r="N3724" s="25" t="n">
        <f aca="false">IF(A3724-7&lt;$R$2,"",C3724/INDEX(Clean_Data!$C$2:$C$4314,MATCH(A3724-7,Clean_Data!$A$2:$A$4314,1))-1)</f>
        <v>0.0230906959761792</v>
      </c>
      <c r="O3724" s="25" t="n">
        <f aca="false">IF(A3724-30&lt;$R$2,"",C3724/INDEX(Clean_Data!$C$2:$C$4314,MATCH(A3724-30,Clean_Data!$A$2:$A$4314,1))-1)</f>
        <v>-0.153282829292836</v>
      </c>
    </row>
    <row r="3725" customFormat="false" ht="15" hidden="false" customHeight="false" outlineLevel="0" collapsed="false">
      <c r="A3725" s="16" t="n">
        <v>45732</v>
      </c>
      <c r="B3725" s="23" t="n">
        <f aca="false">YEAR(A3725)</f>
        <v>2025</v>
      </c>
      <c r="C3725" s="17" t="n">
        <v>84011.4</v>
      </c>
      <c r="D3725" s="23" t="n">
        <f aca="false">A3725-A3724</f>
        <v>1</v>
      </c>
      <c r="E3725" s="24" t="n">
        <f aca="false">LN(C3725)</f>
        <v>11.3387077829028</v>
      </c>
      <c r="F3725" s="25" t="n">
        <f aca="false">LN(C3725/C3724)</f>
        <v>0.017396073795949</v>
      </c>
      <c r="G3725" s="25" t="n">
        <f aca="false">IF(AND(D3725=1,A3725&gt;=$R$2),F3725,"")</f>
        <v>0.017396073795949</v>
      </c>
      <c r="H3725" s="27" t="n">
        <f aca="false">IF(G3725="","",G3725^2)</f>
        <v>0.000302623383514103</v>
      </c>
      <c r="I3725" s="25" t="n">
        <f aca="false">IF(G3725="","",C3725/C3724-1)</f>
        <v>0.0175482667266775</v>
      </c>
      <c r="J3725" s="17" t="n">
        <f aca="false">AVERAGE(C3526:C3725)</f>
        <v>84129.67005</v>
      </c>
      <c r="K3725" s="17" t="n">
        <f aca="false">MAX(K3724,C3725)</f>
        <v>106159.26</v>
      </c>
      <c r="L3725" s="25" t="n">
        <f aca="false">C3725/K3725-1</f>
        <v>-0.208628620809904</v>
      </c>
      <c r="M3725" s="25" t="n">
        <f aca="false">IF(COUNT(G3696:G3725)&lt;20,"",_xlfn.STDEV.S(G3696:G3725)*SQRT($R$3))</f>
        <v>0.689406413219884</v>
      </c>
      <c r="N3725" s="25" t="n">
        <f aca="false">IF(A3725-7&lt;$R$2,"",C3725/INDEX(Clean_Data!$C$2:$C$4314,MATCH(A3725-7,Clean_Data!$A$2:$A$4314,1))-1)</f>
        <v>0.069599722247367</v>
      </c>
      <c r="O3725" s="25" t="n">
        <f aca="false">IF(A3725-30&lt;$R$2,"",C3725/INDEX(Clean_Data!$C$2:$C$4314,MATCH(A3725-30,Clean_Data!$A$2:$A$4314,1))-1)</f>
        <v>-0.139200470834434</v>
      </c>
    </row>
    <row r="3726" customFormat="false" ht="15" hidden="false" customHeight="false" outlineLevel="0" collapsed="false">
      <c r="A3726" s="16" t="n">
        <v>45733</v>
      </c>
      <c r="B3726" s="23" t="n">
        <f aca="false">YEAR(A3726)</f>
        <v>2025</v>
      </c>
      <c r="C3726" s="17" t="n">
        <v>82698.76</v>
      </c>
      <c r="D3726" s="23" t="n">
        <f aca="false">A3726-A3725</f>
        <v>1</v>
      </c>
      <c r="E3726" s="24" t="n">
        <f aca="false">LN(C3726)</f>
        <v>11.3229598869453</v>
      </c>
      <c r="F3726" s="25" t="n">
        <f aca="false">LN(C3726/C3725)</f>
        <v>-0.0157478959574929</v>
      </c>
      <c r="G3726" s="25" t="n">
        <f aca="false">IF(AND(D3726=1,A3726&gt;=$R$2),F3726,"")</f>
        <v>-0.0157478959574929</v>
      </c>
      <c r="H3726" s="27" t="n">
        <f aca="false">IF(G3726="","",G3726^2)</f>
        <v>0.000247996227088022</v>
      </c>
      <c r="I3726" s="25" t="n">
        <f aca="false">IF(G3726="","",C3726/C3725-1)</f>
        <v>-0.0156245461925405</v>
      </c>
      <c r="J3726" s="17" t="n">
        <f aca="false">AVERAGE(C3527:C3726)</f>
        <v>84246.3075</v>
      </c>
      <c r="K3726" s="17" t="n">
        <f aca="false">MAX(K3725,C3726)</f>
        <v>106159.26</v>
      </c>
      <c r="L3726" s="25" t="n">
        <f aca="false">C3726/K3726-1</f>
        <v>-0.220993439479514</v>
      </c>
      <c r="M3726" s="25" t="n">
        <f aca="false">IF(COUNT(G3697:G3726)&lt;20,"",_xlfn.STDEV.S(G3697:G3726)*SQRT($R$3))</f>
        <v>0.689501801699005</v>
      </c>
      <c r="N3726" s="25" t="n">
        <f aca="false">IF(A3726-7&lt;$R$2,"",C3726/INDEX(Clean_Data!$C$2:$C$4314,MATCH(A3726-7,Clean_Data!$A$2:$A$4314,1))-1)</f>
        <v>-0.00260207773042376</v>
      </c>
      <c r="O3726" s="25" t="n">
        <f aca="false">IF(A3726-30&lt;$R$2,"",C3726/INDEX(Clean_Data!$C$2:$C$4314,MATCH(A3726-30,Clean_Data!$A$2:$A$4314,1))-1)</f>
        <v>-0.139628971654979</v>
      </c>
    </row>
    <row r="3727" customFormat="false" ht="15" hidden="false" customHeight="false" outlineLevel="0" collapsed="false">
      <c r="A3727" s="16" t="n">
        <v>45734</v>
      </c>
      <c r="B3727" s="23" t="n">
        <f aca="false">YEAR(A3727)</f>
        <v>2025</v>
      </c>
      <c r="C3727" s="17" t="n">
        <v>86877.96</v>
      </c>
      <c r="D3727" s="23" t="n">
        <f aca="false">A3727-A3726</f>
        <v>1</v>
      </c>
      <c r="E3727" s="24" t="n">
        <f aca="false">LN(C3727)</f>
        <v>11.3722596542291</v>
      </c>
      <c r="F3727" s="25" t="n">
        <f aca="false">LN(C3727/C3726)</f>
        <v>0.0492997672837824</v>
      </c>
      <c r="G3727" s="25" t="n">
        <f aca="false">IF(AND(D3727=1,A3727&gt;=$R$2),F3727,"")</f>
        <v>0.0492997672837824</v>
      </c>
      <c r="H3727" s="27" t="n">
        <f aca="false">IF(G3727="","",G3727^2)</f>
        <v>0.00243046705423511</v>
      </c>
      <c r="I3727" s="25" t="n">
        <f aca="false">IF(G3727="","",C3727/C3726-1)</f>
        <v>0.0505352196332811</v>
      </c>
      <c r="J3727" s="17" t="n">
        <f aca="false">AVERAGE(C3528:C3727)</f>
        <v>84385.128</v>
      </c>
      <c r="K3727" s="17" t="n">
        <f aca="false">MAX(K3726,C3727)</f>
        <v>106159.26</v>
      </c>
      <c r="L3727" s="25" t="n">
        <f aca="false">C3727/K3727-1</f>
        <v>-0.181626171847844</v>
      </c>
      <c r="M3727" s="25" t="n">
        <f aca="false">IF(COUNT(G3698:G3727)&lt;20,"",_xlfn.STDEV.S(G3698:G3727)*SQRT($R$3))</f>
        <v>0.715081810695616</v>
      </c>
      <c r="N3727" s="25" t="n">
        <f aca="false">IF(A3727-7&lt;$R$2,"",C3727/INDEX(Clean_Data!$C$2:$C$4314,MATCH(A3727-7,Clean_Data!$A$2:$A$4314,1))-1)</f>
        <v>0.0384718136377455</v>
      </c>
      <c r="O3727" s="25" t="n">
        <f aca="false">IF(A3727-30&lt;$R$2,"",C3727/INDEX(Clean_Data!$C$2:$C$4314,MATCH(A3727-30,Clean_Data!$A$2:$A$4314,1))-1)</f>
        <v>-0.0929596228093437</v>
      </c>
    </row>
    <row r="3728" customFormat="false" ht="15" hidden="false" customHeight="false" outlineLevel="0" collapsed="false">
      <c r="A3728" s="16" t="n">
        <v>45735</v>
      </c>
      <c r="B3728" s="23" t="n">
        <f aca="false">YEAR(A3728)</f>
        <v>2025</v>
      </c>
      <c r="C3728" s="17" t="n">
        <v>84183.42</v>
      </c>
      <c r="D3728" s="23" t="n">
        <f aca="false">A3728-A3727</f>
        <v>1</v>
      </c>
      <c r="E3728" s="24" t="n">
        <f aca="false">LN(C3728)</f>
        <v>11.3407532687267</v>
      </c>
      <c r="F3728" s="25" t="n">
        <f aca="false">LN(C3728/C3727)</f>
        <v>-0.0315063855024359</v>
      </c>
      <c r="G3728" s="25" t="n">
        <f aca="false">IF(AND(D3728=1,A3728&gt;=$R$2),F3728,"")</f>
        <v>-0.0315063855024359</v>
      </c>
      <c r="H3728" s="27" t="n">
        <f aca="false">IF(G3728="","",G3728^2)</f>
        <v>0.0009926523274281</v>
      </c>
      <c r="I3728" s="25" t="n">
        <f aca="false">IF(G3728="","",C3728/C3727-1)</f>
        <v>-0.031015231020618</v>
      </c>
      <c r="J3728" s="17" t="n">
        <f aca="false">AVERAGE(C3529:C3728)</f>
        <v>84511.2625</v>
      </c>
      <c r="K3728" s="17" t="n">
        <f aca="false">MAX(K3727,C3728)</f>
        <v>106159.26</v>
      </c>
      <c r="L3728" s="25" t="n">
        <f aca="false">C3728/K3728-1</f>
        <v>-0.207008225189211</v>
      </c>
      <c r="M3728" s="25" t="n">
        <f aca="false">IF(COUNT(G3699:G3728)&lt;20,"",_xlfn.STDEV.S(G3699:G3728)*SQRT($R$3))</f>
        <v>0.721799206917485</v>
      </c>
      <c r="N3728" s="25" t="n">
        <f aca="false">IF(A3728-7&lt;$R$2,"",C3728/INDEX(Clean_Data!$C$2:$C$4314,MATCH(A3728-7,Clean_Data!$A$2:$A$4314,1))-1)</f>
        <v>0.0383601631261932</v>
      </c>
      <c r="O3728" s="25" t="n">
        <f aca="false">IF(A3728-30&lt;$R$2,"",C3728/INDEX(Clean_Data!$C$2:$C$4314,MATCH(A3728-30,Clean_Data!$A$2:$A$4314,1))-1)</f>
        <v>-0.119488449638835</v>
      </c>
    </row>
    <row r="3729" customFormat="false" ht="15" hidden="false" customHeight="false" outlineLevel="0" collapsed="false">
      <c r="A3729" s="16" t="n">
        <v>45736</v>
      </c>
      <c r="B3729" s="23" t="n">
        <f aca="false">YEAR(A3729)</f>
        <v>2025</v>
      </c>
      <c r="C3729" s="17" t="n">
        <v>84061.96</v>
      </c>
      <c r="D3729" s="23" t="n">
        <f aca="false">A3729-A3728</f>
        <v>1</v>
      </c>
      <c r="E3729" s="24" t="n">
        <f aca="false">LN(C3729)</f>
        <v>11.3393094249658</v>
      </c>
      <c r="F3729" s="25" t="n">
        <f aca="false">LN(C3729/C3728)</f>
        <v>-0.00144384376082688</v>
      </c>
      <c r="G3729" s="25" t="n">
        <f aca="false">IF(AND(D3729=1,A3729&gt;=$R$2),F3729,"")</f>
        <v>-0.00144384376082688</v>
      </c>
      <c r="H3729" s="27" t="n">
        <f aca="false">IF(G3729="","",G3729^2)</f>
        <v>2.0846848056787E-006</v>
      </c>
      <c r="I3729" s="25" t="n">
        <f aca="false">IF(G3729="","",C3729/C3728-1)</f>
        <v>-0.00144280191990287</v>
      </c>
      <c r="J3729" s="17" t="n">
        <f aca="false">AVERAGE(C3530:C3729)</f>
        <v>84644.83485</v>
      </c>
      <c r="K3729" s="17" t="n">
        <f aca="false">MAX(K3728,C3729)</f>
        <v>106159.26</v>
      </c>
      <c r="L3729" s="25" t="n">
        <f aca="false">C3729/K3729-1</f>
        <v>-0.208152355244375</v>
      </c>
      <c r="M3729" s="25" t="n">
        <f aca="false">IF(COUNT(G3700:G3729)&lt;20,"",_xlfn.STDEV.S(G3700:G3729)*SQRT($R$3))</f>
        <v>0.719886260354931</v>
      </c>
      <c r="N3729" s="25" t="n">
        <f aca="false">IF(A3729-7&lt;$R$2,"",C3729/INDEX(Clean_Data!$C$2:$C$4314,MATCH(A3729-7,Clean_Data!$A$2:$A$4314,1))-1)</f>
        <v>0.000970106271111382</v>
      </c>
      <c r="O3729" s="25" t="n">
        <f aca="false">IF(A3729-30&lt;$R$2,"",C3729/INDEX(Clean_Data!$C$2:$C$4314,MATCH(A3729-30,Clean_Data!$A$2:$A$4314,1))-1)</f>
        <v>-0.130081816557098</v>
      </c>
    </row>
    <row r="3730" customFormat="false" ht="15" hidden="false" customHeight="false" outlineLevel="0" collapsed="false">
      <c r="A3730" s="16" t="n">
        <v>45737</v>
      </c>
      <c r="B3730" s="23" t="n">
        <f aca="false">YEAR(A3730)</f>
        <v>2025</v>
      </c>
      <c r="C3730" s="17" t="n">
        <v>83852.03</v>
      </c>
      <c r="D3730" s="23" t="n">
        <f aca="false">A3730-A3729</f>
        <v>1</v>
      </c>
      <c r="E3730" s="24" t="n">
        <f aca="false">LN(C3730)</f>
        <v>11.3368089768569</v>
      </c>
      <c r="F3730" s="25" t="n">
        <f aca="false">LN(C3730/C3729)</f>
        <v>-0.00250044810891269</v>
      </c>
      <c r="G3730" s="25" t="n">
        <f aca="false">IF(AND(D3730=1,A3730&gt;=$R$2),F3730,"")</f>
        <v>-0.00250044810891269</v>
      </c>
      <c r="H3730" s="27" t="n">
        <f aca="false">IF(G3730="","",G3730^2)</f>
        <v>6.25224074536506E-006</v>
      </c>
      <c r="I3730" s="25" t="n">
        <f aca="false">IF(G3730="","",C3730/C3729-1)</f>
        <v>-0.00249732459247931</v>
      </c>
      <c r="J3730" s="17" t="n">
        <f aca="false">AVERAGE(C3531:C3730)</f>
        <v>84768.392</v>
      </c>
      <c r="K3730" s="17" t="n">
        <f aca="false">MAX(K3729,C3730)</f>
        <v>106159.26</v>
      </c>
      <c r="L3730" s="25" t="n">
        <f aca="false">C3730/K3730-1</f>
        <v>-0.21012985584112</v>
      </c>
      <c r="M3730" s="25" t="n">
        <f aca="false">IF(COUNT(G3701:G3730)&lt;20,"",_xlfn.STDEV.S(G3701:G3730)*SQRT($R$3))</f>
        <v>0.715471810976861</v>
      </c>
      <c r="N3730" s="25" t="n">
        <f aca="false">IF(A3730-7&lt;$R$2,"",C3730/INDEX(Clean_Data!$C$2:$C$4314,MATCH(A3730-7,Clean_Data!$A$2:$A$4314,1))-1)</f>
        <v>-0.00592082223591639</v>
      </c>
      <c r="O3730" s="25" t="n">
        <f aca="false">IF(A3730-30&lt;$R$2,"",C3730/INDEX(Clean_Data!$C$2:$C$4314,MATCH(A3730-30,Clean_Data!$A$2:$A$4314,1))-1)</f>
        <v>-0.147387724307352</v>
      </c>
    </row>
    <row r="3731" customFormat="false" ht="15" hidden="false" customHeight="false" outlineLevel="0" collapsed="false">
      <c r="A3731" s="16" t="n">
        <v>45738</v>
      </c>
      <c r="B3731" s="23" t="n">
        <f aca="false">YEAR(A3731)</f>
        <v>2025</v>
      </c>
      <c r="C3731" s="17" t="n">
        <v>86092.94</v>
      </c>
      <c r="D3731" s="23" t="n">
        <f aca="false">A3731-A3730</f>
        <v>1</v>
      </c>
      <c r="E3731" s="24" t="n">
        <f aca="false">LN(C3731)</f>
        <v>11.3631826893767</v>
      </c>
      <c r="F3731" s="25" t="n">
        <f aca="false">LN(C3731/C3730)</f>
        <v>0.0263737125197806</v>
      </c>
      <c r="G3731" s="25" t="n">
        <f aca="false">IF(AND(D3731=1,A3731&gt;=$R$2),F3731,"")</f>
        <v>0.0263737125197806</v>
      </c>
      <c r="H3731" s="27" t="n">
        <f aca="false">IF(G3731="","",G3731^2)</f>
        <v>0.000695572712076034</v>
      </c>
      <c r="I3731" s="25" t="n">
        <f aca="false">IF(G3731="","",C3731/C3730-1)</f>
        <v>0.0267245766143049</v>
      </c>
      <c r="J3731" s="17" t="n">
        <f aca="false">AVERAGE(C3532:C3731)</f>
        <v>84911.4835</v>
      </c>
      <c r="K3731" s="17" t="n">
        <f aca="false">MAX(K3730,C3731)</f>
        <v>106159.26</v>
      </c>
      <c r="L3731" s="25" t="n">
        <f aca="false">C3731/K3731-1</f>
        <v>-0.189020910658194</v>
      </c>
      <c r="M3731" s="25" t="n">
        <f aca="false">IF(COUNT(G3702:G3731)&lt;20,"",_xlfn.STDEV.S(G3702:G3731)*SQRT($R$3))</f>
        <v>0.720978050793302</v>
      </c>
      <c r="N3731" s="25" t="n">
        <f aca="false">IF(A3731-7&lt;$R$2,"",C3731/INDEX(Clean_Data!$C$2:$C$4314,MATCH(A3731-7,Clean_Data!$A$2:$A$4314,1))-1)</f>
        <v>0.0427599334662183</v>
      </c>
      <c r="O3731" s="25" t="n">
        <f aca="false">IF(A3731-30&lt;$R$2,"",C3731/INDEX(Clean_Data!$C$2:$C$4314,MATCH(A3731-30,Clean_Data!$A$2:$A$4314,1))-1)</f>
        <v>-0.104663070396413</v>
      </c>
    </row>
    <row r="3732" customFormat="false" ht="15" hidden="false" customHeight="false" outlineLevel="0" collapsed="false">
      <c r="A3732" s="16" t="n">
        <v>45739</v>
      </c>
      <c r="B3732" s="23" t="n">
        <f aca="false">YEAR(A3732)</f>
        <v>2025</v>
      </c>
      <c r="C3732" s="17" t="n">
        <v>87523.62</v>
      </c>
      <c r="D3732" s="23" t="n">
        <f aca="false">A3732-A3731</f>
        <v>1</v>
      </c>
      <c r="E3732" s="24" t="n">
        <f aca="false">LN(C3732)</f>
        <v>11.3796639787748</v>
      </c>
      <c r="F3732" s="25" t="n">
        <f aca="false">LN(C3732/C3731)</f>
        <v>0.0164812893981219</v>
      </c>
      <c r="G3732" s="25" t="n">
        <f aca="false">IF(AND(D3732=1,A3732&gt;=$R$2),F3732,"")</f>
        <v>0.0164812893981219</v>
      </c>
      <c r="H3732" s="27" t="n">
        <f aca="false">IF(G3732="","",G3732^2)</f>
        <v>0.000271632900224645</v>
      </c>
      <c r="I3732" s="25" t="n">
        <f aca="false">IF(G3732="","",C3732/C3731-1)</f>
        <v>0.0166178550761538</v>
      </c>
      <c r="J3732" s="17" t="n">
        <f aca="false">AVERAGE(C3533:C3732)</f>
        <v>85059.13155</v>
      </c>
      <c r="K3732" s="17" t="n">
        <f aca="false">MAX(K3731,C3732)</f>
        <v>106159.26</v>
      </c>
      <c r="L3732" s="25" t="n">
        <f aca="false">C3732/K3732-1</f>
        <v>-0.175544177681721</v>
      </c>
      <c r="M3732" s="25" t="n">
        <f aca="false">IF(COUNT(G3703:G3732)&lt;20,"",_xlfn.STDEV.S(G3703:G3732)*SQRT($R$3))</f>
        <v>0.723907350938901</v>
      </c>
      <c r="N3732" s="25" t="n">
        <f aca="false">IF(A3732-7&lt;$R$2,"",C3732/INDEX(Clean_Data!$C$2:$C$4314,MATCH(A3732-7,Clean_Data!$A$2:$A$4314,1))-1)</f>
        <v>0.0418064691220477</v>
      </c>
      <c r="O3732" s="25" t="n">
        <f aca="false">IF(A3732-30&lt;$R$2,"",C3732/INDEX(Clean_Data!$C$2:$C$4314,MATCH(A3732-30,Clean_Data!$A$2:$A$4314,1))-1)</f>
        <v>-0.0937906519343332</v>
      </c>
    </row>
    <row r="3733" customFormat="false" ht="15" hidden="false" customHeight="false" outlineLevel="0" collapsed="false">
      <c r="A3733" s="16" t="n">
        <v>45740</v>
      </c>
      <c r="B3733" s="23" t="n">
        <f aca="false">YEAR(A3733)</f>
        <v>2025</v>
      </c>
      <c r="C3733" s="17" t="n">
        <v>87427.88</v>
      </c>
      <c r="D3733" s="23" t="n">
        <f aca="false">A3733-A3732</f>
        <v>1</v>
      </c>
      <c r="E3733" s="24" t="n">
        <f aca="false">LN(C3733)</f>
        <v>11.3785695039111</v>
      </c>
      <c r="F3733" s="25" t="n">
        <f aca="false">LN(C3733/C3732)</f>
        <v>-0.00109447486368551</v>
      </c>
      <c r="G3733" s="25" t="n">
        <f aca="false">IF(AND(D3733=1,A3733&gt;=$R$2),F3733,"")</f>
        <v>-0.00109447486368551</v>
      </c>
      <c r="H3733" s="27" t="n">
        <f aca="false">IF(G3733="","",G3733^2)</f>
        <v>1.19787522723941E-006</v>
      </c>
      <c r="I3733" s="25" t="n">
        <f aca="false">IF(G3733="","",C3733/C3732-1)</f>
        <v>-0.0010938761445195</v>
      </c>
      <c r="J3733" s="17" t="n">
        <f aca="false">AVERAGE(C3534:C3733)</f>
        <v>85215.5109</v>
      </c>
      <c r="K3733" s="17" t="n">
        <f aca="false">MAX(K3732,C3733)</f>
        <v>106159.26</v>
      </c>
      <c r="L3733" s="25" t="n">
        <f aca="false">C3733/K3733-1</f>
        <v>-0.176446030237965</v>
      </c>
      <c r="M3733" s="25" t="n">
        <f aca="false">IF(COUNT(G3704:G3733)&lt;20,"",_xlfn.STDEV.S(G3704:G3733)*SQRT($R$3))</f>
        <v>0.723947598369059</v>
      </c>
      <c r="N3733" s="25" t="n">
        <f aca="false">IF(A3733-7&lt;$R$2,"",C3733/INDEX(Clean_Data!$C$2:$C$4314,MATCH(A3733-7,Clean_Data!$A$2:$A$4314,1))-1)</f>
        <v>0.05718489612178</v>
      </c>
      <c r="O3733" s="25" t="n">
        <f aca="false">IF(A3733-30&lt;$R$2,"",C3733/INDEX(Clean_Data!$C$2:$C$4314,MATCH(A3733-30,Clean_Data!$A$2:$A$4314,1))-1)</f>
        <v>-0.091809172877064</v>
      </c>
    </row>
    <row r="3734" customFormat="false" ht="15" hidden="false" customHeight="false" outlineLevel="0" collapsed="false">
      <c r="A3734" s="16" t="n">
        <v>45741</v>
      </c>
      <c r="B3734" s="23" t="n">
        <f aca="false">YEAR(A3734)</f>
        <v>2025</v>
      </c>
      <c r="C3734" s="17" t="n">
        <v>86926.01</v>
      </c>
      <c r="D3734" s="23" t="n">
        <f aca="false">A3734-A3733</f>
        <v>1</v>
      </c>
      <c r="E3734" s="24" t="n">
        <f aca="false">LN(C3734)</f>
        <v>11.3728125760205</v>
      </c>
      <c r="F3734" s="25" t="n">
        <f aca="false">LN(C3734/C3733)</f>
        <v>-0.00575692789062159</v>
      </c>
      <c r="G3734" s="25" t="n">
        <f aca="false">IF(AND(D3734=1,A3734&gt;=$R$2),F3734,"")</f>
        <v>-0.00575692789062159</v>
      </c>
      <c r="H3734" s="27" t="n">
        <f aca="false">IF(G3734="","",G3734^2)</f>
        <v>3.31422187378168E-005</v>
      </c>
      <c r="I3734" s="25" t="n">
        <f aca="false">IF(G3734="","",C3734/C3733-1)</f>
        <v>-0.00574038853509895</v>
      </c>
      <c r="J3734" s="17" t="n">
        <f aca="false">AVERAGE(C3535:C3734)</f>
        <v>85380.489</v>
      </c>
      <c r="K3734" s="17" t="n">
        <f aca="false">MAX(K3733,C3734)</f>
        <v>106159.26</v>
      </c>
      <c r="L3734" s="25" t="n">
        <f aca="false">C3734/K3734-1</f>
        <v>-0.181173550004022</v>
      </c>
      <c r="M3734" s="25" t="n">
        <f aca="false">IF(COUNT(G3705:G3734)&lt;20,"",_xlfn.STDEV.S(G3705:G3734)*SQRT($R$3))</f>
        <v>0.703562902917325</v>
      </c>
      <c r="N3734" s="25" t="n">
        <f aca="false">IF(A3734-7&lt;$R$2,"",C3734/INDEX(Clean_Data!$C$2:$C$4314,MATCH(A3734-7,Clean_Data!$A$2:$A$4314,1))-1)</f>
        <v>0.000553074680851085</v>
      </c>
      <c r="O3734" s="25" t="n">
        <f aca="false">IF(A3734-30&lt;$R$2,"",C3734/INDEX(Clean_Data!$C$2:$C$4314,MATCH(A3734-30,Clean_Data!$A$2:$A$4314,1))-1)</f>
        <v>-0.0501012885689366</v>
      </c>
    </row>
    <row r="3735" customFormat="false" ht="15" hidden="false" customHeight="false" outlineLevel="0" collapsed="false">
      <c r="A3735" s="16" t="n">
        <v>45742</v>
      </c>
      <c r="B3735" s="23" t="n">
        <f aca="false">YEAR(A3735)</f>
        <v>2025</v>
      </c>
      <c r="C3735" s="17" t="n">
        <v>87217.48</v>
      </c>
      <c r="D3735" s="23" t="n">
        <f aca="false">A3735-A3734</f>
        <v>1</v>
      </c>
      <c r="E3735" s="24" t="n">
        <f aca="false">LN(C3735)</f>
        <v>11.3761600485235</v>
      </c>
      <c r="F3735" s="25" t="n">
        <f aca="false">LN(C3735/C3734)</f>
        <v>0.00334747250297973</v>
      </c>
      <c r="G3735" s="25" t="n">
        <f aca="false">IF(AND(D3735=1,A3735&gt;=$R$2),F3735,"")</f>
        <v>0.00334747250297973</v>
      </c>
      <c r="H3735" s="27" t="n">
        <f aca="false">IF(G3735="","",G3735^2)</f>
        <v>1.12055721582054E-005</v>
      </c>
      <c r="I3735" s="25" t="n">
        <f aca="false">IF(G3735="","",C3735/C3734-1)</f>
        <v>0.00335308154601832</v>
      </c>
      <c r="J3735" s="17" t="n">
        <f aca="false">AVERAGE(C3536:C3735)</f>
        <v>85545.6832</v>
      </c>
      <c r="K3735" s="17" t="n">
        <f aca="false">MAX(K3734,C3735)</f>
        <v>106159.26</v>
      </c>
      <c r="L3735" s="25" t="n">
        <f aca="false">C3735/K3735-1</f>
        <v>-0.178427958145149</v>
      </c>
      <c r="M3735" s="25" t="n">
        <f aca="false">IF(COUNT(G3706:G3735)&lt;20,"",_xlfn.STDEV.S(G3706:G3735)*SQRT($R$3))</f>
        <v>0.694872201449736</v>
      </c>
      <c r="N3735" s="25" t="n">
        <f aca="false">IF(A3735-7&lt;$R$2,"",C3735/INDEX(Clean_Data!$C$2:$C$4314,MATCH(A3735-7,Clean_Data!$A$2:$A$4314,1))-1)</f>
        <v>0.0360410636678814</v>
      </c>
      <c r="O3735" s="25" t="n">
        <f aca="false">IF(A3735-30&lt;$R$2,"",C3735/INDEX(Clean_Data!$C$2:$C$4314,MATCH(A3735-30,Clean_Data!$A$2:$A$4314,1))-1)</f>
        <v>-0.0154233722802855</v>
      </c>
    </row>
    <row r="3736" customFormat="false" ht="15" hidden="false" customHeight="false" outlineLevel="0" collapsed="false">
      <c r="A3736" s="16" t="n">
        <v>45743</v>
      </c>
      <c r="B3736" s="23" t="n">
        <f aca="false">YEAR(A3736)</f>
        <v>2025</v>
      </c>
      <c r="C3736" s="17" t="n">
        <v>84381.8</v>
      </c>
      <c r="D3736" s="23" t="n">
        <f aca="false">A3736-A3735</f>
        <v>1</v>
      </c>
      <c r="E3736" s="24" t="n">
        <f aca="false">LN(C3736)</f>
        <v>11.34310701752</v>
      </c>
      <c r="F3736" s="25" t="n">
        <f aca="false">LN(C3736/C3735)</f>
        <v>-0.0330530310034885</v>
      </c>
      <c r="G3736" s="25" t="n">
        <f aca="false">IF(AND(D3736=1,A3736&gt;=$R$2),F3736,"")</f>
        <v>-0.0330530310034885</v>
      </c>
      <c r="H3736" s="27" t="n">
        <f aca="false">IF(G3736="","",G3736^2)</f>
        <v>0.00109250285851757</v>
      </c>
      <c r="I3736" s="25" t="n">
        <f aca="false">IF(G3736="","",C3736/C3735-1)</f>
        <v>-0.0325127485912227</v>
      </c>
      <c r="J3736" s="17" t="n">
        <f aca="false">AVERAGE(C3537:C3736)</f>
        <v>85682.3227</v>
      </c>
      <c r="K3736" s="17" t="n">
        <f aca="false">MAX(K3735,C3736)</f>
        <v>106159.26</v>
      </c>
      <c r="L3736" s="25" t="n">
        <f aca="false">C3736/K3736-1</f>
        <v>-0.205139523391553</v>
      </c>
      <c r="M3736" s="25" t="n">
        <f aca="false">IF(COUNT(G3707:G3736)&lt;20,"",_xlfn.STDEV.S(G3707:G3736)*SQRT($R$3))</f>
        <v>0.680382889805474</v>
      </c>
      <c r="N3736" s="25" t="n">
        <f aca="false">IF(A3736-7&lt;$R$2,"",C3736/INDEX(Clean_Data!$C$2:$C$4314,MATCH(A3736-7,Clean_Data!$A$2:$A$4314,1))-1)</f>
        <v>0.00380481254541287</v>
      </c>
      <c r="O3736" s="25" t="n">
        <f aca="false">IF(A3736-30&lt;$R$2,"",C3736/INDEX(Clean_Data!$C$2:$C$4314,MATCH(A3736-30,Clean_Data!$A$2:$A$4314,1))-1)</f>
        <v>0.00321025188148449</v>
      </c>
    </row>
    <row r="3737" customFormat="false" ht="15" hidden="false" customHeight="false" outlineLevel="0" collapsed="false">
      <c r="A3737" s="16" t="n">
        <v>45744</v>
      </c>
      <c r="B3737" s="23" t="n">
        <f aca="false">YEAR(A3737)</f>
        <v>2025</v>
      </c>
      <c r="C3737" s="17" t="n">
        <v>82616.83</v>
      </c>
      <c r="D3737" s="23" t="n">
        <f aca="false">A3737-A3736</f>
        <v>1</v>
      </c>
      <c r="E3737" s="24" t="n">
        <f aca="false">LN(C3737)</f>
        <v>11.3219686917809</v>
      </c>
      <c r="F3737" s="25" t="n">
        <f aca="false">LN(C3737/C3736)</f>
        <v>-0.0211383257391399</v>
      </c>
      <c r="G3737" s="25" t="n">
        <f aca="false">IF(AND(D3737=1,A3737&gt;=$R$2),F3737,"")</f>
        <v>-0.0211383257391399</v>
      </c>
      <c r="H3737" s="27" t="n">
        <f aca="false">IF(G3737="","",G3737^2)</f>
        <v>0.000446828815053986</v>
      </c>
      <c r="I3737" s="25" t="n">
        <f aca="false">IF(G3737="","",C3737/C3736-1)</f>
        <v>-0.0209164772498335</v>
      </c>
      <c r="J3737" s="17" t="n">
        <f aca="false">AVERAGE(C3538:C3737)</f>
        <v>85807.1789</v>
      </c>
      <c r="K3737" s="17" t="n">
        <f aca="false">MAX(K3736,C3737)</f>
        <v>106159.26</v>
      </c>
      <c r="L3737" s="25" t="n">
        <f aca="false">C3737/K3737-1</f>
        <v>-0.221765204467326</v>
      </c>
      <c r="M3737" s="25" t="n">
        <f aca="false">IF(COUNT(G3708:G3737)&lt;20,"",_xlfn.STDEV.S(G3708:G3737)*SQRT($R$3))</f>
        <v>0.683988999706342</v>
      </c>
      <c r="N3737" s="25" t="n">
        <f aca="false">IF(A3737-7&lt;$R$2,"",C3737/INDEX(Clean_Data!$C$2:$C$4314,MATCH(A3737-7,Clean_Data!$A$2:$A$4314,1))-1)</f>
        <v>-0.0147307107532161</v>
      </c>
      <c r="O3737" s="25" t="n">
        <f aca="false">IF(A3737-30&lt;$R$2,"",C3737/INDEX(Clean_Data!$C$2:$C$4314,MATCH(A3737-30,Clean_Data!$A$2:$A$4314,1))-1)</f>
        <v>-0.0237324134811396</v>
      </c>
    </row>
    <row r="3738" customFormat="false" ht="15" hidden="false" customHeight="false" outlineLevel="0" collapsed="false">
      <c r="A3738" s="16" t="n">
        <v>45745</v>
      </c>
      <c r="B3738" s="23" t="n">
        <f aca="false">YEAR(A3738)</f>
        <v>2025</v>
      </c>
      <c r="C3738" s="17" t="n">
        <v>82379.98</v>
      </c>
      <c r="D3738" s="23" t="n">
        <f aca="false">A3738-A3737</f>
        <v>1</v>
      </c>
      <c r="E3738" s="24" t="n">
        <f aca="false">LN(C3738)</f>
        <v>11.3190977252127</v>
      </c>
      <c r="F3738" s="25" t="n">
        <f aca="false">LN(C3738/C3737)</f>
        <v>-0.00287096656820601</v>
      </c>
      <c r="G3738" s="25" t="n">
        <f aca="false">IF(AND(D3738=1,A3738&gt;=$R$2),F3738,"")</f>
        <v>-0.00287096656820601</v>
      </c>
      <c r="H3738" s="27" t="n">
        <f aca="false">IF(G3738="","",G3738^2)</f>
        <v>8.2424490357566E-006</v>
      </c>
      <c r="I3738" s="25" t="n">
        <f aca="false">IF(G3738="","",C3738/C3737-1)</f>
        <v>-0.00286684928482495</v>
      </c>
      <c r="J3738" s="17" t="n">
        <f aca="false">AVERAGE(C3539:C3738)</f>
        <v>85932.31485</v>
      </c>
      <c r="K3738" s="17" t="n">
        <f aca="false">MAX(K3737,C3738)</f>
        <v>106159.26</v>
      </c>
      <c r="L3738" s="25" t="n">
        <f aca="false">C3738/K3738-1</f>
        <v>-0.223996286334324</v>
      </c>
      <c r="M3738" s="25" t="n">
        <f aca="false">IF(COUNT(G3709:G3738)&lt;20,"",_xlfn.STDEV.S(G3709:G3738)*SQRT($R$3))</f>
        <v>0.683941046718676</v>
      </c>
      <c r="N3738" s="25" t="n">
        <f aca="false">IF(A3738-7&lt;$R$2,"",C3738/INDEX(Clean_Data!$C$2:$C$4314,MATCH(A3738-7,Clean_Data!$A$2:$A$4314,1))-1)</f>
        <v>-0.043127345865991</v>
      </c>
      <c r="O3738" s="25" t="n">
        <f aca="false">IF(A3738-30&lt;$R$2,"",C3738/INDEX(Clean_Data!$C$2:$C$4314,MATCH(A3738-30,Clean_Data!$A$2:$A$4314,1))-1)</f>
        <v>-0.0227497229166195</v>
      </c>
    </row>
    <row r="3739" customFormat="false" ht="15" hidden="false" customHeight="false" outlineLevel="0" collapsed="false">
      <c r="A3739" s="16" t="n">
        <v>45746</v>
      </c>
      <c r="B3739" s="23" t="n">
        <f aca="false">YEAR(A3739)</f>
        <v>2025</v>
      </c>
      <c r="C3739" s="17" t="n">
        <v>82534.32</v>
      </c>
      <c r="D3739" s="23" t="n">
        <f aca="false">A3739-A3738</f>
        <v>1</v>
      </c>
      <c r="E3739" s="24" t="n">
        <f aca="false">LN(C3739)</f>
        <v>11.3209694858188</v>
      </c>
      <c r="F3739" s="25" t="n">
        <f aca="false">LN(C3739/C3738)</f>
        <v>0.00187176060609294</v>
      </c>
      <c r="G3739" s="25" t="n">
        <f aca="false">IF(AND(D3739=1,A3739&gt;=$R$2),F3739,"")</f>
        <v>0.00187176060609294</v>
      </c>
      <c r="H3739" s="27" t="n">
        <f aca="false">IF(G3739="","",G3739^2)</f>
        <v>3.50348776652142E-006</v>
      </c>
      <c r="I3739" s="25" t="n">
        <f aca="false">IF(G3739="","",C3739/C3738-1)</f>
        <v>0.00187351344343623</v>
      </c>
      <c r="J3739" s="17" t="n">
        <f aca="false">AVERAGE(C3540:C3739)</f>
        <v>86054.29875</v>
      </c>
      <c r="K3739" s="17" t="n">
        <f aca="false">MAX(K3738,C3739)</f>
        <v>106159.26</v>
      </c>
      <c r="L3739" s="25" t="n">
        <f aca="false">C3739/K3739-1</f>
        <v>-0.222542432944615</v>
      </c>
      <c r="M3739" s="25" t="n">
        <f aca="false">IF(COUNT(G3710:G3739)&lt;20,"",_xlfn.STDEV.S(G3710:G3739)*SQRT($R$3))</f>
        <v>0.679840602036141</v>
      </c>
      <c r="N3739" s="25" t="n">
        <f aca="false">IF(A3739-7&lt;$R$2,"",C3739/INDEX(Clean_Data!$C$2:$C$4314,MATCH(A3739-7,Clean_Data!$A$2:$A$4314,1))-1)</f>
        <v>-0.0570051832865229</v>
      </c>
      <c r="O3739" s="25" t="n">
        <f aca="false">IF(A3739-30&lt;$R$2,"",C3739/INDEX(Clean_Data!$C$2:$C$4314,MATCH(A3739-30,Clean_Data!$A$2:$A$4314,1))-1)</f>
        <v>-0.0405079078098776</v>
      </c>
    </row>
    <row r="3740" customFormat="false" ht="15" hidden="false" customHeight="false" outlineLevel="0" collapsed="false">
      <c r="A3740" s="16" t="n">
        <v>45747</v>
      </c>
      <c r="B3740" s="23" t="n">
        <f aca="false">YEAR(A3740)</f>
        <v>2025</v>
      </c>
      <c r="C3740" s="17" t="n">
        <v>85170.37</v>
      </c>
      <c r="D3740" s="23" t="n">
        <f aca="false">A3740-A3739</f>
        <v>1</v>
      </c>
      <c r="E3740" s="24" t="n">
        <f aca="false">LN(C3740)</f>
        <v>11.3524088823784</v>
      </c>
      <c r="F3740" s="25" t="n">
        <f aca="false">LN(C3740/C3739)</f>
        <v>0.0314393965595994</v>
      </c>
      <c r="G3740" s="25" t="n">
        <f aca="false">IF(AND(D3740=1,A3740&gt;=$R$2),F3740,"")</f>
        <v>0.0314393965595994</v>
      </c>
      <c r="H3740" s="27" t="n">
        <f aca="false">IF(G3740="","",G3740^2)</f>
        <v>0.00098843565603175</v>
      </c>
      <c r="I3740" s="25" t="n">
        <f aca="false">IF(G3740="","",C3740/C3739-1)</f>
        <v>0.0319388346569038</v>
      </c>
      <c r="J3740" s="17" t="n">
        <f aca="false">AVERAGE(C3541:C3740)</f>
        <v>86177.43385</v>
      </c>
      <c r="K3740" s="17" t="n">
        <f aca="false">MAX(K3739,C3740)</f>
        <v>106159.26</v>
      </c>
      <c r="L3740" s="25" t="n">
        <f aca="false">C3740/K3740-1</f>
        <v>-0.197711344257675</v>
      </c>
      <c r="M3740" s="25" t="n">
        <f aca="false">IF(COUNT(G3711:G3740)&lt;20,"",_xlfn.STDEV.S(G3711:G3740)*SQRT($R$3))</f>
        <v>0.604593340485775</v>
      </c>
      <c r="N3740" s="25" t="n">
        <f aca="false">IF(A3740-7&lt;$R$2,"",C3740/INDEX(Clean_Data!$C$2:$C$4314,MATCH(A3740-7,Clean_Data!$A$2:$A$4314,1))-1)</f>
        <v>-0.0258213970188915</v>
      </c>
      <c r="O3740" s="25" t="n">
        <f aca="false">IF(A3740-30&lt;$R$2,"",C3740/INDEX(Clean_Data!$C$2:$C$4314,MATCH(A3740-30,Clean_Data!$A$2:$A$4314,1))-1)</f>
        <v>-0.0964839939286365</v>
      </c>
    </row>
    <row r="3741" customFormat="false" ht="15" hidden="false" customHeight="false" outlineLevel="0" collapsed="false">
      <c r="A3741" s="16" t="n">
        <v>45748</v>
      </c>
      <c r="B3741" s="23" t="n">
        <f aca="false">YEAR(A3741)</f>
        <v>2025</v>
      </c>
      <c r="C3741" s="17" t="n">
        <v>82490.08</v>
      </c>
      <c r="D3741" s="23" t="n">
        <f aca="false">A3741-A3740</f>
        <v>1</v>
      </c>
      <c r="E3741" s="24" t="n">
        <f aca="false">LN(C3741)</f>
        <v>11.3204333226688</v>
      </c>
      <c r="F3741" s="25" t="n">
        <f aca="false">LN(C3741/C3740)</f>
        <v>-0.0319755597095313</v>
      </c>
      <c r="G3741" s="25" t="n">
        <f aca="false">IF(AND(D3741=1,A3741&gt;=$R$2),F3741,"")</f>
        <v>-0.0319755597095313</v>
      </c>
      <c r="H3741" s="27" t="n">
        <f aca="false">IF(G3741="","",G3741^2)</f>
        <v>0.0010224364187378</v>
      </c>
      <c r="I3741" s="25" t="n">
        <f aca="false">IF(G3741="","",C3741/C3740-1)</f>
        <v>-0.0314697470493552</v>
      </c>
      <c r="J3741" s="17" t="n">
        <f aca="false">AVERAGE(C3542:C3741)</f>
        <v>86289.8225</v>
      </c>
      <c r="K3741" s="17" t="n">
        <f aca="false">MAX(K3740,C3741)</f>
        <v>106159.26</v>
      </c>
      <c r="L3741" s="25" t="n">
        <f aca="false">C3741/K3741-1</f>
        <v>-0.222959165314453</v>
      </c>
      <c r="M3741" s="25" t="n">
        <f aca="false">IF(COUNT(G3712:G3741)&lt;20,"",_xlfn.STDEV.S(G3712:G3741)*SQRT($R$3))</f>
        <v>0.529350438101029</v>
      </c>
      <c r="N3741" s="25" t="n">
        <f aca="false">IF(A3741-7&lt;$R$2,"",C3741/INDEX(Clean_Data!$C$2:$C$4314,MATCH(A3741-7,Clean_Data!$A$2:$A$4314,1))-1)</f>
        <v>-0.0510311010478911</v>
      </c>
      <c r="O3741" s="25" t="n">
        <f aca="false">IF(A3741-30&lt;$R$2,"",C3741/INDEX(Clean_Data!$C$2:$C$4314,MATCH(A3741-30,Clean_Data!$A$2:$A$4314,1))-1)</f>
        <v>-0.0426064662591356</v>
      </c>
    </row>
    <row r="3742" customFormat="false" ht="15" hidden="false" customHeight="false" outlineLevel="0" collapsed="false">
      <c r="A3742" s="16" t="n">
        <v>45749</v>
      </c>
      <c r="B3742" s="23" t="n">
        <f aca="false">YEAR(A3742)</f>
        <v>2025</v>
      </c>
      <c r="C3742" s="17" t="n">
        <v>83174.33</v>
      </c>
      <c r="D3742" s="23" t="n">
        <f aca="false">A3742-A3741</f>
        <v>1</v>
      </c>
      <c r="E3742" s="24" t="n">
        <f aca="false">LN(C3742)</f>
        <v>11.3286940455492</v>
      </c>
      <c r="F3742" s="25" t="n">
        <f aca="false">LN(C3742/C3741)</f>
        <v>0.00826072288032367</v>
      </c>
      <c r="G3742" s="25" t="n">
        <f aca="false">IF(AND(D3742=1,A3742&gt;=$R$2),F3742,"")</f>
        <v>0.00826072288032367</v>
      </c>
      <c r="H3742" s="27" t="n">
        <f aca="false">IF(G3742="","",G3742^2)</f>
        <v>6.8239542505503E-005</v>
      </c>
      <c r="I3742" s="25" t="n">
        <f aca="false">IF(G3742="","",C3742/C3741-1)</f>
        <v>0.00829493679724891</v>
      </c>
      <c r="J3742" s="17" t="n">
        <f aca="false">AVERAGE(C3543:C3742)</f>
        <v>86410.0825</v>
      </c>
      <c r="K3742" s="17" t="n">
        <f aca="false">MAX(K3741,C3742)</f>
        <v>106159.26</v>
      </c>
      <c r="L3742" s="25" t="n">
        <f aca="false">C3742/K3742-1</f>
        <v>-0.216513660701855</v>
      </c>
      <c r="M3742" s="25" t="n">
        <f aca="false">IF(COUNT(G3713:G3742)&lt;20,"",_xlfn.STDEV.S(G3713:G3742)*SQRT($R$3))</f>
        <v>0.528129740863345</v>
      </c>
      <c r="N3742" s="25" t="n">
        <f aca="false">IF(A3742-7&lt;$R$2,"",C3742/INDEX(Clean_Data!$C$2:$C$4314,MATCH(A3742-7,Clean_Data!$A$2:$A$4314,1))-1)</f>
        <v>-0.0463571063965618</v>
      </c>
      <c r="O3742" s="25" t="n">
        <f aca="false">IF(A3742-30&lt;$R$2,"",C3742/INDEX(Clean_Data!$C$2:$C$4314,MATCH(A3742-30,Clean_Data!$A$2:$A$4314,1))-1)</f>
        <v>-0.0467121131058399</v>
      </c>
    </row>
    <row r="3743" customFormat="false" ht="15" hidden="false" customHeight="false" outlineLevel="0" collapsed="false">
      <c r="A3743" s="16" t="n">
        <v>45750</v>
      </c>
      <c r="B3743" s="23" t="n">
        <f aca="false">YEAR(A3743)</f>
        <v>2025</v>
      </c>
      <c r="C3743" s="17" t="n">
        <v>83860.16</v>
      </c>
      <c r="D3743" s="23" t="n">
        <f aca="false">A3743-A3742</f>
        <v>1</v>
      </c>
      <c r="E3743" s="24" t="n">
        <f aca="false">LN(C3743)</f>
        <v>11.3369059286647</v>
      </c>
      <c r="F3743" s="25" t="n">
        <f aca="false">LN(C3743/C3742)</f>
        <v>0.00821188311558773</v>
      </c>
      <c r="G3743" s="25" t="n">
        <f aca="false">IF(AND(D3743=1,A3743&gt;=$R$2),F3743,"")</f>
        <v>0.00821188311558773</v>
      </c>
      <c r="H3743" s="27" t="n">
        <f aca="false">IF(G3743="","",G3743^2)</f>
        <v>6.74350243040748E-005</v>
      </c>
      <c r="I3743" s="25" t="n">
        <f aca="false">IF(G3743="","",C3743/C3742-1)</f>
        <v>0.00824569311228607</v>
      </c>
      <c r="J3743" s="17" t="n">
        <f aca="false">AVERAGE(C3544:C3743)</f>
        <v>86538.33955</v>
      </c>
      <c r="K3743" s="17" t="n">
        <f aca="false">MAX(K3742,C3743)</f>
        <v>106159.26</v>
      </c>
      <c r="L3743" s="25" t="n">
        <f aca="false">C3743/K3743-1</f>
        <v>-0.210053272790334</v>
      </c>
      <c r="M3743" s="25" t="n">
        <f aca="false">IF(COUNT(G3714:G3743)&lt;20,"",_xlfn.STDEV.S(G3714:G3743)*SQRT($R$3))</f>
        <v>0.510209875035269</v>
      </c>
      <c r="N3743" s="25" t="n">
        <f aca="false">IF(A3743-7&lt;$R$2,"",C3743/INDEX(Clean_Data!$C$2:$C$4314,MATCH(A3743-7,Clean_Data!$A$2:$A$4314,1))-1)</f>
        <v>-0.00618190178450806</v>
      </c>
      <c r="O3743" s="25" t="n">
        <f aca="false">IF(A3743-30&lt;$R$2,"",C3743/INDEX(Clean_Data!$C$2:$C$4314,MATCH(A3743-30,Clean_Data!$A$2:$A$4314,1))-1)</f>
        <v>-0.0744292757042121</v>
      </c>
    </row>
    <row r="3744" customFormat="false" ht="15" hidden="false" customHeight="false" outlineLevel="0" collapsed="false">
      <c r="A3744" s="16" t="n">
        <v>45751</v>
      </c>
      <c r="B3744" s="23" t="n">
        <f aca="false">YEAR(A3744)</f>
        <v>2025</v>
      </c>
      <c r="C3744" s="17" t="n">
        <v>83498.25</v>
      </c>
      <c r="D3744" s="23" t="n">
        <f aca="false">A3744-A3743</f>
        <v>1</v>
      </c>
      <c r="E3744" s="24" t="n">
        <f aca="false">LN(C3744)</f>
        <v>11.3325809525355</v>
      </c>
      <c r="F3744" s="25" t="n">
        <f aca="false">LN(C3744/C3743)</f>
        <v>-0.00432497612925053</v>
      </c>
      <c r="G3744" s="25" t="n">
        <f aca="false">IF(AND(D3744=1,A3744&gt;=$R$2),F3744,"")</f>
        <v>-0.00432497612925053</v>
      </c>
      <c r="H3744" s="27" t="n">
        <f aca="false">IF(G3744="","",G3744^2)</f>
        <v>1.87054185185869E-005</v>
      </c>
      <c r="I3744" s="25" t="n">
        <f aca="false">IF(G3744="","",C3744/C3743-1)</f>
        <v>-0.00431563688883974</v>
      </c>
      <c r="J3744" s="17" t="n">
        <f aca="false">AVERAGE(C3545:C3744)</f>
        <v>86654.2678</v>
      </c>
      <c r="K3744" s="17" t="n">
        <f aca="false">MAX(K3743,C3744)</f>
        <v>106159.26</v>
      </c>
      <c r="L3744" s="25" t="n">
        <f aca="false">C3744/K3744-1</f>
        <v>-0.213462396026498</v>
      </c>
      <c r="M3744" s="25" t="n">
        <f aca="false">IF(COUNT(G3715:G3744)&lt;20,"",_xlfn.STDEV.S(G3715:G3744)*SQRT($R$3))</f>
        <v>0.509937713264955</v>
      </c>
      <c r="N3744" s="25" t="n">
        <f aca="false">IF(A3744-7&lt;$R$2,"",C3744/INDEX(Clean_Data!$C$2:$C$4314,MATCH(A3744-7,Clean_Data!$A$2:$A$4314,1))-1)</f>
        <v>0.0106687705156443</v>
      </c>
      <c r="O3744" s="25" t="n">
        <f aca="false">IF(A3744-30&lt;$R$2,"",C3744/INDEX(Clean_Data!$C$2:$C$4314,MATCH(A3744-30,Clean_Data!$A$2:$A$4314,1))-1)</f>
        <v>-0.07143536304024</v>
      </c>
    </row>
    <row r="3745" customFormat="false" ht="15" hidden="false" customHeight="false" outlineLevel="0" collapsed="false">
      <c r="A3745" s="16" t="n">
        <v>45752</v>
      </c>
      <c r="B3745" s="23" t="n">
        <f aca="false">YEAR(A3745)</f>
        <v>2025</v>
      </c>
      <c r="C3745" s="17" t="n">
        <v>78370.75</v>
      </c>
      <c r="D3745" s="23" t="n">
        <f aca="false">A3745-A3744</f>
        <v>1</v>
      </c>
      <c r="E3745" s="24" t="n">
        <f aca="false">LN(C3745)</f>
        <v>11.2692060499896</v>
      </c>
      <c r="F3745" s="25" t="n">
        <f aca="false">LN(C3745/C3744)</f>
        <v>-0.0633749025458565</v>
      </c>
      <c r="G3745" s="25" t="n">
        <f aca="false">IF(AND(D3745=1,A3745&gt;=$R$2),F3745,"")</f>
        <v>-0.0633749025458565</v>
      </c>
      <c r="H3745" s="27" t="n">
        <f aca="false">IF(G3745="","",G3745^2)</f>
        <v>0.00401637827269681</v>
      </c>
      <c r="I3745" s="25" t="n">
        <f aca="false">IF(G3745="","",C3745/C3744-1)</f>
        <v>-0.0614084726326599</v>
      </c>
      <c r="J3745" s="17" t="n">
        <f aca="false">AVERAGE(C3546:C3745)</f>
        <v>86737.27565</v>
      </c>
      <c r="K3745" s="17" t="n">
        <f aca="false">MAX(K3744,C3745)</f>
        <v>106159.26</v>
      </c>
      <c r="L3745" s="25" t="n">
        <f aca="false">C3745/K3745-1</f>
        <v>-0.261762468954663</v>
      </c>
      <c r="M3745" s="25" t="n">
        <f aca="false">IF(COUNT(G3716:G3745)&lt;20,"",_xlfn.STDEV.S(G3716:G3745)*SQRT($R$3))</f>
        <v>0.540738423955786</v>
      </c>
      <c r="N3745" s="25" t="n">
        <f aca="false">IF(A3745-7&lt;$R$2,"",C3745/INDEX(Clean_Data!$C$2:$C$4314,MATCH(A3745-7,Clean_Data!$A$2:$A$4314,1))-1)</f>
        <v>-0.0486675282028473</v>
      </c>
      <c r="O3745" s="25" t="n">
        <f aca="false">IF(A3745-30&lt;$R$2,"",C3745/INDEX(Clean_Data!$C$2:$C$4314,MATCH(A3745-30,Clean_Data!$A$2:$A$4314,1))-1)</f>
        <v>-0.0966634615451114</v>
      </c>
    </row>
    <row r="3746" customFormat="false" ht="15" hidden="false" customHeight="false" outlineLevel="0" collapsed="false">
      <c r="A3746" s="16" t="n">
        <v>45753</v>
      </c>
      <c r="B3746" s="23" t="n">
        <f aca="false">YEAR(A3746)</f>
        <v>2025</v>
      </c>
      <c r="C3746" s="17" t="n">
        <v>79140.01</v>
      </c>
      <c r="D3746" s="23" t="n">
        <f aca="false">A3746-A3745</f>
        <v>1</v>
      </c>
      <c r="E3746" s="24" t="n">
        <f aca="false">LN(C3746)</f>
        <v>11.2789738412978</v>
      </c>
      <c r="F3746" s="25" t="n">
        <f aca="false">LN(C3746/C3745)</f>
        <v>0.00976779130812525</v>
      </c>
      <c r="G3746" s="25" t="n">
        <f aca="false">IF(AND(D3746=1,A3746&gt;=$R$2),F3746,"")</f>
        <v>0.00976779130812525</v>
      </c>
      <c r="H3746" s="27" t="n">
        <f aca="false">IF(G3746="","",G3746^2)</f>
        <v>9.54097470390871E-005</v>
      </c>
      <c r="I3746" s="25" t="n">
        <f aca="false">IF(G3746="","",C3746/C3745-1)</f>
        <v>0.0098156518854291</v>
      </c>
      <c r="J3746" s="17" t="n">
        <f aca="false">AVERAGE(C3547:C3746)</f>
        <v>86818.175</v>
      </c>
      <c r="K3746" s="17" t="n">
        <f aca="false">MAX(K3745,C3746)</f>
        <v>106159.26</v>
      </c>
      <c r="L3746" s="25" t="n">
        <f aca="false">C3746/K3746-1</f>
        <v>-0.254516186341163</v>
      </c>
      <c r="M3746" s="25" t="n">
        <f aca="false">IF(COUNT(G3717:G3746)&lt;20,"",_xlfn.STDEV.S(G3717:G3746)*SQRT($R$3))</f>
        <v>0.542545944394426</v>
      </c>
      <c r="N3746" s="25" t="n">
        <f aca="false">IF(A3746-7&lt;$R$2,"",C3746/INDEX(Clean_Data!$C$2:$C$4314,MATCH(A3746-7,Clean_Data!$A$2:$A$4314,1))-1)</f>
        <v>-0.0411260430812299</v>
      </c>
      <c r="O3746" s="25" t="n">
        <f aca="false">IF(A3746-30&lt;$R$2,"",C3746/INDEX(Clean_Data!$C$2:$C$4314,MATCH(A3746-30,Clean_Data!$A$2:$A$4314,1))-1)</f>
        <v>-0.0819736844089479</v>
      </c>
    </row>
    <row r="3747" customFormat="false" ht="15" hidden="false" customHeight="false" outlineLevel="0" collapsed="false">
      <c r="A3747" s="16" t="n">
        <v>45754</v>
      </c>
      <c r="B3747" s="23" t="n">
        <f aca="false">YEAR(A3747)</f>
        <v>2025</v>
      </c>
      <c r="C3747" s="17" t="n">
        <v>76251.64</v>
      </c>
      <c r="D3747" s="23" t="n">
        <f aca="false">A3747-A3746</f>
        <v>1</v>
      </c>
      <c r="E3747" s="24" t="n">
        <f aca="false">LN(C3747)</f>
        <v>11.2417942024351</v>
      </c>
      <c r="F3747" s="25" t="n">
        <f aca="false">LN(C3747/C3746)</f>
        <v>-0.0371796388626781</v>
      </c>
      <c r="G3747" s="25" t="n">
        <f aca="false">IF(AND(D3747=1,A3747&gt;=$R$2),F3747,"")</f>
        <v>-0.0371796388626781</v>
      </c>
      <c r="H3747" s="27" t="n">
        <f aca="false">IF(G3747="","",G3747^2)</f>
        <v>0.00138232554595916</v>
      </c>
      <c r="I3747" s="25" t="n">
        <f aca="false">IF(G3747="","",C3747/C3746-1)</f>
        <v>-0.036496962787849</v>
      </c>
      <c r="J3747" s="17" t="n">
        <f aca="false">AVERAGE(C3548:C3747)</f>
        <v>86883.37975</v>
      </c>
      <c r="K3747" s="17" t="n">
        <f aca="false">MAX(K3746,C3747)</f>
        <v>106159.26</v>
      </c>
      <c r="L3747" s="25" t="n">
        <f aca="false">C3747/K3747-1</f>
        <v>-0.281724081347214</v>
      </c>
      <c r="M3747" s="25" t="n">
        <f aca="false">IF(COUNT(G3718:G3747)&lt;20,"",_xlfn.STDEV.S(G3718:G3747)*SQRT($R$3))</f>
        <v>0.508544194740075</v>
      </c>
      <c r="N3747" s="25" t="n">
        <f aca="false">IF(A3747-7&lt;$R$2,"",C3747/INDEX(Clean_Data!$C$2:$C$4314,MATCH(A3747-7,Clean_Data!$A$2:$A$4314,1))-1)</f>
        <v>-0.104716346776467</v>
      </c>
      <c r="O3747" s="25" t="n">
        <f aca="false">IF(A3747-30&lt;$R$2,"",C3747/INDEX(Clean_Data!$C$2:$C$4314,MATCH(A3747-30,Clean_Data!$A$2:$A$4314,1))-1)</f>
        <v>-0.0551124627428015</v>
      </c>
    </row>
    <row r="3748" customFormat="false" ht="15" hidden="false" customHeight="false" outlineLevel="0" collapsed="false">
      <c r="A3748" s="16" t="n">
        <v>45755</v>
      </c>
      <c r="B3748" s="23" t="n">
        <f aca="false">YEAR(A3748)</f>
        <v>2025</v>
      </c>
      <c r="C3748" s="17" t="n">
        <v>82594.75</v>
      </c>
      <c r="D3748" s="23" t="n">
        <f aca="false">A3748-A3747</f>
        <v>1</v>
      </c>
      <c r="E3748" s="24" t="n">
        <f aca="false">LN(C3748)</f>
        <v>11.3217013981671</v>
      </c>
      <c r="F3748" s="25" t="n">
        <f aca="false">LN(C3748/C3747)</f>
        <v>0.0799071957319749</v>
      </c>
      <c r="G3748" s="25" t="n">
        <f aca="false">IF(AND(D3748=1,A3748&gt;=$R$2),F3748,"")</f>
        <v>0.0799071957319749</v>
      </c>
      <c r="H3748" s="27" t="n">
        <f aca="false">IF(G3748="","",G3748^2)</f>
        <v>0.00638515992974815</v>
      </c>
      <c r="I3748" s="25" t="n">
        <f aca="false">IF(G3748="","",C3748/C3747-1)</f>
        <v>0.0831865386764141</v>
      </c>
      <c r="J3748" s="17" t="n">
        <f aca="false">AVERAGE(C3549:C3748)</f>
        <v>86979.5398</v>
      </c>
      <c r="K3748" s="17" t="n">
        <f aca="false">MAX(K3747,C3748)</f>
        <v>106159.26</v>
      </c>
      <c r="L3748" s="25" t="n">
        <f aca="false">C3748/K3748-1</f>
        <v>-0.221973193859867</v>
      </c>
      <c r="M3748" s="25" t="n">
        <f aca="false">IF(COUNT(G3719:G3748)&lt;20,"",_xlfn.STDEV.S(G3719:G3748)*SQRT($R$3))</f>
        <v>0.574502833384774</v>
      </c>
      <c r="N3748" s="25" t="n">
        <f aca="false">IF(A3748-7&lt;$R$2,"",C3748/INDEX(Clean_Data!$C$2:$C$4314,MATCH(A3748-7,Clean_Data!$A$2:$A$4314,1))-1)</f>
        <v>0.00126887984591595</v>
      </c>
      <c r="O3748" s="25" t="n">
        <f aca="false">IF(A3748-30&lt;$R$2,"",C3748/INDEX(Clean_Data!$C$2:$C$4314,MATCH(A3748-30,Clean_Data!$A$2:$A$4314,1))-1)</f>
        <v>0.0515634980382509</v>
      </c>
    </row>
    <row r="3749" customFormat="false" ht="15" hidden="false" customHeight="false" outlineLevel="0" collapsed="false">
      <c r="A3749" s="16" t="n">
        <v>45756</v>
      </c>
      <c r="B3749" s="23" t="n">
        <f aca="false">YEAR(A3749)</f>
        <v>2025</v>
      </c>
      <c r="C3749" s="17" t="n">
        <v>79552.34</v>
      </c>
      <c r="D3749" s="23" t="n">
        <f aca="false">A3749-A3748</f>
        <v>1</v>
      </c>
      <c r="E3749" s="24" t="n">
        <f aca="false">LN(C3749)</f>
        <v>11.2841704487953</v>
      </c>
      <c r="F3749" s="25" t="n">
        <f aca="false">LN(C3749/C3748)</f>
        <v>-0.0375309493717759</v>
      </c>
      <c r="G3749" s="25" t="n">
        <f aca="false">IF(AND(D3749=1,A3749&gt;=$R$2),F3749,"")</f>
        <v>-0.0375309493717759</v>
      </c>
      <c r="H3749" s="27" t="n">
        <f aca="false">IF(G3749="","",G3749^2)</f>
        <v>0.00140857216074681</v>
      </c>
      <c r="I3749" s="25" t="n">
        <f aca="false">IF(G3749="","",C3749/C3748-1)</f>
        <v>-0.0368353920800051</v>
      </c>
      <c r="J3749" s="17" t="n">
        <f aca="false">AVERAGE(C3550:C3749)</f>
        <v>87059.4132</v>
      </c>
      <c r="K3749" s="17" t="n">
        <f aca="false">MAX(K3748,C3749)</f>
        <v>106159.26</v>
      </c>
      <c r="L3749" s="25" t="n">
        <f aca="false">C3749/K3749-1</f>
        <v>-0.250632116312793</v>
      </c>
      <c r="M3749" s="25" t="n">
        <f aca="false">IF(COUNT(G3720:G3749)&lt;20,"",_xlfn.STDEV.S(G3720:G3749)*SQRT($R$3))</f>
        <v>0.55787902029173</v>
      </c>
      <c r="N3749" s="25" t="n">
        <f aca="false">IF(A3749-7&lt;$R$2,"",C3749/INDEX(Clean_Data!$C$2:$C$4314,MATCH(A3749-7,Clean_Data!$A$2:$A$4314,1))-1)</f>
        <v>-0.0435469693594166</v>
      </c>
      <c r="O3749" s="25" t="n">
        <f aca="false">IF(A3749-30&lt;$R$2,"",C3749/INDEX(Clean_Data!$C$2:$C$4314,MATCH(A3749-30,Clean_Data!$A$2:$A$4314,1))-1)</f>
        <v>-0.0405498386229383</v>
      </c>
    </row>
    <row r="3750" customFormat="false" ht="15" hidden="false" customHeight="false" outlineLevel="0" collapsed="false">
      <c r="A3750" s="16" t="n">
        <v>45757</v>
      </c>
      <c r="B3750" s="23" t="n">
        <f aca="false">YEAR(A3750)</f>
        <v>2025</v>
      </c>
      <c r="C3750" s="17" t="n">
        <v>83380.47</v>
      </c>
      <c r="D3750" s="23" t="n">
        <f aca="false">A3750-A3749</f>
        <v>1</v>
      </c>
      <c r="E3750" s="24" t="n">
        <f aca="false">LN(C3750)</f>
        <v>11.3311693882623</v>
      </c>
      <c r="F3750" s="25" t="n">
        <f aca="false">LN(C3750/C3749)</f>
        <v>0.0469989394669884</v>
      </c>
      <c r="G3750" s="25" t="n">
        <f aca="false">IF(AND(D3750=1,A3750&gt;=$R$2),F3750,"")</f>
        <v>0.0469989394669884</v>
      </c>
      <c r="H3750" s="27" t="n">
        <f aca="false">IF(G3750="","",G3750^2)</f>
        <v>0.00220890031102164</v>
      </c>
      <c r="I3750" s="25" t="n">
        <f aca="false">IF(G3750="","",C3750/C3749-1)</f>
        <v>0.0481208975122542</v>
      </c>
      <c r="J3750" s="17" t="n">
        <f aca="false">AVERAGE(C3551:C3750)</f>
        <v>87159.6212</v>
      </c>
      <c r="K3750" s="17" t="n">
        <f aca="false">MAX(K3749,C3750)</f>
        <v>106159.26</v>
      </c>
      <c r="L3750" s="25" t="n">
        <f aca="false">C3750/K3750-1</f>
        <v>-0.214571861182906</v>
      </c>
      <c r="M3750" s="25" t="n">
        <f aca="false">IF(COUNT(G3721:G3750)&lt;20,"",_xlfn.STDEV.S(G3721:G3750)*SQRT($R$3))</f>
        <v>0.582012064440855</v>
      </c>
      <c r="N3750" s="25" t="n">
        <f aca="false">IF(A3750-7&lt;$R$2,"",C3750/INDEX(Clean_Data!$C$2:$C$4314,MATCH(A3750-7,Clean_Data!$A$2:$A$4314,1))-1)</f>
        <v>-0.00572011787241999</v>
      </c>
      <c r="O3750" s="25" t="n">
        <f aca="false">IF(A3750-30&lt;$R$2,"",C3750/INDEX(Clean_Data!$C$2:$C$4314,MATCH(A3750-30,Clean_Data!$A$2:$A$4314,1))-1)</f>
        <v>-0.0033344716788053</v>
      </c>
    </row>
    <row r="3751" customFormat="false" ht="15" hidden="false" customHeight="false" outlineLevel="0" collapsed="false">
      <c r="A3751" s="16" t="n">
        <v>45758</v>
      </c>
      <c r="B3751" s="23" t="n">
        <f aca="false">YEAR(A3751)</f>
        <v>2025</v>
      </c>
      <c r="C3751" s="17" t="n">
        <v>85271.01</v>
      </c>
      <c r="D3751" s="23" t="n">
        <f aca="false">A3751-A3750</f>
        <v>1</v>
      </c>
      <c r="E3751" s="24" t="n">
        <f aca="false">LN(C3751)</f>
        <v>11.3535898163945</v>
      </c>
      <c r="F3751" s="25" t="n">
        <f aca="false">LN(C3751/C3750)</f>
        <v>0.0224204281321877</v>
      </c>
      <c r="G3751" s="25" t="n">
        <f aca="false">IF(AND(D3751=1,A3751&gt;=$R$2),F3751,"")</f>
        <v>0.0224204281321877</v>
      </c>
      <c r="H3751" s="27" t="n">
        <f aca="false">IF(G3751="","",G3751^2)</f>
        <v>0.000502675597630596</v>
      </c>
      <c r="I3751" s="25" t="n">
        <f aca="false">IF(G3751="","",C3751/C3750-1)</f>
        <v>0.0226736548738571</v>
      </c>
      <c r="J3751" s="17" t="n">
        <f aca="false">AVERAGE(C3552:C3751)</f>
        <v>87264.6116</v>
      </c>
      <c r="K3751" s="17" t="n">
        <f aca="false">MAX(K3750,C3751)</f>
        <v>106159.26</v>
      </c>
      <c r="L3751" s="25" t="n">
        <f aca="false">C3751/K3751-1</f>
        <v>-0.196763334635151</v>
      </c>
      <c r="M3751" s="25" t="n">
        <f aca="false">IF(COUNT(G3722:G3751)&lt;20,"",_xlfn.STDEV.S(G3722:G3751)*SQRT($R$3))</f>
        <v>0.575840124806977</v>
      </c>
      <c r="N3751" s="25" t="n">
        <f aca="false">IF(A3751-7&lt;$R$2,"",C3751/INDEX(Clean_Data!$C$2:$C$4314,MATCH(A3751-7,Clean_Data!$A$2:$A$4314,1))-1)</f>
        <v>0.0212311036458848</v>
      </c>
      <c r="O3751" s="25" t="n">
        <f aca="false">IF(A3751-30&lt;$R$2,"",C3751/INDEX(Clean_Data!$C$2:$C$4314,MATCH(A3751-30,Clean_Data!$A$2:$A$4314,1))-1)</f>
        <v>0.0517750389985967</v>
      </c>
    </row>
    <row r="3752" customFormat="false" ht="15" hidden="false" customHeight="false" outlineLevel="0" collapsed="false">
      <c r="A3752" s="16" t="n">
        <v>45759</v>
      </c>
      <c r="B3752" s="23" t="n">
        <f aca="false">YEAR(A3752)</f>
        <v>2025</v>
      </c>
      <c r="C3752" s="17" t="n">
        <v>83733.07</v>
      </c>
      <c r="D3752" s="23" t="n">
        <f aca="false">A3752-A3751</f>
        <v>1</v>
      </c>
      <c r="E3752" s="24" t="n">
        <f aca="false">LN(C3752)</f>
        <v>11.3353892799987</v>
      </c>
      <c r="F3752" s="25" t="n">
        <f aca="false">LN(C3752/C3751)</f>
        <v>-0.0182005363957891</v>
      </c>
      <c r="G3752" s="25" t="n">
        <f aca="false">IF(AND(D3752=1,A3752&gt;=$R$2),F3752,"")</f>
        <v>-0.0182005363957891</v>
      </c>
      <c r="H3752" s="27" t="n">
        <f aca="false">IF(G3752="","",G3752^2)</f>
        <v>0.000331259525094445</v>
      </c>
      <c r="I3752" s="25" t="n">
        <f aca="false">IF(G3752="","",C3752/C3751-1)</f>
        <v>-0.0180359069278057</v>
      </c>
      <c r="J3752" s="17" t="n">
        <f aca="false">AVERAGE(C3553:C3752)</f>
        <v>87367.6225</v>
      </c>
      <c r="K3752" s="17" t="n">
        <f aca="false">MAX(K3751,C3752)</f>
        <v>106159.26</v>
      </c>
      <c r="L3752" s="25" t="n">
        <f aca="false">C3752/K3752-1</f>
        <v>-0.211250436372672</v>
      </c>
      <c r="M3752" s="25" t="n">
        <f aca="false">IF(COUNT(G3723:G3752)&lt;20,"",_xlfn.STDEV.S(G3723:G3752)*SQRT($R$3))</f>
        <v>0.566750239039478</v>
      </c>
      <c r="N3752" s="25" t="n">
        <f aca="false">IF(A3752-7&lt;$R$2,"",C3752/INDEX(Clean_Data!$C$2:$C$4314,MATCH(A3752-7,Clean_Data!$A$2:$A$4314,1))-1)</f>
        <v>0.0684224662900381</v>
      </c>
      <c r="O3752" s="25" t="n">
        <f aca="false">IF(A3752-30&lt;$R$2,"",C3752/INDEX(Clean_Data!$C$2:$C$4314,MATCH(A3752-30,Clean_Data!$A$2:$A$4314,1))-1)</f>
        <v>-0.00294616047131902</v>
      </c>
    </row>
    <row r="3753" customFormat="false" ht="15" hidden="false" customHeight="false" outlineLevel="0" collapsed="false">
      <c r="A3753" s="16" t="n">
        <v>45760</v>
      </c>
      <c r="B3753" s="23" t="n">
        <f aca="false">YEAR(A3753)</f>
        <v>2025</v>
      </c>
      <c r="C3753" s="17" t="n">
        <v>84590.36</v>
      </c>
      <c r="D3753" s="23" t="n">
        <f aca="false">A3753-A3752</f>
        <v>1</v>
      </c>
      <c r="E3753" s="24" t="n">
        <f aca="false">LN(C3753)</f>
        <v>11.3455755911112</v>
      </c>
      <c r="F3753" s="25" t="n">
        <f aca="false">LN(C3753/C3752)</f>
        <v>0.0101863111125382</v>
      </c>
      <c r="G3753" s="25" t="n">
        <f aca="false">IF(AND(D3753=1,A3753&gt;=$R$2),F3753,"")</f>
        <v>0.0101863111125382</v>
      </c>
      <c r="H3753" s="27" t="n">
        <f aca="false">IF(G3753="","",G3753^2)</f>
        <v>0.000103760934081419</v>
      </c>
      <c r="I3753" s="25" t="n">
        <f aca="false">IF(G3753="","",C3753/C3752-1)</f>
        <v>0.0102383681859508</v>
      </c>
      <c r="J3753" s="17" t="n">
        <f aca="false">AVERAGE(C3554:C3753)</f>
        <v>87464.68825</v>
      </c>
      <c r="K3753" s="17" t="n">
        <f aca="false">MAX(K3752,C3753)</f>
        <v>106159.26</v>
      </c>
      <c r="L3753" s="25" t="n">
        <f aca="false">C3753/K3753-1</f>
        <v>-0.203174927933748</v>
      </c>
      <c r="M3753" s="25" t="n">
        <f aca="false">IF(COUNT(G3724:G3753)&lt;20,"",_xlfn.STDEV.S(G3724:G3753)*SQRT($R$3))</f>
        <v>0.56768615824305</v>
      </c>
      <c r="N3753" s="25" t="n">
        <f aca="false">IF(A3753-7&lt;$R$2,"",C3753/INDEX(Clean_Data!$C$2:$C$4314,MATCH(A3753-7,Clean_Data!$A$2:$A$4314,1))-1)</f>
        <v>0.0688697158365283</v>
      </c>
      <c r="O3753" s="25" t="n">
        <f aca="false">IF(A3753-30&lt;$R$2,"",C3753/INDEX(Clean_Data!$C$2:$C$4314,MATCH(A3753-30,Clean_Data!$A$2:$A$4314,1))-1)</f>
        <v>0.00283219756955</v>
      </c>
    </row>
    <row r="3754" customFormat="false" ht="15" hidden="false" customHeight="false" outlineLevel="0" collapsed="false">
      <c r="A3754" s="16" t="n">
        <v>45761</v>
      </c>
      <c r="B3754" s="23" t="n">
        <f aca="false">YEAR(A3754)</f>
        <v>2025</v>
      </c>
      <c r="C3754" s="17" t="n">
        <v>83629.78</v>
      </c>
      <c r="D3754" s="23" t="n">
        <f aca="false">A3754-A3753</f>
        <v>1</v>
      </c>
      <c r="E3754" s="24" t="n">
        <f aca="false">LN(C3754)</f>
        <v>11.3341549557372</v>
      </c>
      <c r="F3754" s="25" t="n">
        <f aca="false">LN(C3754/C3753)</f>
        <v>-0.0114206353740337</v>
      </c>
      <c r="G3754" s="25" t="n">
        <f aca="false">IF(AND(D3754=1,A3754&gt;=$R$2),F3754,"")</f>
        <v>-0.0114206353740337</v>
      </c>
      <c r="H3754" s="27" t="n">
        <f aca="false">IF(G3754="","",G3754^2)</f>
        <v>0.00013043091234663</v>
      </c>
      <c r="I3754" s="25" t="n">
        <f aca="false">IF(G3754="","",C3754/C3753-1)</f>
        <v>-0.011355667477949</v>
      </c>
      <c r="J3754" s="17" t="n">
        <f aca="false">AVERAGE(C3555:C3754)</f>
        <v>87553.89215</v>
      </c>
      <c r="K3754" s="17" t="n">
        <f aca="false">MAX(K3753,C3754)</f>
        <v>106159.26</v>
      </c>
      <c r="L3754" s="25" t="n">
        <f aca="false">C3754/K3754-1</f>
        <v>-0.212223408490225</v>
      </c>
      <c r="M3754" s="25" t="n">
        <f aca="false">IF(COUNT(G3725:G3754)&lt;20,"",_xlfn.STDEV.S(G3725:G3754)*SQRT($R$3))</f>
        <v>0.563968206453396</v>
      </c>
      <c r="N3754" s="25" t="n">
        <f aca="false">IF(A3754-7&lt;$R$2,"",C3754/INDEX(Clean_Data!$C$2:$C$4314,MATCH(A3754-7,Clean_Data!$A$2:$A$4314,1))-1)</f>
        <v>0.0967604106613313</v>
      </c>
      <c r="O3754" s="25" t="n">
        <f aca="false">IF(A3754-30&lt;$R$2,"",C3754/INDEX(Clean_Data!$C$2:$C$4314,MATCH(A3754-30,Clean_Data!$A$2:$A$4314,1))-1)</f>
        <v>0.0129260753389822</v>
      </c>
    </row>
    <row r="3755" customFormat="false" ht="15" hidden="false" customHeight="false" outlineLevel="0" collapsed="false">
      <c r="A3755" s="16" t="n">
        <v>45762</v>
      </c>
      <c r="B3755" s="23" t="n">
        <f aca="false">YEAR(A3755)</f>
        <v>2025</v>
      </c>
      <c r="C3755" s="17" t="n">
        <v>84028.72</v>
      </c>
      <c r="D3755" s="23" t="n">
        <f aca="false">A3755-A3754</f>
        <v>1</v>
      </c>
      <c r="E3755" s="24" t="n">
        <f aca="false">LN(C3755)</f>
        <v>11.3389139241512</v>
      </c>
      <c r="F3755" s="25" t="n">
        <f aca="false">LN(C3755/C3754)</f>
        <v>0.00475896841407004</v>
      </c>
      <c r="G3755" s="25" t="n">
        <f aca="false">IF(AND(D3755=1,A3755&gt;=$R$2),F3755,"")</f>
        <v>0.00475896841407004</v>
      </c>
      <c r="H3755" s="27" t="n">
        <f aca="false">IF(G3755="","",G3755^2)</f>
        <v>2.26477803661163E-005</v>
      </c>
      <c r="I3755" s="25" t="n">
        <f aca="false">IF(G3755="","",C3755/C3754-1)</f>
        <v>0.00477031028899044</v>
      </c>
      <c r="J3755" s="17" t="n">
        <f aca="false">AVERAGE(C3556:C3755)</f>
        <v>87644.7408</v>
      </c>
      <c r="K3755" s="17" t="n">
        <f aca="false">MAX(K3754,C3755)</f>
        <v>106159.26</v>
      </c>
      <c r="L3755" s="25" t="n">
        <f aca="false">C3755/K3755-1</f>
        <v>-0.20846546971032</v>
      </c>
      <c r="M3755" s="25" t="n">
        <f aca="false">IF(COUNT(G3726:G3755)&lt;20,"",_xlfn.STDEV.S(G3726:G3755)*SQRT($R$3))</f>
        <v>0.560897042183046</v>
      </c>
      <c r="N3755" s="25" t="n">
        <f aca="false">IF(A3755-7&lt;$R$2,"",C3755/INDEX(Clean_Data!$C$2:$C$4314,MATCH(A3755-7,Clean_Data!$A$2:$A$4314,1))-1)</f>
        <v>0.0173615151084059</v>
      </c>
      <c r="O3755" s="25" t="n">
        <f aca="false">IF(A3755-30&lt;$R$2,"",C3755/INDEX(Clean_Data!$C$2:$C$4314,MATCH(A3755-30,Clean_Data!$A$2:$A$4314,1))-1)</f>
        <v>0.000206162496994455</v>
      </c>
    </row>
    <row r="3756" customFormat="false" ht="15" hidden="false" customHeight="false" outlineLevel="0" collapsed="false">
      <c r="A3756" s="16" t="n">
        <v>45763</v>
      </c>
      <c r="B3756" s="23" t="n">
        <f aca="false">YEAR(A3756)</f>
        <v>2025</v>
      </c>
      <c r="C3756" s="17" t="n">
        <v>84961.97</v>
      </c>
      <c r="D3756" s="23" t="n">
        <f aca="false">A3756-A3755</f>
        <v>1</v>
      </c>
      <c r="E3756" s="24" t="n">
        <f aca="false">LN(C3756)</f>
        <v>11.3499590235892</v>
      </c>
      <c r="F3756" s="25" t="n">
        <f aca="false">LN(C3756/C3755)</f>
        <v>0.0110450994379985</v>
      </c>
      <c r="G3756" s="25" t="n">
        <f aca="false">IF(AND(D3756=1,A3756&gt;=$R$2),F3756,"")</f>
        <v>0.0110450994379985</v>
      </c>
      <c r="H3756" s="27" t="n">
        <f aca="false">IF(G3756="","",G3756^2)</f>
        <v>0.000121994221595275</v>
      </c>
      <c r="I3756" s="25" t="n">
        <f aca="false">IF(G3756="","",C3756/C3755-1)</f>
        <v>0.0111063217433278</v>
      </c>
      <c r="J3756" s="17" t="n">
        <f aca="false">AVERAGE(C3557:C3756)</f>
        <v>87741.5506</v>
      </c>
      <c r="K3756" s="17" t="n">
        <f aca="false">MAX(K3755,C3756)</f>
        <v>106159.26</v>
      </c>
      <c r="L3756" s="25" t="n">
        <f aca="false">C3756/K3756-1</f>
        <v>-0.199674432545969</v>
      </c>
      <c r="M3756" s="25" t="n">
        <f aca="false">IF(COUNT(G3727:G3756)&lt;20,"",_xlfn.STDEV.S(G3727:G3756)*SQRT($R$3))</f>
        <v>0.559208187689336</v>
      </c>
      <c r="N3756" s="25" t="n">
        <f aca="false">IF(A3756-7&lt;$R$2,"",C3756/INDEX(Clean_Data!$C$2:$C$4314,MATCH(A3756-7,Clean_Data!$A$2:$A$4314,1))-1)</f>
        <v>0.0680008909857335</v>
      </c>
      <c r="O3756" s="25" t="n">
        <f aca="false">IF(A3756-30&lt;$R$2,"",C3756/INDEX(Clean_Data!$C$2:$C$4314,MATCH(A3756-30,Clean_Data!$A$2:$A$4314,1))-1)</f>
        <v>0.0273669157796321</v>
      </c>
    </row>
    <row r="3757" customFormat="false" ht="15" hidden="false" customHeight="false" outlineLevel="0" collapsed="false">
      <c r="A3757" s="16" t="n">
        <v>45764</v>
      </c>
      <c r="B3757" s="23" t="n">
        <f aca="false">YEAR(A3757)</f>
        <v>2025</v>
      </c>
      <c r="C3757" s="17" t="n">
        <v>84466.47</v>
      </c>
      <c r="D3757" s="23" t="n">
        <f aca="false">A3757-A3756</f>
        <v>1</v>
      </c>
      <c r="E3757" s="24" t="n">
        <f aca="false">LN(C3757)</f>
        <v>11.3441099298637</v>
      </c>
      <c r="F3757" s="25" t="n">
        <f aca="false">LN(C3757/C3756)</f>
        <v>-0.00584909372553337</v>
      </c>
      <c r="G3757" s="25" t="n">
        <f aca="false">IF(AND(D3757=1,A3757&gt;=$R$2),F3757,"")</f>
        <v>-0.00584909372553337</v>
      </c>
      <c r="H3757" s="27" t="n">
        <f aca="false">IF(G3757="","",G3757^2)</f>
        <v>3.42118974100739E-005</v>
      </c>
      <c r="I3757" s="25" t="n">
        <f aca="false">IF(G3757="","",C3757/C3756-1)</f>
        <v>-0.00583202107954883</v>
      </c>
      <c r="J3757" s="17" t="n">
        <f aca="false">AVERAGE(C3558:C3757)</f>
        <v>87847.3767</v>
      </c>
      <c r="K3757" s="17" t="n">
        <f aca="false">MAX(K3756,C3757)</f>
        <v>106159.26</v>
      </c>
      <c r="L3757" s="25" t="n">
        <f aca="false">C3757/K3757-1</f>
        <v>-0.204341948125863</v>
      </c>
      <c r="M3757" s="25" t="n">
        <f aca="false">IF(COUNT(G3728:G3757)&lt;20,"",_xlfn.STDEV.S(G3728:G3757)*SQRT($R$3))</f>
        <v>0.531533077671705</v>
      </c>
      <c r="N3757" s="25" t="n">
        <f aca="false">IF(A3757-7&lt;$R$2,"",C3757/INDEX(Clean_Data!$C$2:$C$4314,MATCH(A3757-7,Clean_Data!$A$2:$A$4314,1))-1)</f>
        <v>0.0130246327467332</v>
      </c>
      <c r="O3757" s="25" t="n">
        <f aca="false">IF(A3757-30&lt;$R$2,"",C3757/INDEX(Clean_Data!$C$2:$C$4314,MATCH(A3757-30,Clean_Data!$A$2:$A$4314,1))-1)</f>
        <v>-0.0277572125312335</v>
      </c>
    </row>
    <row r="3758" customFormat="false" ht="15" hidden="false" customHeight="false" outlineLevel="0" collapsed="false">
      <c r="A3758" s="16" t="n">
        <v>45765</v>
      </c>
      <c r="B3758" s="23" t="n">
        <f aca="false">YEAR(A3758)</f>
        <v>2025</v>
      </c>
      <c r="C3758" s="17" t="n">
        <v>85074.99</v>
      </c>
      <c r="D3758" s="23" t="n">
        <f aca="false">A3758-A3757</f>
        <v>1</v>
      </c>
      <c r="E3758" s="24" t="n">
        <f aca="false">LN(C3758)</f>
        <v>11.3512883818258</v>
      </c>
      <c r="F3758" s="25" t="n">
        <f aca="false">LN(C3758/C3757)</f>
        <v>0.00717845196204875</v>
      </c>
      <c r="G3758" s="25" t="n">
        <f aca="false">IF(AND(D3758=1,A3758&gt;=$R$2),F3758,"")</f>
        <v>0.00717845196204875</v>
      </c>
      <c r="H3758" s="27" t="n">
        <f aca="false">IF(G3758="","",G3758^2)</f>
        <v>5.15301725714416E-005</v>
      </c>
      <c r="I3758" s="25" t="n">
        <f aca="false">IF(G3758="","",C3758/C3757-1)</f>
        <v>0.00720427881027819</v>
      </c>
      <c r="J3758" s="17" t="n">
        <f aca="false">AVERAGE(C3559:C3758)</f>
        <v>87968.80165</v>
      </c>
      <c r="K3758" s="17" t="n">
        <f aca="false">MAX(K3757,C3758)</f>
        <v>106159.26</v>
      </c>
      <c r="L3758" s="25" t="n">
        <f aca="false">C3758/K3758-1</f>
        <v>-0.198609805682519</v>
      </c>
      <c r="M3758" s="25" t="n">
        <f aca="false">IF(COUNT(G3729:G3758)&lt;20,"",_xlfn.STDEV.S(G3729:G3758)*SQRT($R$3))</f>
        <v>0.52054599885544</v>
      </c>
      <c r="N3758" s="25" t="n">
        <f aca="false">IF(A3758-7&lt;$R$2,"",C3758/INDEX(Clean_Data!$C$2:$C$4314,MATCH(A3758-7,Clean_Data!$A$2:$A$4314,1))-1)</f>
        <v>-0.00229878829862562</v>
      </c>
      <c r="O3758" s="25" t="n">
        <f aca="false">IF(A3758-30&lt;$R$2,"",C3758/INDEX(Clean_Data!$C$2:$C$4314,MATCH(A3758-30,Clean_Data!$A$2:$A$4314,1))-1)</f>
        <v>0.0105908027970354</v>
      </c>
    </row>
    <row r="3759" customFormat="false" ht="15" hidden="false" customHeight="false" outlineLevel="0" collapsed="false">
      <c r="A3759" s="16" t="n">
        <v>45766</v>
      </c>
      <c r="B3759" s="23" t="n">
        <f aca="false">YEAR(A3759)</f>
        <v>2025</v>
      </c>
      <c r="C3759" s="17" t="n">
        <v>85177.34</v>
      </c>
      <c r="D3759" s="23" t="n">
        <f aca="false">A3759-A3758</f>
        <v>1</v>
      </c>
      <c r="E3759" s="24" t="n">
        <f aca="false">LN(C3759)</f>
        <v>11.3524907150018</v>
      </c>
      <c r="F3759" s="25" t="n">
        <f aca="false">LN(C3759/C3758)</f>
        <v>0.00120233317605467</v>
      </c>
      <c r="G3759" s="25" t="n">
        <f aca="false">IF(AND(D3759=1,A3759&gt;=$R$2),F3759,"")</f>
        <v>0.00120233317605467</v>
      </c>
      <c r="H3759" s="27" t="n">
        <f aca="false">IF(G3759="","",G3759^2)</f>
        <v>1.4456050662417E-006</v>
      </c>
      <c r="I3759" s="25" t="n">
        <f aca="false">IF(G3759="","",C3759/C3758-1)</f>
        <v>0.00120305626835804</v>
      </c>
      <c r="J3759" s="17" t="n">
        <f aca="false">AVERAGE(C3560:C3759)</f>
        <v>88091.5315</v>
      </c>
      <c r="K3759" s="17" t="n">
        <f aca="false">MAX(K3758,C3759)</f>
        <v>106159.26</v>
      </c>
      <c r="L3759" s="25" t="n">
        <f aca="false">C3759/K3759-1</f>
        <v>-0.197645688185845</v>
      </c>
      <c r="M3759" s="25" t="n">
        <f aca="false">IF(COUNT(G3730:G3759)&lt;20,"",_xlfn.STDEV.S(G3730:G3759)*SQRT($R$3))</f>
        <v>0.52051298150302</v>
      </c>
      <c r="N3759" s="25" t="n">
        <f aca="false">IF(A3759-7&lt;$R$2,"",C3759/INDEX(Clean_Data!$C$2:$C$4314,MATCH(A3759-7,Clean_Data!$A$2:$A$4314,1))-1)</f>
        <v>0.0172485016971191</v>
      </c>
      <c r="O3759" s="25" t="n">
        <f aca="false">IF(A3759-30&lt;$R$2,"",C3759/INDEX(Clean_Data!$C$2:$C$4314,MATCH(A3759-30,Clean_Data!$A$2:$A$4314,1))-1)</f>
        <v>0.0132685462009212</v>
      </c>
    </row>
    <row r="3760" customFormat="false" ht="15" hidden="false" customHeight="false" outlineLevel="0" collapsed="false">
      <c r="A3760" s="16" t="n">
        <v>45767</v>
      </c>
      <c r="B3760" s="23" t="n">
        <f aca="false">YEAR(A3760)</f>
        <v>2025</v>
      </c>
      <c r="C3760" s="17" t="n">
        <v>87522.07</v>
      </c>
      <c r="D3760" s="23" t="n">
        <f aca="false">A3760-A3759</f>
        <v>1</v>
      </c>
      <c r="E3760" s="24" t="n">
        <f aca="false">LN(C3760)</f>
        <v>11.3796462691129</v>
      </c>
      <c r="F3760" s="25" t="n">
        <f aca="false">LN(C3760/C3759)</f>
        <v>0.0271555541110461</v>
      </c>
      <c r="G3760" s="25" t="n">
        <f aca="false">IF(AND(D3760=1,A3760&gt;=$R$2),F3760,"")</f>
        <v>0.0271555541110461</v>
      </c>
      <c r="H3760" s="27" t="n">
        <f aca="false">IF(G3760="","",G3760^2)</f>
        <v>0.000737424119077952</v>
      </c>
      <c r="I3760" s="25" t="n">
        <f aca="false">IF(G3760="","",C3760/C3759-1)</f>
        <v>0.0275276264790614</v>
      </c>
      <c r="J3760" s="17" t="n">
        <f aca="false">AVERAGE(C3561:C3760)</f>
        <v>88225.4169</v>
      </c>
      <c r="K3760" s="17" t="n">
        <f aca="false">MAX(K3759,C3760)</f>
        <v>106159.26</v>
      </c>
      <c r="L3760" s="25" t="n">
        <f aca="false">C3760/K3760-1</f>
        <v>-0.17555877838636</v>
      </c>
      <c r="M3760" s="25" t="n">
        <f aca="false">IF(COUNT(G3731:G3760)&lt;20,"",_xlfn.STDEV.S(G3731:G3760)*SQRT($R$3))</f>
        <v>0.528620343570568</v>
      </c>
      <c r="N3760" s="25" t="n">
        <f aca="false">IF(A3760-7&lt;$R$2,"",C3760/INDEX(Clean_Data!$C$2:$C$4314,MATCH(A3760-7,Clean_Data!$A$2:$A$4314,1))-1)</f>
        <v>0.0346577316847925</v>
      </c>
      <c r="O3760" s="25" t="n">
        <f aca="false">IF(A3760-30&lt;$R$2,"",C3760/INDEX(Clean_Data!$C$2:$C$4314,MATCH(A3760-30,Clean_Data!$A$2:$A$4314,1))-1)</f>
        <v>0.043768051888547</v>
      </c>
    </row>
    <row r="3761" customFormat="false" ht="15" hidden="false" customHeight="false" outlineLevel="0" collapsed="false">
      <c r="A3761" s="16" t="n">
        <v>45768</v>
      </c>
      <c r="B3761" s="23" t="n">
        <f aca="false">YEAR(A3761)</f>
        <v>2025</v>
      </c>
      <c r="C3761" s="17" t="n">
        <v>93489.1</v>
      </c>
      <c r="D3761" s="23" t="n">
        <f aca="false">A3761-A3760</f>
        <v>1</v>
      </c>
      <c r="E3761" s="24" t="n">
        <f aca="false">LN(C3761)</f>
        <v>11.445600130941</v>
      </c>
      <c r="F3761" s="25" t="n">
        <f aca="false">LN(C3761/C3760)</f>
        <v>0.0659538618281257</v>
      </c>
      <c r="G3761" s="25" t="n">
        <f aca="false">IF(AND(D3761=1,A3761&gt;=$R$2),F3761,"")</f>
        <v>0.0659538618281257</v>
      </c>
      <c r="H3761" s="27" t="n">
        <f aca="false">IF(G3761="","",G3761^2)</f>
        <v>0.00434991189004349</v>
      </c>
      <c r="I3761" s="25" t="n">
        <f aca="false">IF(G3761="","",C3761/C3760-1)</f>
        <v>0.0681774322750821</v>
      </c>
      <c r="J3761" s="17" t="n">
        <f aca="false">AVERAGE(C3562:C3761)</f>
        <v>88382.40885</v>
      </c>
      <c r="K3761" s="17" t="n">
        <f aca="false">MAX(K3760,C3761)</f>
        <v>106159.26</v>
      </c>
      <c r="L3761" s="25" t="n">
        <f aca="false">C3761/K3761-1</f>
        <v>-0.11935049283501</v>
      </c>
      <c r="M3761" s="25" t="n">
        <f aca="false">IF(COUNT(G3732:G3761)&lt;20,"",_xlfn.STDEV.S(G3732:G3761)*SQRT($R$3))</f>
        <v>0.568642087353508</v>
      </c>
      <c r="N3761" s="25" t="n">
        <f aca="false">IF(A3761-7&lt;$R$2,"",C3761/INDEX(Clean_Data!$C$2:$C$4314,MATCH(A3761-7,Clean_Data!$A$2:$A$4314,1))-1)</f>
        <v>0.117892454099485</v>
      </c>
      <c r="O3761" s="25" t="n">
        <f aca="false">IF(A3761-30&lt;$R$2,"",C3761/INDEX(Clean_Data!$C$2:$C$4314,MATCH(A3761-30,Clean_Data!$A$2:$A$4314,1))-1)</f>
        <v>0.0859090187883003</v>
      </c>
    </row>
    <row r="3762" customFormat="false" ht="15" hidden="false" customHeight="false" outlineLevel="0" collapsed="false">
      <c r="A3762" s="16" t="n">
        <v>45769</v>
      </c>
      <c r="B3762" s="23" t="n">
        <f aca="false">YEAR(A3762)</f>
        <v>2025</v>
      </c>
      <c r="C3762" s="17" t="n">
        <v>93740.92</v>
      </c>
      <c r="D3762" s="23" t="n">
        <f aca="false">A3762-A3761</f>
        <v>1</v>
      </c>
      <c r="E3762" s="24" t="n">
        <f aca="false">LN(C3762)</f>
        <v>11.4482900858087</v>
      </c>
      <c r="F3762" s="25" t="n">
        <f aca="false">LN(C3762/C3761)</f>
        <v>0.00268995486775504</v>
      </c>
      <c r="G3762" s="25" t="n">
        <f aca="false">IF(AND(D3762=1,A3762&gt;=$R$2),F3762,"")</f>
        <v>0.00268995486775504</v>
      </c>
      <c r="H3762" s="27" t="n">
        <f aca="false">IF(G3762="","",G3762^2)</f>
        <v>7.23585719055901E-006</v>
      </c>
      <c r="I3762" s="25" t="n">
        <f aca="false">IF(G3762="","",C3762/C3761-1)</f>
        <v>0.0026935760425546</v>
      </c>
      <c r="J3762" s="17" t="n">
        <f aca="false">AVERAGE(C3563:C3762)</f>
        <v>88540.857</v>
      </c>
      <c r="K3762" s="17" t="n">
        <f aca="false">MAX(K3761,C3762)</f>
        <v>106159.26</v>
      </c>
      <c r="L3762" s="25" t="n">
        <f aca="false">C3762/K3762-1</f>
        <v>-0.116978396420623</v>
      </c>
      <c r="M3762" s="25" t="n">
        <f aca="false">IF(COUNT(G3733:G3762)&lt;20,"",_xlfn.STDEV.S(G3733:G3762)*SQRT($R$3))</f>
        <v>0.566480369090483</v>
      </c>
      <c r="N3762" s="25" t="n">
        <f aca="false">IF(A3762-7&lt;$R$2,"",C3762/INDEX(Clean_Data!$C$2:$C$4314,MATCH(A3762-7,Clean_Data!$A$2:$A$4314,1))-1)</f>
        <v>0.115581910565816</v>
      </c>
      <c r="O3762" s="25" t="n">
        <f aca="false">IF(A3762-30&lt;$R$2,"",C3762/INDEX(Clean_Data!$C$2:$C$4314,MATCH(A3762-30,Clean_Data!$A$2:$A$4314,1))-1)</f>
        <v>0.0710356815680155</v>
      </c>
    </row>
    <row r="3763" customFormat="false" ht="15" hidden="false" customHeight="false" outlineLevel="0" collapsed="false">
      <c r="A3763" s="16" t="n">
        <v>45770</v>
      </c>
      <c r="B3763" s="23" t="n">
        <f aca="false">YEAR(A3763)</f>
        <v>2025</v>
      </c>
      <c r="C3763" s="17" t="n">
        <v>94021.96</v>
      </c>
      <c r="D3763" s="23" t="n">
        <f aca="false">A3763-A3762</f>
        <v>1</v>
      </c>
      <c r="E3763" s="24" t="n">
        <f aca="false">LN(C3763)</f>
        <v>11.4512836509892</v>
      </c>
      <c r="F3763" s="25" t="n">
        <f aca="false">LN(C3763/C3762)</f>
        <v>0.00299356518047357</v>
      </c>
      <c r="G3763" s="25" t="n">
        <f aca="false">IF(AND(D3763=1,A3763&gt;=$R$2),F3763,"")</f>
        <v>0.00299356518047357</v>
      </c>
      <c r="H3763" s="27" t="n">
        <f aca="false">IF(G3763="","",G3763^2)</f>
        <v>8.96143248974373E-006</v>
      </c>
      <c r="I3763" s="25" t="n">
        <f aca="false">IF(G3763="","",C3763/C3762-1)</f>
        <v>0.00299805037117196</v>
      </c>
      <c r="J3763" s="17" t="n">
        <f aca="false">AVERAGE(C3564:C3763)</f>
        <v>88696.9125</v>
      </c>
      <c r="K3763" s="17" t="n">
        <f aca="false">MAX(K3762,C3763)</f>
        <v>106159.26</v>
      </c>
      <c r="L3763" s="25" t="n">
        <f aca="false">C3763/K3763-1</f>
        <v>-0.114331053174259</v>
      </c>
      <c r="M3763" s="25" t="n">
        <f aca="false">IF(COUNT(G3734:G3763)&lt;20,"",_xlfn.STDEV.S(G3734:G3763)*SQRT($R$3))</f>
        <v>0.566352637515097</v>
      </c>
      <c r="N3763" s="25" t="n">
        <f aca="false">IF(A3763-7&lt;$R$2,"",C3763/INDEX(Clean_Data!$C$2:$C$4314,MATCH(A3763-7,Clean_Data!$A$2:$A$4314,1))-1)</f>
        <v>0.106635827770943</v>
      </c>
      <c r="O3763" s="25" t="n">
        <f aca="false">IF(A3763-30&lt;$R$2,"",C3763/INDEX(Clean_Data!$C$2:$C$4314,MATCH(A3763-30,Clean_Data!$A$2:$A$4314,1))-1)</f>
        <v>0.0754230801433136</v>
      </c>
    </row>
    <row r="3764" customFormat="false" ht="15" hidden="false" customHeight="false" outlineLevel="0" collapsed="false">
      <c r="A3764" s="16" t="n">
        <v>45771</v>
      </c>
      <c r="B3764" s="23" t="n">
        <f aca="false">YEAR(A3764)</f>
        <v>2025</v>
      </c>
      <c r="C3764" s="17" t="n">
        <v>94708.79</v>
      </c>
      <c r="D3764" s="23" t="n">
        <f aca="false">A3764-A3763</f>
        <v>1</v>
      </c>
      <c r="E3764" s="24" t="n">
        <f aca="false">LN(C3764)</f>
        <v>11.4585620942965</v>
      </c>
      <c r="F3764" s="25" t="n">
        <f aca="false">LN(C3764/C3763)</f>
        <v>0.00727844330728046</v>
      </c>
      <c r="G3764" s="25" t="n">
        <f aca="false">IF(AND(D3764=1,A3764&gt;=$R$2),F3764,"")</f>
        <v>0.00727844330728046</v>
      </c>
      <c r="H3764" s="27" t="n">
        <f aca="false">IF(G3764="","",G3764^2)</f>
        <v>5.29757369772957E-005</v>
      </c>
      <c r="I3764" s="25" t="n">
        <f aca="false">IF(G3764="","",C3764/C3763-1)</f>
        <v>0.00730499555635711</v>
      </c>
      <c r="J3764" s="17" t="n">
        <f aca="false">AVERAGE(C3565:C3764)</f>
        <v>88859.45505</v>
      </c>
      <c r="K3764" s="17" t="n">
        <f aca="false">MAX(K3763,C3764)</f>
        <v>106159.26</v>
      </c>
      <c r="L3764" s="25" t="n">
        <f aca="false">C3764/K3764-1</f>
        <v>-0.107861245453293</v>
      </c>
      <c r="M3764" s="25" t="n">
        <f aca="false">IF(COUNT(G3735:G3764)&lt;20,"",_xlfn.STDEV.S(G3735:G3764)*SQRT($R$3))</f>
        <v>0.565807672948013</v>
      </c>
      <c r="N3764" s="25" t="n">
        <f aca="false">IF(A3764-7&lt;$R$2,"",C3764/INDEX(Clean_Data!$C$2:$C$4314,MATCH(A3764-7,Clean_Data!$A$2:$A$4314,1))-1)</f>
        <v>0.121259003720648</v>
      </c>
      <c r="O3764" s="25" t="n">
        <f aca="false">IF(A3764-30&lt;$R$2,"",C3764/INDEX(Clean_Data!$C$2:$C$4314,MATCH(A3764-30,Clean_Data!$A$2:$A$4314,1))-1)</f>
        <v>0.0895333859221192</v>
      </c>
    </row>
    <row r="3765" customFormat="false" ht="15" hidden="false" customHeight="false" outlineLevel="0" collapsed="false">
      <c r="A3765" s="16" t="n">
        <v>45772</v>
      </c>
      <c r="B3765" s="23" t="n">
        <f aca="false">YEAR(A3765)</f>
        <v>2025</v>
      </c>
      <c r="C3765" s="17" t="n">
        <v>94666.64</v>
      </c>
      <c r="D3765" s="23" t="n">
        <f aca="false">A3765-A3764</f>
        <v>1</v>
      </c>
      <c r="E3765" s="24" t="n">
        <f aca="false">LN(C3765)</f>
        <v>11.4581169467851</v>
      </c>
      <c r="F3765" s="25" t="n">
        <f aca="false">LN(C3765/C3764)</f>
        <v>-0.000445147511438183</v>
      </c>
      <c r="G3765" s="25" t="n">
        <f aca="false">IF(AND(D3765=1,A3765&gt;=$R$2),F3765,"")</f>
        <v>-0.000445147511438183</v>
      </c>
      <c r="H3765" s="27" t="n">
        <f aca="false">IF(G3765="","",G3765^2)</f>
        <v>1.98156306939607E-007</v>
      </c>
      <c r="I3765" s="25" t="n">
        <f aca="false">IF(G3765="","",C3765/C3764-1)</f>
        <v>-0.000445048447984542</v>
      </c>
      <c r="J3765" s="17" t="n">
        <f aca="false">AVERAGE(C3566:C3765)</f>
        <v>89022.17815</v>
      </c>
      <c r="K3765" s="17" t="n">
        <f aca="false">MAX(K3764,C3765)</f>
        <v>106159.26</v>
      </c>
      <c r="L3765" s="25" t="n">
        <f aca="false">C3765/K3765-1</f>
        <v>-0.108258290421391</v>
      </c>
      <c r="M3765" s="25" t="n">
        <f aca="false">IF(COUNT(G3736:G3765)&lt;20,"",_xlfn.STDEV.S(G3736:G3765)*SQRT($R$3))</f>
        <v>0.565921044260837</v>
      </c>
      <c r="N3765" s="25" t="n">
        <f aca="false">IF(A3765-7&lt;$R$2,"",C3765/INDEX(Clean_Data!$C$2:$C$4314,MATCH(A3765-7,Clean_Data!$A$2:$A$4314,1))-1)</f>
        <v>0.112743474903729</v>
      </c>
      <c r="O3765" s="25" t="n">
        <f aca="false">IF(A3765-30&lt;$R$2,"",C3765/INDEX(Clean_Data!$C$2:$C$4314,MATCH(A3765-30,Clean_Data!$A$2:$A$4314,1))-1)</f>
        <v>0.0854090258053777</v>
      </c>
    </row>
    <row r="3766" customFormat="false" ht="15" hidden="false" customHeight="false" outlineLevel="0" collapsed="false">
      <c r="A3766" s="16" t="n">
        <v>45773</v>
      </c>
      <c r="B3766" s="23" t="n">
        <f aca="false">YEAR(A3766)</f>
        <v>2025</v>
      </c>
      <c r="C3766" s="17" t="n">
        <v>93780.57</v>
      </c>
      <c r="D3766" s="23" t="n">
        <f aca="false">A3766-A3765</f>
        <v>1</v>
      </c>
      <c r="E3766" s="24" t="n">
        <f aca="false">LN(C3766)</f>
        <v>11.4487129706801</v>
      </c>
      <c r="F3766" s="25" t="n">
        <f aca="false">LN(C3766/C3765)</f>
        <v>-0.00940397610492444</v>
      </c>
      <c r="G3766" s="25" t="n">
        <f aca="false">IF(AND(D3766=1,A3766&gt;=$R$2),F3766,"")</f>
        <v>-0.00940397610492444</v>
      </c>
      <c r="H3766" s="27" t="n">
        <f aca="false">IF(G3766="","",G3766^2)</f>
        <v>8.84347665819898E-005</v>
      </c>
      <c r="I3766" s="25" t="n">
        <f aca="false">IF(G3766="","",C3766/C3765-1)</f>
        <v>-0.00935989700278783</v>
      </c>
      <c r="J3766" s="17" t="n">
        <f aca="false">AVERAGE(C3567:C3766)</f>
        <v>89188.1896</v>
      </c>
      <c r="K3766" s="17" t="n">
        <f aca="false">MAX(K3765,C3766)</f>
        <v>106159.26</v>
      </c>
      <c r="L3766" s="25" t="n">
        <f aca="false">C3766/K3766-1</f>
        <v>-0.116604900976137</v>
      </c>
      <c r="M3766" s="25" t="n">
        <f aca="false">IF(COUNT(G3737:G3766)&lt;20,"",_xlfn.STDEV.S(G3737:G3766)*SQRT($R$3))</f>
        <v>0.552963173852911</v>
      </c>
      <c r="N3766" s="25" t="n">
        <f aca="false">IF(A3766-7&lt;$R$2,"",C3766/INDEX(Clean_Data!$C$2:$C$4314,MATCH(A3766-7,Clean_Data!$A$2:$A$4314,1))-1)</f>
        <v>0.101003741135847</v>
      </c>
      <c r="O3766" s="25" t="n">
        <f aca="false">IF(A3766-30&lt;$R$2,"",C3766/INDEX(Clean_Data!$C$2:$C$4314,MATCH(A3766-30,Clean_Data!$A$2:$A$4314,1))-1)</f>
        <v>0.11138385291615</v>
      </c>
    </row>
    <row r="3767" customFormat="false" ht="15" hidden="false" customHeight="false" outlineLevel="0" collapsed="false">
      <c r="A3767" s="16" t="n">
        <v>45774</v>
      </c>
      <c r="B3767" s="23" t="n">
        <f aca="false">YEAR(A3767)</f>
        <v>2025</v>
      </c>
      <c r="C3767" s="17" t="n">
        <v>95042.57</v>
      </c>
      <c r="D3767" s="23" t="n">
        <f aca="false">A3767-A3766</f>
        <v>1</v>
      </c>
      <c r="E3767" s="24" t="n">
        <f aca="false">LN(C3767)</f>
        <v>11.4620801754767</v>
      </c>
      <c r="F3767" s="25" t="n">
        <f aca="false">LN(C3767/C3766)</f>
        <v>0.0133672047965268</v>
      </c>
      <c r="G3767" s="25" t="n">
        <f aca="false">IF(AND(D3767=1,A3767&gt;=$R$2),F3767,"")</f>
        <v>0.0133672047965268</v>
      </c>
      <c r="H3767" s="27" t="n">
        <f aca="false">IF(G3767="","",G3767^2)</f>
        <v>0.00017868216407229</v>
      </c>
      <c r="I3767" s="25" t="n">
        <f aca="false">IF(G3767="","",C3767/C3766-1)</f>
        <v>0.0134569452926123</v>
      </c>
      <c r="J3767" s="17" t="n">
        <f aca="false">AVERAGE(C3568:C3767)</f>
        <v>89362.0048</v>
      </c>
      <c r="K3767" s="17" t="n">
        <f aca="false">MAX(K3766,C3767)</f>
        <v>106159.26</v>
      </c>
      <c r="L3767" s="25" t="n">
        <f aca="false">C3767/K3767-1</f>
        <v>-0.104717101456811</v>
      </c>
      <c r="M3767" s="25" t="n">
        <f aca="false">IF(COUNT(G3738:G3767)&lt;20,"",_xlfn.STDEV.S(G3738:G3767)*SQRT($R$3))</f>
        <v>0.546659129808241</v>
      </c>
      <c r="N3767" s="25" t="n">
        <f aca="false">IF(A3767-7&lt;$R$2,"",C3767/INDEX(Clean_Data!$C$2:$C$4314,MATCH(A3767-7,Clean_Data!$A$2:$A$4314,1))-1)</f>
        <v>0.0859268982097887</v>
      </c>
      <c r="O3767" s="25" t="n">
        <f aca="false">IF(A3767-30&lt;$R$2,"",C3767/INDEX(Clean_Data!$C$2:$C$4314,MATCH(A3767-30,Clean_Data!$A$2:$A$4314,1))-1)</f>
        <v>0.150402042779903</v>
      </c>
    </row>
    <row r="3768" customFormat="false" ht="15" hidden="false" customHeight="false" outlineLevel="0" collapsed="false">
      <c r="A3768" s="16" t="n">
        <v>45775</v>
      </c>
      <c r="B3768" s="23" t="n">
        <f aca="false">YEAR(A3768)</f>
        <v>2025</v>
      </c>
      <c r="C3768" s="17" t="n">
        <v>94271.09</v>
      </c>
      <c r="D3768" s="23" t="n">
        <f aca="false">A3768-A3767</f>
        <v>1</v>
      </c>
      <c r="E3768" s="24" t="n">
        <f aca="false">LN(C3768)</f>
        <v>11.4539298468565</v>
      </c>
      <c r="F3768" s="25" t="n">
        <f aca="false">LN(C3768/C3767)</f>
        <v>-0.00815032862015538</v>
      </c>
      <c r="G3768" s="25" t="n">
        <f aca="false">IF(AND(D3768=1,A3768&gt;=$R$2),F3768,"")</f>
        <v>-0.00815032862015538</v>
      </c>
      <c r="H3768" s="27" t="n">
        <f aca="false">IF(G3768="","",G3768^2)</f>
        <v>6.6427856616524E-005</v>
      </c>
      <c r="I3768" s="25" t="n">
        <f aca="false">IF(G3768="","",C3768/C3767-1)</f>
        <v>-0.00811720474309574</v>
      </c>
      <c r="J3768" s="17" t="n">
        <f aca="false">AVERAGE(C3569:C3768)</f>
        <v>89520.7665</v>
      </c>
      <c r="K3768" s="17" t="n">
        <f aca="false">MAX(K3767,C3768)</f>
        <v>106159.26</v>
      </c>
      <c r="L3768" s="25" t="n">
        <f aca="false">C3768/K3768-1</f>
        <v>-0.111984296047278</v>
      </c>
      <c r="M3768" s="25" t="n">
        <f aca="false">IF(COUNT(G3739:G3768)&lt;20,"",_xlfn.STDEV.S(G3739:G3768)*SQRT($R$3))</f>
        <v>0.547884578796964</v>
      </c>
      <c r="N3768" s="25" t="n">
        <f aca="false">IF(A3768-7&lt;$R$2,"",C3768/INDEX(Clean_Data!$C$2:$C$4314,MATCH(A3768-7,Clean_Data!$A$2:$A$4314,1))-1)</f>
        <v>0.00836450452512638</v>
      </c>
      <c r="O3768" s="25" t="n">
        <f aca="false">IF(A3768-30&lt;$R$2,"",C3768/INDEX(Clean_Data!$C$2:$C$4314,MATCH(A3768-30,Clean_Data!$A$2:$A$4314,1))-1)</f>
        <v>0.144344657524802</v>
      </c>
    </row>
    <row r="3769" customFormat="false" ht="15" hidden="false" customHeight="false" outlineLevel="0" collapsed="false">
      <c r="A3769" s="16" t="n">
        <v>45776</v>
      </c>
      <c r="B3769" s="23" t="n">
        <f aca="false">YEAR(A3769)</f>
        <v>2025</v>
      </c>
      <c r="C3769" s="17" t="n">
        <v>94182.54</v>
      </c>
      <c r="D3769" s="23" t="n">
        <f aca="false">A3769-A3768</f>
        <v>1</v>
      </c>
      <c r="E3769" s="24" t="n">
        <f aca="false">LN(C3769)</f>
        <v>11.4529900930665</v>
      </c>
      <c r="F3769" s="25" t="n">
        <f aca="false">LN(C3769/C3768)</f>
        <v>-0.000939753790009947</v>
      </c>
      <c r="G3769" s="25" t="n">
        <f aca="false">IF(AND(D3769=1,A3769&gt;=$R$2),F3769,"")</f>
        <v>-0.000939753790009947</v>
      </c>
      <c r="H3769" s="27" t="n">
        <f aca="false">IF(G3769="","",G3769^2)</f>
        <v>8.8313718583806E-007</v>
      </c>
      <c r="I3769" s="25" t="n">
        <f aca="false">IF(G3769="","",C3769/C3768-1)</f>
        <v>-0.000939312359706457</v>
      </c>
      <c r="J3769" s="17" t="n">
        <f aca="false">AVERAGE(C3570:C3769)</f>
        <v>89675.74185</v>
      </c>
      <c r="K3769" s="17" t="n">
        <f aca="false">MAX(K3768,C3769)</f>
        <v>106159.26</v>
      </c>
      <c r="L3769" s="25" t="n">
        <f aca="false">C3769/K3769-1</f>
        <v>-0.112818420173615</v>
      </c>
      <c r="M3769" s="25" t="n">
        <f aca="false">IF(COUNT(G3740:G3769)&lt;20,"",_xlfn.STDEV.S(G3740:G3769)*SQRT($R$3))</f>
        <v>0.548141674919051</v>
      </c>
      <c r="N3769" s="25" t="n">
        <f aca="false">IF(A3769-7&lt;$R$2,"",C3769/INDEX(Clean_Data!$C$2:$C$4314,MATCH(A3769-7,Clean_Data!$A$2:$A$4314,1))-1)</f>
        <v>0.00471106961612922</v>
      </c>
      <c r="O3769" s="25" t="n">
        <f aca="false">IF(A3769-30&lt;$R$2,"",C3769/INDEX(Clean_Data!$C$2:$C$4314,MATCH(A3769-30,Clean_Data!$A$2:$A$4314,1))-1)</f>
        <v>0.141131834611347</v>
      </c>
    </row>
    <row r="3770" customFormat="false" ht="15" hidden="false" customHeight="false" outlineLevel="0" collapsed="false">
      <c r="A3770" s="16" t="n">
        <v>45777</v>
      </c>
      <c r="B3770" s="23" t="n">
        <f aca="false">YEAR(A3770)</f>
        <v>2025</v>
      </c>
      <c r="C3770" s="17" t="n">
        <v>96524.98</v>
      </c>
      <c r="D3770" s="23" t="n">
        <f aca="false">A3770-A3769</f>
        <v>1</v>
      </c>
      <c r="E3770" s="24" t="n">
        <f aca="false">LN(C3770)</f>
        <v>11.4775571139322</v>
      </c>
      <c r="F3770" s="25" t="n">
        <f aca="false">LN(C3770/C3769)</f>
        <v>0.0245670208657184</v>
      </c>
      <c r="G3770" s="25" t="n">
        <f aca="false">IF(AND(D3770=1,A3770&gt;=$R$2),F3770,"")</f>
        <v>0.0245670208657184</v>
      </c>
      <c r="H3770" s="27" t="n">
        <f aca="false">IF(G3770="","",G3770^2)</f>
        <v>0.000603538514216645</v>
      </c>
      <c r="I3770" s="25" t="n">
        <f aca="false">IF(G3770="","",C3770/C3769-1)</f>
        <v>0.0248712765656989</v>
      </c>
      <c r="J3770" s="17" t="n">
        <f aca="false">AVERAGE(C3571:C3770)</f>
        <v>89844.14025</v>
      </c>
      <c r="K3770" s="17" t="n">
        <f aca="false">MAX(K3769,C3770)</f>
        <v>106159.26</v>
      </c>
      <c r="L3770" s="25" t="n">
        <f aca="false">C3770/K3770-1</f>
        <v>-0.0907530817377589</v>
      </c>
      <c r="M3770" s="25" t="n">
        <f aca="false">IF(COUNT(G3741:G3770)&lt;20,"",_xlfn.STDEV.S(G3741:G3770)*SQRT($R$3))</f>
        <v>0.544386241294647</v>
      </c>
      <c r="N3770" s="25" t="n">
        <f aca="false">IF(A3770-7&lt;$R$2,"",C3770/INDEX(Clean_Data!$C$2:$C$4314,MATCH(A3770-7,Clean_Data!$A$2:$A$4314,1))-1)</f>
        <v>0.0266216530691339</v>
      </c>
      <c r="O3770" s="25" t="n">
        <f aca="false">IF(A3770-30&lt;$R$2,"",C3770/INDEX(Clean_Data!$C$2:$C$4314,MATCH(A3770-30,Clean_Data!$A$2:$A$4314,1))-1)</f>
        <v>0.133316433872484</v>
      </c>
    </row>
    <row r="3771" customFormat="false" ht="15" hidden="false" customHeight="false" outlineLevel="0" collapsed="false">
      <c r="A3771" s="16" t="n">
        <v>45778</v>
      </c>
      <c r="B3771" s="23" t="n">
        <f aca="false">YEAR(A3771)</f>
        <v>2025</v>
      </c>
      <c r="C3771" s="17" t="n">
        <v>96929.81</v>
      </c>
      <c r="D3771" s="23" t="n">
        <f aca="false">A3771-A3770</f>
        <v>1</v>
      </c>
      <c r="E3771" s="24" t="n">
        <f aca="false">LN(C3771)</f>
        <v>11.4817423873073</v>
      </c>
      <c r="F3771" s="25" t="n">
        <f aca="false">LN(C3771/C3770)</f>
        <v>0.00418527337507632</v>
      </c>
      <c r="G3771" s="25" t="n">
        <f aca="false">IF(AND(D3771=1,A3771&gt;=$R$2),F3771,"")</f>
        <v>0.00418527337507632</v>
      </c>
      <c r="H3771" s="27" t="n">
        <f aca="false">IF(G3771="","",G3771^2)</f>
        <v>1.75165132241227E-005</v>
      </c>
      <c r="I3771" s="25" t="n">
        <f aca="false">IF(G3771="","",C3771/C3770-1)</f>
        <v>0.00419404386304967</v>
      </c>
      <c r="J3771" s="17" t="n">
        <f aca="false">AVERAGE(C3572:C3771)</f>
        <v>89998.46105</v>
      </c>
      <c r="K3771" s="17" t="n">
        <f aca="false">MAX(K3770,C3771)</f>
        <v>106159.26</v>
      </c>
      <c r="L3771" s="25" t="n">
        <f aca="false">C3771/K3771-1</f>
        <v>-0.0869396602802243</v>
      </c>
      <c r="M3771" s="25" t="n">
        <f aca="false">IF(COUNT(G3742:G3771)&lt;20,"",_xlfn.STDEV.S(G3742:G3771)*SQRT($R$3))</f>
        <v>0.52854746989403</v>
      </c>
      <c r="N3771" s="25" t="n">
        <f aca="false">IF(A3771-7&lt;$R$2,"",C3771/INDEX(Clean_Data!$C$2:$C$4314,MATCH(A3771-7,Clean_Data!$A$2:$A$4314,1))-1)</f>
        <v>0.0234510439844073</v>
      </c>
      <c r="O3771" s="25" t="n">
        <f aca="false">IF(A3771-30&lt;$R$2,"",C3771/INDEX(Clean_Data!$C$2:$C$4314,MATCH(A3771-30,Clean_Data!$A$2:$A$4314,1))-1)</f>
        <v>0.175048078508349</v>
      </c>
    </row>
    <row r="3772" customFormat="false" ht="15" hidden="false" customHeight="false" outlineLevel="0" collapsed="false">
      <c r="A3772" s="16" t="n">
        <v>45779</v>
      </c>
      <c r="B3772" s="23" t="n">
        <f aca="false">YEAR(A3772)</f>
        <v>2025</v>
      </c>
      <c r="C3772" s="17" t="n">
        <v>95861.33</v>
      </c>
      <c r="D3772" s="23" t="n">
        <f aca="false">A3772-A3771</f>
        <v>1</v>
      </c>
      <c r="E3772" s="24" t="n">
        <f aca="false">LN(C3772)</f>
        <v>11.4706579470175</v>
      </c>
      <c r="F3772" s="25" t="n">
        <f aca="false">LN(C3772/C3771)</f>
        <v>-0.0110844402897443</v>
      </c>
      <c r="G3772" s="25" t="n">
        <f aca="false">IF(AND(D3772=1,A3772&gt;=$R$2),F3772,"")</f>
        <v>-0.0110844402897443</v>
      </c>
      <c r="H3772" s="27" t="n">
        <f aca="false">IF(G3772="","",G3772^2)</f>
        <v>0.000122864816536906</v>
      </c>
      <c r="I3772" s="25" t="n">
        <f aca="false">IF(G3772="","",C3772/C3771-1)</f>
        <v>-0.0110232342351646</v>
      </c>
      <c r="J3772" s="17" t="n">
        <f aca="false">AVERAGE(C3573:C3772)</f>
        <v>90142.4847</v>
      </c>
      <c r="K3772" s="17" t="n">
        <f aca="false">MAX(K3771,C3772)</f>
        <v>106159.26</v>
      </c>
      <c r="L3772" s="25" t="n">
        <f aca="false">C3772/K3772-1</f>
        <v>-0.0970045382757943</v>
      </c>
      <c r="M3772" s="25" t="n">
        <f aca="false">IF(COUNT(G3743:G3772)&lt;20,"",_xlfn.STDEV.S(G3743:G3772)*SQRT($R$3))</f>
        <v>0.531517957202736</v>
      </c>
      <c r="N3772" s="25" t="n">
        <f aca="false">IF(A3772-7&lt;$R$2,"",C3772/INDEX(Clean_Data!$C$2:$C$4314,MATCH(A3772-7,Clean_Data!$A$2:$A$4314,1))-1)</f>
        <v>0.012619968343653</v>
      </c>
      <c r="O3772" s="25" t="n">
        <f aca="false">IF(A3772-30&lt;$R$2,"",C3772/INDEX(Clean_Data!$C$2:$C$4314,MATCH(A3772-30,Clean_Data!$A$2:$A$4314,1))-1)</f>
        <v>0.152535042963376</v>
      </c>
    </row>
    <row r="3773" customFormat="false" ht="15" hidden="false" customHeight="false" outlineLevel="0" collapsed="false">
      <c r="A3773" s="16" t="n">
        <v>45780</v>
      </c>
      <c r="B3773" s="23" t="n">
        <f aca="false">YEAR(A3773)</f>
        <v>2025</v>
      </c>
      <c r="C3773" s="17" t="n">
        <v>94272.55</v>
      </c>
      <c r="D3773" s="23" t="n">
        <f aca="false">A3773-A3772</f>
        <v>1</v>
      </c>
      <c r="E3773" s="24" t="n">
        <f aca="false">LN(C3773)</f>
        <v>11.4539453339872</v>
      </c>
      <c r="F3773" s="25" t="n">
        <f aca="false">LN(C3773/C3772)</f>
        <v>-0.0167126130303156</v>
      </c>
      <c r="G3773" s="25" t="n">
        <f aca="false">IF(AND(D3773=1,A3773&gt;=$R$2),F3773,"")</f>
        <v>-0.0167126130303156</v>
      </c>
      <c r="H3773" s="27" t="n">
        <f aca="false">IF(G3773="","",G3773^2)</f>
        <v>0.000279311434301076</v>
      </c>
      <c r="I3773" s="25" t="n">
        <f aca="false">IF(G3773="","",C3773/C3772-1)</f>
        <v>-0.0165737320773663</v>
      </c>
      <c r="J3773" s="17" t="n">
        <f aca="false">AVERAGE(C3574:C3773)</f>
        <v>90275.80525</v>
      </c>
      <c r="K3773" s="17" t="n">
        <f aca="false">MAX(K3772,C3773)</f>
        <v>106159.26</v>
      </c>
      <c r="L3773" s="25" t="n">
        <f aca="false">C3773/K3773-1</f>
        <v>-0.111970543125489</v>
      </c>
      <c r="M3773" s="25" t="n">
        <f aca="false">IF(COUNT(G3744:G3773)&lt;20,"",_xlfn.STDEV.S(G3744:G3773)*SQRT($R$3))</f>
        <v>0.536550475175008</v>
      </c>
      <c r="N3773" s="25" t="n">
        <f aca="false">IF(A3773-7&lt;$R$2,"",C3773/INDEX(Clean_Data!$C$2:$C$4314,MATCH(A3773-7,Clean_Data!$A$2:$A$4314,1))-1)</f>
        <v>0.00524607602619609</v>
      </c>
      <c r="O3773" s="25" t="n">
        <f aca="false">IF(A3773-30&lt;$R$2,"",C3773/INDEX(Clean_Data!$C$2:$C$4314,MATCH(A3773-30,Clean_Data!$A$2:$A$4314,1))-1)</f>
        <v>0.12416372685194</v>
      </c>
    </row>
    <row r="3774" customFormat="false" ht="15" hidden="false" customHeight="false" outlineLevel="0" collapsed="false">
      <c r="A3774" s="16" t="n">
        <v>45781</v>
      </c>
      <c r="B3774" s="23" t="n">
        <f aca="false">YEAR(A3774)</f>
        <v>2025</v>
      </c>
      <c r="C3774" s="17" t="n">
        <v>94733.99</v>
      </c>
      <c r="D3774" s="23" t="n">
        <f aca="false">A3774-A3773</f>
        <v>1</v>
      </c>
      <c r="E3774" s="24" t="n">
        <f aca="false">LN(C3774)</f>
        <v>11.4588281376912</v>
      </c>
      <c r="F3774" s="25" t="n">
        <f aca="false">LN(C3774/C3773)</f>
        <v>0.00488280370399072</v>
      </c>
      <c r="G3774" s="25" t="n">
        <f aca="false">IF(AND(D3774=1,A3774&gt;=$R$2),F3774,"")</f>
        <v>0.00488280370399072</v>
      </c>
      <c r="H3774" s="27" t="n">
        <f aca="false">IF(G3774="","",G3774^2)</f>
        <v>2.38417720117055E-005</v>
      </c>
      <c r="I3774" s="25" t="n">
        <f aca="false">IF(G3774="","",C3774/C3773-1)</f>
        <v>0.00489474401615309</v>
      </c>
      <c r="J3774" s="17" t="n">
        <f aca="false">AVERAGE(C3575:C3774)</f>
        <v>90412.46355</v>
      </c>
      <c r="K3774" s="17" t="n">
        <f aca="false">MAX(K3773,C3774)</f>
        <v>106159.26</v>
      </c>
      <c r="L3774" s="25" t="n">
        <f aca="false">C3774/K3774-1</f>
        <v>-0.107623866255285</v>
      </c>
      <c r="M3774" s="25" t="n">
        <f aca="false">IF(COUNT(G3745:G3774)&lt;20,"",_xlfn.STDEV.S(G3745:G3774)*SQRT($R$3))</f>
        <v>0.535734295365705</v>
      </c>
      <c r="N3774" s="25" t="n">
        <f aca="false">IF(A3774-7&lt;$R$2,"",C3774/INDEX(Clean_Data!$C$2:$C$4314,MATCH(A3774-7,Clean_Data!$A$2:$A$4314,1))-1)</f>
        <v>-0.00324675563802623</v>
      </c>
      <c r="O3774" s="25" t="n">
        <f aca="false">IF(A3774-30&lt;$R$2,"",C3774/INDEX(Clean_Data!$C$2:$C$4314,MATCH(A3774-30,Clean_Data!$A$2:$A$4314,1))-1)</f>
        <v>0.134562580652888</v>
      </c>
    </row>
    <row r="3775" customFormat="false" ht="15" hidden="false" customHeight="false" outlineLevel="0" collapsed="false">
      <c r="A3775" s="16" t="n">
        <v>45782</v>
      </c>
      <c r="B3775" s="23" t="n">
        <f aca="false">YEAR(A3775)</f>
        <v>2025</v>
      </c>
      <c r="C3775" s="17" t="n">
        <v>96839.17</v>
      </c>
      <c r="D3775" s="23" t="n">
        <f aca="false">A3775-A3774</f>
        <v>1</v>
      </c>
      <c r="E3775" s="24" t="n">
        <f aca="false">LN(C3775)</f>
        <v>11.4808068401768</v>
      </c>
      <c r="F3775" s="25" t="n">
        <f aca="false">LN(C3775/C3774)</f>
        <v>0.0219787024855527</v>
      </c>
      <c r="G3775" s="25" t="n">
        <f aca="false">IF(AND(D3775=1,A3775&gt;=$R$2),F3775,"")</f>
        <v>0.0219787024855527</v>
      </c>
      <c r="H3775" s="27" t="n">
        <f aca="false">IF(G3775="","",G3775^2)</f>
        <v>0.000483063362948439</v>
      </c>
      <c r="I3775" s="25" t="n">
        <f aca="false">IF(G3775="","",C3775/C3774-1)</f>
        <v>0.0222220134505049</v>
      </c>
      <c r="J3775" s="17" t="n">
        <f aca="false">AVERAGE(C3576:C3775)</f>
        <v>90554.52885</v>
      </c>
      <c r="K3775" s="17" t="n">
        <f aca="false">MAX(K3774,C3775)</f>
        <v>106159.26</v>
      </c>
      <c r="L3775" s="25" t="n">
        <f aca="false">C3775/K3775-1</f>
        <v>-0.0877934718083001</v>
      </c>
      <c r="M3775" s="25" t="n">
        <f aca="false">IF(COUNT(G3746:G3775)&lt;20,"",_xlfn.STDEV.S(G3746:G3775)*SQRT($R$3))</f>
        <v>0.480043865719124</v>
      </c>
      <c r="N3775" s="25" t="n">
        <f aca="false">IF(A3775-7&lt;$R$2,"",C3775/INDEX(Clean_Data!$C$2:$C$4314,MATCH(A3775-7,Clean_Data!$A$2:$A$4314,1))-1)</f>
        <v>0.0272414374332577</v>
      </c>
      <c r="O3775" s="25" t="n">
        <f aca="false">IF(A3775-30&lt;$R$2,"",C3775/INDEX(Clean_Data!$C$2:$C$4314,MATCH(A3775-30,Clean_Data!$A$2:$A$4314,1))-1)</f>
        <v>0.235654501201022</v>
      </c>
    </row>
    <row r="3776" customFormat="false" ht="15" hidden="false" customHeight="false" outlineLevel="0" collapsed="false">
      <c r="A3776" s="16" t="n">
        <v>45783</v>
      </c>
      <c r="B3776" s="23" t="n">
        <f aca="false">YEAR(A3776)</f>
        <v>2025</v>
      </c>
      <c r="C3776" s="17" t="n">
        <v>97058.32</v>
      </c>
      <c r="D3776" s="23" t="n">
        <f aca="false">A3776-A3775</f>
        <v>1</v>
      </c>
      <c r="E3776" s="24" t="n">
        <f aca="false">LN(C3776)</f>
        <v>11.4830673139283</v>
      </c>
      <c r="F3776" s="25" t="n">
        <f aca="false">LN(C3776/C3775)</f>
        <v>0.00226047375153401</v>
      </c>
      <c r="G3776" s="25" t="n">
        <f aca="false">IF(AND(D3776=1,A3776&gt;=$R$2),F3776,"")</f>
        <v>0.00226047375153401</v>
      </c>
      <c r="H3776" s="27" t="n">
        <f aca="false">IF(G3776="","",G3776^2)</f>
        <v>5.10974158137423E-006</v>
      </c>
      <c r="I3776" s="25" t="n">
        <f aca="false">IF(G3776="","",C3776/C3775-1)</f>
        <v>0.00226303054848587</v>
      </c>
      <c r="J3776" s="17" t="n">
        <f aca="false">AVERAGE(C3577:C3776)</f>
        <v>90698.0018</v>
      </c>
      <c r="K3776" s="17" t="n">
        <f aca="false">MAX(K3775,C3776)</f>
        <v>106159.26</v>
      </c>
      <c r="L3776" s="25" t="n">
        <f aca="false">C3776/K3776-1</f>
        <v>-0.085729120568474</v>
      </c>
      <c r="M3776" s="25" t="n">
        <f aca="false">IF(COUNT(G3747:G3776)&lt;20,"",_xlfn.STDEV.S(G3747:G3776)*SQRT($R$3))</f>
        <v>0.480223758416612</v>
      </c>
      <c r="N3776" s="25" t="n">
        <f aca="false">IF(A3776-7&lt;$R$2,"",C3776/INDEX(Clean_Data!$C$2:$C$4314,MATCH(A3776-7,Clean_Data!$A$2:$A$4314,1))-1)</f>
        <v>0.0305341096130982</v>
      </c>
      <c r="O3776" s="25" t="n">
        <f aca="false">IF(A3776-30&lt;$R$2,"",C3776/INDEX(Clean_Data!$C$2:$C$4314,MATCH(A3776-30,Clean_Data!$A$2:$A$4314,1))-1)</f>
        <v>0.226412784127776</v>
      </c>
    </row>
    <row r="3777" customFormat="false" ht="15" hidden="false" customHeight="false" outlineLevel="0" collapsed="false">
      <c r="A3777" s="16" t="n">
        <v>45784</v>
      </c>
      <c r="B3777" s="23" t="n">
        <f aca="false">YEAR(A3777)</f>
        <v>2025</v>
      </c>
      <c r="C3777" s="17" t="n">
        <v>103253.49</v>
      </c>
      <c r="D3777" s="23" t="n">
        <f aca="false">A3777-A3776</f>
        <v>1</v>
      </c>
      <c r="E3777" s="24" t="n">
        <f aca="false">LN(C3777)</f>
        <v>11.5449423117048</v>
      </c>
      <c r="F3777" s="25" t="n">
        <f aca="false">LN(C3777/C3776)</f>
        <v>0.0618749977765052</v>
      </c>
      <c r="G3777" s="25" t="n">
        <f aca="false">IF(AND(D3777=1,A3777&gt;=$R$2),F3777,"")</f>
        <v>0.0618749977765052</v>
      </c>
      <c r="H3777" s="27" t="n">
        <f aca="false">IF(G3777="","",G3777^2)</f>
        <v>0.00382851534984253</v>
      </c>
      <c r="I3777" s="25" t="n">
        <f aca="false">IF(G3777="","",C3777/C3776-1)</f>
        <v>0.0638293553813831</v>
      </c>
      <c r="J3777" s="17" t="n">
        <f aca="false">AVERAGE(C3578:C3777)</f>
        <v>90869.19495</v>
      </c>
      <c r="K3777" s="17" t="n">
        <f aca="false">MAX(K3776,C3777)</f>
        <v>106159.26</v>
      </c>
      <c r="L3777" s="25" t="n">
        <f aca="false">C3777/K3777-1</f>
        <v>-0.0273717996903896</v>
      </c>
      <c r="M3777" s="25" t="n">
        <f aca="false">IF(COUNT(G3748:G3777)&lt;20,"",_xlfn.STDEV.S(G3748:G3777)*SQRT($R$3))</f>
        <v>0.490227972745571</v>
      </c>
      <c r="N3777" s="25" t="n">
        <f aca="false">IF(A3777-7&lt;$R$2,"",C3777/INDEX(Clean_Data!$C$2:$C$4314,MATCH(A3777-7,Clean_Data!$A$2:$A$4314,1))-1)</f>
        <v>0.069707447750831</v>
      </c>
      <c r="O3777" s="25" t="n">
        <f aca="false">IF(A3777-30&lt;$R$2,"",C3777/INDEX(Clean_Data!$C$2:$C$4314,MATCH(A3777-30,Clean_Data!$A$2:$A$4314,1))-1)</f>
        <v>0.354115006575596</v>
      </c>
    </row>
    <row r="3778" customFormat="false" ht="15" hidden="false" customHeight="false" outlineLevel="0" collapsed="false">
      <c r="A3778" s="16" t="n">
        <v>45785</v>
      </c>
      <c r="B3778" s="23" t="n">
        <f aca="false">YEAR(A3778)</f>
        <v>2025</v>
      </c>
      <c r="C3778" s="17" t="n">
        <v>102986.96</v>
      </c>
      <c r="D3778" s="23" t="n">
        <f aca="false">A3778-A3777</f>
        <v>1</v>
      </c>
      <c r="E3778" s="24" t="n">
        <f aca="false">LN(C3778)</f>
        <v>11.5423576572553</v>
      </c>
      <c r="F3778" s="25" t="n">
        <f aca="false">LN(C3778/C3777)</f>
        <v>-0.00258465444948449</v>
      </c>
      <c r="G3778" s="25" t="n">
        <f aca="false">IF(AND(D3778=1,A3778&gt;=$R$2),F3778,"")</f>
        <v>-0.00258465444948449</v>
      </c>
      <c r="H3778" s="27" t="n">
        <f aca="false">IF(G3778="","",G3778^2)</f>
        <v>6.68043862323998E-006</v>
      </c>
      <c r="I3778" s="25" t="n">
        <f aca="false">IF(G3778="","",C3778/C3777-1)</f>
        <v>-0.00258131710608522</v>
      </c>
      <c r="J3778" s="17" t="n">
        <f aca="false">AVERAGE(C3579:C3778)</f>
        <v>91047.399</v>
      </c>
      <c r="K3778" s="17" t="n">
        <f aca="false">MAX(K3777,C3778)</f>
        <v>106159.26</v>
      </c>
      <c r="L3778" s="25" t="n">
        <f aca="false">C3778/K3778-1</f>
        <v>-0.0298824615017097</v>
      </c>
      <c r="M3778" s="25" t="n">
        <f aca="false">IF(COUNT(G3749:G3778)&lt;20,"",_xlfn.STDEV.S(G3749:G3778)*SQRT($R$3))</f>
        <v>0.422102789192222</v>
      </c>
      <c r="N3778" s="25" t="n">
        <f aca="false">IF(A3778-7&lt;$R$2,"",C3778/INDEX(Clean_Data!$C$2:$C$4314,MATCH(A3778-7,Clean_Data!$A$2:$A$4314,1))-1)</f>
        <v>0.0624900636862902</v>
      </c>
      <c r="O3778" s="25" t="n">
        <f aca="false">IF(A3778-30&lt;$R$2,"",C3778/INDEX(Clean_Data!$C$2:$C$4314,MATCH(A3778-30,Clean_Data!$A$2:$A$4314,1))-1)</f>
        <v>0.246894748152879</v>
      </c>
    </row>
    <row r="3779" customFormat="false" ht="15" hidden="false" customHeight="false" outlineLevel="0" collapsed="false">
      <c r="A3779" s="16" t="n">
        <v>45786</v>
      </c>
      <c r="B3779" s="23" t="n">
        <f aca="false">YEAR(A3779)</f>
        <v>2025</v>
      </c>
      <c r="C3779" s="17" t="n">
        <v>104821.19</v>
      </c>
      <c r="D3779" s="23" t="n">
        <f aca="false">A3779-A3778</f>
        <v>1</v>
      </c>
      <c r="E3779" s="24" t="n">
        <f aca="false">LN(C3779)</f>
        <v>11.560011225087</v>
      </c>
      <c r="F3779" s="25" t="n">
        <f aca="false">LN(C3779/C3778)</f>
        <v>0.0176535678316598</v>
      </c>
      <c r="G3779" s="25" t="n">
        <f aca="false">IF(AND(D3779=1,A3779&gt;=$R$2),F3779,"")</f>
        <v>0.0176535678316598</v>
      </c>
      <c r="H3779" s="27" t="n">
        <f aca="false">IF(G3779="","",G3779^2)</f>
        <v>0.000311648457187014</v>
      </c>
      <c r="I3779" s="25" t="n">
        <f aca="false">IF(G3779="","",C3779/C3778-1)</f>
        <v>0.0178103130726452</v>
      </c>
      <c r="J3779" s="17" t="n">
        <f aca="false">AVERAGE(C3580:C3779)</f>
        <v>91234.60455</v>
      </c>
      <c r="K3779" s="17" t="n">
        <f aca="false">MAX(K3778,C3779)</f>
        <v>106159.26</v>
      </c>
      <c r="L3779" s="25" t="n">
        <f aca="false">C3779/K3779-1</f>
        <v>-0.0126043644237911</v>
      </c>
      <c r="M3779" s="25" t="n">
        <f aca="false">IF(COUNT(G3750:G3779)&lt;20,"",_xlfn.STDEV.S(G3750:G3779)*SQRT($R$3))</f>
        <v>0.390985542596113</v>
      </c>
      <c r="N3779" s="25" t="n">
        <f aca="false">IF(A3779-7&lt;$R$2,"",C3779/INDEX(Clean_Data!$C$2:$C$4314,MATCH(A3779-7,Clean_Data!$A$2:$A$4314,1))-1)</f>
        <v>0.0934668859695562</v>
      </c>
      <c r="O3779" s="25" t="n">
        <f aca="false">IF(A3779-30&lt;$R$2,"",C3779/INDEX(Clean_Data!$C$2:$C$4314,MATCH(A3779-30,Clean_Data!$A$2:$A$4314,1))-1)</f>
        <v>0.317638048107699</v>
      </c>
    </row>
    <row r="3780" customFormat="false" ht="15" hidden="false" customHeight="false" outlineLevel="0" collapsed="false">
      <c r="A3780" s="16" t="n">
        <v>45787</v>
      </c>
      <c r="B3780" s="23" t="n">
        <f aca="false">YEAR(A3780)</f>
        <v>2025</v>
      </c>
      <c r="C3780" s="17" t="n">
        <v>104137.62</v>
      </c>
      <c r="D3780" s="23" t="n">
        <f aca="false">A3780-A3779</f>
        <v>1</v>
      </c>
      <c r="E3780" s="24" t="n">
        <f aca="false">LN(C3780)</f>
        <v>11.5534685726052</v>
      </c>
      <c r="F3780" s="25" t="n">
        <f aca="false">LN(C3780/C3779)</f>
        <v>-0.00654265248183175</v>
      </c>
      <c r="G3780" s="25" t="n">
        <f aca="false">IF(AND(D3780=1,A3780&gt;=$R$2),F3780,"")</f>
        <v>-0.00654265248183175</v>
      </c>
      <c r="H3780" s="27" t="n">
        <f aca="false">IF(G3780="","",G3780^2)</f>
        <v>4.28063014980192E-005</v>
      </c>
      <c r="I3780" s="25" t="n">
        <f aca="false">IF(G3780="","",C3780/C3779-1)</f>
        <v>-0.00652129593262585</v>
      </c>
      <c r="J3780" s="17" t="n">
        <f aca="false">AVERAGE(C3581:C3780)</f>
        <v>91422.2871</v>
      </c>
      <c r="K3780" s="17" t="n">
        <f aca="false">MAX(K3779,C3780)</f>
        <v>106159.26</v>
      </c>
      <c r="L3780" s="25" t="n">
        <f aca="false">C3780/K3780-1</f>
        <v>-0.0190434635659669</v>
      </c>
      <c r="M3780" s="25" t="n">
        <f aca="false">IF(COUNT(G3751:G3780)&lt;20,"",_xlfn.STDEV.S(G3751:G3780)*SQRT($R$3))</f>
        <v>0.369860015771702</v>
      </c>
      <c r="N3780" s="25" t="n">
        <f aca="false">IF(A3780-7&lt;$R$2,"",C3780/INDEX(Clean_Data!$C$2:$C$4314,MATCH(A3780-7,Clean_Data!$A$2:$A$4314,1))-1)</f>
        <v>0.104644140844816</v>
      </c>
      <c r="O3780" s="25" t="n">
        <f aca="false">IF(A3780-30&lt;$R$2,"",C3780/INDEX(Clean_Data!$C$2:$C$4314,MATCH(A3780-30,Clean_Data!$A$2:$A$4314,1))-1)</f>
        <v>0.24894498675769</v>
      </c>
    </row>
    <row r="3781" customFormat="false" ht="15" hidden="false" customHeight="false" outlineLevel="0" collapsed="false">
      <c r="A3781" s="16" t="n">
        <v>45788</v>
      </c>
      <c r="B3781" s="23" t="n">
        <f aca="false">YEAR(A3781)</f>
        <v>2025</v>
      </c>
      <c r="C3781" s="17" t="n">
        <v>102800.21</v>
      </c>
      <c r="D3781" s="23" t="n">
        <f aca="false">A3781-A3780</f>
        <v>1</v>
      </c>
      <c r="E3781" s="24" t="n">
        <f aca="false">LN(C3781)</f>
        <v>11.5405426748027</v>
      </c>
      <c r="F3781" s="25" t="n">
        <f aca="false">LN(C3781/C3780)</f>
        <v>-0.0129258978024793</v>
      </c>
      <c r="G3781" s="25" t="n">
        <f aca="false">IF(AND(D3781=1,A3781&gt;=$R$2),F3781,"")</f>
        <v>-0.0129258978024793</v>
      </c>
      <c r="H3781" s="27" t="n">
        <f aca="false">IF(G3781="","",G3781^2)</f>
        <v>0.000167078834000138</v>
      </c>
      <c r="I3781" s="25" t="n">
        <f aca="false">IF(G3781="","",C3781/C3780-1)</f>
        <v>-0.0128427171659962</v>
      </c>
      <c r="J3781" s="17" t="n">
        <f aca="false">AVERAGE(C3582:C3781)</f>
        <v>91595.50395</v>
      </c>
      <c r="K3781" s="17" t="n">
        <f aca="false">MAX(K3780,C3781)</f>
        <v>106159.26</v>
      </c>
      <c r="L3781" s="25" t="n">
        <f aca="false">C3781/K3781-1</f>
        <v>-0.0316416109155243</v>
      </c>
      <c r="M3781" s="25" t="n">
        <f aca="false">IF(COUNT(G3752:G3781)&lt;20,"",_xlfn.STDEV.S(G3752:G3781)*SQRT($R$3))</f>
        <v>0.372345838830305</v>
      </c>
      <c r="N3781" s="25" t="n">
        <f aca="false">IF(A3781-7&lt;$R$2,"",C3781/INDEX(Clean_Data!$C$2:$C$4314,MATCH(A3781-7,Clean_Data!$A$2:$A$4314,1))-1)</f>
        <v>0.0851459967008674</v>
      </c>
      <c r="O3781" s="25" t="n">
        <f aca="false">IF(A3781-30&lt;$R$2,"",C3781/INDEX(Clean_Data!$C$2:$C$4314,MATCH(A3781-30,Clean_Data!$A$2:$A$4314,1))-1)</f>
        <v>0.205570451200238</v>
      </c>
    </row>
    <row r="3782" customFormat="false" ht="15" hidden="false" customHeight="false" outlineLevel="0" collapsed="false">
      <c r="A3782" s="16" t="n">
        <v>45789</v>
      </c>
      <c r="B3782" s="23" t="n">
        <f aca="false">YEAR(A3782)</f>
        <v>2025</v>
      </c>
      <c r="C3782" s="17" t="n">
        <v>104131.06</v>
      </c>
      <c r="D3782" s="23" t="n">
        <f aca="false">A3782-A3781</f>
        <v>1</v>
      </c>
      <c r="E3782" s="24" t="n">
        <f aca="false">LN(C3782)</f>
        <v>11.5534055770553</v>
      </c>
      <c r="F3782" s="25" t="n">
        <f aca="false">LN(C3782/C3781)</f>
        <v>0.0128629022526715</v>
      </c>
      <c r="G3782" s="25" t="n">
        <f aca="false">IF(AND(D3782=1,A3782&gt;=$R$2),F3782,"")</f>
        <v>0.0128629022526715</v>
      </c>
      <c r="H3782" s="27" t="n">
        <f aca="false">IF(G3782="","",G3782^2)</f>
        <v>0.000165454254361781</v>
      </c>
      <c r="I3782" s="25" t="n">
        <f aca="false">IF(G3782="","",C3782/C3781-1)</f>
        <v>0.0129459852270728</v>
      </c>
      <c r="J3782" s="17" t="n">
        <f aca="false">AVERAGE(C3583:C3782)</f>
        <v>91783.3367</v>
      </c>
      <c r="K3782" s="17" t="n">
        <f aca="false">MAX(K3781,C3782)</f>
        <v>106159.26</v>
      </c>
      <c r="L3782" s="25" t="n">
        <f aca="false">C3782/K3782-1</f>
        <v>-0.0191052575159246</v>
      </c>
      <c r="M3782" s="25" t="n">
        <f aca="false">IF(COUNT(G3753:G3782)&lt;20,"",_xlfn.STDEV.S(G3753:G3782)*SQRT($R$3))</f>
        <v>0.362321486447907</v>
      </c>
      <c r="N3782" s="25" t="n">
        <f aca="false">IF(A3782-7&lt;$R$2,"",C3782/INDEX(Clean_Data!$C$2:$C$4314,MATCH(A3782-7,Clean_Data!$A$2:$A$4314,1))-1)</f>
        <v>0.0752989725128788</v>
      </c>
      <c r="O3782" s="25" t="n">
        <f aca="false">IF(A3782-30&lt;$R$2,"",C3782/INDEX(Clean_Data!$C$2:$C$4314,MATCH(A3782-30,Clean_Data!$A$2:$A$4314,1))-1)</f>
        <v>0.24360733459313</v>
      </c>
    </row>
    <row r="3783" customFormat="false" ht="15" hidden="false" customHeight="false" outlineLevel="0" collapsed="false">
      <c r="A3783" s="16" t="n">
        <v>45790</v>
      </c>
      <c r="B3783" s="23" t="n">
        <f aca="false">YEAR(A3783)</f>
        <v>2025</v>
      </c>
      <c r="C3783" s="17" t="n">
        <v>103545.38</v>
      </c>
      <c r="D3783" s="23" t="n">
        <f aca="false">A3783-A3782</f>
        <v>1</v>
      </c>
      <c r="E3783" s="24" t="n">
        <f aca="false">LN(C3783)</f>
        <v>11.5477652497009</v>
      </c>
      <c r="F3783" s="25" t="n">
        <f aca="false">LN(C3783/C3782)</f>
        <v>-0.00564032735441669</v>
      </c>
      <c r="G3783" s="25" t="n">
        <f aca="false">IF(AND(D3783=1,A3783&gt;=$R$2),F3783,"")</f>
        <v>-0.00564032735441669</v>
      </c>
      <c r="H3783" s="27" t="n">
        <f aca="false">IF(G3783="","",G3783^2)</f>
        <v>3.18132926649811E-005</v>
      </c>
      <c r="I3783" s="25" t="n">
        <f aca="false">IF(G3783="","",C3783/C3782-1)</f>
        <v>-0.0056244505721923</v>
      </c>
      <c r="J3783" s="17" t="n">
        <f aca="false">AVERAGE(C3584:C3783)</f>
        <v>91966.0008</v>
      </c>
      <c r="K3783" s="17" t="n">
        <f aca="false">MAX(K3782,C3783)</f>
        <v>106159.26</v>
      </c>
      <c r="L3783" s="25" t="n">
        <f aca="false">C3783/K3783-1</f>
        <v>-0.0246222515115496</v>
      </c>
      <c r="M3783" s="25" t="n">
        <f aca="false">IF(COUNT(G3754:G3783)&lt;20,"",_xlfn.STDEV.S(G3754:G3783)*SQRT($R$3))</f>
        <v>0.364912923881323</v>
      </c>
      <c r="N3783" s="25" t="n">
        <f aca="false">IF(A3783-7&lt;$R$2,"",C3783/INDEX(Clean_Data!$C$2:$C$4314,MATCH(A3783-7,Clean_Data!$A$2:$A$4314,1))-1)</f>
        <v>0.0668367224983906</v>
      </c>
      <c r="O3783" s="25" t="n">
        <f aca="false">IF(A3783-30&lt;$R$2,"",C3783/INDEX(Clean_Data!$C$2:$C$4314,MATCH(A3783-30,Clean_Data!$A$2:$A$4314,1))-1)</f>
        <v>0.224080143411141</v>
      </c>
    </row>
    <row r="3784" customFormat="false" ht="15" hidden="false" customHeight="false" outlineLevel="0" collapsed="false">
      <c r="A3784" s="16" t="n">
        <v>45791</v>
      </c>
      <c r="B3784" s="23" t="n">
        <f aca="false">YEAR(A3784)</f>
        <v>2025</v>
      </c>
      <c r="C3784" s="17" t="n">
        <v>103786.43</v>
      </c>
      <c r="D3784" s="23" t="n">
        <f aca="false">A3784-A3783</f>
        <v>1</v>
      </c>
      <c r="E3784" s="24" t="n">
        <f aca="false">LN(C3784)</f>
        <v>11.5500905089905</v>
      </c>
      <c r="F3784" s="25" t="n">
        <f aca="false">LN(C3784/C3783)</f>
        <v>0.00232525928953874</v>
      </c>
      <c r="G3784" s="25" t="n">
        <f aca="false">IF(AND(D3784=1,A3784&gt;=$R$2),F3784,"")</f>
        <v>0.00232525928953874</v>
      </c>
      <c r="H3784" s="27" t="n">
        <f aca="false">IF(G3784="","",G3784^2)</f>
        <v>5.40683076358622E-006</v>
      </c>
      <c r="I3784" s="25" t="n">
        <f aca="false">IF(G3784="","",C3784/C3783-1)</f>
        <v>0.00232796480151976</v>
      </c>
      <c r="J3784" s="17" t="n">
        <f aca="false">AVERAGE(C3585:C3784)</f>
        <v>92145.217</v>
      </c>
      <c r="K3784" s="17" t="n">
        <f aca="false">MAX(K3783,C3784)</f>
        <v>106159.26</v>
      </c>
      <c r="L3784" s="25" t="n">
        <f aca="false">C3784/K3784-1</f>
        <v>-0.0223516064448829</v>
      </c>
      <c r="M3784" s="25" t="n">
        <f aca="false">IF(COUNT(G3755:G3784)&lt;20,"",_xlfn.STDEV.S(G3755:G3784)*SQRT($R$3))</f>
        <v>0.359411398593888</v>
      </c>
      <c r="N3784" s="25" t="n">
        <f aca="false">IF(A3784-7&lt;$R$2,"",C3784/INDEX(Clean_Data!$C$2:$C$4314,MATCH(A3784-7,Clean_Data!$A$2:$A$4314,1))-1)</f>
        <v>0.00516147202385109</v>
      </c>
      <c r="O3784" s="25" t="n">
        <f aca="false">IF(A3784-30&lt;$R$2,"",C3784/INDEX(Clean_Data!$C$2:$C$4314,MATCH(A3784-30,Clean_Data!$A$2:$A$4314,1))-1)</f>
        <v>0.241022396567347</v>
      </c>
    </row>
    <row r="3785" customFormat="false" ht="15" hidden="false" customHeight="false" outlineLevel="0" collapsed="false">
      <c r="A3785" s="16" t="n">
        <v>45792</v>
      </c>
      <c r="B3785" s="23" t="n">
        <f aca="false">YEAR(A3785)</f>
        <v>2025</v>
      </c>
      <c r="C3785" s="17" t="n">
        <v>103500.03</v>
      </c>
      <c r="D3785" s="23" t="n">
        <f aca="false">A3785-A3784</f>
        <v>1</v>
      </c>
      <c r="E3785" s="24" t="n">
        <f aca="false">LN(C3785)</f>
        <v>11.5473271815426</v>
      </c>
      <c r="F3785" s="25" t="n">
        <f aca="false">LN(C3785/C3784)</f>
        <v>-0.00276332744787413</v>
      </c>
      <c r="G3785" s="25" t="n">
        <f aca="false">IF(AND(D3785=1,A3785&gt;=$R$2),F3785,"")</f>
        <v>-0.00276332744787413</v>
      </c>
      <c r="H3785" s="27" t="n">
        <f aca="false">IF(G3785="","",G3785^2)</f>
        <v>7.63597858417457E-006</v>
      </c>
      <c r="I3785" s="25" t="n">
        <f aca="false">IF(G3785="","",C3785/C3784-1)</f>
        <v>-0.00275951297293875</v>
      </c>
      <c r="J3785" s="17" t="n">
        <f aca="false">AVERAGE(C3586:C3785)</f>
        <v>92313.09465</v>
      </c>
      <c r="K3785" s="17" t="n">
        <f aca="false">MAX(K3784,C3785)</f>
        <v>106159.26</v>
      </c>
      <c r="L3785" s="25" t="n">
        <f aca="false">C3785/K3785-1</f>
        <v>-0.025049439869871</v>
      </c>
      <c r="M3785" s="25" t="n">
        <f aca="false">IF(COUNT(G3756:G3785)&lt;20,"",_xlfn.STDEV.S(G3756:G3785)*SQRT($R$3))</f>
        <v>0.361008056200037</v>
      </c>
      <c r="N3785" s="25" t="n">
        <f aca="false">IF(A3785-7&lt;$R$2,"",C3785/INDEX(Clean_Data!$C$2:$C$4314,MATCH(A3785-7,Clean_Data!$A$2:$A$4314,1))-1)</f>
        <v>0.00498189285323103</v>
      </c>
      <c r="O3785" s="25" t="n">
        <f aca="false">IF(A3785-30&lt;$R$2,"",C3785/INDEX(Clean_Data!$C$2:$C$4314,MATCH(A3785-30,Clean_Data!$A$2:$A$4314,1))-1)</f>
        <v>0.231722082640316</v>
      </c>
    </row>
    <row r="3786" customFormat="false" ht="15" hidden="false" customHeight="false" outlineLevel="0" collapsed="false">
      <c r="A3786" s="16" t="n">
        <v>45793</v>
      </c>
      <c r="B3786" s="23" t="n">
        <f aca="false">YEAR(A3786)</f>
        <v>2025</v>
      </c>
      <c r="C3786" s="17" t="n">
        <v>103161.07</v>
      </c>
      <c r="D3786" s="23" t="n">
        <f aca="false">A3786-A3785</f>
        <v>1</v>
      </c>
      <c r="E3786" s="24" t="n">
        <f aca="false">LN(C3786)</f>
        <v>11.5440468321788</v>
      </c>
      <c r="F3786" s="25" t="n">
        <f aca="false">LN(C3786/C3785)</f>
        <v>-0.00328034936380013</v>
      </c>
      <c r="G3786" s="25" t="n">
        <f aca="false">IF(AND(D3786=1,A3786&gt;=$R$2),F3786,"")</f>
        <v>-0.00328034936380013</v>
      </c>
      <c r="H3786" s="27" t="n">
        <f aca="false">IF(G3786="","",G3786^2)</f>
        <v>1.07606919485839E-005</v>
      </c>
      <c r="I3786" s="25" t="n">
        <f aca="false">IF(G3786="","",C3786/C3785-1)</f>
        <v>-0.00327497489614248</v>
      </c>
      <c r="J3786" s="17" t="n">
        <f aca="false">AVERAGE(C3587:C3786)</f>
        <v>92465.27825</v>
      </c>
      <c r="K3786" s="17" t="n">
        <f aca="false">MAX(K3785,C3786)</f>
        <v>106159.26</v>
      </c>
      <c r="L3786" s="25" t="n">
        <f aca="false">C3786/K3786-1</f>
        <v>-0.0282423784792771</v>
      </c>
      <c r="M3786" s="25" t="n">
        <f aca="false">IF(COUNT(G3757:G3786)&lt;20,"",_xlfn.STDEV.S(G3757:G3786)*SQRT($R$3))</f>
        <v>0.3624167227359</v>
      </c>
      <c r="N3786" s="25" t="n">
        <f aca="false">IF(A3786-7&lt;$R$2,"",C3786/INDEX(Clean_Data!$C$2:$C$4314,MATCH(A3786-7,Clean_Data!$A$2:$A$4314,1))-1)</f>
        <v>-0.0158376374090009</v>
      </c>
      <c r="O3786" s="25" t="n">
        <f aca="false">IF(A3786-30&lt;$R$2,"",C3786/INDEX(Clean_Data!$C$2:$C$4314,MATCH(A3786-30,Clean_Data!$A$2:$A$4314,1))-1)</f>
        <v>0.214202895719108</v>
      </c>
    </row>
    <row r="3787" customFormat="false" ht="15" hidden="false" customHeight="false" outlineLevel="0" collapsed="false">
      <c r="A3787" s="16" t="n">
        <v>45794</v>
      </c>
      <c r="B3787" s="23" t="n">
        <f aca="false">YEAR(A3787)</f>
        <v>2025</v>
      </c>
      <c r="C3787" s="17" t="n">
        <v>106473.46</v>
      </c>
      <c r="D3787" s="23" t="n">
        <f aca="false">A3787-A3786</f>
        <v>1</v>
      </c>
      <c r="E3787" s="24" t="n">
        <f aca="false">LN(C3787)</f>
        <v>11.5756510311977</v>
      </c>
      <c r="F3787" s="25" t="n">
        <f aca="false">LN(C3787/C3786)</f>
        <v>0.031604199018944</v>
      </c>
      <c r="G3787" s="25" t="n">
        <f aca="false">IF(AND(D3787=1,A3787&gt;=$R$2),F3787,"")</f>
        <v>0.031604199018944</v>
      </c>
      <c r="H3787" s="27" t="n">
        <f aca="false">IF(G3787="","",G3787^2)</f>
        <v>0.000998825395629021</v>
      </c>
      <c r="I3787" s="25" t="n">
        <f aca="false">IF(G3787="","",C3787/C3786-1)</f>
        <v>0.0321089147291707</v>
      </c>
      <c r="J3787" s="17" t="n">
        <f aca="false">AVERAGE(C3588:C3787)</f>
        <v>92636.031</v>
      </c>
      <c r="K3787" s="17" t="n">
        <f aca="false">MAX(K3786,C3787)</f>
        <v>106473.46</v>
      </c>
      <c r="L3787" s="25" t="n">
        <f aca="false">C3787/K3787-1</f>
        <v>0</v>
      </c>
      <c r="M3787" s="25" t="n">
        <f aca="false">IF(COUNT(G3758:G3787)&lt;20,"",_xlfn.STDEV.S(G3758:G3787)*SQRT($R$3))</f>
        <v>0.369863122685759</v>
      </c>
      <c r="N3787" s="25" t="n">
        <f aca="false">IF(A3787-7&lt;$R$2,"",C3787/INDEX(Clean_Data!$C$2:$C$4314,MATCH(A3787-7,Clean_Data!$A$2:$A$4314,1))-1)</f>
        <v>0.022430318649495</v>
      </c>
      <c r="O3787" s="25" t="n">
        <f aca="false">IF(A3787-30&lt;$R$2,"",C3787/INDEX(Clean_Data!$C$2:$C$4314,MATCH(A3787-30,Clean_Data!$A$2:$A$4314,1))-1)</f>
        <v>0.260541135435161</v>
      </c>
    </row>
    <row r="3788" customFormat="false" ht="15" hidden="false" customHeight="false" outlineLevel="0" collapsed="false">
      <c r="A3788" s="16" t="n">
        <v>45795</v>
      </c>
      <c r="B3788" s="23" t="n">
        <f aca="false">YEAR(A3788)</f>
        <v>2025</v>
      </c>
      <c r="C3788" s="17" t="n">
        <v>105616.18</v>
      </c>
      <c r="D3788" s="23" t="n">
        <f aca="false">A3788-A3787</f>
        <v>1</v>
      </c>
      <c r="E3788" s="24" t="n">
        <f aca="false">LN(C3788)</f>
        <v>11.5675668582143</v>
      </c>
      <c r="F3788" s="25" t="n">
        <f aca="false">LN(C3788/C3787)</f>
        <v>-0.00808417298340618</v>
      </c>
      <c r="G3788" s="25" t="n">
        <f aca="false">IF(AND(D3788=1,A3788&gt;=$R$2),F3788,"")</f>
        <v>-0.00808417298340618</v>
      </c>
      <c r="H3788" s="27" t="n">
        <f aca="false">IF(G3788="","",G3788^2)</f>
        <v>6.53538528256343E-005</v>
      </c>
      <c r="I3788" s="25" t="n">
        <f aca="false">IF(G3788="","",C3788/C3787-1)</f>
        <v>-0.00805158393462568</v>
      </c>
      <c r="J3788" s="17" t="n">
        <f aca="false">AVERAGE(C3589:C3788)</f>
        <v>92813.12275</v>
      </c>
      <c r="K3788" s="17" t="n">
        <f aca="false">MAX(K3787,C3788)</f>
        <v>106473.46</v>
      </c>
      <c r="L3788" s="25" t="n">
        <f aca="false">C3788/K3788-1</f>
        <v>-0.00805158393462568</v>
      </c>
      <c r="M3788" s="25" t="n">
        <f aca="false">IF(COUNT(G3759:G3788)&lt;20,"",_xlfn.STDEV.S(G3759:G3788)*SQRT($R$3))</f>
        <v>0.373952181016745</v>
      </c>
      <c r="N3788" s="25" t="n">
        <f aca="false">IF(A3788-7&lt;$R$2,"",C3788/INDEX(Clean_Data!$C$2:$C$4314,MATCH(A3788-7,Clean_Data!$A$2:$A$4314,1))-1)</f>
        <v>0.027392648322411</v>
      </c>
      <c r="O3788" s="25" t="n">
        <f aca="false">IF(A3788-30&lt;$R$2,"",C3788/INDEX(Clean_Data!$C$2:$C$4314,MATCH(A3788-30,Clean_Data!$A$2:$A$4314,1))-1)</f>
        <v>0.241448044836679</v>
      </c>
    </row>
    <row r="3789" customFormat="false" ht="15" hidden="false" customHeight="false" outlineLevel="0" collapsed="false">
      <c r="A3789" s="16" t="n">
        <v>45796</v>
      </c>
      <c r="B3789" s="23" t="n">
        <f aca="false">YEAR(A3789)</f>
        <v>2025</v>
      </c>
      <c r="C3789" s="17" t="n">
        <v>106883.24</v>
      </c>
      <c r="D3789" s="23" t="n">
        <f aca="false">A3789-A3788</f>
        <v>1</v>
      </c>
      <c r="E3789" s="24" t="n">
        <f aca="false">LN(C3789)</f>
        <v>11.5794923026823</v>
      </c>
      <c r="F3789" s="25" t="n">
        <f aca="false">LN(C3789/C3788)</f>
        <v>0.0119254444679301</v>
      </c>
      <c r="G3789" s="25" t="n">
        <f aca="false">IF(AND(D3789=1,A3789&gt;=$R$2),F3789,"")</f>
        <v>0.0119254444679301</v>
      </c>
      <c r="H3789" s="27" t="n">
        <f aca="false">IF(G3789="","",G3789^2)</f>
        <v>0.000142216225757685</v>
      </c>
      <c r="I3789" s="25" t="n">
        <f aca="false">IF(G3789="","",C3789/C3788-1)</f>
        <v>0.011996836090834</v>
      </c>
      <c r="J3789" s="17" t="n">
        <f aca="false">AVERAGE(C3590:C3789)</f>
        <v>93000.2025</v>
      </c>
      <c r="K3789" s="17" t="n">
        <f aca="false">MAX(K3788,C3789)</f>
        <v>106883.24</v>
      </c>
      <c r="L3789" s="25" t="n">
        <f aca="false">C3789/K3789-1</f>
        <v>0</v>
      </c>
      <c r="M3789" s="25" t="n">
        <f aca="false">IF(COUNT(G3760:G3789)&lt;20,"",_xlfn.STDEV.S(G3760:G3789)*SQRT($R$3))</f>
        <v>0.373654631812729</v>
      </c>
      <c r="N3789" s="25" t="n">
        <f aca="false">IF(A3789-7&lt;$R$2,"",C3789/INDEX(Clean_Data!$C$2:$C$4314,MATCH(A3789-7,Clean_Data!$A$2:$A$4314,1))-1)</f>
        <v>0.026429962395466</v>
      </c>
      <c r="O3789" s="25" t="n">
        <f aca="false">IF(A3789-30&lt;$R$2,"",C3789/INDEX(Clean_Data!$C$2:$C$4314,MATCH(A3789-30,Clean_Data!$A$2:$A$4314,1))-1)</f>
        <v>0.254831860210709</v>
      </c>
    </row>
    <row r="3790" customFormat="false" ht="15" hidden="false" customHeight="false" outlineLevel="0" collapsed="false">
      <c r="A3790" s="16" t="n">
        <v>45797</v>
      </c>
      <c r="B3790" s="23" t="n">
        <f aca="false">YEAR(A3790)</f>
        <v>2025</v>
      </c>
      <c r="C3790" s="17" t="n">
        <v>109699.54</v>
      </c>
      <c r="D3790" s="23" t="n">
        <f aca="false">A3790-A3789</f>
        <v>1</v>
      </c>
      <c r="E3790" s="24" t="n">
        <f aca="false">LN(C3790)</f>
        <v>11.6055004530002</v>
      </c>
      <c r="F3790" s="25" t="n">
        <f aca="false">LN(C3790/C3789)</f>
        <v>0.0260081503179409</v>
      </c>
      <c r="G3790" s="25" t="n">
        <f aca="false">IF(AND(D3790=1,A3790&gt;=$R$2),F3790,"")</f>
        <v>0.0260081503179409</v>
      </c>
      <c r="H3790" s="27" t="n">
        <f aca="false">IF(G3790="","",G3790^2)</f>
        <v>0.000676423882960609</v>
      </c>
      <c r="I3790" s="25" t="n">
        <f aca="false">IF(G3790="","",C3790/C3789-1)</f>
        <v>0.0263493135125767</v>
      </c>
      <c r="J3790" s="17" t="n">
        <f aca="false">AVERAGE(C3591:C3790)</f>
        <v>93201.9055</v>
      </c>
      <c r="K3790" s="17" t="n">
        <f aca="false">MAX(K3789,C3790)</f>
        <v>109699.54</v>
      </c>
      <c r="L3790" s="25" t="n">
        <f aca="false">C3790/K3790-1</f>
        <v>0</v>
      </c>
      <c r="M3790" s="25" t="n">
        <f aca="false">IF(COUNT(G3761:G3790)&lt;20,"",_xlfn.STDEV.S(G3761:G3790)*SQRT($R$3))</f>
        <v>0.372918246969464</v>
      </c>
      <c r="N3790" s="25" t="n">
        <f aca="false">IF(A3790-7&lt;$R$2,"",C3790/INDEX(Clean_Data!$C$2:$C$4314,MATCH(A3790-7,Clean_Data!$A$2:$A$4314,1))-1)</f>
        <v>0.059434423824607</v>
      </c>
      <c r="O3790" s="25" t="n">
        <f aca="false">IF(A3790-30&lt;$R$2,"",C3790/INDEX(Clean_Data!$C$2:$C$4314,MATCH(A3790-30,Clean_Data!$A$2:$A$4314,1))-1)</f>
        <v>0.253392887074083</v>
      </c>
    </row>
    <row r="3791" customFormat="false" ht="15" hidden="false" customHeight="false" outlineLevel="0" collapsed="false">
      <c r="A3791" s="16" t="n">
        <v>45798</v>
      </c>
      <c r="B3791" s="23" t="n">
        <f aca="false">YEAR(A3791)</f>
        <v>2025</v>
      </c>
      <c r="C3791" s="17" t="n">
        <v>111722.53</v>
      </c>
      <c r="D3791" s="23" t="n">
        <f aca="false">A3791-A3790</f>
        <v>1</v>
      </c>
      <c r="E3791" s="24" t="n">
        <f aca="false">LN(C3791)</f>
        <v>11.6237736657032</v>
      </c>
      <c r="F3791" s="25" t="n">
        <f aca="false">LN(C3791/C3790)</f>
        <v>0.0182732127029641</v>
      </c>
      <c r="G3791" s="25" t="n">
        <f aca="false">IF(AND(D3791=1,A3791&gt;=$R$2),F3791,"")</f>
        <v>0.0182732127029641</v>
      </c>
      <c r="H3791" s="27" t="n">
        <f aca="false">IF(G3791="","",G3791^2)</f>
        <v>0.000333910302487768</v>
      </c>
      <c r="I3791" s="25" t="n">
        <f aca="false">IF(G3791="","",C3791/C3790-1)</f>
        <v>0.018441189452572</v>
      </c>
      <c r="J3791" s="17" t="n">
        <f aca="false">AVERAGE(C3592:C3791)</f>
        <v>93416.82725</v>
      </c>
      <c r="K3791" s="17" t="n">
        <f aca="false">MAX(K3790,C3791)</f>
        <v>111722.53</v>
      </c>
      <c r="L3791" s="25" t="n">
        <f aca="false">C3791/K3791-1</f>
        <v>0</v>
      </c>
      <c r="M3791" s="25" t="n">
        <f aca="false">IF(COUNT(G3762:G3791)&lt;20,"",_xlfn.STDEV.S(G3762:G3791)*SQRT($R$3))</f>
        <v>0.310811747730697</v>
      </c>
      <c r="N3791" s="25" t="n">
        <f aca="false">IF(A3791-7&lt;$R$2,"",C3791/INDEX(Clean_Data!$C$2:$C$4314,MATCH(A3791-7,Clean_Data!$A$2:$A$4314,1))-1)</f>
        <v>0.0764656805326092</v>
      </c>
      <c r="O3791" s="25" t="n">
        <f aca="false">IF(A3791-30&lt;$R$2,"",C3791/INDEX(Clean_Data!$C$2:$C$4314,MATCH(A3791-30,Clean_Data!$A$2:$A$4314,1))-1)</f>
        <v>0.195032682954483</v>
      </c>
    </row>
    <row r="3792" customFormat="false" ht="15" hidden="false" customHeight="false" outlineLevel="0" collapsed="false">
      <c r="A3792" s="16" t="n">
        <v>45799</v>
      </c>
      <c r="B3792" s="23" t="n">
        <f aca="false">YEAR(A3792)</f>
        <v>2025</v>
      </c>
      <c r="C3792" s="17" t="n">
        <v>107329.61</v>
      </c>
      <c r="D3792" s="23" t="n">
        <f aca="false">A3792-A3791</f>
        <v>1</v>
      </c>
      <c r="E3792" s="24" t="n">
        <f aca="false">LN(C3792)</f>
        <v>11.5836598458157</v>
      </c>
      <c r="F3792" s="25" t="n">
        <f aca="false">LN(C3792/C3791)</f>
        <v>-0.0401138198874146</v>
      </c>
      <c r="G3792" s="25" t="n">
        <f aca="false">IF(AND(D3792=1,A3792&gt;=$R$2),F3792,"")</f>
        <v>-0.0401138198874146</v>
      </c>
      <c r="H3792" s="27" t="n">
        <f aca="false">IF(G3792="","",G3792^2)</f>
        <v>0.00160911854595994</v>
      </c>
      <c r="I3792" s="25" t="n">
        <f aca="false">IF(G3792="","",C3792/C3791-1)</f>
        <v>-0.0393199115702088</v>
      </c>
      <c r="J3792" s="17" t="n">
        <f aca="false">AVERAGE(C3593:C3792)</f>
        <v>93614.4379</v>
      </c>
      <c r="K3792" s="17" t="n">
        <f aca="false">MAX(K3791,C3792)</f>
        <v>111722.53</v>
      </c>
      <c r="L3792" s="25" t="n">
        <f aca="false">C3792/K3792-1</f>
        <v>-0.0393199115702088</v>
      </c>
      <c r="M3792" s="25" t="n">
        <f aca="false">IF(COUNT(G3763:G3792)&lt;20,"",_xlfn.STDEV.S(G3763:G3792)*SQRT($R$3))</f>
        <v>0.349851611872977</v>
      </c>
      <c r="N3792" s="25" t="n">
        <f aca="false">IF(A3792-7&lt;$R$2,"",C3792/INDEX(Clean_Data!$C$2:$C$4314,MATCH(A3792-7,Clean_Data!$A$2:$A$4314,1))-1)</f>
        <v>0.0370007622220012</v>
      </c>
      <c r="O3792" s="25" t="n">
        <f aca="false">IF(A3792-30&lt;$R$2,"",C3792/INDEX(Clean_Data!$C$2:$C$4314,MATCH(A3792-30,Clean_Data!$A$2:$A$4314,1))-1)</f>
        <v>0.144960066532311</v>
      </c>
    </row>
    <row r="3793" customFormat="false" ht="15" hidden="false" customHeight="false" outlineLevel="0" collapsed="false">
      <c r="A3793" s="16" t="n">
        <v>45800</v>
      </c>
      <c r="B3793" s="23" t="n">
        <f aca="false">YEAR(A3793)</f>
        <v>2025</v>
      </c>
      <c r="C3793" s="17" t="n">
        <v>107794.01</v>
      </c>
      <c r="D3793" s="23" t="n">
        <f aca="false">A3793-A3792</f>
        <v>1</v>
      </c>
      <c r="E3793" s="24" t="n">
        <f aca="false">LN(C3793)</f>
        <v>11.5879773700505</v>
      </c>
      <c r="F3793" s="25" t="n">
        <f aca="false">LN(C3793/C3792)</f>
        <v>0.00431752423473604</v>
      </c>
      <c r="G3793" s="25" t="n">
        <f aca="false">IF(AND(D3793=1,A3793&gt;=$R$2),F3793,"")</f>
        <v>0.00431752423473604</v>
      </c>
      <c r="H3793" s="27" t="n">
        <f aca="false">IF(G3793="","",G3793^2)</f>
        <v>1.86410155175331E-005</v>
      </c>
      <c r="I3793" s="25" t="n">
        <f aca="false">IF(G3793="","",C3793/C3792-1)</f>
        <v>0.00432685817082534</v>
      </c>
      <c r="J3793" s="17" t="n">
        <f aca="false">AVERAGE(C3594:C3793)</f>
        <v>93806.5043</v>
      </c>
      <c r="K3793" s="17" t="n">
        <f aca="false">MAX(K3792,C3793)</f>
        <v>111722.53</v>
      </c>
      <c r="L3793" s="25" t="n">
        <f aca="false">C3793/K3793-1</f>
        <v>-0.0351631850800371</v>
      </c>
      <c r="M3793" s="25" t="n">
        <f aca="false">IF(COUNT(G3764:G3793)&lt;20,"",_xlfn.STDEV.S(G3764:G3793)*SQRT($R$3))</f>
        <v>0.349809749426291</v>
      </c>
      <c r="N3793" s="25" t="n">
        <f aca="false">IF(A3793-7&lt;$R$2,"",C3793/INDEX(Clean_Data!$C$2:$C$4314,MATCH(A3793-7,Clean_Data!$A$2:$A$4314,1))-1)</f>
        <v>0.044909770710986</v>
      </c>
      <c r="O3793" s="25" t="n">
        <f aca="false">IF(A3793-30&lt;$R$2,"",C3793/INDEX(Clean_Data!$C$2:$C$4314,MATCH(A3793-30,Clean_Data!$A$2:$A$4314,1))-1)</f>
        <v>0.146476950703857</v>
      </c>
    </row>
    <row r="3794" customFormat="false" ht="15" hidden="false" customHeight="false" outlineLevel="0" collapsed="false">
      <c r="A3794" s="16" t="n">
        <v>45801</v>
      </c>
      <c r="B3794" s="23" t="n">
        <f aca="false">YEAR(A3794)</f>
        <v>2025</v>
      </c>
      <c r="C3794" s="17" t="n">
        <v>109048.68</v>
      </c>
      <c r="D3794" s="23" t="n">
        <f aca="false">A3794-A3793</f>
        <v>1</v>
      </c>
      <c r="E3794" s="24" t="n">
        <f aca="false">LN(C3794)</f>
        <v>11.5995496670173</v>
      </c>
      <c r="F3794" s="25" t="n">
        <f aca="false">LN(C3794/C3793)</f>
        <v>0.011572296966827</v>
      </c>
      <c r="G3794" s="25" t="n">
        <f aca="false">IF(AND(D3794=1,A3794&gt;=$R$2),F3794,"")</f>
        <v>0.011572296966827</v>
      </c>
      <c r="H3794" s="27" t="n">
        <f aca="false">IF(G3794="","",G3794^2)</f>
        <v>0.000133918057088434</v>
      </c>
      <c r="I3794" s="25" t="n">
        <f aca="false">IF(G3794="","",C3794/C3793-1)</f>
        <v>0.011639515034277</v>
      </c>
      <c r="J3794" s="17" t="n">
        <f aca="false">AVERAGE(C3595:C3794)</f>
        <v>93973.51495</v>
      </c>
      <c r="K3794" s="17" t="n">
        <f aca="false">MAX(K3793,C3794)</f>
        <v>111722.53</v>
      </c>
      <c r="L3794" s="25" t="n">
        <f aca="false">C3794/K3794-1</f>
        <v>-0.0239329524671524</v>
      </c>
      <c r="M3794" s="25" t="n">
        <f aca="false">IF(COUNT(G3765:G3794)&lt;20,"",_xlfn.STDEV.S(G3765:G3794)*SQRT($R$3))</f>
        <v>0.350550125070174</v>
      </c>
      <c r="N3794" s="25" t="n">
        <f aca="false">IF(A3794-7&lt;$R$2,"",C3794/INDEX(Clean_Data!$C$2:$C$4314,MATCH(A3794-7,Clean_Data!$A$2:$A$4314,1))-1)</f>
        <v>0.0241864968039922</v>
      </c>
      <c r="O3794" s="25" t="n">
        <f aca="false">IF(A3794-30&lt;$R$2,"",C3794/INDEX(Clean_Data!$C$2:$C$4314,MATCH(A3794-30,Clean_Data!$A$2:$A$4314,1))-1)</f>
        <v>0.151410338998101</v>
      </c>
    </row>
    <row r="3795" customFormat="false" ht="15" hidden="false" customHeight="false" outlineLevel="0" collapsed="false">
      <c r="A3795" s="16" t="n">
        <v>45802</v>
      </c>
      <c r="B3795" s="23" t="n">
        <f aca="false">YEAR(A3795)</f>
        <v>2025</v>
      </c>
      <c r="C3795" s="17" t="n">
        <v>109464.32</v>
      </c>
      <c r="D3795" s="23" t="n">
        <f aca="false">A3795-A3794</f>
        <v>1</v>
      </c>
      <c r="E3795" s="24" t="n">
        <f aca="false">LN(C3795)</f>
        <v>11.6033539303909</v>
      </c>
      <c r="F3795" s="25" t="n">
        <f aca="false">LN(C3795/C3794)</f>
        <v>0.00380426337358665</v>
      </c>
      <c r="G3795" s="25" t="n">
        <f aca="false">IF(AND(D3795=1,A3795&gt;=$R$2),F3795,"")</f>
        <v>0.00380426337358665</v>
      </c>
      <c r="H3795" s="27" t="n">
        <f aca="false">IF(G3795="","",G3795^2)</f>
        <v>1.44724198156129E-005</v>
      </c>
      <c r="I3795" s="25" t="n">
        <f aca="false">IF(G3795="","",C3795/C3794-1)</f>
        <v>0.00381150876837766</v>
      </c>
      <c r="J3795" s="17" t="n">
        <f aca="false">AVERAGE(C3596:C3795)</f>
        <v>94141.23655</v>
      </c>
      <c r="K3795" s="17" t="n">
        <f aca="false">MAX(K3794,C3795)</f>
        <v>111722.53</v>
      </c>
      <c r="L3795" s="25" t="n">
        <f aca="false">C3795/K3795-1</f>
        <v>-0.0202126643569563</v>
      </c>
      <c r="M3795" s="25" t="n">
        <f aca="false">IF(COUNT(G3766:G3795)&lt;20,"",_xlfn.STDEV.S(G3766:G3795)*SQRT($R$3))</f>
        <v>0.350078231570283</v>
      </c>
      <c r="N3795" s="25" t="n">
        <f aca="false">IF(A3795-7&lt;$R$2,"",C3795/INDEX(Clean_Data!$C$2:$C$4314,MATCH(A3795-7,Clean_Data!$A$2:$A$4314,1))-1)</f>
        <v>0.0364351371163019</v>
      </c>
      <c r="O3795" s="25" t="n">
        <f aca="false">IF(A3795-30&lt;$R$2,"",C3795/INDEX(Clean_Data!$C$2:$C$4314,MATCH(A3795-30,Clean_Data!$A$2:$A$4314,1))-1)</f>
        <v>0.156313565158751</v>
      </c>
    </row>
    <row r="3796" customFormat="false" ht="15" hidden="false" customHeight="false" outlineLevel="0" collapsed="false">
      <c r="A3796" s="16" t="n">
        <v>45803</v>
      </c>
      <c r="B3796" s="23" t="n">
        <f aca="false">YEAR(A3796)</f>
        <v>2025</v>
      </c>
      <c r="C3796" s="17" t="n">
        <v>108978.46</v>
      </c>
      <c r="D3796" s="23" t="n">
        <f aca="false">A3796-A3795</f>
        <v>1</v>
      </c>
      <c r="E3796" s="24" t="n">
        <f aca="false">LN(C3796)</f>
        <v>11.598905527004</v>
      </c>
      <c r="F3796" s="25" t="n">
        <f aca="false">LN(C3796/C3795)</f>
        <v>-0.00444840338687074</v>
      </c>
      <c r="G3796" s="25" t="n">
        <f aca="false">IF(AND(D3796=1,A3796&gt;=$R$2),F3796,"")</f>
        <v>-0.00444840338687074</v>
      </c>
      <c r="H3796" s="27" t="n">
        <f aca="false">IF(G3796="","",G3796^2)</f>
        <v>1.97882926923231E-005</v>
      </c>
      <c r="I3796" s="25" t="n">
        <f aca="false">IF(G3796="","",C3796/C3795-1)</f>
        <v>-0.00443852389527477</v>
      </c>
      <c r="J3796" s="17" t="n">
        <f aca="false">AVERAGE(C3597:C3796)</f>
        <v>94303.2952</v>
      </c>
      <c r="K3796" s="17" t="n">
        <f aca="false">MAX(K3795,C3796)</f>
        <v>111722.53</v>
      </c>
      <c r="L3796" s="25" t="n">
        <f aca="false">C3796/K3796-1</f>
        <v>-0.0245614738584956</v>
      </c>
      <c r="M3796" s="25" t="n">
        <f aca="false">IF(COUNT(G3767:G3796)&lt;20,"",_xlfn.STDEV.S(G3767:G3796)*SQRT($R$3))</f>
        <v>0.347960562609429</v>
      </c>
      <c r="N3796" s="25" t="n">
        <f aca="false">IF(A3796-7&lt;$R$2,"",C3796/INDEX(Clean_Data!$C$2:$C$4314,MATCH(A3796-7,Clean_Data!$A$2:$A$4314,1))-1)</f>
        <v>0.0196028862897495</v>
      </c>
      <c r="O3796" s="25" t="n">
        <f aca="false">IF(A3796-30&lt;$R$2,"",C3796/INDEX(Clean_Data!$C$2:$C$4314,MATCH(A3796-30,Clean_Data!$A$2:$A$4314,1))-1)</f>
        <v>0.162057982799635</v>
      </c>
    </row>
    <row r="3797" customFormat="false" ht="15" hidden="false" customHeight="false" outlineLevel="0" collapsed="false">
      <c r="A3797" s="16" t="n">
        <v>45804</v>
      </c>
      <c r="B3797" s="23" t="n">
        <f aca="false">YEAR(A3797)</f>
        <v>2025</v>
      </c>
      <c r="C3797" s="17" t="n">
        <v>107819.29</v>
      </c>
      <c r="D3797" s="23" t="n">
        <f aca="false">A3797-A3796</f>
        <v>1</v>
      </c>
      <c r="E3797" s="24" t="n">
        <f aca="false">LN(C3797)</f>
        <v>11.5882118639348</v>
      </c>
      <c r="F3797" s="25" t="n">
        <f aca="false">LN(C3797/C3796)</f>
        <v>-0.0106936630692062</v>
      </c>
      <c r="G3797" s="25" t="n">
        <f aca="false">IF(AND(D3797=1,A3797&gt;=$R$2),F3797,"")</f>
        <v>-0.0106936630692062</v>
      </c>
      <c r="H3797" s="27" t="n">
        <f aca="false">IF(G3797="","",G3797^2)</f>
        <v>0.000114354429837704</v>
      </c>
      <c r="I3797" s="25" t="n">
        <f aca="false">IF(G3797="","",C3797/C3796-1)</f>
        <v>-0.0106366891218688</v>
      </c>
      <c r="J3797" s="17" t="n">
        <f aca="false">AVERAGE(C3598:C3797)</f>
        <v>94458.81135</v>
      </c>
      <c r="K3797" s="17" t="n">
        <f aca="false">MAX(K3796,C3797)</f>
        <v>111722.53</v>
      </c>
      <c r="L3797" s="25" t="n">
        <f aca="false">C3797/K3797-1</f>
        <v>-0.0349369102185567</v>
      </c>
      <c r="M3797" s="25" t="n">
        <f aca="false">IF(COUNT(G3768:G3797)&lt;20,"",_xlfn.STDEV.S(G3768:G3797)*SQRT($R$3))</f>
        <v>0.350793766493437</v>
      </c>
      <c r="N3797" s="25" t="n">
        <f aca="false">IF(A3797-7&lt;$R$2,"",C3797/INDEX(Clean_Data!$C$2:$C$4314,MATCH(A3797-7,Clean_Data!$A$2:$A$4314,1))-1)</f>
        <v>-0.0171399989462125</v>
      </c>
      <c r="O3797" s="25" t="n">
        <f aca="false">IF(A3797-30&lt;$R$2,"",C3797/INDEX(Clean_Data!$C$2:$C$4314,MATCH(A3797-30,Clean_Data!$A$2:$A$4314,1))-1)</f>
        <v>0.1344315499886</v>
      </c>
    </row>
    <row r="3798" customFormat="false" ht="15" hidden="false" customHeight="false" outlineLevel="0" collapsed="false">
      <c r="A3798" s="16" t="n">
        <v>45805</v>
      </c>
      <c r="B3798" s="23" t="n">
        <f aca="false">YEAR(A3798)</f>
        <v>2025</v>
      </c>
      <c r="C3798" s="17" t="n">
        <v>105572.58</v>
      </c>
      <c r="D3798" s="23" t="n">
        <f aca="false">A3798-A3797</f>
        <v>1</v>
      </c>
      <c r="E3798" s="24" t="n">
        <f aca="false">LN(C3798)</f>
        <v>11.5671539574461</v>
      </c>
      <c r="F3798" s="25" t="n">
        <f aca="false">LN(C3798/C3797)</f>
        <v>-0.0210579064886916</v>
      </c>
      <c r="G3798" s="25" t="n">
        <f aca="false">IF(AND(D3798=1,A3798&gt;=$R$2),F3798,"")</f>
        <v>-0.0210579064886916</v>
      </c>
      <c r="H3798" s="27" t="n">
        <f aca="false">IF(G3798="","",G3798^2)</f>
        <v>0.000443435425686478</v>
      </c>
      <c r="I3798" s="25" t="n">
        <f aca="false">IF(G3798="","",C3798/C3797-1)</f>
        <v>-0.0208377369207309</v>
      </c>
      <c r="J3798" s="17" t="n">
        <f aca="false">AVERAGE(C3599:C3798)</f>
        <v>94584.52965</v>
      </c>
      <c r="K3798" s="17" t="n">
        <f aca="false">MAX(K3797,C3798)</f>
        <v>111722.53</v>
      </c>
      <c r="L3798" s="25" t="n">
        <f aca="false">C3798/K3798-1</f>
        <v>-0.0550466409953301</v>
      </c>
      <c r="M3798" s="25" t="n">
        <f aca="false">IF(COUNT(G3769:G3798)&lt;20,"",_xlfn.STDEV.S(G3769:G3798)*SQRT($R$3))</f>
        <v>0.359301451337437</v>
      </c>
      <c r="N3798" s="25" t="n">
        <f aca="false">IF(A3798-7&lt;$R$2,"",C3798/INDEX(Clean_Data!$C$2:$C$4314,MATCH(A3798-7,Clean_Data!$A$2:$A$4314,1))-1)</f>
        <v>-0.0550466409953301</v>
      </c>
      <c r="O3798" s="25" t="n">
        <f aca="false">IF(A3798-30&lt;$R$2,"",C3798/INDEX(Clean_Data!$C$2:$C$4314,MATCH(A3798-30,Clean_Data!$A$2:$A$4314,1))-1)</f>
        <v>0.119882882440417</v>
      </c>
    </row>
    <row r="3799" customFormat="false" ht="15" hidden="false" customHeight="false" outlineLevel="0" collapsed="false">
      <c r="A3799" s="16" t="n">
        <v>45806</v>
      </c>
      <c r="B3799" s="23" t="n">
        <f aca="false">YEAR(A3799)</f>
        <v>2025</v>
      </c>
      <c r="C3799" s="17" t="n">
        <v>104033.26</v>
      </c>
      <c r="D3799" s="23" t="n">
        <f aca="false">A3799-A3798</f>
        <v>1</v>
      </c>
      <c r="E3799" s="24" t="n">
        <f aca="false">LN(C3799)</f>
        <v>11.5524659346882</v>
      </c>
      <c r="F3799" s="25" t="n">
        <f aca="false">LN(C3799/C3798)</f>
        <v>-0.0146880227578929</v>
      </c>
      <c r="G3799" s="25" t="n">
        <f aca="false">IF(AND(D3799=1,A3799&gt;=$R$2),F3799,"")</f>
        <v>-0.0146880227578929</v>
      </c>
      <c r="H3799" s="27" t="n">
        <f aca="false">IF(G3799="","",G3799^2)</f>
        <v>0.000215738012536378</v>
      </c>
      <c r="I3799" s="25" t="n">
        <f aca="false">IF(G3799="","",C3799/C3798-1)</f>
        <v>-0.0145806799454935</v>
      </c>
      <c r="J3799" s="17" t="n">
        <f aca="false">AVERAGE(C3600:C3799)</f>
        <v>94660.8423</v>
      </c>
      <c r="K3799" s="17" t="n">
        <f aca="false">MAX(K3798,C3799)</f>
        <v>111722.53</v>
      </c>
      <c r="L3799" s="25" t="n">
        <f aca="false">C3799/K3799-1</f>
        <v>-0.0688247034863962</v>
      </c>
      <c r="M3799" s="25" t="n">
        <f aca="false">IF(COUNT(G3770:G3799)&lt;20,"",_xlfn.STDEV.S(G3770:G3799)*SQRT($R$3))</f>
        <v>0.364730837667352</v>
      </c>
      <c r="N3799" s="25" t="n">
        <f aca="false">IF(A3799-7&lt;$R$2,"",C3799/INDEX(Clean_Data!$C$2:$C$4314,MATCH(A3799-7,Clean_Data!$A$2:$A$4314,1))-1)</f>
        <v>-0.0307124007997421</v>
      </c>
      <c r="O3799" s="25" t="n">
        <f aca="false">IF(A3799-30&lt;$R$2,"",C3799/INDEX(Clean_Data!$C$2:$C$4314,MATCH(A3799-30,Clean_Data!$A$2:$A$4314,1))-1)</f>
        <v>0.104591785271453</v>
      </c>
    </row>
    <row r="3800" customFormat="false" ht="15" hidden="false" customHeight="false" outlineLevel="0" collapsed="false">
      <c r="A3800" s="16" t="n">
        <v>45807</v>
      </c>
      <c r="B3800" s="23" t="n">
        <f aca="false">YEAR(A3800)</f>
        <v>2025</v>
      </c>
      <c r="C3800" s="17" t="n">
        <v>104645.87</v>
      </c>
      <c r="D3800" s="23" t="n">
        <f aca="false">A3800-A3799</f>
        <v>1</v>
      </c>
      <c r="E3800" s="24" t="n">
        <f aca="false">LN(C3800)</f>
        <v>11.5583372622124</v>
      </c>
      <c r="F3800" s="25" t="n">
        <f aca="false">LN(C3800/C3799)</f>
        <v>0.00587132752420593</v>
      </c>
      <c r="G3800" s="25" t="n">
        <f aca="false">IF(AND(D3800=1,A3800&gt;=$R$2),F3800,"")</f>
        <v>0.00587132752420593</v>
      </c>
      <c r="H3800" s="27" t="n">
        <f aca="false">IF(G3800="","",G3800^2)</f>
        <v>3.44724868964981E-005</v>
      </c>
      <c r="I3800" s="25" t="n">
        <f aca="false">IF(G3800="","",C3800/C3799-1)</f>
        <v>0.00588859755043725</v>
      </c>
      <c r="J3800" s="17" t="n">
        <f aca="false">AVERAGE(C3601:C3800)</f>
        <v>94743.8945</v>
      </c>
      <c r="K3800" s="17" t="n">
        <f aca="false">MAX(K3799,C3800)</f>
        <v>111722.53</v>
      </c>
      <c r="L3800" s="25" t="n">
        <f aca="false">C3800/K3800-1</f>
        <v>-0.0633413869163185</v>
      </c>
      <c r="M3800" s="25" t="n">
        <f aca="false">IF(COUNT(G3771:G3800)&lt;20,"",_xlfn.STDEV.S(G3771:G3800)*SQRT($R$3))</f>
        <v>0.356763305646673</v>
      </c>
      <c r="N3800" s="25" t="n">
        <f aca="false">IF(A3800-7&lt;$R$2,"",C3800/INDEX(Clean_Data!$C$2:$C$4314,MATCH(A3800-7,Clean_Data!$A$2:$A$4314,1))-1)</f>
        <v>-0.0292051478556183</v>
      </c>
      <c r="O3800" s="25" t="n">
        <f aca="false">IF(A3800-30&lt;$R$2,"",C3800/INDEX(Clean_Data!$C$2:$C$4314,MATCH(A3800-30,Clean_Data!$A$2:$A$4314,1))-1)</f>
        <v>0.0841325219647806</v>
      </c>
    </row>
    <row r="3801" customFormat="false" ht="15" hidden="false" customHeight="false" outlineLevel="0" collapsed="false">
      <c r="A3801" s="16" t="n">
        <v>45808</v>
      </c>
      <c r="B3801" s="23" t="n">
        <f aca="false">YEAR(A3801)</f>
        <v>2025</v>
      </c>
      <c r="C3801" s="17" t="n">
        <v>105697.94</v>
      </c>
      <c r="D3801" s="23" t="n">
        <f aca="false">A3801-A3800</f>
        <v>1</v>
      </c>
      <c r="E3801" s="24" t="n">
        <f aca="false">LN(C3801)</f>
        <v>11.5683406825483</v>
      </c>
      <c r="F3801" s="25" t="n">
        <f aca="false">LN(C3801/C3800)</f>
        <v>0.0100034203358187</v>
      </c>
      <c r="G3801" s="25" t="n">
        <f aca="false">IF(AND(D3801=1,A3801&gt;=$R$2),F3801,"")</f>
        <v>0.0100034203358187</v>
      </c>
      <c r="H3801" s="27" t="n">
        <f aca="false">IF(G3801="","",G3801^2)</f>
        <v>0.000100068418415071</v>
      </c>
      <c r="I3801" s="25" t="n">
        <f aca="false">IF(G3801="","",C3801/C3800-1)</f>
        <v>0.0100536218008414</v>
      </c>
      <c r="J3801" s="17" t="n">
        <f aca="false">AVERAGE(C3602:C3801)</f>
        <v>94819.9151</v>
      </c>
      <c r="K3801" s="17" t="n">
        <f aca="false">MAX(K3800,C3801)</f>
        <v>111722.53</v>
      </c>
      <c r="L3801" s="25" t="n">
        <f aca="false">C3801/K3801-1</f>
        <v>-0.0539245754638746</v>
      </c>
      <c r="M3801" s="25" t="n">
        <f aca="false">IF(COUNT(G3772:G3801)&lt;20,"",_xlfn.STDEV.S(G3772:G3801)*SQRT($R$3))</f>
        <v>0.357645788109926</v>
      </c>
      <c r="N3801" s="25" t="n">
        <f aca="false">IF(A3801-7&lt;$R$2,"",C3801/INDEX(Clean_Data!$C$2:$C$4314,MATCH(A3801-7,Clean_Data!$A$2:$A$4314,1))-1)</f>
        <v>-0.0307270110926605</v>
      </c>
      <c r="O3801" s="25" t="n">
        <f aca="false">IF(A3801-30&lt;$R$2,"",C3801/INDEX(Clean_Data!$C$2:$C$4314,MATCH(A3801-30,Clean_Data!$A$2:$A$4314,1))-1)</f>
        <v>0.0904585493358545</v>
      </c>
    </row>
    <row r="3802" customFormat="false" ht="15" hidden="false" customHeight="false" outlineLevel="0" collapsed="false">
      <c r="A3802" s="16" t="n">
        <v>45809</v>
      </c>
      <c r="B3802" s="23" t="n">
        <f aca="false">YEAR(A3802)</f>
        <v>2025</v>
      </c>
      <c r="C3802" s="17" t="n">
        <v>105904.94</v>
      </c>
      <c r="D3802" s="23" t="n">
        <f aca="false">A3802-A3801</f>
        <v>1</v>
      </c>
      <c r="E3802" s="24" t="n">
        <f aca="false">LN(C3802)</f>
        <v>11.5702971782825</v>
      </c>
      <c r="F3802" s="25" t="n">
        <f aca="false">LN(C3802/C3801)</f>
        <v>0.00195649573418701</v>
      </c>
      <c r="G3802" s="25" t="n">
        <f aca="false">IF(AND(D3802=1,A3802&gt;=$R$2),F3802,"")</f>
        <v>0.00195649573418701</v>
      </c>
      <c r="H3802" s="27" t="n">
        <f aca="false">IF(G3802="","",G3802^2)</f>
        <v>3.82787555789195E-006</v>
      </c>
      <c r="I3802" s="25" t="n">
        <f aca="false">IF(G3802="","",C3802/C3801-1)</f>
        <v>0.00195841092078042</v>
      </c>
      <c r="J3802" s="17" t="n">
        <f aca="false">AVERAGE(C3603:C3802)</f>
        <v>94912.7378</v>
      </c>
      <c r="K3802" s="17" t="n">
        <f aca="false">MAX(K3801,C3802)</f>
        <v>111722.53</v>
      </c>
      <c r="L3802" s="25" t="n">
        <f aca="false">C3802/K3802-1</f>
        <v>-0.052071771020581</v>
      </c>
      <c r="M3802" s="25" t="n">
        <f aca="false">IF(COUNT(G3773:G3802)&lt;20,"",_xlfn.STDEV.S(G3773:G3802)*SQRT($R$3))</f>
        <v>0.354109225993312</v>
      </c>
      <c r="N3802" s="25" t="n">
        <f aca="false">IF(A3802-7&lt;$R$2,"",C3802/INDEX(Clean_Data!$C$2:$C$4314,MATCH(A3802-7,Clean_Data!$A$2:$A$4314,1))-1)</f>
        <v>-0.0325163487061355</v>
      </c>
      <c r="O3802" s="25" t="n">
        <f aca="false">IF(A3802-30&lt;$R$2,"",C3802/INDEX(Clean_Data!$C$2:$C$4314,MATCH(A3802-30,Clean_Data!$A$2:$A$4314,1))-1)</f>
        <v>0.104772278874078</v>
      </c>
    </row>
    <row r="3803" customFormat="false" ht="15" hidden="false" customHeight="false" outlineLevel="0" collapsed="false">
      <c r="A3803" s="16" t="n">
        <v>45810</v>
      </c>
      <c r="B3803" s="23" t="n">
        <f aca="false">YEAR(A3803)</f>
        <v>2025</v>
      </c>
      <c r="C3803" s="17" t="n">
        <v>105447.82</v>
      </c>
      <c r="D3803" s="23" t="n">
        <f aca="false">A3803-A3802</f>
        <v>1</v>
      </c>
      <c r="E3803" s="24" t="n">
        <f aca="false">LN(C3803)</f>
        <v>11.5659715123883</v>
      </c>
      <c r="F3803" s="25" t="n">
        <f aca="false">LN(C3803/C3802)</f>
        <v>-0.0043256658941082</v>
      </c>
      <c r="G3803" s="25" t="n">
        <f aca="false">IF(AND(D3803=1,A3803&gt;=$R$2),F3803,"")</f>
        <v>-0.0043256658941082</v>
      </c>
      <c r="H3803" s="27" t="n">
        <f aca="false">IF(G3803="","",G3803^2)</f>
        <v>1.87113854274509E-005</v>
      </c>
      <c r="I3803" s="25" t="n">
        <f aca="false">IF(G3803="","",C3803/C3802-1)</f>
        <v>-0.00431632367668589</v>
      </c>
      <c r="J3803" s="17" t="n">
        <f aca="false">AVERAGE(C3604:C3803)</f>
        <v>94984.6851</v>
      </c>
      <c r="K3803" s="17" t="n">
        <f aca="false">MAX(K3802,C3803)</f>
        <v>111722.53</v>
      </c>
      <c r="L3803" s="25" t="n">
        <f aca="false">C3803/K3803-1</f>
        <v>-0.0561633360791238</v>
      </c>
      <c r="M3803" s="25" t="n">
        <f aca="false">IF(COUNT(G3774:G3803)&lt;20,"",_xlfn.STDEV.S(G3774:G3803)*SQRT($R$3))</f>
        <v>0.347869789154253</v>
      </c>
      <c r="N3803" s="25" t="n">
        <f aca="false">IF(A3803-7&lt;$R$2,"",C3803/INDEX(Clean_Data!$C$2:$C$4314,MATCH(A3803-7,Clean_Data!$A$2:$A$4314,1))-1)</f>
        <v>-0.0323975949008639</v>
      </c>
      <c r="O3803" s="25" t="n">
        <f aca="false">IF(A3803-30&lt;$R$2,"",C3803/INDEX(Clean_Data!$C$2:$C$4314,MATCH(A3803-30,Clean_Data!$A$2:$A$4314,1))-1)</f>
        <v>0.118542141906631</v>
      </c>
    </row>
    <row r="3804" customFormat="false" ht="15" hidden="false" customHeight="false" outlineLevel="0" collapsed="false">
      <c r="A3804" s="16" t="n">
        <v>45811</v>
      </c>
      <c r="B3804" s="23" t="n">
        <f aca="false">YEAR(A3804)</f>
        <v>2025</v>
      </c>
      <c r="C3804" s="17" t="n">
        <v>104753.38</v>
      </c>
      <c r="D3804" s="23" t="n">
        <f aca="false">A3804-A3803</f>
        <v>1</v>
      </c>
      <c r="E3804" s="24" t="n">
        <f aca="false">LN(C3804)</f>
        <v>11.5593641045669</v>
      </c>
      <c r="F3804" s="25" t="n">
        <f aca="false">LN(C3804/C3803)</f>
        <v>-0.00660740782143259</v>
      </c>
      <c r="G3804" s="25" t="n">
        <f aca="false">IF(AND(D3804=1,A3804&gt;=$R$2),F3804,"")</f>
        <v>-0.00660740782143259</v>
      </c>
      <c r="H3804" s="27" t="n">
        <f aca="false">IF(G3804="","",G3804^2)</f>
        <v>4.36578381187286E-005</v>
      </c>
      <c r="I3804" s="25" t="n">
        <f aca="false">IF(G3804="","",C3804/C3803-1)</f>
        <v>-0.00658562690058462</v>
      </c>
      <c r="J3804" s="17" t="n">
        <f aca="false">AVERAGE(C3605:C3804)</f>
        <v>95055.2708</v>
      </c>
      <c r="K3804" s="17" t="n">
        <f aca="false">MAX(K3803,C3804)</f>
        <v>111722.53</v>
      </c>
      <c r="L3804" s="25" t="n">
        <f aca="false">C3804/K3804-1</f>
        <v>-0.0623790922027991</v>
      </c>
      <c r="M3804" s="25" t="n">
        <f aca="false">IF(COUNT(G3775:G3804)&lt;20,"",_xlfn.STDEV.S(G3775:G3804)*SQRT($R$3))</f>
        <v>0.349696264869654</v>
      </c>
      <c r="N3804" s="25" t="n">
        <f aca="false">IF(A3804-7&lt;$R$2,"",C3804/INDEX(Clean_Data!$C$2:$C$4314,MATCH(A3804-7,Clean_Data!$A$2:$A$4314,1))-1)</f>
        <v>-0.0284356352188926</v>
      </c>
      <c r="O3804" s="25" t="n">
        <f aca="false">IF(A3804-30&lt;$R$2,"",C3804/INDEX(Clean_Data!$C$2:$C$4314,MATCH(A3804-30,Clean_Data!$A$2:$A$4314,1))-1)</f>
        <v>0.105763411844049</v>
      </c>
    </row>
    <row r="3805" customFormat="false" ht="15" hidden="false" customHeight="false" outlineLevel="0" collapsed="false">
      <c r="A3805" s="16" t="n">
        <v>45812</v>
      </c>
      <c r="B3805" s="23" t="n">
        <f aca="false">YEAR(A3805)</f>
        <v>2025</v>
      </c>
      <c r="C3805" s="17" t="n">
        <v>101570.2</v>
      </c>
      <c r="D3805" s="23" t="n">
        <f aca="false">A3805-A3804</f>
        <v>1</v>
      </c>
      <c r="E3805" s="24" t="n">
        <f aca="false">LN(C3805)</f>
        <v>11.528505464017</v>
      </c>
      <c r="F3805" s="25" t="n">
        <f aca="false">LN(C3805/C3804)</f>
        <v>-0.0308586405499406</v>
      </c>
      <c r="G3805" s="25" t="n">
        <f aca="false">IF(AND(D3805=1,A3805&gt;=$R$2),F3805,"")</f>
        <v>-0.0308586405499406</v>
      </c>
      <c r="H3805" s="27" t="n">
        <f aca="false">IF(G3805="","",G3805^2)</f>
        <v>0.000952255696590441</v>
      </c>
      <c r="I3805" s="25" t="n">
        <f aca="false">IF(G3805="","",C3805/C3804-1)</f>
        <v>-0.0303873727033916</v>
      </c>
      <c r="J3805" s="17" t="n">
        <f aca="false">AVERAGE(C3606:C3805)</f>
        <v>95113.68835</v>
      </c>
      <c r="K3805" s="17" t="n">
        <f aca="false">MAX(K3804,C3805)</f>
        <v>111722.53</v>
      </c>
      <c r="L3805" s="25" t="n">
        <f aca="false">C3805/K3805-1</f>
        <v>-0.0908709281825251</v>
      </c>
      <c r="M3805" s="25" t="n">
        <f aca="false">IF(COUNT(G3776:G3805)&lt;20,"",_xlfn.STDEV.S(G3776:G3805)*SQRT($R$3))</f>
        <v>0.362600060104618</v>
      </c>
      <c r="N3805" s="25" t="n">
        <f aca="false">IF(A3805-7&lt;$R$2,"",C3805/INDEX(Clean_Data!$C$2:$C$4314,MATCH(A3805-7,Clean_Data!$A$2:$A$4314,1))-1)</f>
        <v>-0.0379111697374451</v>
      </c>
      <c r="O3805" s="25" t="n">
        <f aca="false">IF(A3805-30&lt;$R$2,"",C3805/INDEX(Clean_Data!$C$2:$C$4314,MATCH(A3805-30,Clean_Data!$A$2:$A$4314,1))-1)</f>
        <v>0.0488545079434282</v>
      </c>
    </row>
    <row r="3806" customFormat="false" ht="15" hidden="false" customHeight="false" outlineLevel="0" collapsed="false">
      <c r="A3806" s="16" t="n">
        <v>45813</v>
      </c>
      <c r="B3806" s="23" t="n">
        <f aca="false">YEAR(A3806)</f>
        <v>2025</v>
      </c>
      <c r="C3806" s="17" t="n">
        <v>104397.99</v>
      </c>
      <c r="D3806" s="23" t="n">
        <f aca="false">A3806-A3805</f>
        <v>1</v>
      </c>
      <c r="E3806" s="24" t="n">
        <f aca="false">LN(C3806)</f>
        <v>11.5559657013718</v>
      </c>
      <c r="F3806" s="25" t="n">
        <f aca="false">LN(C3806/C3805)</f>
        <v>0.0274602373548052</v>
      </c>
      <c r="G3806" s="25" t="n">
        <f aca="false">IF(AND(D3806=1,A3806&gt;=$R$2),F3806,"")</f>
        <v>0.0274602373548052</v>
      </c>
      <c r="H3806" s="27" t="n">
        <f aca="false">IF(G3806="","",G3806^2)</f>
        <v>0.000754064635582239</v>
      </c>
      <c r="I3806" s="25" t="n">
        <f aca="false">IF(G3806="","",C3806/C3805-1)</f>
        <v>0.0278407446278535</v>
      </c>
      <c r="J3806" s="17" t="n">
        <f aca="false">AVERAGE(C3607:C3806)</f>
        <v>95183.0768</v>
      </c>
      <c r="K3806" s="17" t="n">
        <f aca="false">MAX(K3805,C3806)</f>
        <v>111722.53</v>
      </c>
      <c r="L3806" s="25" t="n">
        <f aca="false">C3806/K3806-1</f>
        <v>-0.0655600978602973</v>
      </c>
      <c r="M3806" s="25" t="n">
        <f aca="false">IF(COUNT(G3777:G3806)&lt;20,"",_xlfn.STDEV.S(G3777:G3806)*SQRT($R$3))</f>
        <v>0.373671400156625</v>
      </c>
      <c r="N3806" s="25" t="n">
        <f aca="false">IF(A3806-7&lt;$R$2,"",C3806/INDEX(Clean_Data!$C$2:$C$4314,MATCH(A3806-7,Clean_Data!$A$2:$A$4314,1))-1)</f>
        <v>0.00350589801761481</v>
      </c>
      <c r="O3806" s="25" t="n">
        <f aca="false">IF(A3806-30&lt;$R$2,"",C3806/INDEX(Clean_Data!$C$2:$C$4314,MATCH(A3806-30,Clean_Data!$A$2:$A$4314,1))-1)</f>
        <v>0.0756212347380421</v>
      </c>
    </row>
    <row r="3807" customFormat="false" ht="15" hidden="false" customHeight="false" outlineLevel="0" collapsed="false">
      <c r="A3807" s="16" t="n">
        <v>45814</v>
      </c>
      <c r="B3807" s="23" t="n">
        <f aca="false">YEAR(A3807)</f>
        <v>2025</v>
      </c>
      <c r="C3807" s="17" t="n">
        <v>105619.02</v>
      </c>
      <c r="D3807" s="23" t="n">
        <f aca="false">A3807-A3806</f>
        <v>1</v>
      </c>
      <c r="E3807" s="24" t="n">
        <f aca="false">LN(C3807)</f>
        <v>11.5675937476721</v>
      </c>
      <c r="F3807" s="25" t="n">
        <f aca="false">LN(C3807/C3806)</f>
        <v>0.0116280463003749</v>
      </c>
      <c r="G3807" s="25" t="n">
        <f aca="false">IF(AND(D3807=1,A3807&gt;=$R$2),F3807,"")</f>
        <v>0.0116280463003749</v>
      </c>
      <c r="H3807" s="27" t="n">
        <f aca="false">IF(G3807="","",G3807^2)</f>
        <v>0.000135211460763663</v>
      </c>
      <c r="I3807" s="25" t="n">
        <f aca="false">IF(G3807="","",C3807/C3806-1)</f>
        <v>0.0116959148351419</v>
      </c>
      <c r="J3807" s="17" t="n">
        <f aca="false">AVERAGE(C3608:C3807)</f>
        <v>95248.99245</v>
      </c>
      <c r="K3807" s="17" t="n">
        <f aca="false">MAX(K3806,C3807)</f>
        <v>111722.53</v>
      </c>
      <c r="L3807" s="25" t="n">
        <f aca="false">C3807/K3807-1</f>
        <v>-0.0546309683463129</v>
      </c>
      <c r="M3807" s="25" t="n">
        <f aca="false">IF(COUNT(G3778:G3807)&lt;20,"",_xlfn.STDEV.S(G3778:G3807)*SQRT($R$3))</f>
        <v>0.308479947001014</v>
      </c>
      <c r="N3807" s="25" t="n">
        <f aca="false">IF(A3807-7&lt;$R$2,"",C3807/INDEX(Clean_Data!$C$2:$C$4314,MATCH(A3807-7,Clean_Data!$A$2:$A$4314,1))-1)</f>
        <v>0.00929945921420505</v>
      </c>
      <c r="O3807" s="25" t="n">
        <f aca="false">IF(A3807-30&lt;$R$2,"",C3807/INDEX(Clean_Data!$C$2:$C$4314,MATCH(A3807-30,Clean_Data!$A$2:$A$4314,1))-1)</f>
        <v>0.0229099277903342</v>
      </c>
    </row>
    <row r="3808" customFormat="false" ht="15" hidden="false" customHeight="false" outlineLevel="0" collapsed="false">
      <c r="A3808" s="16" t="n">
        <v>45815</v>
      </c>
      <c r="B3808" s="23" t="n">
        <f aca="false">YEAR(A3808)</f>
        <v>2025</v>
      </c>
      <c r="C3808" s="17" t="n">
        <v>105784.4</v>
      </c>
      <c r="D3808" s="23" t="n">
        <f aca="false">A3808-A3807</f>
        <v>1</v>
      </c>
      <c r="E3808" s="24" t="n">
        <f aca="false">LN(C3808)</f>
        <v>11.5691583395197</v>
      </c>
      <c r="F3808" s="25" t="n">
        <f aca="false">LN(C3808/C3807)</f>
        <v>0.00156459184753763</v>
      </c>
      <c r="G3808" s="25" t="n">
        <f aca="false">IF(AND(D3808=1,A3808&gt;=$R$2),F3808,"")</f>
        <v>0.00156459184753763</v>
      </c>
      <c r="H3808" s="27" t="n">
        <f aca="false">IF(G3808="","",G3808^2)</f>
        <v>2.44794764938122E-006</v>
      </c>
      <c r="I3808" s="25" t="n">
        <f aca="false">IF(G3808="","",C3808/C3807-1)</f>
        <v>0.00156581645995191</v>
      </c>
      <c r="J3808" s="17" t="n">
        <f aca="false">AVERAGE(C3609:C3808)</f>
        <v>95305.9487</v>
      </c>
      <c r="K3808" s="17" t="n">
        <f aca="false">MAX(K3807,C3808)</f>
        <v>111722.53</v>
      </c>
      <c r="L3808" s="25" t="n">
        <f aca="false">C3808/K3808-1</f>
        <v>-0.0531506939558207</v>
      </c>
      <c r="M3808" s="25" t="n">
        <f aca="false">IF(COUNT(G3779:G3808)&lt;20,"",_xlfn.STDEV.S(G3779:G3808)*SQRT($R$3))</f>
        <v>0.308253988857715</v>
      </c>
      <c r="N3808" s="25" t="n">
        <f aca="false">IF(A3808-7&lt;$R$2,"",C3808/INDEX(Clean_Data!$C$2:$C$4314,MATCH(A3808-7,Clean_Data!$A$2:$A$4314,1))-1)</f>
        <v>0.000817991344012947</v>
      </c>
      <c r="O3808" s="25" t="n">
        <f aca="false">IF(A3808-30&lt;$R$2,"",C3808/INDEX(Clean_Data!$C$2:$C$4314,MATCH(A3808-30,Clean_Data!$A$2:$A$4314,1))-1)</f>
        <v>0.0271630505454281</v>
      </c>
    </row>
    <row r="3809" customFormat="false" ht="15" hidden="false" customHeight="false" outlineLevel="0" collapsed="false">
      <c r="A3809" s="16" t="n">
        <v>45816</v>
      </c>
      <c r="B3809" s="23" t="n">
        <f aca="false">YEAR(A3809)</f>
        <v>2025</v>
      </c>
      <c r="C3809" s="17" t="n">
        <v>110301.15</v>
      </c>
      <c r="D3809" s="23" t="n">
        <f aca="false">A3809-A3808</f>
        <v>1</v>
      </c>
      <c r="E3809" s="24" t="n">
        <f aca="false">LN(C3809)</f>
        <v>11.6109696312979</v>
      </c>
      <c r="F3809" s="25" t="n">
        <f aca="false">LN(C3809/C3808)</f>
        <v>0.0418112917781638</v>
      </c>
      <c r="G3809" s="25" t="n">
        <f aca="false">IF(AND(D3809=1,A3809&gt;=$R$2),F3809,"")</f>
        <v>0.0418112917781638</v>
      </c>
      <c r="H3809" s="27" t="n">
        <f aca="false">IF(G3809="","",G3809^2)</f>
        <v>0.00174818412015875</v>
      </c>
      <c r="I3809" s="25" t="n">
        <f aca="false">IF(G3809="","",C3809/C3808-1)</f>
        <v>0.0426976945560971</v>
      </c>
      <c r="J3809" s="17" t="n">
        <f aca="false">AVERAGE(C3610:C3809)</f>
        <v>95365.259</v>
      </c>
      <c r="K3809" s="17" t="n">
        <f aca="false">MAX(K3808,C3809)</f>
        <v>111722.53</v>
      </c>
      <c r="L3809" s="25" t="n">
        <f aca="false">C3809/K3809-1</f>
        <v>-0.0127224114956939</v>
      </c>
      <c r="M3809" s="25" t="n">
        <f aca="false">IF(COUNT(G3780:G3809)&lt;20,"",_xlfn.STDEV.S(G3780:G3809)*SQRT($R$3))</f>
        <v>0.335131254430151</v>
      </c>
      <c r="N3809" s="25" t="n">
        <f aca="false">IF(A3809-7&lt;$R$2,"",C3809/INDEX(Clean_Data!$C$2:$C$4314,MATCH(A3809-7,Clean_Data!$A$2:$A$4314,1))-1)</f>
        <v>0.0415109059124152</v>
      </c>
      <c r="O3809" s="25" t="n">
        <f aca="false">IF(A3809-30&lt;$R$2,"",C3809/INDEX(Clean_Data!$C$2:$C$4314,MATCH(A3809-30,Clean_Data!$A$2:$A$4314,1))-1)</f>
        <v>0.0522791240969502</v>
      </c>
    </row>
    <row r="3810" customFormat="false" ht="15" hidden="false" customHeight="false" outlineLevel="0" collapsed="false">
      <c r="A3810" s="16" t="n">
        <v>45817</v>
      </c>
      <c r="B3810" s="23" t="n">
        <f aca="false">YEAR(A3810)</f>
        <v>2025</v>
      </c>
      <c r="C3810" s="17" t="n">
        <v>110300.24</v>
      </c>
      <c r="D3810" s="23" t="n">
        <f aca="false">A3810-A3809</f>
        <v>1</v>
      </c>
      <c r="E3810" s="24" t="n">
        <f aca="false">LN(C3810)</f>
        <v>11.6109613811232</v>
      </c>
      <c r="F3810" s="25" t="n">
        <f aca="false">LN(C3810/C3809)</f>
        <v>-8.25017467014204E-006</v>
      </c>
      <c r="G3810" s="25" t="n">
        <f aca="false">IF(AND(D3810=1,A3810&gt;=$R$2),F3810,"")</f>
        <v>-8.25017467014204E-006</v>
      </c>
      <c r="H3810" s="27" t="n">
        <f aca="false">IF(G3810="","",G3810^2)</f>
        <v>6.80653820878534E-011</v>
      </c>
      <c r="I3810" s="25" t="n">
        <f aca="false">IF(G3810="","",C3810/C3809-1)</f>
        <v>-8.25014063754459E-006</v>
      </c>
      <c r="J3810" s="17" t="n">
        <f aca="false">AVERAGE(C3611:C3810)</f>
        <v>95421.64005</v>
      </c>
      <c r="K3810" s="17" t="n">
        <f aca="false">MAX(K3809,C3810)</f>
        <v>111722.53</v>
      </c>
      <c r="L3810" s="25" t="n">
        <f aca="false">C3810/K3810-1</f>
        <v>-0.0127305566746474</v>
      </c>
      <c r="M3810" s="25" t="n">
        <f aca="false">IF(COUNT(G3781:G3810)&lt;20,"",_xlfn.STDEV.S(G3781:G3810)*SQRT($R$3))</f>
        <v>0.333881530761285</v>
      </c>
      <c r="N3810" s="25" t="n">
        <f aca="false">IF(A3810-7&lt;$R$2,"",C3810/INDEX(Clean_Data!$C$2:$C$4314,MATCH(A3810-7,Clean_Data!$A$2:$A$4314,1))-1)</f>
        <v>0.0460172623767849</v>
      </c>
      <c r="O3810" s="25" t="n">
        <f aca="false">IF(A3810-30&lt;$R$2,"",C3810/INDEX(Clean_Data!$C$2:$C$4314,MATCH(A3810-30,Clean_Data!$A$2:$A$4314,1))-1)</f>
        <v>0.0591776535703428</v>
      </c>
    </row>
    <row r="3811" customFormat="false" ht="15" hidden="false" customHeight="false" outlineLevel="0" collapsed="false">
      <c r="A3811" s="16" t="n">
        <v>45818</v>
      </c>
      <c r="B3811" s="23" t="n">
        <f aca="false">YEAR(A3811)</f>
        <v>2025</v>
      </c>
      <c r="C3811" s="17" t="n">
        <v>108669.37</v>
      </c>
      <c r="D3811" s="23" t="n">
        <f aca="false">A3811-A3810</f>
        <v>1</v>
      </c>
      <c r="E3811" s="24" t="n">
        <f aca="false">LN(C3811)</f>
        <v>11.5960652486719</v>
      </c>
      <c r="F3811" s="25" t="n">
        <f aca="false">LN(C3811/C3810)</f>
        <v>-0.014896132451266</v>
      </c>
      <c r="G3811" s="25" t="n">
        <f aca="false">IF(AND(D3811=1,A3811&gt;=$R$2),F3811,"")</f>
        <v>-0.014896132451266</v>
      </c>
      <c r="H3811" s="27" t="n">
        <f aca="false">IF(G3811="","",G3811^2)</f>
        <v>0.00022189476200566</v>
      </c>
      <c r="I3811" s="25" t="n">
        <f aca="false">IF(G3811="","",C3811/C3810-1)</f>
        <v>-0.014785733920434</v>
      </c>
      <c r="J3811" s="17" t="n">
        <f aca="false">AVERAGE(C3612:C3811)</f>
        <v>95476.09305</v>
      </c>
      <c r="K3811" s="17" t="n">
        <f aca="false">MAX(K3810,C3811)</f>
        <v>111722.53</v>
      </c>
      <c r="L3811" s="25" t="n">
        <f aca="false">C3811/K3811-1</f>
        <v>-0.0273280599714311</v>
      </c>
      <c r="M3811" s="25" t="n">
        <f aca="false">IF(COUNT(G3782:G3811)&lt;20,"",_xlfn.STDEV.S(G3782:G3811)*SQRT($R$3))</f>
        <v>0.335052561375655</v>
      </c>
      <c r="N3811" s="25" t="n">
        <f aca="false">IF(A3811-7&lt;$R$2,"",C3811/INDEX(Clean_Data!$C$2:$C$4314,MATCH(A3811-7,Clean_Data!$A$2:$A$4314,1))-1)</f>
        <v>0.0373829464977644</v>
      </c>
      <c r="O3811" s="25" t="n">
        <f aca="false">IF(A3811-30&lt;$R$2,"",C3811/INDEX(Clean_Data!$C$2:$C$4314,MATCH(A3811-30,Clean_Data!$A$2:$A$4314,1))-1)</f>
        <v>0.0570928794795262</v>
      </c>
    </row>
    <row r="3812" customFormat="false" ht="15" hidden="false" customHeight="false" outlineLevel="0" collapsed="false">
      <c r="A3812" s="16" t="n">
        <v>45819</v>
      </c>
      <c r="B3812" s="23" t="n">
        <f aca="false">YEAR(A3812)</f>
        <v>2025</v>
      </c>
      <c r="C3812" s="17" t="n">
        <v>105721.05</v>
      </c>
      <c r="D3812" s="23" t="n">
        <f aca="false">A3812-A3811</f>
        <v>1</v>
      </c>
      <c r="E3812" s="24" t="n">
        <f aca="false">LN(C3812)</f>
        <v>11.5685593005645</v>
      </c>
      <c r="F3812" s="25" t="n">
        <f aca="false">LN(C3812/C3811)</f>
        <v>-0.0275059481074357</v>
      </c>
      <c r="G3812" s="25" t="n">
        <f aca="false">IF(AND(D3812=1,A3812&gt;=$R$2),F3812,"")</f>
        <v>-0.0275059481074357</v>
      </c>
      <c r="H3812" s="27" t="n">
        <f aca="false">IF(G3812="","",G3812^2)</f>
        <v>0.000756577181288947</v>
      </c>
      <c r="I3812" s="25" t="n">
        <f aca="false">IF(G3812="","",C3812/C3811-1)</f>
        <v>-0.0271311041924692</v>
      </c>
      <c r="J3812" s="17" t="n">
        <f aca="false">AVERAGE(C3613:C3812)</f>
        <v>95514.5574</v>
      </c>
      <c r="K3812" s="17" t="n">
        <f aca="false">MAX(K3811,C3812)</f>
        <v>111722.53</v>
      </c>
      <c r="L3812" s="25" t="n">
        <f aca="false">C3812/K3812-1</f>
        <v>-0.0537177237214374</v>
      </c>
      <c r="M3812" s="25" t="n">
        <f aca="false">IF(COUNT(G3783:G3812)&lt;20,"",_xlfn.STDEV.S(G3783:G3812)*SQRT($R$3))</f>
        <v>0.347702765779744</v>
      </c>
      <c r="N3812" s="25" t="n">
        <f aca="false">IF(A3812-7&lt;$R$2,"",C3812/INDEX(Clean_Data!$C$2:$C$4314,MATCH(A3812-7,Clean_Data!$A$2:$A$4314,1))-1)</f>
        <v>0.0408668093594382</v>
      </c>
      <c r="O3812" s="25" t="n">
        <f aca="false">IF(A3812-30&lt;$R$2,"",C3812/INDEX(Clean_Data!$C$2:$C$4314,MATCH(A3812-30,Clean_Data!$A$2:$A$4314,1))-1)</f>
        <v>0.015269123352821</v>
      </c>
    </row>
    <row r="3813" customFormat="false" ht="15" hidden="false" customHeight="false" outlineLevel="0" collapsed="false">
      <c r="A3813" s="16" t="n">
        <v>45820</v>
      </c>
      <c r="B3813" s="23" t="n">
        <f aca="false">YEAR(A3813)</f>
        <v>2025</v>
      </c>
      <c r="C3813" s="17" t="n">
        <v>106118.7</v>
      </c>
      <c r="D3813" s="23" t="n">
        <f aca="false">A3813-A3812</f>
        <v>1</v>
      </c>
      <c r="E3813" s="24" t="n">
        <f aca="false">LN(C3813)</f>
        <v>11.5723135578939</v>
      </c>
      <c r="F3813" s="25" t="n">
        <f aca="false">LN(C3813/C3812)</f>
        <v>0.00375425732946387</v>
      </c>
      <c r="G3813" s="25" t="n">
        <f aca="false">IF(AND(D3813=1,A3813&gt;=$R$2),F3813,"")</f>
        <v>0.00375425732946387</v>
      </c>
      <c r="H3813" s="27" t="n">
        <f aca="false">IF(G3813="","",G3813^2)</f>
        <v>1.40944480958332E-005</v>
      </c>
      <c r="I3813" s="25" t="n">
        <f aca="false">IF(G3813="","",C3813/C3812-1)</f>
        <v>0.00376131338082608</v>
      </c>
      <c r="J3813" s="17" t="n">
        <f aca="false">AVERAGE(C3614:C3813)</f>
        <v>95580.15085</v>
      </c>
      <c r="K3813" s="17" t="n">
        <f aca="false">MAX(K3812,C3813)</f>
        <v>111722.53</v>
      </c>
      <c r="L3813" s="25" t="n">
        <f aca="false">C3813/K3813-1</f>
        <v>-0.0501584595336322</v>
      </c>
      <c r="M3813" s="25" t="n">
        <f aca="false">IF(COUNT(G3784:G3813)&lt;20,"",_xlfn.STDEV.S(G3784:G3813)*SQRT($R$3))</f>
        <v>0.347156619485431</v>
      </c>
      <c r="N3813" s="25" t="n">
        <f aca="false">IF(A3813-7&lt;$R$2,"",C3813/INDEX(Clean_Data!$C$2:$C$4314,MATCH(A3813-7,Clean_Data!$A$2:$A$4314,1))-1)</f>
        <v>0.016482213881704</v>
      </c>
      <c r="O3813" s="25" t="n">
        <f aca="false">IF(A3813-30&lt;$R$2,"",C3813/INDEX(Clean_Data!$C$2:$C$4314,MATCH(A3813-30,Clean_Data!$A$2:$A$4314,1))-1)</f>
        <v>0.024852098664373</v>
      </c>
    </row>
    <row r="3814" customFormat="false" ht="15" hidden="false" customHeight="false" outlineLevel="0" collapsed="false">
      <c r="A3814" s="16" t="n">
        <v>45821</v>
      </c>
      <c r="B3814" s="23" t="n">
        <f aca="false">YEAR(A3814)</f>
        <v>2025</v>
      </c>
      <c r="C3814" s="17" t="n">
        <v>105465.42</v>
      </c>
      <c r="D3814" s="23" t="n">
        <f aca="false">A3814-A3813</f>
        <v>1</v>
      </c>
      <c r="E3814" s="24" t="n">
        <f aca="false">LN(C3814)</f>
        <v>11.5661384056573</v>
      </c>
      <c r="F3814" s="25" t="n">
        <f aca="false">LN(C3814/C3813)</f>
        <v>-0.00617515223668261</v>
      </c>
      <c r="G3814" s="25" t="n">
        <f aca="false">IF(AND(D3814=1,A3814&gt;=$R$2),F3814,"")</f>
        <v>-0.00617515223668261</v>
      </c>
      <c r="H3814" s="27" t="n">
        <f aca="false">IF(G3814="","",G3814^2)</f>
        <v>3.81325051462063E-005</v>
      </c>
      <c r="I3814" s="25" t="n">
        <f aca="false">IF(G3814="","",C3814/C3813-1)</f>
        <v>-0.006156125169268</v>
      </c>
      <c r="J3814" s="17" t="n">
        <f aca="false">AVERAGE(C3615:C3814)</f>
        <v>95647.83025</v>
      </c>
      <c r="K3814" s="17" t="n">
        <f aca="false">MAX(K3813,C3814)</f>
        <v>111722.53</v>
      </c>
      <c r="L3814" s="25" t="n">
        <f aca="false">C3814/K3814-1</f>
        <v>-0.0560058029477134</v>
      </c>
      <c r="M3814" s="25" t="n">
        <f aca="false">IF(COUNT(G3785:G3814)&lt;20,"",_xlfn.STDEV.S(G3785:G3814)*SQRT($R$3))</f>
        <v>0.347957450516127</v>
      </c>
      <c r="N3814" s="25" t="n">
        <f aca="false">IF(A3814-7&lt;$R$2,"",C3814/INDEX(Clean_Data!$C$2:$C$4314,MATCH(A3814-7,Clean_Data!$A$2:$A$4314,1))-1)</f>
        <v>-0.00145428351825272</v>
      </c>
      <c r="O3814" s="25" t="n">
        <f aca="false">IF(A3814-30&lt;$R$2,"",C3814/INDEX(Clean_Data!$C$2:$C$4314,MATCH(A3814-30,Clean_Data!$A$2:$A$4314,1))-1)</f>
        <v>0.0161773557487237</v>
      </c>
    </row>
    <row r="3815" customFormat="false" ht="15" hidden="false" customHeight="false" outlineLevel="0" collapsed="false">
      <c r="A3815" s="16" t="n">
        <v>45822</v>
      </c>
      <c r="B3815" s="23" t="n">
        <f aca="false">YEAR(A3815)</f>
        <v>2025</v>
      </c>
      <c r="C3815" s="17" t="n">
        <v>105599.25</v>
      </c>
      <c r="D3815" s="23" t="n">
        <f aca="false">A3815-A3814</f>
        <v>1</v>
      </c>
      <c r="E3815" s="24" t="n">
        <f aca="false">LN(C3815)</f>
        <v>11.5674065479563</v>
      </c>
      <c r="F3815" s="25" t="n">
        <f aca="false">LN(C3815/C3814)</f>
        <v>0.00126814229909039</v>
      </c>
      <c r="G3815" s="25" t="n">
        <f aca="false">IF(AND(D3815=1,A3815&gt;=$R$2),F3815,"")</f>
        <v>0.00126814229909039</v>
      </c>
      <c r="H3815" s="27" t="n">
        <f aca="false">IF(G3815="","",G3815^2)</f>
        <v>1.60818489074226E-006</v>
      </c>
      <c r="I3815" s="25" t="n">
        <f aca="false">IF(G3815="","",C3815/C3814-1)</f>
        <v>0.00126894673154476</v>
      </c>
      <c r="J3815" s="17" t="n">
        <f aca="false">AVERAGE(C3616:C3815)</f>
        <v>95696.07055</v>
      </c>
      <c r="K3815" s="17" t="n">
        <f aca="false">MAX(K3814,C3815)</f>
        <v>111722.53</v>
      </c>
      <c r="L3815" s="25" t="n">
        <f aca="false">C3815/K3815-1</f>
        <v>-0.0548079245967666</v>
      </c>
      <c r="M3815" s="25" t="n">
        <f aca="false">IF(COUNT(G3786:G3815)&lt;20,"",_xlfn.STDEV.S(G3786:G3815)*SQRT($R$3))</f>
        <v>0.347760572762596</v>
      </c>
      <c r="N3815" s="25" t="n">
        <f aca="false">IF(A3815-7&lt;$R$2,"",C3815/INDEX(Clean_Data!$C$2:$C$4314,MATCH(A3815-7,Clean_Data!$A$2:$A$4314,1))-1)</f>
        <v>-0.00175025807207863</v>
      </c>
      <c r="O3815" s="25" t="n">
        <f aca="false">IF(A3815-30&lt;$R$2,"",C3815/INDEX(Clean_Data!$C$2:$C$4314,MATCH(A3815-30,Clean_Data!$A$2:$A$4314,1))-1)</f>
        <v>0.0202823129616485</v>
      </c>
    </row>
    <row r="3816" customFormat="false" ht="15" hidden="false" customHeight="false" outlineLevel="0" collapsed="false">
      <c r="A3816" s="16" t="n">
        <v>45823</v>
      </c>
      <c r="B3816" s="23" t="n">
        <f aca="false">YEAR(A3816)</f>
        <v>2025</v>
      </c>
      <c r="C3816" s="17" t="n">
        <v>106853.38</v>
      </c>
      <c r="D3816" s="23" t="n">
        <f aca="false">A3816-A3815</f>
        <v>1</v>
      </c>
      <c r="E3816" s="24" t="n">
        <f aca="false">LN(C3816)</f>
        <v>11.5792128933775</v>
      </c>
      <c r="F3816" s="25" t="n">
        <f aca="false">LN(C3816/C3815)</f>
        <v>0.0118063454211841</v>
      </c>
      <c r="G3816" s="25" t="n">
        <f aca="false">IF(AND(D3816=1,A3816&gt;=$R$2),F3816,"")</f>
        <v>0.0118063454211841</v>
      </c>
      <c r="H3816" s="27" t="n">
        <f aca="false">IF(G3816="","",G3816^2)</f>
        <v>0.000139389792204315</v>
      </c>
      <c r="I3816" s="25" t="n">
        <f aca="false">IF(G3816="","",C3816/C3815-1)</f>
        <v>0.0118763154094372</v>
      </c>
      <c r="J3816" s="17" t="n">
        <f aca="false">AVERAGE(C3617:C3816)</f>
        <v>95752.0098</v>
      </c>
      <c r="K3816" s="17" t="n">
        <f aca="false">MAX(K3815,C3816)</f>
        <v>111722.53</v>
      </c>
      <c r="L3816" s="25" t="n">
        <f aca="false">C3816/K3816-1</f>
        <v>-0.0435825253867773</v>
      </c>
      <c r="M3816" s="25" t="n">
        <f aca="false">IF(COUNT(G3787:G3816)&lt;20,"",_xlfn.STDEV.S(G3787:G3816)*SQRT($R$3))</f>
        <v>0.349580740118735</v>
      </c>
      <c r="N3816" s="25" t="n">
        <f aca="false">IF(A3816-7&lt;$R$2,"",C3816/INDEX(Clean_Data!$C$2:$C$4314,MATCH(A3816-7,Clean_Data!$A$2:$A$4314,1))-1)</f>
        <v>-0.0312577883367489</v>
      </c>
      <c r="O3816" s="25" t="n">
        <f aca="false">IF(A3816-30&lt;$R$2,"",C3816/INDEX(Clean_Data!$C$2:$C$4314,MATCH(A3816-30,Clean_Data!$A$2:$A$4314,1))-1)</f>
        <v>0.0357916993299894</v>
      </c>
    </row>
    <row r="3817" customFormat="false" ht="15" hidden="false" customHeight="false" outlineLevel="0" collapsed="false">
      <c r="A3817" s="16" t="n">
        <v>45824</v>
      </c>
      <c r="B3817" s="23" t="n">
        <f aca="false">YEAR(A3817)</f>
        <v>2025</v>
      </c>
      <c r="C3817" s="17" t="n">
        <v>104590.44</v>
      </c>
      <c r="D3817" s="23" t="n">
        <f aca="false">A3817-A3816</f>
        <v>1</v>
      </c>
      <c r="E3817" s="24" t="n">
        <f aca="false">LN(C3817)</f>
        <v>11.5578074306426</v>
      </c>
      <c r="F3817" s="25" t="n">
        <f aca="false">LN(C3817/C3816)</f>
        <v>-0.0214054627349231</v>
      </c>
      <c r="G3817" s="25" t="n">
        <f aca="false">IF(AND(D3817=1,A3817&gt;=$R$2),F3817,"")</f>
        <v>-0.0214054627349231</v>
      </c>
      <c r="H3817" s="27" t="n">
        <f aca="false">IF(G3817="","",G3817^2)</f>
        <v>0.000458193834896183</v>
      </c>
      <c r="I3817" s="25" t="n">
        <f aca="false">IF(G3817="","",C3817/C3816-1)</f>
        <v>-0.0211779917490678</v>
      </c>
      <c r="J3817" s="17" t="n">
        <f aca="false">AVERAGE(C3618:C3817)</f>
        <v>95787.5092</v>
      </c>
      <c r="K3817" s="17" t="n">
        <f aca="false">MAX(K3816,C3817)</f>
        <v>111722.53</v>
      </c>
      <c r="L3817" s="25" t="n">
        <f aca="false">C3817/K3817-1</f>
        <v>-0.0638375267728004</v>
      </c>
      <c r="M3817" s="25" t="n">
        <f aca="false">IF(COUNT(G3788:G3817)&lt;20,"",_xlfn.STDEV.S(G3788:G3817)*SQRT($R$3))</f>
        <v>0.340275534330141</v>
      </c>
      <c r="N3817" s="25" t="n">
        <f aca="false">IF(A3817-7&lt;$R$2,"",C3817/INDEX(Clean_Data!$C$2:$C$4314,MATCH(A3817-7,Clean_Data!$A$2:$A$4314,1))-1)</f>
        <v>-0.0517659798383032</v>
      </c>
      <c r="O3817" s="25" t="n">
        <f aca="false">IF(A3817-30&lt;$R$2,"",C3817/INDEX(Clean_Data!$C$2:$C$4314,MATCH(A3817-30,Clean_Data!$A$2:$A$4314,1))-1)</f>
        <v>-0.0176853461886183</v>
      </c>
    </row>
    <row r="3818" customFormat="false" ht="15" hidden="false" customHeight="false" outlineLevel="0" collapsed="false">
      <c r="A3818" s="16" t="n">
        <v>45825</v>
      </c>
      <c r="B3818" s="23" t="n">
        <f aca="false">YEAR(A3818)</f>
        <v>2025</v>
      </c>
      <c r="C3818" s="17" t="n">
        <v>104915.6</v>
      </c>
      <c r="D3818" s="23" t="n">
        <f aca="false">A3818-A3817</f>
        <v>1</v>
      </c>
      <c r="E3818" s="24" t="n">
        <f aca="false">LN(C3818)</f>
        <v>11.5609114963878</v>
      </c>
      <c r="F3818" s="25" t="n">
        <f aca="false">LN(C3818/C3817)</f>
        <v>0.00310406574514442</v>
      </c>
      <c r="G3818" s="25" t="n">
        <f aca="false">IF(AND(D3818=1,A3818&gt;=$R$2),F3818,"")</f>
        <v>0.00310406574514442</v>
      </c>
      <c r="H3818" s="27" t="n">
        <f aca="false">IF(G3818="","",G3818^2)</f>
        <v>9.635224150179E-006</v>
      </c>
      <c r="I3818" s="25" t="n">
        <f aca="false">IF(G3818="","",C3818/C3817-1)</f>
        <v>0.00310888834581835</v>
      </c>
      <c r="J3818" s="17" t="n">
        <f aca="false">AVERAGE(C3619:C3818)</f>
        <v>95829.7601</v>
      </c>
      <c r="K3818" s="17" t="n">
        <f aca="false">MAX(K3817,C3818)</f>
        <v>111722.53</v>
      </c>
      <c r="L3818" s="25" t="n">
        <f aca="false">C3818/K3818-1</f>
        <v>-0.060927102169992</v>
      </c>
      <c r="M3818" s="25" t="n">
        <f aca="false">IF(COUNT(G3789:G3818)&lt;20,"",_xlfn.STDEV.S(G3789:G3818)*SQRT($R$3))</f>
        <v>0.339412947827199</v>
      </c>
      <c r="N3818" s="25" t="n">
        <f aca="false">IF(A3818-7&lt;$R$2,"",C3818/INDEX(Clean_Data!$C$2:$C$4314,MATCH(A3818-7,Clean_Data!$A$2:$A$4314,1))-1)</f>
        <v>-0.0345430363680216</v>
      </c>
      <c r="O3818" s="25" t="n">
        <f aca="false">IF(A3818-30&lt;$R$2,"",C3818/INDEX(Clean_Data!$C$2:$C$4314,MATCH(A3818-30,Clean_Data!$A$2:$A$4314,1))-1)</f>
        <v>-0.0066332639563369</v>
      </c>
    </row>
    <row r="3819" customFormat="false" ht="15" hidden="false" customHeight="false" outlineLevel="0" collapsed="false">
      <c r="A3819" s="16" t="n">
        <v>45826</v>
      </c>
      <c r="B3819" s="23" t="n">
        <f aca="false">YEAR(A3819)</f>
        <v>2025</v>
      </c>
      <c r="C3819" s="17" t="n">
        <v>104671.9</v>
      </c>
      <c r="D3819" s="23" t="n">
        <f aca="false">A3819-A3818</f>
        <v>1</v>
      </c>
      <c r="E3819" s="24" t="n">
        <f aca="false">LN(C3819)</f>
        <v>11.5585859749723</v>
      </c>
      <c r="F3819" s="25" t="n">
        <f aca="false">LN(C3819/C3818)</f>
        <v>-0.00232552141543252</v>
      </c>
      <c r="G3819" s="25" t="n">
        <f aca="false">IF(AND(D3819=1,A3819&gt;=$R$2),F3819,"")</f>
        <v>-0.00232552141543252</v>
      </c>
      <c r="H3819" s="27" t="n">
        <f aca="false">IF(G3819="","",G3819^2)</f>
        <v>5.40804985363528E-006</v>
      </c>
      <c r="I3819" s="25" t="n">
        <f aca="false">IF(G3819="","",C3819/C3818-1)</f>
        <v>-0.00232281948537694</v>
      </c>
      <c r="J3819" s="17" t="n">
        <f aca="false">AVERAGE(C3620:C3819)</f>
        <v>95866.8037</v>
      </c>
      <c r="K3819" s="17" t="n">
        <f aca="false">MAX(K3818,C3819)</f>
        <v>111722.53</v>
      </c>
      <c r="L3819" s="25" t="n">
        <f aca="false">C3819/K3819-1</f>
        <v>-0.0631083989952609</v>
      </c>
      <c r="M3819" s="25" t="n">
        <f aca="false">IF(COUNT(G3790:G3819)&lt;20,"",_xlfn.STDEV.S(G3790:G3819)*SQRT($R$3))</f>
        <v>0.3366221410449</v>
      </c>
      <c r="N3819" s="25" t="n">
        <f aca="false">IF(A3819-7&lt;$R$2,"",C3819/INDEX(Clean_Data!$C$2:$C$4314,MATCH(A3819-7,Clean_Data!$A$2:$A$4314,1))-1)</f>
        <v>-0.0099237569055548</v>
      </c>
      <c r="O3819" s="25" t="n">
        <f aca="false">IF(A3819-30&lt;$R$2,"",C3819/INDEX(Clean_Data!$C$2:$C$4314,MATCH(A3819-30,Clean_Data!$A$2:$A$4314,1))-1)</f>
        <v>-0.0206893054514441</v>
      </c>
    </row>
    <row r="3820" customFormat="false" ht="15" hidden="false" customHeight="false" outlineLevel="0" collapsed="false">
      <c r="A3820" s="16" t="n">
        <v>45827</v>
      </c>
      <c r="B3820" s="23" t="n">
        <f aca="false">YEAR(A3820)</f>
        <v>2025</v>
      </c>
      <c r="C3820" s="17" t="n">
        <v>103317.8</v>
      </c>
      <c r="D3820" s="23" t="n">
        <f aca="false">A3820-A3819</f>
        <v>1</v>
      </c>
      <c r="E3820" s="24" t="n">
        <f aca="false">LN(C3820)</f>
        <v>11.545564953913</v>
      </c>
      <c r="F3820" s="25" t="n">
        <f aca="false">LN(C3820/C3819)</f>
        <v>-0.0130210210593197</v>
      </c>
      <c r="G3820" s="25" t="n">
        <f aca="false">IF(AND(D3820=1,A3820&gt;=$R$2),F3820,"")</f>
        <v>-0.0130210210593197</v>
      </c>
      <c r="H3820" s="27" t="n">
        <f aca="false">IF(G3820="","",G3820^2)</f>
        <v>0.000169546989427248</v>
      </c>
      <c r="I3820" s="25" t="n">
        <f aca="false">IF(G3820="","",C3820/C3819-1)</f>
        <v>-0.012936614315781</v>
      </c>
      <c r="J3820" s="17" t="n">
        <f aca="false">AVERAGE(C3621:C3820)</f>
        <v>95904.07825</v>
      </c>
      <c r="K3820" s="17" t="n">
        <f aca="false">MAX(K3819,C3820)</f>
        <v>111722.53</v>
      </c>
      <c r="L3820" s="25" t="n">
        <f aca="false">C3820/K3820-1</f>
        <v>-0.0752286042931537</v>
      </c>
      <c r="M3820" s="25" t="n">
        <f aca="false">IF(COUNT(G3791:G3820)&lt;20,"",_xlfn.STDEV.S(G3791:G3820)*SQRT($R$3))</f>
        <v>0.324978583071482</v>
      </c>
      <c r="N3820" s="25" t="n">
        <f aca="false">IF(A3820-7&lt;$R$2,"",C3820/INDEX(Clean_Data!$C$2:$C$4314,MATCH(A3820-7,Clean_Data!$A$2:$A$4314,1))-1)</f>
        <v>-0.0263940285736632</v>
      </c>
      <c r="O3820" s="25" t="n">
        <f aca="false">IF(A3820-30&lt;$R$2,"",C3820/INDEX(Clean_Data!$C$2:$C$4314,MATCH(A3820-30,Clean_Data!$A$2:$A$4314,1))-1)</f>
        <v>-0.0581747197846043</v>
      </c>
    </row>
    <row r="3821" customFormat="false" ht="15" hidden="false" customHeight="false" outlineLevel="0" collapsed="false">
      <c r="A3821" s="16" t="n">
        <v>45828</v>
      </c>
      <c r="B3821" s="23" t="n">
        <f aca="false">YEAR(A3821)</f>
        <v>2025</v>
      </c>
      <c r="C3821" s="17" t="n">
        <v>102160.03</v>
      </c>
      <c r="D3821" s="23" t="n">
        <f aca="false">A3821-A3820</f>
        <v>1</v>
      </c>
      <c r="E3821" s="24" t="n">
        <f aca="false">LN(C3821)</f>
        <v>11.5342957843634</v>
      </c>
      <c r="F3821" s="25" t="n">
        <f aca="false">LN(C3821/C3820)</f>
        <v>-0.0112691695496162</v>
      </c>
      <c r="G3821" s="25" t="n">
        <f aca="false">IF(AND(D3821=1,A3821&gt;=$R$2),F3821,"")</f>
        <v>-0.0112691695496162</v>
      </c>
      <c r="H3821" s="27" t="n">
        <f aca="false">IF(G3821="","",G3821^2)</f>
        <v>0.000126994182337998</v>
      </c>
      <c r="I3821" s="25" t="n">
        <f aca="false">IF(G3821="","",C3821/C3820-1)</f>
        <v>-0.0112059103078076</v>
      </c>
      <c r="J3821" s="17" t="n">
        <f aca="false">AVERAGE(C3622:C3821)</f>
        <v>95935.2558</v>
      </c>
      <c r="K3821" s="17" t="n">
        <f aca="false">MAX(K3820,C3821)</f>
        <v>111722.53</v>
      </c>
      <c r="L3821" s="25" t="n">
        <f aca="false">C3821/K3821-1</f>
        <v>-0.0855915096086707</v>
      </c>
      <c r="M3821" s="25" t="n">
        <f aca="false">IF(COUNT(G3792:G3821)&lt;20,"",_xlfn.STDEV.S(G3792:G3821)*SQRT($R$3))</f>
        <v>0.318048625796826</v>
      </c>
      <c r="N3821" s="25" t="n">
        <f aca="false">IF(A3821-7&lt;$R$2,"",C3821/INDEX(Clean_Data!$C$2:$C$4314,MATCH(A3821-7,Clean_Data!$A$2:$A$4314,1))-1)</f>
        <v>-0.0313409836133967</v>
      </c>
      <c r="O3821" s="25" t="n">
        <f aca="false">IF(A3821-30&lt;$R$2,"",C3821/INDEX(Clean_Data!$C$2:$C$4314,MATCH(A3821-30,Clean_Data!$A$2:$A$4314,1))-1)</f>
        <v>-0.0855915096086707</v>
      </c>
    </row>
    <row r="3822" customFormat="false" ht="15" hidden="false" customHeight="false" outlineLevel="0" collapsed="false">
      <c r="A3822" s="16" t="n">
        <v>45829</v>
      </c>
      <c r="B3822" s="23" t="n">
        <f aca="false">YEAR(A3822)</f>
        <v>2025</v>
      </c>
      <c r="C3822" s="17" t="n">
        <v>100996.87</v>
      </c>
      <c r="D3822" s="23" t="n">
        <f aca="false">A3822-A3821</f>
        <v>1</v>
      </c>
      <c r="E3822" s="24" t="n">
        <f aca="false">LN(C3822)</f>
        <v>11.5228448052442</v>
      </c>
      <c r="F3822" s="25" t="n">
        <f aca="false">LN(C3822/C3821)</f>
        <v>-0.0114509791192029</v>
      </c>
      <c r="G3822" s="25" t="n">
        <f aca="false">IF(AND(D3822=1,A3822&gt;=$R$2),F3822,"")</f>
        <v>-0.0114509791192029</v>
      </c>
      <c r="H3822" s="27" t="n">
        <f aca="false">IF(G3822="","",G3822^2)</f>
        <v>0.00013112492278842</v>
      </c>
      <c r="I3822" s="25" t="n">
        <f aca="false">IF(G3822="","",C3822/C3821-1)</f>
        <v>-0.011385666194499</v>
      </c>
      <c r="J3822" s="17" t="n">
        <f aca="false">AVERAGE(C3623:C3822)</f>
        <v>95946.50895</v>
      </c>
      <c r="K3822" s="17" t="n">
        <f aca="false">MAX(K3821,C3822)</f>
        <v>111722.53</v>
      </c>
      <c r="L3822" s="25" t="n">
        <f aca="false">C3822/K3822-1</f>
        <v>-0.0960026594456821</v>
      </c>
      <c r="M3822" s="25" t="n">
        <f aca="false">IF(COUNT(G3793:G3822)&lt;20,"",_xlfn.STDEV.S(G3793:G3822)*SQRT($R$3))</f>
        <v>0.290447756933828</v>
      </c>
      <c r="N3822" s="25" t="n">
        <f aca="false">IF(A3822-7&lt;$R$2,"",C3822/INDEX(Clean_Data!$C$2:$C$4314,MATCH(A3822-7,Clean_Data!$A$2:$A$4314,1))-1)</f>
        <v>-0.043583453480967</v>
      </c>
      <c r="O3822" s="25" t="n">
        <f aca="false">IF(A3822-30&lt;$R$2,"",C3822/INDEX(Clean_Data!$C$2:$C$4314,MATCH(A3822-30,Clean_Data!$A$2:$A$4314,1))-1)</f>
        <v>-0.0590027300015346</v>
      </c>
    </row>
    <row r="3823" customFormat="false" ht="15" hidden="false" customHeight="false" outlineLevel="0" collapsed="false">
      <c r="A3823" s="16" t="n">
        <v>45830</v>
      </c>
      <c r="B3823" s="23" t="n">
        <f aca="false">YEAR(A3823)</f>
        <v>2025</v>
      </c>
      <c r="C3823" s="17" t="n">
        <v>105419.39</v>
      </c>
      <c r="D3823" s="23" t="n">
        <f aca="false">A3823-A3822</f>
        <v>1</v>
      </c>
      <c r="E3823" s="24" t="n">
        <f aca="false">LN(C3823)</f>
        <v>11.5657018640142</v>
      </c>
      <c r="F3823" s="25" t="n">
        <f aca="false">LN(C3823/C3822)</f>
        <v>0.0428570587699768</v>
      </c>
      <c r="G3823" s="25" t="n">
        <f aca="false">IF(AND(D3823=1,A3823&gt;=$R$2),F3823,"")</f>
        <v>0.0428570587699768</v>
      </c>
      <c r="H3823" s="27" t="n">
        <f aca="false">IF(G3823="","",G3823^2)</f>
        <v>0.00183672748641325</v>
      </c>
      <c r="I3823" s="25" t="n">
        <f aca="false">IF(G3823="","",C3823/C3822-1)</f>
        <v>0.0437886837483181</v>
      </c>
      <c r="J3823" s="17" t="n">
        <f aca="false">AVERAGE(C3624:C3823)</f>
        <v>95988.38475</v>
      </c>
      <c r="K3823" s="17" t="n">
        <f aca="false">MAX(K3822,C3823)</f>
        <v>111722.53</v>
      </c>
      <c r="L3823" s="25" t="n">
        <f aca="false">C3823/K3823-1</f>
        <v>-0.0564178057908284</v>
      </c>
      <c r="M3823" s="25" t="n">
        <f aca="false">IF(COUNT(G3794:G3823)&lt;20,"",_xlfn.STDEV.S(G3794:G3823)*SQRT($R$3))</f>
        <v>0.329524192577624</v>
      </c>
      <c r="N3823" s="25" t="n">
        <f aca="false">IF(A3823-7&lt;$R$2,"",C3823/INDEX(Clean_Data!$C$2:$C$4314,MATCH(A3823-7,Clean_Data!$A$2:$A$4314,1))-1)</f>
        <v>-0.0134201650897707</v>
      </c>
      <c r="O3823" s="25" t="n">
        <f aca="false">IF(A3823-30&lt;$R$2,"",C3823/INDEX(Clean_Data!$C$2:$C$4314,MATCH(A3823-30,Clean_Data!$A$2:$A$4314,1))-1)</f>
        <v>-0.0220292389159656</v>
      </c>
    </row>
    <row r="3824" customFormat="false" ht="15" hidden="false" customHeight="false" outlineLevel="0" collapsed="false">
      <c r="A3824" s="16" t="n">
        <v>45831</v>
      </c>
      <c r="B3824" s="23" t="n">
        <f aca="false">YEAR(A3824)</f>
        <v>2025</v>
      </c>
      <c r="C3824" s="17" t="n">
        <v>106141</v>
      </c>
      <c r="D3824" s="23" t="n">
        <f aca="false">A3824-A3823</f>
        <v>1</v>
      </c>
      <c r="E3824" s="24" t="n">
        <f aca="false">LN(C3824)</f>
        <v>11.5725236778563</v>
      </c>
      <c r="F3824" s="25" t="n">
        <f aca="false">LN(C3824/C3823)</f>
        <v>0.00682181384209209</v>
      </c>
      <c r="G3824" s="25" t="n">
        <f aca="false">IF(AND(D3824=1,A3824&gt;=$R$2),F3824,"")</f>
        <v>0.00682181384209209</v>
      </c>
      <c r="H3824" s="27" t="n">
        <f aca="false">IF(G3824="","",G3824^2)</f>
        <v>4.65371440961592E-005</v>
      </c>
      <c r="I3824" s="25" t="n">
        <f aca="false">IF(G3824="","",C3824/C3823-1)</f>
        <v>0.00684513541579013</v>
      </c>
      <c r="J3824" s="17" t="n">
        <f aca="false">AVERAGE(C3625:C3824)</f>
        <v>96019.633</v>
      </c>
      <c r="K3824" s="17" t="n">
        <f aca="false">MAX(K3823,C3824)</f>
        <v>111722.53</v>
      </c>
      <c r="L3824" s="25" t="n">
        <f aca="false">C3824/K3824-1</f>
        <v>-0.0499588578955381</v>
      </c>
      <c r="M3824" s="25" t="n">
        <f aca="false">IF(COUNT(G3795:G3824)&lt;20,"",_xlfn.STDEV.S(G3795:G3824)*SQRT($R$3))</f>
        <v>0.327701297584073</v>
      </c>
      <c r="N3824" s="25" t="n">
        <f aca="false">IF(A3824-7&lt;$R$2,"",C3824/INDEX(Clean_Data!$C$2:$C$4314,MATCH(A3824-7,Clean_Data!$A$2:$A$4314,1))-1)</f>
        <v>0.0148250643175418</v>
      </c>
      <c r="O3824" s="25" t="n">
        <f aca="false">IF(A3824-30&lt;$R$2,"",C3824/INDEX(Clean_Data!$C$2:$C$4314,MATCH(A3824-30,Clean_Data!$A$2:$A$4314,1))-1)</f>
        <v>-0.0266640549890195</v>
      </c>
    </row>
    <row r="3825" customFormat="false" ht="15" hidden="false" customHeight="false" outlineLevel="0" collapsed="false">
      <c r="A3825" s="16" t="n">
        <v>45832</v>
      </c>
      <c r="B3825" s="23" t="n">
        <f aca="false">YEAR(A3825)</f>
        <v>2025</v>
      </c>
      <c r="C3825" s="17" t="n">
        <v>107400.22</v>
      </c>
      <c r="D3825" s="23" t="n">
        <f aca="false">A3825-A3824</f>
        <v>1</v>
      </c>
      <c r="E3825" s="24" t="n">
        <f aca="false">LN(C3825)</f>
        <v>11.5843175094719</v>
      </c>
      <c r="F3825" s="25" t="n">
        <f aca="false">LN(C3825/C3824)</f>
        <v>0.011793831615683</v>
      </c>
      <c r="G3825" s="25" t="n">
        <f aca="false">IF(AND(D3825=1,A3825&gt;=$R$2),F3825,"")</f>
        <v>0.011793831615683</v>
      </c>
      <c r="H3825" s="27" t="n">
        <f aca="false">IF(G3825="","",G3825^2)</f>
        <v>0.000139094464179085</v>
      </c>
      <c r="I3825" s="25" t="n">
        <f aca="false">IF(G3825="","",C3825/C3824-1)</f>
        <v>0.0118636530652623</v>
      </c>
      <c r="J3825" s="17" t="n">
        <f aca="false">AVERAGE(C3626:C3825)</f>
        <v>96056.9875</v>
      </c>
      <c r="K3825" s="17" t="n">
        <f aca="false">MAX(K3824,C3825)</f>
        <v>111722.53</v>
      </c>
      <c r="L3825" s="25" t="n">
        <f aca="false">C3825/K3825-1</f>
        <v>-0.0386878993878853</v>
      </c>
      <c r="M3825" s="25" t="n">
        <f aca="false">IF(COUNT(G3796:G3825)&lt;20,"",_xlfn.STDEV.S(G3796:G3825)*SQRT($R$3))</f>
        <v>0.330319629981856</v>
      </c>
      <c r="N3825" s="25" t="n">
        <f aca="false">IF(A3825-7&lt;$R$2,"",C3825/INDEX(Clean_Data!$C$2:$C$4314,MATCH(A3825-7,Clean_Data!$A$2:$A$4314,1))-1)</f>
        <v>0.0236820835033111</v>
      </c>
      <c r="O3825" s="25" t="n">
        <f aca="false">IF(A3825-30&lt;$R$2,"",C3825/INDEX(Clean_Data!$C$2:$C$4314,MATCH(A3825-30,Clean_Data!$A$2:$A$4314,1))-1)</f>
        <v>-0.0188563725604837</v>
      </c>
    </row>
    <row r="3826" customFormat="false" ht="15" hidden="false" customHeight="false" outlineLevel="0" collapsed="false">
      <c r="A3826" s="16" t="n">
        <v>45833</v>
      </c>
      <c r="B3826" s="23" t="n">
        <f aca="false">YEAR(A3826)</f>
        <v>2025</v>
      </c>
      <c r="C3826" s="17" t="n">
        <v>107029.64</v>
      </c>
      <c r="D3826" s="23" t="n">
        <f aca="false">A3826-A3825</f>
        <v>1</v>
      </c>
      <c r="E3826" s="24" t="n">
        <f aca="false">LN(C3826)</f>
        <v>11.5808610844298</v>
      </c>
      <c r="F3826" s="25" t="n">
        <f aca="false">LN(C3826/C3825)</f>
        <v>-0.00345642504210287</v>
      </c>
      <c r="G3826" s="25" t="n">
        <f aca="false">IF(AND(D3826=1,A3826&gt;=$R$2),F3826,"")</f>
        <v>-0.00345642504210287</v>
      </c>
      <c r="H3826" s="27" t="n">
        <f aca="false">IF(G3826="","",G3826^2)</f>
        <v>1.19468740716758E-005</v>
      </c>
      <c r="I3826" s="25" t="n">
        <f aca="false">IF(G3826="","",C3826/C3825-1)</f>
        <v>-0.00345045848136993</v>
      </c>
      <c r="J3826" s="17" t="n">
        <f aca="false">AVERAGE(C3627:C3826)</f>
        <v>96086.26075</v>
      </c>
      <c r="K3826" s="17" t="n">
        <f aca="false">MAX(K3825,C3826)</f>
        <v>111722.53</v>
      </c>
      <c r="L3826" s="25" t="n">
        <f aca="false">C3826/K3826-1</f>
        <v>-0.042004866878686</v>
      </c>
      <c r="M3826" s="25" t="n">
        <f aca="false">IF(COUNT(G3797:G3826)&lt;20,"",_xlfn.STDEV.S(G3797:G3826)*SQRT($R$3))</f>
        <v>0.330193574068336</v>
      </c>
      <c r="N3826" s="25" t="n">
        <f aca="false">IF(A3826-7&lt;$R$2,"",C3826/INDEX(Clean_Data!$C$2:$C$4314,MATCH(A3826-7,Clean_Data!$A$2:$A$4314,1))-1)</f>
        <v>0.0225250520913445</v>
      </c>
      <c r="O3826" s="25" t="n">
        <f aca="false">IF(A3826-30&lt;$R$2,"",C3826/INDEX(Clean_Data!$C$2:$C$4314,MATCH(A3826-30,Clean_Data!$A$2:$A$4314,1))-1)</f>
        <v>-0.0178826164363124</v>
      </c>
    </row>
    <row r="3827" customFormat="false" ht="15" hidden="false" customHeight="false" outlineLevel="0" collapsed="false">
      <c r="A3827" s="16" t="n">
        <v>45834</v>
      </c>
      <c r="B3827" s="23" t="n">
        <f aca="false">YEAR(A3827)</f>
        <v>2025</v>
      </c>
      <c r="C3827" s="17" t="n">
        <v>107113.38</v>
      </c>
      <c r="D3827" s="23" t="n">
        <f aca="false">A3827-A3826</f>
        <v>1</v>
      </c>
      <c r="E3827" s="24" t="n">
        <f aca="false">LN(C3827)</f>
        <v>11.5816431786047</v>
      </c>
      <c r="F3827" s="25" t="n">
        <f aca="false">LN(C3827/C3826)</f>
        <v>0.000782094174897179</v>
      </c>
      <c r="G3827" s="25" t="n">
        <f aca="false">IF(AND(D3827=1,A3827&gt;=$R$2),F3827,"")</f>
        <v>0.000782094174897179</v>
      </c>
      <c r="H3827" s="27" t="n">
        <f aca="false">IF(G3827="","",G3827^2)</f>
        <v>6.11671298408099E-007</v>
      </c>
      <c r="I3827" s="25" t="n">
        <f aca="false">IF(G3827="","",C3827/C3826-1)</f>
        <v>0.000782400090292734</v>
      </c>
      <c r="J3827" s="17" t="n">
        <f aca="false">AVERAGE(C3628:C3827)</f>
        <v>96135.2036</v>
      </c>
      <c r="K3827" s="17" t="n">
        <f aca="false">MAX(K3826,C3827)</f>
        <v>111722.53</v>
      </c>
      <c r="L3827" s="25" t="n">
        <f aca="false">C3827/K3827-1</f>
        <v>-0.0412553314000318</v>
      </c>
      <c r="M3827" s="25" t="n">
        <f aca="false">IF(COUNT(G3798:G3827)&lt;20,"",_xlfn.STDEV.S(G3798:G3827)*SQRT($R$3))</f>
        <v>0.32819918860043</v>
      </c>
      <c r="N3827" s="25" t="n">
        <f aca="false">IF(A3827-7&lt;$R$2,"",C3827/INDEX(Clean_Data!$C$2:$C$4314,MATCH(A3827-7,Clean_Data!$A$2:$A$4314,1))-1)</f>
        <v>0.0367369417467272</v>
      </c>
      <c r="O3827" s="25" t="n">
        <f aca="false">IF(A3827-30&lt;$R$2,"",C3827/INDEX(Clean_Data!$C$2:$C$4314,MATCH(A3827-30,Clean_Data!$A$2:$A$4314,1))-1)</f>
        <v>-0.00654715867633693</v>
      </c>
    </row>
    <row r="3828" customFormat="false" ht="15" hidden="false" customHeight="false" outlineLevel="0" collapsed="false">
      <c r="A3828" s="16" t="n">
        <v>45835</v>
      </c>
      <c r="B3828" s="23" t="n">
        <f aca="false">YEAR(A3828)</f>
        <v>2025</v>
      </c>
      <c r="C3828" s="17" t="n">
        <v>107352.2</v>
      </c>
      <c r="D3828" s="23" t="n">
        <f aca="false">A3828-A3827</f>
        <v>1</v>
      </c>
      <c r="E3828" s="24" t="n">
        <f aca="false">LN(C3828)</f>
        <v>11.5838702968091</v>
      </c>
      <c r="F3828" s="25" t="n">
        <f aca="false">LN(C3828/C3827)</f>
        <v>0.00222711820436038</v>
      </c>
      <c r="G3828" s="25" t="n">
        <f aca="false">IF(AND(D3828=1,A3828&gt;=$R$2),F3828,"")</f>
        <v>0.00222711820436038</v>
      </c>
      <c r="H3828" s="27" t="n">
        <f aca="false">IF(G3828="","",G3828^2)</f>
        <v>4.96005549619339E-006</v>
      </c>
      <c r="I3828" s="25" t="n">
        <f aca="false">IF(G3828="","",C3828/C3827-1)</f>
        <v>0.002229600074239</v>
      </c>
      <c r="J3828" s="17" t="n">
        <f aca="false">AVERAGE(C3629:C3828)</f>
        <v>96188.6608</v>
      </c>
      <c r="K3828" s="17" t="n">
        <f aca="false">MAX(K3827,C3828)</f>
        <v>111722.53</v>
      </c>
      <c r="L3828" s="25" t="n">
        <f aca="false">C3828/K3828-1</f>
        <v>-0.0391177142157451</v>
      </c>
      <c r="M3828" s="25" t="n">
        <f aca="false">IF(COUNT(G3799:G3828)&lt;20,"",_xlfn.STDEV.S(G3799:G3828)*SQRT($R$3))</f>
        <v>0.319525950731188</v>
      </c>
      <c r="N3828" s="25" t="n">
        <f aca="false">IF(A3828-7&lt;$R$2,"",C3828/INDEX(Clean_Data!$C$2:$C$4314,MATCH(A3828-7,Clean_Data!$A$2:$A$4314,1))-1)</f>
        <v>0.05082388875571</v>
      </c>
      <c r="O3828" s="25" t="n">
        <f aca="false">IF(A3828-30&lt;$R$2,"",C3828/INDEX(Clean_Data!$C$2:$C$4314,MATCH(A3828-30,Clean_Data!$A$2:$A$4314,1))-1)</f>
        <v>0.0168568391527422</v>
      </c>
    </row>
    <row r="3829" customFormat="false" ht="15" hidden="false" customHeight="false" outlineLevel="0" collapsed="false">
      <c r="A3829" s="16" t="n">
        <v>45836</v>
      </c>
      <c r="B3829" s="23" t="n">
        <f aca="false">YEAR(A3829)</f>
        <v>2025</v>
      </c>
      <c r="C3829" s="17" t="n">
        <v>108386.44</v>
      </c>
      <c r="D3829" s="23" t="n">
        <f aca="false">A3829-A3828</f>
        <v>1</v>
      </c>
      <c r="E3829" s="24" t="n">
        <f aca="false">LN(C3829)</f>
        <v>11.5934582679121</v>
      </c>
      <c r="F3829" s="25" t="n">
        <f aca="false">LN(C3829/C3828)</f>
        <v>0.00958797110298195</v>
      </c>
      <c r="G3829" s="25" t="n">
        <f aca="false">IF(AND(D3829=1,A3829&gt;=$R$2),F3829,"")</f>
        <v>0.00958797110298195</v>
      </c>
      <c r="H3829" s="27" t="n">
        <f aca="false">IF(G3829="","",G3829^2)</f>
        <v>9.19291898716169E-005</v>
      </c>
      <c r="I3829" s="25" t="n">
        <f aca="false">IF(G3829="","",C3829/C3828-1)</f>
        <v>0.00963408295312074</v>
      </c>
      <c r="J3829" s="17" t="n">
        <f aca="false">AVERAGE(C3630:C3829)</f>
        <v>96224.58245</v>
      </c>
      <c r="K3829" s="17" t="n">
        <f aca="false">MAX(K3828,C3829)</f>
        <v>111722.53</v>
      </c>
      <c r="L3829" s="25" t="n">
        <f aca="false">C3829/K3829-1</f>
        <v>-0.0298604945663152</v>
      </c>
      <c r="M3829" s="25" t="n">
        <f aca="false">IF(COUNT(G3800:G3829)&lt;20,"",_xlfn.STDEV.S(G3800:G3829)*SQRT($R$3))</f>
        <v>0.316149965967119</v>
      </c>
      <c r="N3829" s="25" t="n">
        <f aca="false">IF(A3829-7&lt;$R$2,"",C3829/INDEX(Clean_Data!$C$2:$C$4314,MATCH(A3829-7,Clean_Data!$A$2:$A$4314,1))-1)</f>
        <v>0.0731663268376535</v>
      </c>
      <c r="O3829" s="25" t="n">
        <f aca="false">IF(A3829-30&lt;$R$2,"",C3829/INDEX(Clean_Data!$C$2:$C$4314,MATCH(A3829-30,Clean_Data!$A$2:$A$4314,1))-1)</f>
        <v>0.0418441179292084</v>
      </c>
    </row>
    <row r="3830" customFormat="false" ht="15" hidden="false" customHeight="false" outlineLevel="0" collapsed="false">
      <c r="A3830" s="16" t="n">
        <v>45837</v>
      </c>
      <c r="B3830" s="23" t="n">
        <f aca="false">YEAR(A3830)</f>
        <v>2025</v>
      </c>
      <c r="C3830" s="17" t="n">
        <v>107173.21</v>
      </c>
      <c r="D3830" s="23" t="n">
        <f aca="false">A3830-A3829</f>
        <v>1</v>
      </c>
      <c r="E3830" s="24" t="n">
        <f aca="false">LN(C3830)</f>
        <v>11.5822015896705</v>
      </c>
      <c r="F3830" s="25" t="n">
        <f aca="false">LN(C3830/C3829)</f>
        <v>-0.0112566782415383</v>
      </c>
      <c r="G3830" s="25" t="n">
        <f aca="false">IF(AND(D3830=1,A3830&gt;=$R$2),F3830,"")</f>
        <v>-0.0112566782415383</v>
      </c>
      <c r="H3830" s="27" t="n">
        <f aca="false">IF(G3830="","",G3830^2)</f>
        <v>0.000126712805033522</v>
      </c>
      <c r="I3830" s="25" t="n">
        <f aca="false">IF(G3830="","",C3830/C3829-1)</f>
        <v>-0.0111935588990651</v>
      </c>
      <c r="J3830" s="17" t="n">
        <f aca="false">AVERAGE(C3631:C3830)</f>
        <v>96260.29615</v>
      </c>
      <c r="K3830" s="17" t="n">
        <f aca="false">MAX(K3829,C3830)</f>
        <v>111722.53</v>
      </c>
      <c r="L3830" s="25" t="n">
        <f aca="false">C3830/K3830-1</f>
        <v>-0.0407198082606972</v>
      </c>
      <c r="M3830" s="25" t="n">
        <f aca="false">IF(COUNT(G3801:G3830)&lt;20,"",_xlfn.STDEV.S(G3801:G3830)*SQRT($R$3))</f>
        <v>0.318712738018179</v>
      </c>
      <c r="N3830" s="25" t="n">
        <f aca="false">IF(A3830-7&lt;$R$2,"",C3830/INDEX(Clean_Data!$C$2:$C$4314,MATCH(A3830-7,Clean_Data!$A$2:$A$4314,1))-1)</f>
        <v>0.0166365978782461</v>
      </c>
      <c r="O3830" s="25" t="n">
        <f aca="false">IF(A3830-30&lt;$R$2,"",C3830/INDEX(Clean_Data!$C$2:$C$4314,MATCH(A3830-30,Clean_Data!$A$2:$A$4314,1))-1)</f>
        <v>0.0241513592461893</v>
      </c>
    </row>
    <row r="3831" customFormat="false" ht="15" hidden="false" customHeight="false" outlineLevel="0" collapsed="false">
      <c r="A3831" s="16" t="n">
        <v>45838</v>
      </c>
      <c r="B3831" s="23" t="n">
        <f aca="false">YEAR(A3831)</f>
        <v>2025</v>
      </c>
      <c r="C3831" s="17" t="n">
        <v>105711.78</v>
      </c>
      <c r="D3831" s="23" t="n">
        <f aca="false">A3831-A3830</f>
        <v>1</v>
      </c>
      <c r="E3831" s="24" t="n">
        <f aca="false">LN(C3831)</f>
        <v>11.5684716131414</v>
      </c>
      <c r="F3831" s="25" t="n">
        <f aca="false">LN(C3831/C3830)</f>
        <v>-0.0137299765291109</v>
      </c>
      <c r="G3831" s="25" t="n">
        <f aca="false">IF(AND(D3831=1,A3831&gt;=$R$2),F3831,"")</f>
        <v>-0.0137299765291109</v>
      </c>
      <c r="H3831" s="27" t="n">
        <f aca="false">IF(G3831="","",G3831^2)</f>
        <v>0.000188512255489936</v>
      </c>
      <c r="I3831" s="25" t="n">
        <f aca="false">IF(G3831="","",C3831/C3830-1)</f>
        <v>-0.0136361503028603</v>
      </c>
      <c r="J3831" s="17" t="n">
        <f aca="false">AVERAGE(C3632:C3831)</f>
        <v>96281.7113</v>
      </c>
      <c r="K3831" s="17" t="n">
        <f aca="false">MAX(K3830,C3831)</f>
        <v>111722.53</v>
      </c>
      <c r="L3831" s="25" t="n">
        <f aca="false">C3831/K3831-1</f>
        <v>-0.053800697137811</v>
      </c>
      <c r="M3831" s="25" t="n">
        <f aca="false">IF(COUNT(G3802:G3831)&lt;20,"",_xlfn.STDEV.S(G3802:G3831)*SQRT($R$3))</f>
        <v>0.320826908699544</v>
      </c>
      <c r="N3831" s="25" t="n">
        <f aca="false">IF(A3831-7&lt;$R$2,"",C3831/INDEX(Clean_Data!$C$2:$C$4314,MATCH(A3831-7,Clean_Data!$A$2:$A$4314,1))-1)</f>
        <v>-0.00404386617800856</v>
      </c>
      <c r="O3831" s="25" t="n">
        <f aca="false">IF(A3831-30&lt;$R$2,"",C3831/INDEX(Clean_Data!$C$2:$C$4314,MATCH(A3831-30,Clean_Data!$A$2:$A$4314,1))-1)</f>
        <v>0.000130939164944888</v>
      </c>
    </row>
    <row r="3832" customFormat="false" ht="15" hidden="false" customHeight="false" outlineLevel="0" collapsed="false">
      <c r="A3832" s="16" t="n">
        <v>45839</v>
      </c>
      <c r="B3832" s="23" t="n">
        <f aca="false">YEAR(A3832)</f>
        <v>2025</v>
      </c>
      <c r="C3832" s="17" t="n">
        <v>108888.32</v>
      </c>
      <c r="D3832" s="23" t="n">
        <f aca="false">A3832-A3831</f>
        <v>1</v>
      </c>
      <c r="E3832" s="24" t="n">
        <f aca="false">LN(C3832)</f>
        <v>11.5980780488071</v>
      </c>
      <c r="F3832" s="25" t="n">
        <f aca="false">LN(C3832/C3831)</f>
        <v>0.0296064356656687</v>
      </c>
      <c r="G3832" s="25" t="n">
        <f aca="false">IF(AND(D3832=1,A3832&gt;=$R$2),F3832,"")</f>
        <v>0.0296064356656687</v>
      </c>
      <c r="H3832" s="27" t="n">
        <f aca="false">IF(G3832="","",G3832^2)</f>
        <v>0.000876541032825381</v>
      </c>
      <c r="I3832" s="25" t="n">
        <f aca="false">IF(G3832="","",C3832/C3831-1)</f>
        <v>0.0300490635953723</v>
      </c>
      <c r="J3832" s="17" t="n">
        <f aca="false">AVERAGE(C3633:C3832)</f>
        <v>96319.15295</v>
      </c>
      <c r="K3832" s="17" t="n">
        <f aca="false">MAX(K3831,C3832)</f>
        <v>111722.53</v>
      </c>
      <c r="L3832" s="25" t="n">
        <f aca="false">C3832/K3832-1</f>
        <v>-0.0253682941122081</v>
      </c>
      <c r="M3832" s="25" t="n">
        <f aca="false">IF(COUNT(G3803:G3832)&lt;20,"",_xlfn.STDEV.S(G3803:G3832)*SQRT($R$3))</f>
        <v>0.337031555635711</v>
      </c>
      <c r="N3832" s="25" t="n">
        <f aca="false">IF(A3832-7&lt;$R$2,"",C3832/INDEX(Clean_Data!$C$2:$C$4314,MATCH(A3832-7,Clean_Data!$A$2:$A$4314,1))-1)</f>
        <v>0.0138556513198949</v>
      </c>
      <c r="O3832" s="25" t="n">
        <f aca="false">IF(A3832-30&lt;$R$2,"",C3832/INDEX(Clean_Data!$C$2:$C$4314,MATCH(A3832-30,Clean_Data!$A$2:$A$4314,1))-1)</f>
        <v>0.028170357303446</v>
      </c>
    </row>
    <row r="3833" customFormat="false" ht="15" hidden="false" customHeight="false" outlineLevel="0" collapsed="false">
      <c r="A3833" s="16" t="n">
        <v>45840</v>
      </c>
      <c r="B3833" s="23" t="n">
        <f aca="false">YEAR(A3833)</f>
        <v>2025</v>
      </c>
      <c r="C3833" s="17" t="n">
        <v>109628.83</v>
      </c>
      <c r="D3833" s="23" t="n">
        <f aca="false">A3833-A3832</f>
        <v>1</v>
      </c>
      <c r="E3833" s="24" t="n">
        <f aca="false">LN(C3833)</f>
        <v>11.6048556663504</v>
      </c>
      <c r="F3833" s="25" t="n">
        <f aca="false">LN(C3833/C3832)</f>
        <v>0.00677761754330273</v>
      </c>
      <c r="G3833" s="25" t="n">
        <f aca="false">IF(AND(D3833=1,A3833&gt;=$R$2),F3833,"")</f>
        <v>0.00677761754330273</v>
      </c>
      <c r="H3833" s="27" t="n">
        <f aca="false">IF(G3833="","",G3833^2)</f>
        <v>4.59360995632849E-005</v>
      </c>
      <c r="I3833" s="25" t="n">
        <f aca="false">IF(G3833="","",C3833/C3832-1)</f>
        <v>0.00680063757067795</v>
      </c>
      <c r="J3833" s="17" t="n">
        <f aca="false">AVERAGE(C3634:C3833)</f>
        <v>96345.0583</v>
      </c>
      <c r="K3833" s="17" t="n">
        <f aca="false">MAX(K3832,C3833)</f>
        <v>111722.53</v>
      </c>
      <c r="L3833" s="25" t="n">
        <f aca="false">C3833/K3833-1</f>
        <v>-0.0187401771155737</v>
      </c>
      <c r="M3833" s="25" t="n">
        <f aca="false">IF(COUNT(G3804:G3833)&lt;20,"",_xlfn.STDEV.S(G3804:G3833)*SQRT($R$3))</f>
        <v>0.33707919161978</v>
      </c>
      <c r="N3833" s="25" t="n">
        <f aca="false">IF(A3833-7&lt;$R$2,"",C3833/INDEX(Clean_Data!$C$2:$C$4314,MATCH(A3833-7,Clean_Data!$A$2:$A$4314,1))-1)</f>
        <v>0.0242847682193457</v>
      </c>
      <c r="O3833" s="25" t="n">
        <f aca="false">IF(A3833-30&lt;$R$2,"",C3833/INDEX(Clean_Data!$C$2:$C$4314,MATCH(A3833-30,Clean_Data!$A$2:$A$4314,1))-1)</f>
        <v>0.0396500373360018</v>
      </c>
    </row>
    <row r="3834" customFormat="false" ht="15" hidden="false" customHeight="false" outlineLevel="0" collapsed="false">
      <c r="A3834" s="16" t="n">
        <v>45841</v>
      </c>
      <c r="B3834" s="23" t="n">
        <f aca="false">YEAR(A3834)</f>
        <v>2025</v>
      </c>
      <c r="C3834" s="17" t="n">
        <v>108028.6</v>
      </c>
      <c r="D3834" s="23" t="n">
        <f aca="false">A3834-A3833</f>
        <v>1</v>
      </c>
      <c r="E3834" s="24" t="n">
        <f aca="false">LN(C3834)</f>
        <v>11.5901512858639</v>
      </c>
      <c r="F3834" s="25" t="n">
        <f aca="false">LN(C3834/C3833)</f>
        <v>-0.0147043804864769</v>
      </c>
      <c r="G3834" s="25" t="n">
        <f aca="false">IF(AND(D3834=1,A3834&gt;=$R$2),F3834,"")</f>
        <v>-0.0147043804864769</v>
      </c>
      <c r="H3834" s="27" t="n">
        <f aca="false">IF(G3834="","",G3834^2)</f>
        <v>0.000216218805491082</v>
      </c>
      <c r="I3834" s="25" t="n">
        <f aca="false">IF(G3834="","",C3834/C3833-1)</f>
        <v>-0.0145967990354362</v>
      </c>
      <c r="J3834" s="17" t="n">
        <f aca="false">AVERAGE(C3635:C3834)</f>
        <v>96354.70225</v>
      </c>
      <c r="K3834" s="17" t="n">
        <f aca="false">MAX(K3833,C3834)</f>
        <v>111722.53</v>
      </c>
      <c r="L3834" s="25" t="n">
        <f aca="false">C3834/K3834-1</f>
        <v>-0.0330634295517653</v>
      </c>
      <c r="M3834" s="25" t="n">
        <f aca="false">IF(COUNT(G3805:G3834)&lt;20,"",_xlfn.STDEV.S(G3805:G3834)*SQRT($R$3))</f>
        <v>0.340633150748379</v>
      </c>
      <c r="N3834" s="25" t="n">
        <f aca="false">IF(A3834-7&lt;$R$2,"",C3834/INDEX(Clean_Data!$C$2:$C$4314,MATCH(A3834-7,Clean_Data!$A$2:$A$4314,1))-1)</f>
        <v>0.00854440406978108</v>
      </c>
      <c r="O3834" s="25" t="n">
        <f aca="false">IF(A3834-30&lt;$R$2,"",C3834/INDEX(Clean_Data!$C$2:$C$4314,MATCH(A3834-30,Clean_Data!$A$2:$A$4314,1))-1)</f>
        <v>0.0312660078366922</v>
      </c>
    </row>
    <row r="3835" customFormat="false" ht="15" hidden="false" customHeight="false" outlineLevel="0" collapsed="false">
      <c r="A3835" s="16" t="n">
        <v>45842</v>
      </c>
      <c r="B3835" s="23" t="n">
        <f aca="false">YEAR(A3835)</f>
        <v>2025</v>
      </c>
      <c r="C3835" s="17" t="n">
        <v>108246.65</v>
      </c>
      <c r="D3835" s="23" t="n">
        <f aca="false">A3835-A3834</f>
        <v>1</v>
      </c>
      <c r="E3835" s="24" t="n">
        <f aca="false">LN(C3835)</f>
        <v>11.5921676985037</v>
      </c>
      <c r="F3835" s="25" t="n">
        <f aca="false">LN(C3835/C3834)</f>
        <v>0.00201641263973696</v>
      </c>
      <c r="G3835" s="25" t="n">
        <f aca="false">IF(AND(D3835=1,A3835&gt;=$R$2),F3835,"")</f>
        <v>0.00201641263973696</v>
      </c>
      <c r="H3835" s="27" t="n">
        <f aca="false">IF(G3835="","",G3835^2)</f>
        <v>4.06591993369098E-006</v>
      </c>
      <c r="I3835" s="25" t="n">
        <f aca="false">IF(G3835="","",C3835/C3834-1)</f>
        <v>0.00201844696682163</v>
      </c>
      <c r="J3835" s="17" t="n">
        <f aca="false">AVERAGE(C3636:C3835)</f>
        <v>96365.25055</v>
      </c>
      <c r="K3835" s="17" t="n">
        <f aca="false">MAX(K3834,C3835)</f>
        <v>111722.53</v>
      </c>
      <c r="L3835" s="25" t="n">
        <f aca="false">C3835/K3835-1</f>
        <v>-0.0311117193640352</v>
      </c>
      <c r="M3835" s="25" t="n">
        <f aca="false">IF(COUNT(G3806:G3835)&lt;20,"",_xlfn.STDEV.S(G3806:G3835)*SQRT($R$3))</f>
        <v>0.320615261433343</v>
      </c>
      <c r="N3835" s="25" t="n">
        <f aca="false">IF(A3835-7&lt;$R$2,"",C3835/INDEX(Clean_Data!$C$2:$C$4314,MATCH(A3835-7,Clean_Data!$A$2:$A$4314,1))-1)</f>
        <v>0.0083319205381911</v>
      </c>
      <c r="O3835" s="25" t="n">
        <f aca="false">IF(A3835-30&lt;$R$2,"",C3835/INDEX(Clean_Data!$C$2:$C$4314,MATCH(A3835-30,Clean_Data!$A$2:$A$4314,1))-1)</f>
        <v>0.0657323703212163</v>
      </c>
    </row>
    <row r="3836" customFormat="false" ht="15" hidden="false" customHeight="false" outlineLevel="0" collapsed="false">
      <c r="A3836" s="16" t="n">
        <v>45843</v>
      </c>
      <c r="B3836" s="23" t="n">
        <f aca="false">YEAR(A3836)</f>
        <v>2025</v>
      </c>
      <c r="C3836" s="17" t="n">
        <v>109217.98</v>
      </c>
      <c r="D3836" s="23" t="n">
        <f aca="false">A3836-A3835</f>
        <v>1</v>
      </c>
      <c r="E3836" s="24" t="n">
        <f aca="false">LN(C3836)</f>
        <v>11.6011009807539</v>
      </c>
      <c r="F3836" s="25" t="n">
        <f aca="false">LN(C3836/C3835)</f>
        <v>0.00893328225028407</v>
      </c>
      <c r="G3836" s="25" t="n">
        <f aca="false">IF(AND(D3836=1,A3836&gt;=$R$2),F3836,"")</f>
        <v>0.00893328225028407</v>
      </c>
      <c r="H3836" s="27" t="n">
        <f aca="false">IF(G3836="","",G3836^2)</f>
        <v>7.98035317632404E-005</v>
      </c>
      <c r="I3836" s="25" t="n">
        <f aca="false">IF(G3836="","",C3836/C3835-1)</f>
        <v>0.00897330309991129</v>
      </c>
      <c r="J3836" s="17" t="n">
        <f aca="false">AVERAGE(C3637:C3836)</f>
        <v>96410.5868</v>
      </c>
      <c r="K3836" s="17" t="n">
        <f aca="false">MAX(K3835,C3836)</f>
        <v>111722.53</v>
      </c>
      <c r="L3836" s="25" t="n">
        <f aca="false">C3836/K3836-1</f>
        <v>-0.0224175911519369</v>
      </c>
      <c r="M3836" s="25" t="n">
        <f aca="false">IF(COUNT(G3807:G3836)&lt;20,"",_xlfn.STDEV.S(G3807:G3836)*SQRT($R$3))</f>
        <v>0.30846947620728</v>
      </c>
      <c r="N3836" s="25" t="n">
        <f aca="false">IF(A3836-7&lt;$R$2,"",C3836/INDEX(Clean_Data!$C$2:$C$4314,MATCH(A3836-7,Clean_Data!$A$2:$A$4314,1))-1)</f>
        <v>0.00767199291719511</v>
      </c>
      <c r="O3836" s="25" t="n">
        <f aca="false">IF(A3836-30&lt;$R$2,"",C3836/INDEX(Clean_Data!$C$2:$C$4314,MATCH(A3836-30,Clean_Data!$A$2:$A$4314,1))-1)</f>
        <v>0.0461693754831869</v>
      </c>
    </row>
    <row r="3837" customFormat="false" ht="15" hidden="false" customHeight="false" outlineLevel="0" collapsed="false">
      <c r="A3837" s="16" t="n">
        <v>45844</v>
      </c>
      <c r="B3837" s="23" t="n">
        <f aca="false">YEAR(A3837)</f>
        <v>2025</v>
      </c>
      <c r="C3837" s="17" t="n">
        <v>108269.84</v>
      </c>
      <c r="D3837" s="23" t="n">
        <f aca="false">A3837-A3836</f>
        <v>1</v>
      </c>
      <c r="E3837" s="24" t="n">
        <f aca="false">LN(C3837)</f>
        <v>11.5923819085168</v>
      </c>
      <c r="F3837" s="25" t="n">
        <f aca="false">LN(C3837/C3836)</f>
        <v>-0.00871907223710042</v>
      </c>
      <c r="G3837" s="25" t="n">
        <f aca="false">IF(AND(D3837=1,A3837&gt;=$R$2),F3837,"")</f>
        <v>-0.00871907223710042</v>
      </c>
      <c r="H3837" s="27" t="n">
        <f aca="false">IF(G3837="","",G3837^2)</f>
        <v>7.60222206757753E-005</v>
      </c>
      <c r="I3837" s="25" t="n">
        <f aca="false">IF(G3837="","",C3837/C3836-1)</f>
        <v>-0.00868117136024671</v>
      </c>
      <c r="J3837" s="17" t="n">
        <f aca="false">AVERAGE(C3638:C3837)</f>
        <v>96465.07495</v>
      </c>
      <c r="K3837" s="17" t="n">
        <f aca="false">MAX(K3836,C3837)</f>
        <v>111722.53</v>
      </c>
      <c r="L3837" s="25" t="n">
        <f aca="false">C3837/K3837-1</f>
        <v>-0.0309041515619097</v>
      </c>
      <c r="M3837" s="25" t="n">
        <f aca="false">IF(COUNT(G3808:G3837)&lt;20,"",_xlfn.STDEV.S(G3808:G3837)*SQRT($R$3))</f>
        <v>0.308229373385303</v>
      </c>
      <c r="N3837" s="25" t="n">
        <f aca="false">IF(A3837-7&lt;$R$2,"",C3837/INDEX(Clean_Data!$C$2:$C$4314,MATCH(A3837-7,Clean_Data!$A$2:$A$4314,1))-1)</f>
        <v>0.0102323145868262</v>
      </c>
      <c r="O3837" s="25" t="n">
        <f aca="false">IF(A3837-30&lt;$R$2,"",C3837/INDEX(Clean_Data!$C$2:$C$4314,MATCH(A3837-30,Clean_Data!$A$2:$A$4314,1))-1)</f>
        <v>0.0250979416396782</v>
      </c>
    </row>
    <row r="3838" customFormat="false" ht="15" hidden="false" customHeight="false" outlineLevel="0" collapsed="false">
      <c r="A3838" s="16" t="n">
        <v>45845</v>
      </c>
      <c r="B3838" s="23" t="n">
        <f aca="false">YEAR(A3838)</f>
        <v>2025</v>
      </c>
      <c r="C3838" s="17" t="n">
        <v>108958.04</v>
      </c>
      <c r="D3838" s="23" t="n">
        <f aca="false">A3838-A3837</f>
        <v>1</v>
      </c>
      <c r="E3838" s="24" t="n">
        <f aca="false">LN(C3838)</f>
        <v>11.598718132969</v>
      </c>
      <c r="F3838" s="25" t="n">
        <f aca="false">LN(C3838/C3837)</f>
        <v>0.00633622445214088</v>
      </c>
      <c r="G3838" s="25" t="n">
        <f aca="false">IF(AND(D3838=1,A3838&gt;=$R$2),F3838,"")</f>
        <v>0.00633622445214088</v>
      </c>
      <c r="H3838" s="27" t="n">
        <f aca="false">IF(G3838="","",G3838^2)</f>
        <v>4.0147740307908E-005</v>
      </c>
      <c r="I3838" s="25" t="n">
        <f aca="false">IF(G3838="","",C3838/C3837-1)</f>
        <v>0.00635634078705571</v>
      </c>
      <c r="J3838" s="17" t="n">
        <f aca="false">AVERAGE(C3639:C3838)</f>
        <v>96521.04015</v>
      </c>
      <c r="K3838" s="17" t="n">
        <f aca="false">MAX(K3837,C3838)</f>
        <v>111722.53</v>
      </c>
      <c r="L3838" s="25" t="n">
        <f aca="false">C3838/K3838-1</f>
        <v>-0.0247442480939163</v>
      </c>
      <c r="M3838" s="25" t="n">
        <f aca="false">IF(COUNT(G3809:G3838)&lt;20,"",_xlfn.STDEV.S(G3809:G3838)*SQRT($R$3))</f>
        <v>0.308822028491557</v>
      </c>
      <c r="N3838" s="25" t="n">
        <f aca="false">IF(A3838-7&lt;$R$2,"",C3838/INDEX(Clean_Data!$C$2:$C$4314,MATCH(A3838-7,Clean_Data!$A$2:$A$4314,1))-1)</f>
        <v>0.0307085927415089</v>
      </c>
      <c r="O3838" s="25" t="n">
        <f aca="false">IF(A3838-30&lt;$R$2,"",C3838/INDEX(Clean_Data!$C$2:$C$4314,MATCH(A3838-30,Clean_Data!$A$2:$A$4314,1))-1)</f>
        <v>0.030001020944487</v>
      </c>
    </row>
    <row r="3839" customFormat="false" ht="15" hidden="false" customHeight="false" outlineLevel="0" collapsed="false">
      <c r="A3839" s="16" t="n">
        <v>45846</v>
      </c>
      <c r="B3839" s="23" t="n">
        <f aca="false">YEAR(A3839)</f>
        <v>2025</v>
      </c>
      <c r="C3839" s="17" t="n">
        <v>111282.85</v>
      </c>
      <c r="D3839" s="23" t="n">
        <f aca="false">A3839-A3838</f>
        <v>1</v>
      </c>
      <c r="E3839" s="24" t="n">
        <f aca="false">LN(C3839)</f>
        <v>11.6198304373405</v>
      </c>
      <c r="F3839" s="25" t="n">
        <f aca="false">LN(C3839/C3838)</f>
        <v>0.0211123043715596</v>
      </c>
      <c r="G3839" s="25" t="n">
        <f aca="false">IF(AND(D3839=1,A3839&gt;=$R$2),F3839,"")</f>
        <v>0.0211123043715596</v>
      </c>
      <c r="H3839" s="27" t="n">
        <f aca="false">IF(G3839="","",G3839^2)</f>
        <v>0.000445729395877375</v>
      </c>
      <c r="I3839" s="25" t="n">
        <f aca="false">IF(G3839="","",C3839/C3838-1)</f>
        <v>0.0213367457784668</v>
      </c>
      <c r="J3839" s="17" t="n">
        <f aca="false">AVERAGE(C3640:C3839)</f>
        <v>96591.304</v>
      </c>
      <c r="K3839" s="17" t="n">
        <f aca="false">MAX(K3838,C3839)</f>
        <v>111722.53</v>
      </c>
      <c r="L3839" s="25" t="n">
        <f aca="false">C3839/K3839-1</f>
        <v>-0.00393546404650869</v>
      </c>
      <c r="M3839" s="25" t="n">
        <f aca="false">IF(COUNT(G3810:G3839)&lt;20,"",_xlfn.STDEV.S(G3810:G3839)*SQRT($R$3))</f>
        <v>0.281623378575585</v>
      </c>
      <c r="N3839" s="25" t="n">
        <f aca="false">IF(A3839-7&lt;$R$2,"",C3839/INDEX(Clean_Data!$C$2:$C$4314,MATCH(A3839-7,Clean_Data!$A$2:$A$4314,1))-1)</f>
        <v>0.0219906965228227</v>
      </c>
      <c r="O3839" s="25" t="n">
        <f aca="false">IF(A3839-30&lt;$R$2,"",C3839/INDEX(Clean_Data!$C$2:$C$4314,MATCH(A3839-30,Clean_Data!$A$2:$A$4314,1))-1)</f>
        <v>0.00890017919124153</v>
      </c>
    </row>
    <row r="3840" customFormat="false" ht="15" hidden="false" customHeight="false" outlineLevel="0" collapsed="false">
      <c r="A3840" s="16" t="n">
        <v>45847</v>
      </c>
      <c r="B3840" s="23" t="n">
        <f aca="false">YEAR(A3840)</f>
        <v>2025</v>
      </c>
      <c r="C3840" s="17" t="n">
        <v>116031.3</v>
      </c>
      <c r="D3840" s="23" t="n">
        <f aca="false">A3840-A3839</f>
        <v>1</v>
      </c>
      <c r="E3840" s="24" t="n">
        <f aca="false">LN(C3840)</f>
        <v>11.6616152612778</v>
      </c>
      <c r="F3840" s="25" t="n">
        <f aca="false">LN(C3840/C3839)</f>
        <v>0.041784823937254</v>
      </c>
      <c r="G3840" s="25" t="n">
        <f aca="false">IF(AND(D3840=1,A3840&gt;=$R$2),F3840,"")</f>
        <v>0.041784823937254</v>
      </c>
      <c r="H3840" s="27" t="n">
        <f aca="false">IF(G3840="","",G3840^2)</f>
        <v>0.00174597151146732</v>
      </c>
      <c r="I3840" s="25" t="n">
        <f aca="false">IF(G3840="","",C3840/C3839-1)</f>
        <v>0.0426700969646265</v>
      </c>
      <c r="J3840" s="17" t="n">
        <f aca="false">AVERAGE(C3641:C3840)</f>
        <v>96696.02175</v>
      </c>
      <c r="K3840" s="17" t="n">
        <f aca="false">MAX(K3839,C3840)</f>
        <v>116031.3</v>
      </c>
      <c r="L3840" s="25" t="n">
        <f aca="false">C3840/K3840-1</f>
        <v>0</v>
      </c>
      <c r="M3840" s="25" t="n">
        <f aca="false">IF(COUNT(G3811:G3840)&lt;20,"",_xlfn.STDEV.S(G3811:G3840)*SQRT($R$3))</f>
        <v>0.316612321395145</v>
      </c>
      <c r="N3840" s="25" t="n">
        <f aca="false">IF(A3840-7&lt;$R$2,"",C3840/INDEX(Clean_Data!$C$2:$C$4314,MATCH(A3840-7,Clean_Data!$A$2:$A$4314,1))-1)</f>
        <v>0.0584013347583843</v>
      </c>
      <c r="O3840" s="25" t="n">
        <f aca="false">IF(A3840-30&lt;$R$2,"",C3840/INDEX(Clean_Data!$C$2:$C$4314,MATCH(A3840-30,Clean_Data!$A$2:$A$4314,1))-1)</f>
        <v>0.0519587264723993</v>
      </c>
    </row>
    <row r="3841" customFormat="false" ht="15" hidden="false" customHeight="false" outlineLevel="0" collapsed="false">
      <c r="A3841" s="16" t="n">
        <v>45848</v>
      </c>
      <c r="B3841" s="23" t="n">
        <f aca="false">YEAR(A3841)</f>
        <v>2025</v>
      </c>
      <c r="C3841" s="17" t="n">
        <v>117582.16</v>
      </c>
      <c r="D3841" s="23" t="n">
        <f aca="false">A3841-A3840</f>
        <v>1</v>
      </c>
      <c r="E3841" s="24" t="n">
        <f aca="false">LN(C3841)</f>
        <v>11.6748926022587</v>
      </c>
      <c r="F3841" s="25" t="n">
        <f aca="false">LN(C3841/C3840)</f>
        <v>0.0132773409808869</v>
      </c>
      <c r="G3841" s="25" t="n">
        <f aca="false">IF(AND(D3841=1,A3841&gt;=$R$2),F3841,"")</f>
        <v>0.0132773409808869</v>
      </c>
      <c r="H3841" s="27" t="n">
        <f aca="false">IF(G3841="","",G3841^2)</f>
        <v>0.000176287783522738</v>
      </c>
      <c r="I3841" s="25" t="n">
        <f aca="false">IF(G3841="","",C3841/C3840-1)</f>
        <v>0.0133658762764874</v>
      </c>
      <c r="J3841" s="17" t="n">
        <f aca="false">AVERAGE(C3642:C3841)</f>
        <v>96810.10975</v>
      </c>
      <c r="K3841" s="17" t="n">
        <f aca="false">MAX(K3840,C3841)</f>
        <v>117582.16</v>
      </c>
      <c r="L3841" s="25" t="n">
        <f aca="false">C3841/K3841-1</f>
        <v>0</v>
      </c>
      <c r="M3841" s="25" t="n">
        <f aca="false">IF(COUNT(G3812:G3841)&lt;20,"",_xlfn.STDEV.S(G3812:G3841)*SQRT($R$3))</f>
        <v>0.313271267821714</v>
      </c>
      <c r="N3841" s="25" t="n">
        <f aca="false">IF(A3841-7&lt;$R$2,"",C3841/INDEX(Clean_Data!$C$2:$C$4314,MATCH(A3841-7,Clean_Data!$A$2:$A$4314,1))-1)</f>
        <v>0.0884354698663132</v>
      </c>
      <c r="O3841" s="25" t="n">
        <f aca="false">IF(A3841-30&lt;$R$2,"",C3841/INDEX(Clean_Data!$C$2:$C$4314,MATCH(A3841-30,Clean_Data!$A$2:$A$4314,1))-1)</f>
        <v>0.0820174995033101</v>
      </c>
    </row>
    <row r="3842" customFormat="false" ht="15" hidden="false" customHeight="false" outlineLevel="0" collapsed="false">
      <c r="A3842" s="16" t="n">
        <v>45849</v>
      </c>
      <c r="B3842" s="23" t="n">
        <f aca="false">YEAR(A3842)</f>
        <v>2025</v>
      </c>
      <c r="C3842" s="17" t="n">
        <v>117472.65</v>
      </c>
      <c r="D3842" s="23" t="n">
        <f aca="false">A3842-A3841</f>
        <v>1</v>
      </c>
      <c r="E3842" s="24" t="n">
        <f aca="false">LN(C3842)</f>
        <v>11.6739608195147</v>
      </c>
      <c r="F3842" s="25" t="n">
        <f aca="false">LN(C3842/C3841)</f>
        <v>-0.000931782743975636</v>
      </c>
      <c r="G3842" s="25" t="n">
        <f aca="false">IF(AND(D3842=1,A3842&gt;=$R$2),F3842,"")</f>
        <v>-0.000931782743975636</v>
      </c>
      <c r="H3842" s="27" t="n">
        <f aca="false">IF(G3842="","",G3842^2)</f>
        <v>8.68219081970765E-007</v>
      </c>
      <c r="I3842" s="25" t="n">
        <f aca="false">IF(G3842="","",C3842/C3841-1)</f>
        <v>-0.000931348769235174</v>
      </c>
      <c r="J3842" s="17" t="n">
        <f aca="false">AVERAGE(C3643:C3842)</f>
        <v>96904.50065</v>
      </c>
      <c r="K3842" s="17" t="n">
        <f aca="false">MAX(K3841,C3842)</f>
        <v>117582.16</v>
      </c>
      <c r="L3842" s="25" t="n">
        <f aca="false">C3842/K3842-1</f>
        <v>-0.000931348769235174</v>
      </c>
      <c r="M3842" s="25" t="n">
        <f aca="false">IF(COUNT(G3813:G3842)&lt;20,"",_xlfn.STDEV.S(G3813:G3842)*SQRT($R$3))</f>
        <v>0.294233619459938</v>
      </c>
      <c r="N3842" s="25" t="n">
        <f aca="false">IF(A3842-7&lt;$R$2,"",C3842/INDEX(Clean_Data!$C$2:$C$4314,MATCH(A3842-7,Clean_Data!$A$2:$A$4314,1))-1)</f>
        <v>0.0852312750556252</v>
      </c>
      <c r="O3842" s="25" t="n">
        <f aca="false">IF(A3842-30&lt;$R$2,"",C3842/INDEX(Clean_Data!$C$2:$C$4314,MATCH(A3842-30,Clean_Data!$A$2:$A$4314,1))-1)</f>
        <v>0.11115667125894</v>
      </c>
    </row>
    <row r="3843" customFormat="false" ht="15" hidden="false" customHeight="false" outlineLevel="0" collapsed="false">
      <c r="A3843" s="16" t="n">
        <v>45850</v>
      </c>
      <c r="B3843" s="23" t="n">
        <f aca="false">YEAR(A3843)</f>
        <v>2025</v>
      </c>
      <c r="C3843" s="17" t="n">
        <v>119130.81</v>
      </c>
      <c r="D3843" s="23" t="n">
        <f aca="false">A3843-A3842</f>
        <v>1</v>
      </c>
      <c r="E3843" s="24" t="n">
        <f aca="false">LN(C3843)</f>
        <v>11.6879774120652</v>
      </c>
      <c r="F3843" s="25" t="n">
        <f aca="false">LN(C3843/C3842)</f>
        <v>0.0140165925504758</v>
      </c>
      <c r="G3843" s="25" t="n">
        <f aca="false">IF(AND(D3843=1,A3843&gt;=$R$2),F3843,"")</f>
        <v>0.0140165925504758</v>
      </c>
      <c r="H3843" s="27" t="n">
        <f aca="false">IF(G3843="","",G3843^2)</f>
        <v>0.000196464866726054</v>
      </c>
      <c r="I3843" s="25" t="n">
        <f aca="false">IF(G3843="","",C3843/C3842-1)</f>
        <v>0.0141152855579576</v>
      </c>
      <c r="J3843" s="17" t="n">
        <f aca="false">AVERAGE(C3644:C3843)</f>
        <v>97003.4233</v>
      </c>
      <c r="K3843" s="17" t="n">
        <f aca="false">MAX(K3842,C3843)</f>
        <v>119130.81</v>
      </c>
      <c r="L3843" s="25" t="n">
        <f aca="false">C3843/K3843-1</f>
        <v>0</v>
      </c>
      <c r="M3843" s="25" t="n">
        <f aca="false">IF(COUNT(G3814:G3843)&lt;20,"",_xlfn.STDEV.S(G3814:G3843)*SQRT($R$3))</f>
        <v>0.296507986354626</v>
      </c>
      <c r="N3843" s="25" t="n">
        <f aca="false">IF(A3843-7&lt;$R$2,"",C3843/INDEX(Clean_Data!$C$2:$C$4314,MATCH(A3843-7,Clean_Data!$A$2:$A$4314,1))-1)</f>
        <v>0.0907618873742218</v>
      </c>
      <c r="O3843" s="25" t="n">
        <f aca="false">IF(A3843-30&lt;$R$2,"",C3843/INDEX(Clean_Data!$C$2:$C$4314,MATCH(A3843-30,Clean_Data!$A$2:$A$4314,1))-1)</f>
        <v>0.12261844519392</v>
      </c>
    </row>
    <row r="3844" customFormat="false" ht="15" hidden="false" customHeight="false" outlineLevel="0" collapsed="false">
      <c r="A3844" s="16" t="n">
        <v>45851</v>
      </c>
      <c r="B3844" s="23" t="n">
        <f aca="false">YEAR(A3844)</f>
        <v>2025</v>
      </c>
      <c r="C3844" s="17" t="n">
        <v>119863.71</v>
      </c>
      <c r="D3844" s="23" t="n">
        <f aca="false">A3844-A3843</f>
        <v>1</v>
      </c>
      <c r="E3844" s="24" t="n">
        <f aca="false">LN(C3844)</f>
        <v>11.6941106263114</v>
      </c>
      <c r="F3844" s="25" t="n">
        <f aca="false">LN(C3844/C3843)</f>
        <v>0.00613321424621065</v>
      </c>
      <c r="G3844" s="25" t="n">
        <f aca="false">IF(AND(D3844=1,A3844&gt;=$R$2),F3844,"")</f>
        <v>0.00613321424621065</v>
      </c>
      <c r="H3844" s="27" t="n">
        <f aca="false">IF(G3844="","",G3844^2)</f>
        <v>3.76163169899213E-005</v>
      </c>
      <c r="I3844" s="25" t="n">
        <f aca="false">IF(G3844="","",C3844/C3843-1)</f>
        <v>0.00615206091522436</v>
      </c>
      <c r="J3844" s="17" t="n">
        <f aca="false">AVERAGE(C3645:C3844)</f>
        <v>97124.3944</v>
      </c>
      <c r="K3844" s="17" t="n">
        <f aca="false">MAX(K3843,C3844)</f>
        <v>119863.71</v>
      </c>
      <c r="L3844" s="25" t="n">
        <f aca="false">C3844/K3844-1</f>
        <v>0</v>
      </c>
      <c r="M3844" s="25" t="n">
        <f aca="false">IF(COUNT(G3815:G3844)&lt;20,"",_xlfn.STDEV.S(G3815:G3844)*SQRT($R$3))</f>
        <v>0.294367776397871</v>
      </c>
      <c r="N3844" s="25" t="n">
        <f aca="false">IF(A3844-7&lt;$R$2,"",C3844/INDEX(Clean_Data!$C$2:$C$4314,MATCH(A3844-7,Clean_Data!$A$2:$A$4314,1))-1)</f>
        <v>0.107083099042171</v>
      </c>
      <c r="O3844" s="25" t="n">
        <f aca="false">IF(A3844-30&lt;$R$2,"",C3844/INDEX(Clean_Data!$C$2:$C$4314,MATCH(A3844-30,Clean_Data!$A$2:$A$4314,1))-1)</f>
        <v>0.13652143043663</v>
      </c>
    </row>
    <row r="3845" customFormat="false" ht="15" hidden="false" customHeight="false" outlineLevel="0" collapsed="false">
      <c r="A3845" s="16" t="n">
        <v>45852</v>
      </c>
      <c r="B3845" s="23" t="n">
        <f aca="false">YEAR(A3845)</f>
        <v>2025</v>
      </c>
      <c r="C3845" s="17" t="n">
        <v>117781.64</v>
      </c>
      <c r="D3845" s="23" t="n">
        <f aca="false">A3845-A3844</f>
        <v>1</v>
      </c>
      <c r="E3845" s="24" t="n">
        <f aca="false">LN(C3845)</f>
        <v>11.6765876806672</v>
      </c>
      <c r="F3845" s="25" t="n">
        <f aca="false">LN(C3845/C3844)</f>
        <v>-0.0175229456441903</v>
      </c>
      <c r="G3845" s="25" t="n">
        <f aca="false">IF(AND(D3845=1,A3845&gt;=$R$2),F3845,"")</f>
        <v>-0.0175229456441903</v>
      </c>
      <c r="H3845" s="27" t="n">
        <f aca="false">IF(G3845="","",G3845^2)</f>
        <v>0.000307053624049248</v>
      </c>
      <c r="I3845" s="25" t="n">
        <f aca="false">IF(G3845="","",C3845/C3844-1)</f>
        <v>-0.0173703116648067</v>
      </c>
      <c r="J3845" s="17" t="n">
        <f aca="false">AVERAGE(C3646:C3845)</f>
        <v>97242.44315</v>
      </c>
      <c r="K3845" s="17" t="n">
        <f aca="false">MAX(K3844,C3845)</f>
        <v>119863.71</v>
      </c>
      <c r="L3845" s="25" t="n">
        <f aca="false">C3845/K3845-1</f>
        <v>-0.0173703116648067</v>
      </c>
      <c r="M3845" s="25" t="n">
        <f aca="false">IF(COUNT(G3816:G3845)&lt;20,"",_xlfn.STDEV.S(G3816:G3845)*SQRT($R$3))</f>
        <v>0.303918432423555</v>
      </c>
      <c r="N3845" s="25" t="n">
        <f aca="false">IF(A3845-7&lt;$R$2,"",C3845/INDEX(Clean_Data!$C$2:$C$4314,MATCH(A3845-7,Clean_Data!$A$2:$A$4314,1))-1)</f>
        <v>0.0809816329295205</v>
      </c>
      <c r="O3845" s="25" t="n">
        <f aca="false">IF(A3845-30&lt;$R$2,"",C3845/INDEX(Clean_Data!$C$2:$C$4314,MATCH(A3845-30,Clean_Data!$A$2:$A$4314,1))-1)</f>
        <v>0.115364361015822</v>
      </c>
    </row>
    <row r="3846" customFormat="false" ht="15" hidden="false" customHeight="false" outlineLevel="0" collapsed="false">
      <c r="A3846" s="16" t="n">
        <v>45853</v>
      </c>
      <c r="B3846" s="23" t="n">
        <f aca="false">YEAR(A3846)</f>
        <v>2025</v>
      </c>
      <c r="C3846" s="17" t="n">
        <v>118681.68</v>
      </c>
      <c r="D3846" s="23" t="n">
        <f aca="false">A3846-A3845</f>
        <v>1</v>
      </c>
      <c r="E3846" s="24" t="n">
        <f aca="false">LN(C3846)</f>
        <v>11.6842002300174</v>
      </c>
      <c r="F3846" s="25" t="n">
        <f aca="false">LN(C3846/C3845)</f>
        <v>0.0076125493502082</v>
      </c>
      <c r="G3846" s="25" t="n">
        <f aca="false">IF(AND(D3846=1,A3846&gt;=$R$2),F3846,"")</f>
        <v>0.0076125493502082</v>
      </c>
      <c r="H3846" s="27" t="n">
        <f aca="false">IF(G3846="","",G3846^2)</f>
        <v>5.79509076093553E-005</v>
      </c>
      <c r="I3846" s="25" t="n">
        <f aca="false">IF(G3846="","",C3846/C3845-1)</f>
        <v>0.00764159846984636</v>
      </c>
      <c r="J3846" s="17" t="n">
        <f aca="false">AVERAGE(C3647:C3846)</f>
        <v>97360.19745</v>
      </c>
      <c r="K3846" s="17" t="n">
        <f aca="false">MAX(K3845,C3846)</f>
        <v>119863.71</v>
      </c>
      <c r="L3846" s="25" t="n">
        <f aca="false">C3846/K3846-1</f>
        <v>-0.00986145014199891</v>
      </c>
      <c r="M3846" s="25" t="n">
        <f aca="false">IF(COUNT(G3817:G3846)&lt;20,"",_xlfn.STDEV.S(G3817:G3846)*SQRT($R$3))</f>
        <v>0.302850175981238</v>
      </c>
      <c r="N3846" s="25" t="n">
        <f aca="false">IF(A3846-7&lt;$R$2,"",C3846/INDEX(Clean_Data!$C$2:$C$4314,MATCH(A3846-7,Clean_Data!$A$2:$A$4314,1))-1)</f>
        <v>0.0664867048246876</v>
      </c>
      <c r="O3846" s="25" t="n">
        <f aca="false">IF(A3846-30&lt;$R$2,"",C3846/INDEX(Clean_Data!$C$2:$C$4314,MATCH(A3846-30,Clean_Data!$A$2:$A$4314,1))-1)</f>
        <v>0.110696545116308</v>
      </c>
    </row>
    <row r="3847" customFormat="false" ht="15" hidden="false" customHeight="false" outlineLevel="0" collapsed="false">
      <c r="A3847" s="16" t="n">
        <v>45854</v>
      </c>
      <c r="B3847" s="23" t="n">
        <f aca="false">YEAR(A3847)</f>
        <v>2025</v>
      </c>
      <c r="C3847" s="17" t="n">
        <v>119273.69</v>
      </c>
      <c r="D3847" s="23" t="n">
        <f aca="false">A3847-A3846</f>
        <v>1</v>
      </c>
      <c r="E3847" s="24" t="n">
        <f aca="false">LN(C3847)</f>
        <v>11.6891760473016</v>
      </c>
      <c r="F3847" s="25" t="n">
        <f aca="false">LN(C3847/C3846)</f>
        <v>0.00497581728415871</v>
      </c>
      <c r="G3847" s="25" t="n">
        <f aca="false">IF(AND(D3847=1,A3847&gt;=$R$2),F3847,"")</f>
        <v>0.00497581728415871</v>
      </c>
      <c r="H3847" s="27" t="n">
        <f aca="false">IF(G3847="","",G3847^2)</f>
        <v>2.47587576453326E-005</v>
      </c>
      <c r="I3847" s="25" t="n">
        <f aca="false">IF(G3847="","",C3847/C3846-1)</f>
        <v>0.00498821722105736</v>
      </c>
      <c r="J3847" s="17" t="n">
        <f aca="false">AVERAGE(C3648:C3847)</f>
        <v>97488.74915</v>
      </c>
      <c r="K3847" s="17" t="n">
        <f aca="false">MAX(K3846,C3847)</f>
        <v>119863.71</v>
      </c>
      <c r="L3847" s="25" t="n">
        <f aca="false">C3847/K3847-1</f>
        <v>-0.00492242397636455</v>
      </c>
      <c r="M3847" s="25" t="n">
        <f aca="false">IF(COUNT(G3818:G3847)&lt;20,"",_xlfn.STDEV.S(G3818:G3847)*SQRT($R$3))</f>
        <v>0.289217800082069</v>
      </c>
      <c r="N3847" s="25" t="n">
        <f aca="false">IF(A3847-7&lt;$R$2,"",C3847/INDEX(Clean_Data!$C$2:$C$4314,MATCH(A3847-7,Clean_Data!$A$2:$A$4314,1))-1)</f>
        <v>0.0279440978425649</v>
      </c>
      <c r="O3847" s="25" t="n">
        <f aca="false">IF(A3847-30&lt;$R$2,"",C3847/INDEX(Clean_Data!$C$2:$C$4314,MATCH(A3847-30,Clean_Data!$A$2:$A$4314,1))-1)</f>
        <v>0.140388069884781</v>
      </c>
    </row>
    <row r="3848" customFormat="false" ht="15" hidden="false" customHeight="false" outlineLevel="0" collapsed="false">
      <c r="A3848" s="16" t="n">
        <v>45855</v>
      </c>
      <c r="B3848" s="23" t="n">
        <f aca="false">YEAR(A3848)</f>
        <v>2025</v>
      </c>
      <c r="C3848" s="17" t="n">
        <v>118023.05</v>
      </c>
      <c r="D3848" s="23" t="n">
        <f aca="false">A3848-A3847</f>
        <v>1</v>
      </c>
      <c r="E3848" s="24" t="n">
        <f aca="false">LN(C3848)</f>
        <v>11.6786352233547</v>
      </c>
      <c r="F3848" s="25" t="n">
        <f aca="false">LN(C3848/C3847)</f>
        <v>-0.0105408239468891</v>
      </c>
      <c r="G3848" s="25" t="n">
        <f aca="false">IF(AND(D3848=1,A3848&gt;=$R$2),F3848,"")</f>
        <v>-0.0105408239468891</v>
      </c>
      <c r="H3848" s="27" t="n">
        <f aca="false">IF(G3848="","",G3848^2)</f>
        <v>0.000111108969479311</v>
      </c>
      <c r="I3848" s="25" t="n">
        <f aca="false">IF(G3848="","",C3848/C3847-1)</f>
        <v>-0.0104854641455295</v>
      </c>
      <c r="J3848" s="17" t="n">
        <f aca="false">AVERAGE(C3649:C3848)</f>
        <v>97615.76085</v>
      </c>
      <c r="K3848" s="17" t="n">
        <f aca="false">MAX(K3847,C3848)</f>
        <v>119863.71</v>
      </c>
      <c r="L3848" s="25" t="n">
        <f aca="false">C3848/K3848-1</f>
        <v>-0.0153562742217808</v>
      </c>
      <c r="M3848" s="25" t="n">
        <f aca="false">IF(COUNT(G3819:G3848)&lt;20,"",_xlfn.STDEV.S(G3819:G3848)*SQRT($R$3))</f>
        <v>0.293853797874828</v>
      </c>
      <c r="N3848" s="25" t="n">
        <f aca="false">IF(A3848-7&lt;$R$2,"",C3848/INDEX(Clean_Data!$C$2:$C$4314,MATCH(A3848-7,Clean_Data!$A$2:$A$4314,1))-1)</f>
        <v>0.00374963344779511</v>
      </c>
      <c r="O3848" s="25" t="n">
        <f aca="false">IF(A3848-30&lt;$R$2,"",C3848/INDEX(Clean_Data!$C$2:$C$4314,MATCH(A3848-30,Clean_Data!$A$2:$A$4314,1))-1)</f>
        <v>0.124933279702923</v>
      </c>
    </row>
    <row r="3849" customFormat="false" ht="15" hidden="false" customHeight="false" outlineLevel="0" collapsed="false">
      <c r="A3849" s="16" t="n">
        <v>45856</v>
      </c>
      <c r="B3849" s="23" t="n">
        <f aca="false">YEAR(A3849)</f>
        <v>2025</v>
      </c>
      <c r="C3849" s="17" t="n">
        <v>117914.17</v>
      </c>
      <c r="D3849" s="23" t="n">
        <f aca="false">A3849-A3848</f>
        <v>1</v>
      </c>
      <c r="E3849" s="24" t="n">
        <f aca="false">LN(C3849)</f>
        <v>11.6777122659024</v>
      </c>
      <c r="F3849" s="25" t="n">
        <f aca="false">LN(C3849/C3848)</f>
        <v>-0.000922957452233519</v>
      </c>
      <c r="G3849" s="25" t="n">
        <f aca="false">IF(AND(D3849=1,A3849&gt;=$R$2),F3849,"")</f>
        <v>-0.000922957452233519</v>
      </c>
      <c r="H3849" s="27" t="n">
        <f aca="false">IF(G3849="","",G3849^2)</f>
        <v>8.51850458633389E-007</v>
      </c>
      <c r="I3849" s="25" t="n">
        <f aca="false">IF(G3849="","",C3849/C3848-1)</f>
        <v>-0.000922531658010928</v>
      </c>
      <c r="J3849" s="17" t="n">
        <f aca="false">AVERAGE(C3650:C3849)</f>
        <v>97738.5606</v>
      </c>
      <c r="K3849" s="17" t="n">
        <f aca="false">MAX(K3848,C3849)</f>
        <v>119863.71</v>
      </c>
      <c r="L3849" s="25" t="n">
        <f aca="false">C3849/K3849-1</f>
        <v>-0.016264639230673</v>
      </c>
      <c r="M3849" s="25" t="n">
        <f aca="false">IF(COUNT(G3820:G3849)&lt;20,"",_xlfn.STDEV.S(G3820:G3849)*SQRT($R$3))</f>
        <v>0.29351889057724</v>
      </c>
      <c r="N3849" s="25" t="n">
        <f aca="false">IF(A3849-7&lt;$R$2,"",C3849/INDEX(Clean_Data!$C$2:$C$4314,MATCH(A3849-7,Clean_Data!$A$2:$A$4314,1))-1)</f>
        <v>0.00375849187023536</v>
      </c>
      <c r="O3849" s="25" t="n">
        <f aca="false">IF(A3849-30&lt;$R$2,"",C3849/INDEX(Clean_Data!$C$2:$C$4314,MATCH(A3849-30,Clean_Data!$A$2:$A$4314,1))-1)</f>
        <v>0.126512177575835</v>
      </c>
    </row>
    <row r="3850" customFormat="false" ht="15" hidden="false" customHeight="false" outlineLevel="0" collapsed="false">
      <c r="A3850" s="16" t="n">
        <v>45857</v>
      </c>
      <c r="B3850" s="23" t="n">
        <f aca="false">YEAR(A3850)</f>
        <v>2025</v>
      </c>
      <c r="C3850" s="17" t="n">
        <v>117312.7</v>
      </c>
      <c r="D3850" s="23" t="n">
        <f aca="false">A3850-A3849</f>
        <v>1</v>
      </c>
      <c r="E3850" s="24" t="n">
        <f aca="false">LN(C3850)</f>
        <v>11.6725982981756</v>
      </c>
      <c r="F3850" s="25" t="n">
        <f aca="false">LN(C3850/C3849)</f>
        <v>-0.0051139677268709</v>
      </c>
      <c r="G3850" s="25" t="n">
        <f aca="false">IF(AND(D3850=1,A3850&gt;=$R$2),F3850,"")</f>
        <v>-0.0051139677268709</v>
      </c>
      <c r="H3850" s="27" t="n">
        <f aca="false">IF(G3850="","",G3850^2)</f>
        <v>2.61526659114771E-005</v>
      </c>
      <c r="I3850" s="25" t="n">
        <f aca="false">IF(G3850="","",C3850/C3849-1)</f>
        <v>-0.00510091365609411</v>
      </c>
      <c r="J3850" s="17" t="n">
        <f aca="false">AVERAGE(C3651:C3850)</f>
        <v>97853.20615</v>
      </c>
      <c r="K3850" s="17" t="n">
        <f aca="false">MAX(K3849,C3850)</f>
        <v>119863.71</v>
      </c>
      <c r="L3850" s="25" t="n">
        <f aca="false">C3850/K3850-1</f>
        <v>-0.0212825883664038</v>
      </c>
      <c r="M3850" s="25" t="n">
        <f aca="false">IF(COUNT(G3821:G3850)&lt;20,"",_xlfn.STDEV.S(G3821:G3850)*SQRT($R$3))</f>
        <v>0.28901895526884</v>
      </c>
      <c r="N3850" s="25" t="n">
        <f aca="false">IF(A3850-7&lt;$R$2,"",C3850/INDEX(Clean_Data!$C$2:$C$4314,MATCH(A3850-7,Clean_Data!$A$2:$A$4314,1))-1)</f>
        <v>-0.0152614592312433</v>
      </c>
      <c r="O3850" s="25" t="n">
        <f aca="false">IF(A3850-30&lt;$R$2,"",C3850/INDEX(Clean_Data!$C$2:$C$4314,MATCH(A3850-30,Clean_Data!$A$2:$A$4314,1))-1)</f>
        <v>0.135454878055862</v>
      </c>
    </row>
    <row r="3851" customFormat="false" ht="15" hidden="false" customHeight="false" outlineLevel="0" collapsed="false">
      <c r="A3851" s="16" t="n">
        <v>45858</v>
      </c>
      <c r="B3851" s="23" t="n">
        <f aca="false">YEAR(A3851)</f>
        <v>2025</v>
      </c>
      <c r="C3851" s="17" t="n">
        <v>117428.79</v>
      </c>
      <c r="D3851" s="23" t="n">
        <f aca="false">A3851-A3850</f>
        <v>1</v>
      </c>
      <c r="E3851" s="24" t="n">
        <f aca="false">LN(C3851)</f>
        <v>11.6735873862951</v>
      </c>
      <c r="F3851" s="25" t="n">
        <f aca="false">LN(C3851/C3850)</f>
        <v>0.000989088119566611</v>
      </c>
      <c r="G3851" s="25" t="n">
        <f aca="false">IF(AND(D3851=1,A3851&gt;=$R$2),F3851,"")</f>
        <v>0.000989088119566611</v>
      </c>
      <c r="H3851" s="27" t="n">
        <f aca="false">IF(G3851="","",G3851^2)</f>
        <v>9.78295308267814E-007</v>
      </c>
      <c r="I3851" s="25" t="n">
        <f aca="false">IF(G3851="","",C3851/C3850-1)</f>
        <v>0.000989577428530675</v>
      </c>
      <c r="J3851" s="17" t="n">
        <f aca="false">AVERAGE(C3652:C3851)</f>
        <v>97955.83415</v>
      </c>
      <c r="K3851" s="17" t="n">
        <f aca="false">MAX(K3850,C3851)</f>
        <v>119863.71</v>
      </c>
      <c r="L3851" s="25" t="n">
        <f aca="false">C3851/K3851-1</f>
        <v>-0.0203140717069412</v>
      </c>
      <c r="M3851" s="25" t="n">
        <f aca="false">IF(COUNT(G3822:G3851)&lt;20,"",_xlfn.STDEV.S(G3822:G3851)*SQRT($R$3))</f>
        <v>0.28385952504459</v>
      </c>
      <c r="N3851" s="25" t="n">
        <f aca="false">IF(A3851-7&lt;$R$2,"",C3851/INDEX(Clean_Data!$C$2:$C$4314,MATCH(A3851-7,Clean_Data!$A$2:$A$4314,1))-1)</f>
        <v>-0.0203140717069412</v>
      </c>
      <c r="O3851" s="25" t="n">
        <f aca="false">IF(A3851-30&lt;$R$2,"",C3851/INDEX(Clean_Data!$C$2:$C$4314,MATCH(A3851-30,Clean_Data!$A$2:$A$4314,1))-1)</f>
        <v>0.14945923567172</v>
      </c>
    </row>
    <row r="3852" customFormat="false" ht="15" hidden="false" customHeight="false" outlineLevel="0" collapsed="false">
      <c r="A3852" s="16" t="n">
        <v>45859</v>
      </c>
      <c r="B3852" s="23" t="n">
        <f aca="false">YEAR(A3852)</f>
        <v>2025</v>
      </c>
      <c r="C3852" s="17" t="n">
        <v>120026.42</v>
      </c>
      <c r="D3852" s="23" t="n">
        <f aca="false">A3852-A3851</f>
        <v>1</v>
      </c>
      <c r="E3852" s="24" t="n">
        <f aca="false">LN(C3852)</f>
        <v>11.6954671641977</v>
      </c>
      <c r="F3852" s="25" t="n">
        <f aca="false">LN(C3852/C3851)</f>
        <v>0.021879777902586</v>
      </c>
      <c r="G3852" s="25" t="n">
        <f aca="false">IF(AND(D3852=1,A3852&gt;=$R$2),F3852,"")</f>
        <v>0.021879777902586</v>
      </c>
      <c r="H3852" s="27" t="n">
        <f aca="false">IF(G3852="","",G3852^2)</f>
        <v>0.00047872468106649</v>
      </c>
      <c r="I3852" s="25" t="n">
        <f aca="false">IF(G3852="","",C3852/C3851-1)</f>
        <v>0.0221208955657297</v>
      </c>
      <c r="J3852" s="17" t="n">
        <f aca="false">AVERAGE(C3653:C3852)</f>
        <v>98065.2837</v>
      </c>
      <c r="K3852" s="17" t="n">
        <f aca="false">MAX(K3851,C3852)</f>
        <v>120026.42</v>
      </c>
      <c r="L3852" s="25" t="n">
        <f aca="false">C3852/K3852-1</f>
        <v>0</v>
      </c>
      <c r="M3852" s="25" t="n">
        <f aca="false">IF(COUNT(G3823:G3852)&lt;20,"",_xlfn.STDEV.S(G3823:G3852)*SQRT($R$3))</f>
        <v>0.283882923771251</v>
      </c>
      <c r="N3852" s="25" t="n">
        <f aca="false">IF(A3852-7&lt;$R$2,"",C3852/INDEX(Clean_Data!$C$2:$C$4314,MATCH(A3852-7,Clean_Data!$A$2:$A$4314,1))-1)</f>
        <v>0.0190588278444757</v>
      </c>
      <c r="O3852" s="25" t="n">
        <f aca="false">IF(A3852-30&lt;$R$2,"",C3852/INDEX(Clean_Data!$C$2:$C$4314,MATCH(A3852-30,Clean_Data!$A$2:$A$4314,1))-1)</f>
        <v>0.188417225207078</v>
      </c>
    </row>
    <row r="3853" customFormat="false" ht="15" hidden="false" customHeight="false" outlineLevel="0" collapsed="false">
      <c r="A3853" s="16" t="n">
        <v>45860</v>
      </c>
      <c r="B3853" s="23" t="n">
        <f aca="false">YEAR(A3853)</f>
        <v>2025</v>
      </c>
      <c r="C3853" s="17" t="n">
        <v>118810.44</v>
      </c>
      <c r="D3853" s="23" t="n">
        <f aca="false">A3853-A3852</f>
        <v>1</v>
      </c>
      <c r="E3853" s="24" t="n">
        <f aca="false">LN(C3853)</f>
        <v>11.6852845608374</v>
      </c>
      <c r="F3853" s="25" t="n">
        <f aca="false">LN(C3853/C3852)</f>
        <v>-0.01018260336028</v>
      </c>
      <c r="G3853" s="25" t="n">
        <f aca="false">IF(AND(D3853=1,A3853&gt;=$R$2),F3853,"")</f>
        <v>-0.01018260336028</v>
      </c>
      <c r="H3853" s="27" t="n">
        <f aca="false">IF(G3853="","",G3853^2)</f>
        <v>0.000103685411192786</v>
      </c>
      <c r="I3853" s="25" t="n">
        <f aca="false">IF(G3853="","",C3853/C3852-1)</f>
        <v>-0.0101309361722194</v>
      </c>
      <c r="J3853" s="17" t="n">
        <f aca="false">AVERAGE(C3654:C3853)</f>
        <v>98168.28665</v>
      </c>
      <c r="K3853" s="17" t="n">
        <f aca="false">MAX(K3852,C3853)</f>
        <v>120026.42</v>
      </c>
      <c r="L3853" s="25" t="n">
        <f aca="false">C3853/K3853-1</f>
        <v>-0.0101309361722194</v>
      </c>
      <c r="M3853" s="25" t="n">
        <f aca="false">IF(COUNT(G3824:G3853)&lt;20,"",_xlfn.STDEV.S(G3824:G3853)*SQRT($R$3))</f>
        <v>0.255498169628064</v>
      </c>
      <c r="N3853" s="25" t="n">
        <f aca="false">IF(A3853-7&lt;$R$2,"",C3853/INDEX(Clean_Data!$C$2:$C$4314,MATCH(A3853-7,Clean_Data!$A$2:$A$4314,1))-1)</f>
        <v>0.001084918919247</v>
      </c>
      <c r="O3853" s="25" t="n">
        <f aca="false">IF(A3853-30&lt;$R$2,"",C3853/INDEX(Clean_Data!$C$2:$C$4314,MATCH(A3853-30,Clean_Data!$A$2:$A$4314,1))-1)</f>
        <v>0.127026441720067</v>
      </c>
    </row>
    <row r="3854" customFormat="false" ht="15" hidden="false" customHeight="false" outlineLevel="0" collapsed="false">
      <c r="A3854" s="16" t="n">
        <v>45861</v>
      </c>
      <c r="B3854" s="23" t="n">
        <f aca="false">YEAR(A3854)</f>
        <v>2025</v>
      </c>
      <c r="C3854" s="17" t="n">
        <v>118397.04</v>
      </c>
      <c r="D3854" s="23" t="n">
        <f aca="false">A3854-A3853</f>
        <v>1</v>
      </c>
      <c r="E3854" s="24" t="n">
        <f aca="false">LN(C3854)</f>
        <v>11.6817990011195</v>
      </c>
      <c r="F3854" s="25" t="n">
        <f aca="false">LN(C3854/C3853)</f>
        <v>-0.00348555971790886</v>
      </c>
      <c r="G3854" s="25" t="n">
        <f aca="false">IF(AND(D3854=1,A3854&gt;=$R$2),F3854,"")</f>
        <v>-0.00348555971790886</v>
      </c>
      <c r="H3854" s="27" t="n">
        <f aca="false">IF(G3854="","",G3854^2)</f>
        <v>1.21491265471089E-005</v>
      </c>
      <c r="I3854" s="25" t="n">
        <f aca="false">IF(G3854="","",C3854/C3853-1)</f>
        <v>-0.00347949220624055</v>
      </c>
      <c r="J3854" s="17" t="n">
        <f aca="false">AVERAGE(C3655:C3854)</f>
        <v>98268.5452</v>
      </c>
      <c r="K3854" s="17" t="n">
        <f aca="false">MAX(K3853,C3854)</f>
        <v>120026.42</v>
      </c>
      <c r="L3854" s="25" t="n">
        <f aca="false">C3854/K3854-1</f>
        <v>-0.0135751778650067</v>
      </c>
      <c r="M3854" s="25" t="n">
        <f aca="false">IF(COUNT(G3825:G3854)&lt;20,"",_xlfn.STDEV.S(G3825:G3854)*SQRT($R$3))</f>
        <v>0.256585587983012</v>
      </c>
      <c r="N3854" s="25" t="n">
        <f aca="false">IF(A3854-7&lt;$R$2,"",C3854/INDEX(Clean_Data!$C$2:$C$4314,MATCH(A3854-7,Clean_Data!$A$2:$A$4314,1))-1)</f>
        <v>-0.0073499025644298</v>
      </c>
      <c r="O3854" s="25" t="n">
        <f aca="false">IF(A3854-30&lt;$R$2,"",C3854/INDEX(Clean_Data!$C$2:$C$4314,MATCH(A3854-30,Clean_Data!$A$2:$A$4314,1))-1)</f>
        <v>0.115469422748985</v>
      </c>
    </row>
    <row r="3855" customFormat="false" ht="15" hidden="false" customHeight="false" outlineLevel="0" collapsed="false">
      <c r="A3855" s="16" t="n">
        <v>45862</v>
      </c>
      <c r="B3855" s="23" t="n">
        <f aca="false">YEAR(A3855)</f>
        <v>2025</v>
      </c>
      <c r="C3855" s="17" t="n">
        <v>117633.27</v>
      </c>
      <c r="D3855" s="23" t="n">
        <f aca="false">A3855-A3854</f>
        <v>1</v>
      </c>
      <c r="E3855" s="24" t="n">
        <f aca="false">LN(C3855)</f>
        <v>11.675327182599</v>
      </c>
      <c r="F3855" s="25" t="n">
        <f aca="false">LN(C3855/C3854)</f>
        <v>-0.00647181852057649</v>
      </c>
      <c r="G3855" s="25" t="n">
        <f aca="false">IF(AND(D3855=1,A3855&gt;=$R$2),F3855,"")</f>
        <v>-0.00647181852057649</v>
      </c>
      <c r="H3855" s="27" t="n">
        <f aca="false">IF(G3855="","",G3855^2)</f>
        <v>4.18844349632769E-005</v>
      </c>
      <c r="I3855" s="25" t="n">
        <f aca="false">IF(G3855="","",C3855/C3854-1)</f>
        <v>-0.00645092140817027</v>
      </c>
      <c r="J3855" s="17" t="n">
        <f aca="false">AVERAGE(C3656:C3855)</f>
        <v>98345.3145</v>
      </c>
      <c r="K3855" s="17" t="n">
        <f aca="false">MAX(K3854,C3855)</f>
        <v>120026.42</v>
      </c>
      <c r="L3855" s="25" t="n">
        <f aca="false">C3855/K3855-1</f>
        <v>-0.019938526867668</v>
      </c>
      <c r="M3855" s="25" t="n">
        <f aca="false">IF(COUNT(G3826:G3855)&lt;20,"",_xlfn.STDEV.S(G3826:G3855)*SQRT($R$3))</f>
        <v>0.257191518929223</v>
      </c>
      <c r="N3855" s="25" t="n">
        <f aca="false">IF(A3855-7&lt;$R$2,"",C3855/INDEX(Clean_Data!$C$2:$C$4314,MATCH(A3855-7,Clean_Data!$A$2:$A$4314,1))-1)</f>
        <v>-0.0033025752172986</v>
      </c>
      <c r="O3855" s="25" t="n">
        <f aca="false">IF(A3855-30&lt;$R$2,"",C3855/INDEX(Clean_Data!$C$2:$C$4314,MATCH(A3855-30,Clean_Data!$A$2:$A$4314,1))-1)</f>
        <v>0.095279599985922</v>
      </c>
    </row>
    <row r="3856" customFormat="false" ht="15" hidden="false" customHeight="false" outlineLevel="0" collapsed="false">
      <c r="A3856" s="16" t="n">
        <v>45863</v>
      </c>
      <c r="B3856" s="23" t="n">
        <f aca="false">YEAR(A3856)</f>
        <v>2025</v>
      </c>
      <c r="C3856" s="17" t="n">
        <v>117969.63</v>
      </c>
      <c r="D3856" s="23" t="n">
        <f aca="false">A3856-A3855</f>
        <v>1</v>
      </c>
      <c r="E3856" s="24" t="n">
        <f aca="false">LN(C3856)</f>
        <v>11.6781824974404</v>
      </c>
      <c r="F3856" s="25" t="n">
        <f aca="false">LN(C3856/C3855)</f>
        <v>0.00285531484140124</v>
      </c>
      <c r="G3856" s="25" t="n">
        <f aca="false">IF(AND(D3856=1,A3856&gt;=$R$2),F3856,"")</f>
        <v>0.00285531484140124</v>
      </c>
      <c r="H3856" s="27" t="n">
        <f aca="false">IF(G3856="","",G3856^2)</f>
        <v>8.15282284352619E-006</v>
      </c>
      <c r="I3856" s="25" t="n">
        <f aca="false">IF(G3856="","",C3856/C3855-1)</f>
        <v>0.00285939513540678</v>
      </c>
      <c r="J3856" s="17" t="n">
        <f aca="false">AVERAGE(C3657:C3856)</f>
        <v>98450.45275</v>
      </c>
      <c r="K3856" s="17" t="n">
        <f aca="false">MAX(K3855,C3856)</f>
        <v>120026.42</v>
      </c>
      <c r="L3856" s="25" t="n">
        <f aca="false">C3856/K3856-1</f>
        <v>-0.0171361438589936</v>
      </c>
      <c r="M3856" s="25" t="n">
        <f aca="false">IF(COUNT(G3827:G3856)&lt;20,"",_xlfn.STDEV.S(G3827:G3856)*SQRT($R$3))</f>
        <v>0.256126957884248</v>
      </c>
      <c r="N3856" s="25" t="n">
        <f aca="false">IF(A3856-7&lt;$R$2,"",C3856/INDEX(Clean_Data!$C$2:$C$4314,MATCH(A3856-7,Clean_Data!$A$2:$A$4314,1))-1)</f>
        <v>0.000470342114098798</v>
      </c>
      <c r="O3856" s="25" t="n">
        <f aca="false">IF(A3856-30&lt;$R$2,"",C3856/INDEX(Clean_Data!$C$2:$C$4314,MATCH(A3856-30,Clean_Data!$A$2:$A$4314,1))-1)</f>
        <v>0.102214582801549</v>
      </c>
    </row>
    <row r="3857" customFormat="false" ht="15" hidden="false" customHeight="false" outlineLevel="0" collapsed="false">
      <c r="A3857" s="16" t="n">
        <v>45864</v>
      </c>
      <c r="B3857" s="23" t="n">
        <f aca="false">YEAR(A3857)</f>
        <v>2025</v>
      </c>
      <c r="C3857" s="17" t="n">
        <v>119465.52</v>
      </c>
      <c r="D3857" s="23" t="n">
        <f aca="false">A3857-A3856</f>
        <v>1</v>
      </c>
      <c r="E3857" s="24" t="n">
        <f aca="false">LN(C3857)</f>
        <v>11.6907830731545</v>
      </c>
      <c r="F3857" s="25" t="n">
        <f aca="false">LN(C3857/C3856)</f>
        <v>0.012600575714092</v>
      </c>
      <c r="G3857" s="25" t="n">
        <f aca="false">IF(AND(D3857=1,A3857&gt;=$R$2),F3857,"")</f>
        <v>0.012600575714092</v>
      </c>
      <c r="H3857" s="27" t="n">
        <f aca="false">IF(G3857="","",G3857^2)</f>
        <v>0.000158774508326565</v>
      </c>
      <c r="I3857" s="25" t="n">
        <f aca="false">IF(G3857="","",C3857/C3856-1)</f>
        <v>0.0126802974629996</v>
      </c>
      <c r="J3857" s="17" t="n">
        <f aca="false">AVERAGE(C3658:C3857)</f>
        <v>98572.5972</v>
      </c>
      <c r="K3857" s="17" t="n">
        <f aca="false">MAX(K3856,C3857)</f>
        <v>120026.42</v>
      </c>
      <c r="L3857" s="25" t="n">
        <f aca="false">C3857/K3857-1</f>
        <v>-0.0046731377974949</v>
      </c>
      <c r="M3857" s="25" t="n">
        <f aca="false">IF(COUNT(G3828:G3857)&lt;20,"",_xlfn.STDEV.S(G3828:G3857)*SQRT($R$3))</f>
        <v>0.258007724240333</v>
      </c>
      <c r="N3857" s="25" t="n">
        <f aca="false">IF(A3857-7&lt;$R$2,"",C3857/INDEX(Clean_Data!$C$2:$C$4314,MATCH(A3857-7,Clean_Data!$A$2:$A$4314,1))-1)</f>
        <v>0.0183511248142785</v>
      </c>
      <c r="O3857" s="25" t="n">
        <f aca="false">IF(A3857-30&lt;$R$2,"",C3857/INDEX(Clean_Data!$C$2:$C$4314,MATCH(A3857-30,Clean_Data!$A$2:$A$4314,1))-1)</f>
        <v>0.115318366388961</v>
      </c>
    </row>
    <row r="3858" customFormat="false" ht="15" hidden="false" customHeight="false" outlineLevel="0" collapsed="false">
      <c r="A3858" s="16" t="n">
        <v>45865</v>
      </c>
      <c r="B3858" s="23" t="n">
        <f aca="false">YEAR(A3858)</f>
        <v>2025</v>
      </c>
      <c r="C3858" s="17" t="n">
        <v>118070.59</v>
      </c>
      <c r="D3858" s="23" t="n">
        <f aca="false">A3858-A3857</f>
        <v>1</v>
      </c>
      <c r="E3858" s="24" t="n">
        <f aca="false">LN(C3858)</f>
        <v>11.6790379449243</v>
      </c>
      <c r="F3858" s="25" t="n">
        <f aca="false">LN(C3858/C3857)</f>
        <v>-0.0117451282301268</v>
      </c>
      <c r="G3858" s="25" t="n">
        <f aca="false">IF(AND(D3858=1,A3858&gt;=$R$2),F3858,"")</f>
        <v>-0.0117451282301268</v>
      </c>
      <c r="H3858" s="27" t="n">
        <f aca="false">IF(G3858="","",G3858^2)</f>
        <v>0.000137948037142122</v>
      </c>
      <c r="I3858" s="25" t="n">
        <f aca="false">IF(G3858="","",C3858/C3857-1)</f>
        <v>-0.011676423456743</v>
      </c>
      <c r="J3858" s="17" t="n">
        <f aca="false">AVERAGE(C3659:C3858)</f>
        <v>98700.21295</v>
      </c>
      <c r="K3858" s="17" t="n">
        <f aca="false">MAX(K3857,C3858)</f>
        <v>120026.42</v>
      </c>
      <c r="L3858" s="25" t="n">
        <f aca="false">C3858/K3858-1</f>
        <v>-0.0162949957184426</v>
      </c>
      <c r="M3858" s="25" t="n">
        <f aca="false">IF(COUNT(G3829:G3858)&lt;20,"",_xlfn.STDEV.S(G3829:G3858)*SQRT($R$3))</f>
        <v>0.263513632254418</v>
      </c>
      <c r="N3858" s="25" t="n">
        <f aca="false">IF(A3858-7&lt;$R$2,"",C3858/INDEX(Clean_Data!$C$2:$C$4314,MATCH(A3858-7,Clean_Data!$A$2:$A$4314,1))-1)</f>
        <v>0.00546543994875526</v>
      </c>
      <c r="O3858" s="25" t="n">
        <f aca="false">IF(A3858-30&lt;$R$2,"",C3858/INDEX(Clean_Data!$C$2:$C$4314,MATCH(A3858-30,Clean_Data!$A$2:$A$4314,1))-1)</f>
        <v>0.0998432263148776</v>
      </c>
    </row>
    <row r="3859" customFormat="false" ht="15" hidden="false" customHeight="false" outlineLevel="0" collapsed="false">
      <c r="A3859" s="16" t="n">
        <v>45866</v>
      </c>
      <c r="B3859" s="23" t="n">
        <f aca="false">YEAR(A3859)</f>
        <v>2025</v>
      </c>
      <c r="C3859" s="17" t="n">
        <v>117933.39</v>
      </c>
      <c r="D3859" s="23" t="n">
        <f aca="false">A3859-A3858</f>
        <v>1</v>
      </c>
      <c r="E3859" s="24" t="n">
        <f aca="false">LN(C3859)</f>
        <v>11.6778752525371</v>
      </c>
      <c r="F3859" s="25" t="n">
        <f aca="false">LN(C3859/C3858)</f>
        <v>-0.00116269238727401</v>
      </c>
      <c r="G3859" s="25" t="n">
        <f aca="false">IF(AND(D3859=1,A3859&gt;=$R$2),F3859,"")</f>
        <v>-0.00116269238727401</v>
      </c>
      <c r="H3859" s="27" t="n">
        <f aca="false">IF(G3859="","",G3859^2)</f>
        <v>1.35185358742495E-006</v>
      </c>
      <c r="I3859" s="25" t="n">
        <f aca="false">IF(G3859="","",C3859/C3858-1)</f>
        <v>-0.00116201672236915</v>
      </c>
      <c r="J3859" s="17" t="n">
        <f aca="false">AVERAGE(C3660:C3859)</f>
        <v>98816.374</v>
      </c>
      <c r="K3859" s="17" t="n">
        <f aca="false">MAX(K3858,C3859)</f>
        <v>120026.42</v>
      </c>
      <c r="L3859" s="25" t="n">
        <f aca="false">C3859/K3859-1</f>
        <v>-0.0174380773832961</v>
      </c>
      <c r="M3859" s="25" t="n">
        <f aca="false">IF(COUNT(G3830:G3859)&lt;20,"",_xlfn.STDEV.S(G3830:G3859)*SQRT($R$3))</f>
        <v>0.262886660546425</v>
      </c>
      <c r="N3859" s="25" t="n">
        <f aca="false">IF(A3859-7&lt;$R$2,"",C3859/INDEX(Clean_Data!$C$2:$C$4314,MATCH(A3859-7,Clean_Data!$A$2:$A$4314,1))-1)</f>
        <v>-0.0174380773832961</v>
      </c>
      <c r="O3859" s="25" t="n">
        <f aca="false">IF(A3859-30&lt;$R$2,"",C3859/INDEX(Clean_Data!$C$2:$C$4314,MATCH(A3859-30,Clean_Data!$A$2:$A$4314,1))-1)</f>
        <v>0.0880825129047509</v>
      </c>
    </row>
    <row r="3860" customFormat="false" ht="15" hidden="false" customHeight="false" outlineLevel="0" collapsed="false">
      <c r="A3860" s="16" t="n">
        <v>45867</v>
      </c>
      <c r="B3860" s="23" t="n">
        <f aca="false">YEAR(A3860)</f>
        <v>2025</v>
      </c>
      <c r="C3860" s="17" t="n">
        <v>117830.15</v>
      </c>
      <c r="D3860" s="23" t="n">
        <f aca="false">A3860-A3859</f>
        <v>1</v>
      </c>
      <c r="E3860" s="24" t="n">
        <f aca="false">LN(C3860)</f>
        <v>11.676999459727</v>
      </c>
      <c r="F3860" s="25" t="n">
        <f aca="false">LN(C3860/C3859)</f>
        <v>-0.00087579281002376</v>
      </c>
      <c r="G3860" s="25" t="n">
        <f aca="false">IF(AND(D3860=1,A3860&gt;=$R$2),F3860,"")</f>
        <v>-0.00087579281002376</v>
      </c>
      <c r="H3860" s="27" t="n">
        <f aca="false">IF(G3860="","",G3860^2)</f>
        <v>7.67013046089314E-007</v>
      </c>
      <c r="I3860" s="25" t="n">
        <f aca="false">IF(G3860="","",C3860/C3859-1)</f>
        <v>-0.000875409415433626</v>
      </c>
      <c r="J3860" s="17" t="n">
        <f aca="false">AVERAGE(C3661:C3860)</f>
        <v>98932.69965</v>
      </c>
      <c r="K3860" s="17" t="n">
        <f aca="false">MAX(K3859,C3860)</f>
        <v>120026.42</v>
      </c>
      <c r="L3860" s="25" t="n">
        <f aca="false">C3860/K3860-1</f>
        <v>-0.0182982213416013</v>
      </c>
      <c r="M3860" s="25" t="n">
        <f aca="false">IF(COUNT(G3831:G3860)&lt;20,"",_xlfn.STDEV.S(G3831:G3860)*SQRT($R$3))</f>
        <v>0.258348021341055</v>
      </c>
      <c r="N3860" s="25" t="n">
        <f aca="false">IF(A3860-7&lt;$R$2,"",C3860/INDEX(Clean_Data!$C$2:$C$4314,MATCH(A3860-7,Clean_Data!$A$2:$A$4314,1))-1)</f>
        <v>-0.00825087424977133</v>
      </c>
      <c r="O3860" s="25" t="n">
        <f aca="false">IF(A3860-30&lt;$R$2,"",C3860/INDEX(Clean_Data!$C$2:$C$4314,MATCH(A3860-30,Clean_Data!$A$2:$A$4314,1))-1)</f>
        <v>0.0994366036064422</v>
      </c>
    </row>
    <row r="3861" customFormat="false" ht="15" hidden="false" customHeight="false" outlineLevel="0" collapsed="false">
      <c r="A3861" s="16" t="n">
        <v>45868</v>
      </c>
      <c r="B3861" s="23" t="n">
        <f aca="false">YEAR(A3861)</f>
        <v>2025</v>
      </c>
      <c r="C3861" s="17" t="n">
        <v>115761.13</v>
      </c>
      <c r="D3861" s="23" t="n">
        <f aca="false">A3861-A3860</f>
        <v>1</v>
      </c>
      <c r="E3861" s="24" t="n">
        <f aca="false">LN(C3861)</f>
        <v>11.6592841228334</v>
      </c>
      <c r="F3861" s="25" t="n">
        <f aca="false">LN(C3861/C3860)</f>
        <v>-0.0177153368936339</v>
      </c>
      <c r="G3861" s="25" t="n">
        <f aca="false">IF(AND(D3861=1,A3861&gt;=$R$2),F3861,"")</f>
        <v>-0.0177153368936339</v>
      </c>
      <c r="H3861" s="27" t="n">
        <f aca="false">IF(G3861="","",G3861^2)</f>
        <v>0.000313833161254945</v>
      </c>
      <c r="I3861" s="25" t="n">
        <f aca="false">IF(G3861="","",C3861/C3860-1)</f>
        <v>-0.0175593428337314</v>
      </c>
      <c r="J3861" s="17" t="n">
        <f aca="false">AVERAGE(C3662:C3861)</f>
        <v>99038.9572</v>
      </c>
      <c r="K3861" s="17" t="n">
        <f aca="false">MAX(K3860,C3861)</f>
        <v>120026.42</v>
      </c>
      <c r="L3861" s="25" t="n">
        <f aca="false">C3861/K3861-1</f>
        <v>-0.035536259433548</v>
      </c>
      <c r="M3861" s="25" t="n">
        <f aca="false">IF(COUNT(G3832:G3861)&lt;20,"",_xlfn.STDEV.S(G3832:G3861)*SQRT($R$3))</f>
        <v>0.261975874960744</v>
      </c>
      <c r="N3861" s="25" t="n">
        <f aca="false">IF(A3861-7&lt;$R$2,"",C3861/INDEX(Clean_Data!$C$2:$C$4314,MATCH(A3861-7,Clean_Data!$A$2:$A$4314,1))-1)</f>
        <v>-0.0222633099611274</v>
      </c>
      <c r="O3861" s="25" t="n">
        <f aca="false">IF(A3861-30&lt;$R$2,"",C3861/INDEX(Clean_Data!$C$2:$C$4314,MATCH(A3861-30,Clean_Data!$A$2:$A$4314,1))-1)</f>
        <v>0.0950636721848785</v>
      </c>
    </row>
    <row r="3862" customFormat="false" ht="15" hidden="false" customHeight="false" outlineLevel="0" collapsed="false">
      <c r="A3862" s="16" t="n">
        <v>45869</v>
      </c>
      <c r="B3862" s="23" t="n">
        <f aca="false">YEAR(A3862)</f>
        <v>2025</v>
      </c>
      <c r="C3862" s="17" t="n">
        <v>113248.73</v>
      </c>
      <c r="D3862" s="23" t="n">
        <f aca="false">A3862-A3861</f>
        <v>1</v>
      </c>
      <c r="E3862" s="24" t="n">
        <f aca="false">LN(C3862)</f>
        <v>11.6373418291544</v>
      </c>
      <c r="F3862" s="25" t="n">
        <f aca="false">LN(C3862/C3861)</f>
        <v>-0.0219422936790291</v>
      </c>
      <c r="G3862" s="25" t="n">
        <f aca="false">IF(AND(D3862=1,A3862&gt;=$R$2),F3862,"")</f>
        <v>-0.0219422936790291</v>
      </c>
      <c r="H3862" s="27" t="n">
        <f aca="false">IF(G3862="","",G3862^2)</f>
        <v>0.000481464251896761</v>
      </c>
      <c r="I3862" s="25" t="n">
        <f aca="false">IF(G3862="","",C3862/C3861-1)</f>
        <v>-0.0217033126749886</v>
      </c>
      <c r="J3862" s="17" t="n">
        <f aca="false">AVERAGE(C3663:C3862)</f>
        <v>99132.6686</v>
      </c>
      <c r="K3862" s="17" t="n">
        <f aca="false">MAX(K3861,C3862)</f>
        <v>120026.42</v>
      </c>
      <c r="L3862" s="25" t="n">
        <f aca="false">C3862/K3862-1</f>
        <v>-0.0564683175587508</v>
      </c>
      <c r="M3862" s="25" t="n">
        <f aca="false">IF(COUNT(G3833:G3862)&lt;20,"",_xlfn.STDEV.S(G3833:G3862)*SQRT($R$3))</f>
        <v>0.257821586396887</v>
      </c>
      <c r="N3862" s="25" t="n">
        <f aca="false">IF(A3862-7&lt;$R$2,"",C3862/INDEX(Clean_Data!$C$2:$C$4314,MATCH(A3862-7,Clean_Data!$A$2:$A$4314,1))-1)</f>
        <v>-0.0372729585771101</v>
      </c>
      <c r="O3862" s="25" t="n">
        <f aca="false">IF(A3862-30&lt;$R$2,"",C3862/INDEX(Clean_Data!$C$2:$C$4314,MATCH(A3862-30,Clean_Data!$A$2:$A$4314,1))-1)</f>
        <v>0.040044790846254</v>
      </c>
    </row>
    <row r="3863" customFormat="false" ht="15" hidden="false" customHeight="false" outlineLevel="0" collapsed="false">
      <c r="A3863" s="16" t="n">
        <v>45870</v>
      </c>
      <c r="B3863" s="23" t="n">
        <f aca="false">YEAR(A3863)</f>
        <v>2025</v>
      </c>
      <c r="C3863" s="17" t="n">
        <v>112542.74</v>
      </c>
      <c r="D3863" s="23" t="n">
        <f aca="false">A3863-A3862</f>
        <v>1</v>
      </c>
      <c r="E3863" s="24" t="n">
        <f aca="false">LN(C3863)</f>
        <v>11.6310883395898</v>
      </c>
      <c r="F3863" s="25" t="n">
        <f aca="false">LN(C3863/C3862)</f>
        <v>-0.00625348956459685</v>
      </c>
      <c r="G3863" s="25" t="n">
        <f aca="false">IF(AND(D3863=1,A3863&gt;=$R$2),F3863,"")</f>
        <v>-0.00625348956459685</v>
      </c>
      <c r="H3863" s="27" t="n">
        <f aca="false">IF(G3863="","",G3863^2)</f>
        <v>3.91061317345217E-005</v>
      </c>
      <c r="I3863" s="25" t="n">
        <f aca="false">IF(G3863="","",C3863/C3862-1)</f>
        <v>-0.00623397719338659</v>
      </c>
      <c r="J3863" s="17" t="n">
        <f aca="false">AVERAGE(C3664:C3863)</f>
        <v>99212.7075</v>
      </c>
      <c r="K3863" s="17" t="n">
        <f aca="false">MAX(K3862,C3863)</f>
        <v>120026.42</v>
      </c>
      <c r="L3863" s="25" t="n">
        <f aca="false">C3863/K3863-1</f>
        <v>-0.0623502725483273</v>
      </c>
      <c r="M3863" s="25" t="n">
        <f aca="false">IF(COUNT(G3834:G3863)&lt;20,"",_xlfn.STDEV.S(G3834:G3863)*SQRT($R$3))</f>
        <v>0.258348758388755</v>
      </c>
      <c r="N3863" s="25" t="n">
        <f aca="false">IF(A3863-7&lt;$R$2,"",C3863/INDEX(Clean_Data!$C$2:$C$4314,MATCH(A3863-7,Clean_Data!$A$2:$A$4314,1))-1)</f>
        <v>-0.0460024329990694</v>
      </c>
      <c r="O3863" s="25" t="n">
        <f aca="false">IF(A3863-30&lt;$R$2,"",C3863/INDEX(Clean_Data!$C$2:$C$4314,MATCH(A3863-30,Clean_Data!$A$2:$A$4314,1))-1)</f>
        <v>0.0265797783302075</v>
      </c>
    </row>
    <row r="3864" customFormat="false" ht="15" hidden="false" customHeight="false" outlineLevel="0" collapsed="false">
      <c r="A3864" s="16" t="n">
        <v>45871</v>
      </c>
      <c r="B3864" s="23" t="n">
        <f aca="false">YEAR(A3864)</f>
        <v>2025</v>
      </c>
      <c r="C3864" s="17" t="n">
        <v>114215.73</v>
      </c>
      <c r="D3864" s="23" t="n">
        <f aca="false">A3864-A3863</f>
        <v>1</v>
      </c>
      <c r="E3864" s="24" t="n">
        <f aca="false">LN(C3864)</f>
        <v>11.6458443075243</v>
      </c>
      <c r="F3864" s="25" t="n">
        <f aca="false">LN(C3864/C3863)</f>
        <v>0.0147559679344879</v>
      </c>
      <c r="G3864" s="25" t="n">
        <f aca="false">IF(AND(D3864=1,A3864&gt;=$R$2),F3864,"")</f>
        <v>0.0147559679344879</v>
      </c>
      <c r="H3864" s="27" t="n">
        <f aca="false">IF(G3864="","",G3864^2)</f>
        <v>0.000217738589683635</v>
      </c>
      <c r="I3864" s="25" t="n">
        <f aca="false">IF(G3864="","",C3864/C3863-1)</f>
        <v>0.0148653747012024</v>
      </c>
      <c r="J3864" s="17" t="n">
        <f aca="false">AVERAGE(C3665:C3864)</f>
        <v>99281.235</v>
      </c>
      <c r="K3864" s="17" t="n">
        <f aca="false">MAX(K3863,C3864)</f>
        <v>120026.42</v>
      </c>
      <c r="L3864" s="25" t="n">
        <f aca="false">C3864/K3864-1</f>
        <v>-0.0484117580112778</v>
      </c>
      <c r="M3864" s="25" t="n">
        <f aca="false">IF(COUNT(G3835:G3864)&lt;20,"",_xlfn.STDEV.S(G3835:G3864)*SQRT($R$3))</f>
        <v>0.256418844792959</v>
      </c>
      <c r="N3864" s="25" t="n">
        <f aca="false">IF(A3864-7&lt;$R$2,"",C3864/INDEX(Clean_Data!$C$2:$C$4314,MATCH(A3864-7,Clean_Data!$A$2:$A$4314,1))-1)</f>
        <v>-0.0439439764712029</v>
      </c>
      <c r="O3864" s="25" t="n">
        <f aca="false">IF(A3864-30&lt;$R$2,"",C3864/INDEX(Clean_Data!$C$2:$C$4314,MATCH(A3864-30,Clean_Data!$A$2:$A$4314,1))-1)</f>
        <v>0.0572730739822602</v>
      </c>
    </row>
    <row r="3865" customFormat="false" ht="15" hidden="false" customHeight="false" outlineLevel="0" collapsed="false">
      <c r="A3865" s="16" t="n">
        <v>45872</v>
      </c>
      <c r="B3865" s="23" t="n">
        <f aca="false">YEAR(A3865)</f>
        <v>2025</v>
      </c>
      <c r="C3865" s="17" t="n">
        <v>115051.85</v>
      </c>
      <c r="D3865" s="23" t="n">
        <f aca="false">A3865-A3864</f>
        <v>1</v>
      </c>
      <c r="E3865" s="24" t="n">
        <f aca="false">LN(C3865)</f>
        <v>11.6531381752995</v>
      </c>
      <c r="F3865" s="25" t="n">
        <f aca="false">LN(C3865/C3864)</f>
        <v>0.00729386777520595</v>
      </c>
      <c r="G3865" s="25" t="n">
        <f aca="false">IF(AND(D3865=1,A3865&gt;=$R$2),F3865,"")</f>
        <v>0.00729386777520595</v>
      </c>
      <c r="H3865" s="27" t="n">
        <f aca="false">IF(G3865="","",G3865^2)</f>
        <v>5.32005071221879E-005</v>
      </c>
      <c r="I3865" s="25" t="n">
        <f aca="false">IF(G3865="","",C3865/C3864-1)</f>
        <v>0.00732053281977896</v>
      </c>
      <c r="J3865" s="17" t="n">
        <f aca="false">AVERAGE(C3666:C3865)</f>
        <v>99356.58535</v>
      </c>
      <c r="K3865" s="17" t="n">
        <f aca="false">MAX(K3864,C3865)</f>
        <v>120026.42</v>
      </c>
      <c r="L3865" s="25" t="n">
        <f aca="false">C3865/K3865-1</f>
        <v>-0.0414456250548837</v>
      </c>
      <c r="M3865" s="25" t="n">
        <f aca="false">IF(COUNT(G3836:G3865)&lt;20,"",_xlfn.STDEV.S(G3836:G3865)*SQRT($R$3))</f>
        <v>0.257120082529707</v>
      </c>
      <c r="N3865" s="25" t="n">
        <f aca="false">IF(A3865-7&lt;$R$2,"",C3865/INDEX(Clean_Data!$C$2:$C$4314,MATCH(A3865-7,Clean_Data!$A$2:$A$4314,1))-1)</f>
        <v>-0.0255672475253997</v>
      </c>
      <c r="O3865" s="25" t="n">
        <f aca="false">IF(A3865-30&lt;$R$2,"",C3865/INDEX(Clean_Data!$C$2:$C$4314,MATCH(A3865-30,Clean_Data!$A$2:$A$4314,1))-1)</f>
        <v>0.0628675344687342</v>
      </c>
    </row>
    <row r="3866" customFormat="false" ht="15" hidden="false" customHeight="false" outlineLevel="0" collapsed="false">
      <c r="A3866" s="16" t="n">
        <v>45873</v>
      </c>
      <c r="B3866" s="23" t="n">
        <f aca="false">YEAR(A3866)</f>
        <v>2025</v>
      </c>
      <c r="C3866" s="17" t="n">
        <v>114112.95</v>
      </c>
      <c r="D3866" s="23" t="n">
        <f aca="false">A3866-A3865</f>
        <v>1</v>
      </c>
      <c r="E3866" s="24" t="n">
        <f aca="false">LN(C3866)</f>
        <v>11.6449440263424</v>
      </c>
      <c r="F3866" s="25" t="n">
        <f aca="false">LN(C3866/C3865)</f>
        <v>-0.00819414895707042</v>
      </c>
      <c r="G3866" s="25" t="n">
        <f aca="false">IF(AND(D3866=1,A3866&gt;=$R$2),F3866,"")</f>
        <v>-0.00819414895707042</v>
      </c>
      <c r="H3866" s="27" t="n">
        <f aca="false">IF(G3866="","",G3866^2)</f>
        <v>6.71440771306583E-005</v>
      </c>
      <c r="I3866" s="25" t="n">
        <f aca="false">IF(G3866="","",C3866/C3865-1)</f>
        <v>-0.00816066842906049</v>
      </c>
      <c r="J3866" s="17" t="n">
        <f aca="false">AVERAGE(C3667:C3866)</f>
        <v>99406.6151</v>
      </c>
      <c r="K3866" s="17" t="n">
        <f aca="false">MAX(K3865,C3866)</f>
        <v>120026.42</v>
      </c>
      <c r="L3866" s="25" t="n">
        <f aca="false">C3866/K3866-1</f>
        <v>-0.0492680694800362</v>
      </c>
      <c r="M3866" s="25" t="n">
        <f aca="false">IF(COUNT(G3837:G3866)&lt;20,"",_xlfn.STDEV.S(G3837:G3866)*SQRT($R$3))</f>
        <v>0.258272250227168</v>
      </c>
      <c r="N3866" s="25" t="n">
        <f aca="false">IF(A3866-7&lt;$R$2,"",C3866/INDEX(Clean_Data!$C$2:$C$4314,MATCH(A3866-7,Clean_Data!$A$2:$A$4314,1))-1)</f>
        <v>-0.0323948968142102</v>
      </c>
      <c r="O3866" s="25" t="n">
        <f aca="false">IF(A3866-30&lt;$R$2,"",C3866/INDEX(Clean_Data!$C$2:$C$4314,MATCH(A3866-30,Clean_Data!$A$2:$A$4314,1))-1)</f>
        <v>0.04481835316859</v>
      </c>
    </row>
    <row r="3867" customFormat="false" ht="15" hidden="false" customHeight="false" outlineLevel="0" collapsed="false">
      <c r="A3867" s="16" t="n">
        <v>45874</v>
      </c>
      <c r="B3867" s="23" t="n">
        <f aca="false">YEAR(A3867)</f>
        <v>2025</v>
      </c>
      <c r="C3867" s="17" t="n">
        <v>115028.83</v>
      </c>
      <c r="D3867" s="23" t="n">
        <f aca="false">A3867-A3866</f>
        <v>1</v>
      </c>
      <c r="E3867" s="24" t="n">
        <f aca="false">LN(C3867)</f>
        <v>11.6529380715787</v>
      </c>
      <c r="F3867" s="25" t="n">
        <f aca="false">LN(C3867/C3866)</f>
        <v>0.00799404523626431</v>
      </c>
      <c r="G3867" s="25" t="n">
        <f aca="false">IF(AND(D3867=1,A3867&gt;=$R$2),F3867,"")</f>
        <v>0.00799404523626431</v>
      </c>
      <c r="H3867" s="27" t="n">
        <f aca="false">IF(G3867="","",G3867^2)</f>
        <v>6.39047592394401E-005</v>
      </c>
      <c r="I3867" s="25" t="n">
        <f aca="false">IF(G3867="","",C3867/C3866-1)</f>
        <v>0.00802608292923823</v>
      </c>
      <c r="J3867" s="17" t="n">
        <f aca="false">AVERAGE(C3668:C3867)</f>
        <v>99459.58425</v>
      </c>
      <c r="K3867" s="17" t="n">
        <f aca="false">MAX(K3866,C3867)</f>
        <v>120026.42</v>
      </c>
      <c r="L3867" s="25" t="n">
        <f aca="false">C3867/K3867-1</f>
        <v>-0.0416374161622083</v>
      </c>
      <c r="M3867" s="25" t="n">
        <f aca="false">IF(COUNT(G3838:G3867)&lt;20,"",_xlfn.STDEV.S(G3838:G3867)*SQRT($R$3))</f>
        <v>0.256554113910065</v>
      </c>
      <c r="N3867" s="25" t="n">
        <f aca="false">IF(A3867-7&lt;$R$2,"",C3867/INDEX(Clean_Data!$C$2:$C$4314,MATCH(A3867-7,Clean_Data!$A$2:$A$4314,1))-1)</f>
        <v>-0.023774220774564</v>
      </c>
      <c r="O3867" s="25" t="n">
        <f aca="false">IF(A3867-30&lt;$R$2,"",C3867/INDEX(Clean_Data!$C$2:$C$4314,MATCH(A3867-30,Clean_Data!$A$2:$A$4314,1))-1)</f>
        <v>0.0624272650629205</v>
      </c>
    </row>
    <row r="3868" customFormat="false" ht="15" hidden="false" customHeight="false" outlineLevel="0" collapsed="false">
      <c r="A3868" s="16" t="n">
        <v>45875</v>
      </c>
      <c r="B3868" s="23" t="n">
        <f aca="false">YEAR(A3868)</f>
        <v>2025</v>
      </c>
      <c r="C3868" s="17" t="n">
        <v>117515.49</v>
      </c>
      <c r="D3868" s="23" t="n">
        <f aca="false">A3868-A3867</f>
        <v>1</v>
      </c>
      <c r="E3868" s="24" t="n">
        <f aca="false">LN(C3868)</f>
        <v>11.6743254336648</v>
      </c>
      <c r="F3868" s="25" t="n">
        <f aca="false">LN(C3868/C3867)</f>
        <v>0.021387362086145</v>
      </c>
      <c r="G3868" s="25" t="n">
        <f aca="false">IF(AND(D3868=1,A3868&gt;=$R$2),F3868,"")</f>
        <v>0.021387362086145</v>
      </c>
      <c r="H3868" s="27" t="n">
        <f aca="false">IF(G3868="","",G3868^2)</f>
        <v>0.000457419257003874</v>
      </c>
      <c r="I3868" s="25" t="n">
        <f aca="false">IF(G3868="","",C3868/C3867-1)</f>
        <v>0.0216177109686329</v>
      </c>
      <c r="J3868" s="17" t="n">
        <f aca="false">AVERAGE(C3669:C3868)</f>
        <v>99541.10605</v>
      </c>
      <c r="K3868" s="17" t="n">
        <f aca="false">MAX(K3867,C3868)</f>
        <v>120026.42</v>
      </c>
      <c r="L3868" s="25" t="n">
        <f aca="false">C3868/K3868-1</f>
        <v>-0.0209198108216507</v>
      </c>
      <c r="M3868" s="25" t="n">
        <f aca="false">IF(COUNT(G3839:G3868)&lt;20,"",_xlfn.STDEV.S(G3839:G3868)*SQRT($R$3))</f>
        <v>0.264975596897086</v>
      </c>
      <c r="N3868" s="25" t="n">
        <f aca="false">IF(A3868-7&lt;$R$2,"",C3868/INDEX(Clean_Data!$C$2:$C$4314,MATCH(A3868-7,Clean_Data!$A$2:$A$4314,1))-1)</f>
        <v>0.0151550006465901</v>
      </c>
      <c r="O3868" s="25" t="n">
        <f aca="false">IF(A3868-30&lt;$R$2,"",C3868/INDEX(Clean_Data!$C$2:$C$4314,MATCH(A3868-30,Clean_Data!$A$2:$A$4314,1))-1)</f>
        <v>0.0785389494891797</v>
      </c>
    </row>
    <row r="3869" customFormat="false" ht="15" hidden="false" customHeight="false" outlineLevel="0" collapsed="false">
      <c r="A3869" s="16" t="n">
        <v>45876</v>
      </c>
      <c r="B3869" s="23" t="n">
        <f aca="false">YEAR(A3869)</f>
        <v>2025</v>
      </c>
      <c r="C3869" s="17" t="n">
        <v>116683.79</v>
      </c>
      <c r="D3869" s="23" t="n">
        <f aca="false">A3869-A3868</f>
        <v>1</v>
      </c>
      <c r="E3869" s="24" t="n">
        <f aca="false">LN(C3869)</f>
        <v>11.6672229054562</v>
      </c>
      <c r="F3869" s="25" t="n">
        <f aca="false">LN(C3869/C3868)</f>
        <v>-0.00710252820861626</v>
      </c>
      <c r="G3869" s="25" t="n">
        <f aca="false">IF(AND(D3869=1,A3869&gt;=$R$2),F3869,"")</f>
        <v>-0.00710252820861626</v>
      </c>
      <c r="H3869" s="27" t="n">
        <f aca="false">IF(G3869="","",G3869^2)</f>
        <v>5.04459069541897E-005</v>
      </c>
      <c r="I3869" s="25" t="n">
        <f aca="false">IF(G3869="","",C3869/C3868-1)</f>
        <v>-0.00707736486483623</v>
      </c>
      <c r="J3869" s="17" t="n">
        <f aca="false">AVERAGE(C3670:C3869)</f>
        <v>99613.79785</v>
      </c>
      <c r="K3869" s="17" t="n">
        <f aca="false">MAX(K3868,C3869)</f>
        <v>120026.42</v>
      </c>
      <c r="L3869" s="25" t="n">
        <f aca="false">C3869/K3869-1</f>
        <v>-0.0278491185523988</v>
      </c>
      <c r="M3869" s="25" t="n">
        <f aca="false">IF(COUNT(G3840:G3869)&lt;20,"",_xlfn.STDEV.S(G3840:G3869)*SQRT($R$3))</f>
        <v>0.258249737838423</v>
      </c>
      <c r="N3869" s="25" t="n">
        <f aca="false">IF(A3869-7&lt;$R$2,"",C3869/INDEX(Clean_Data!$C$2:$C$4314,MATCH(A3869-7,Clean_Data!$A$2:$A$4314,1))-1)</f>
        <v>0.0303319957760233</v>
      </c>
      <c r="O3869" s="25" t="n">
        <f aca="false">IF(A3869-30&lt;$R$2,"",C3869/INDEX(Clean_Data!$C$2:$C$4314,MATCH(A3869-30,Clean_Data!$A$2:$A$4314,1))-1)</f>
        <v>0.0485334442818457</v>
      </c>
    </row>
    <row r="3870" customFormat="false" ht="15" hidden="false" customHeight="false" outlineLevel="0" collapsed="false">
      <c r="A3870" s="16" t="n">
        <v>45877</v>
      </c>
      <c r="B3870" s="23" t="n">
        <f aca="false">YEAR(A3870)</f>
        <v>2025</v>
      </c>
      <c r="C3870" s="17" t="n">
        <v>116492.51</v>
      </c>
      <c r="D3870" s="23" t="n">
        <f aca="false">A3870-A3869</f>
        <v>1</v>
      </c>
      <c r="E3870" s="24" t="n">
        <f aca="false">LN(C3870)</f>
        <v>11.6655822580756</v>
      </c>
      <c r="F3870" s="25" t="n">
        <f aca="false">LN(C3870/C3869)</f>
        <v>-0.00164064738059636</v>
      </c>
      <c r="G3870" s="25" t="n">
        <f aca="false">IF(AND(D3870=1,A3870&gt;=$R$2),F3870,"")</f>
        <v>-0.00164064738059636</v>
      </c>
      <c r="H3870" s="27" t="n">
        <f aca="false">IF(G3870="","",G3870^2)</f>
        <v>2.6917238274577E-006</v>
      </c>
      <c r="I3870" s="25" t="n">
        <f aca="false">IF(G3870="","",C3870/C3869-1)</f>
        <v>-0.00163930225440911</v>
      </c>
      <c r="J3870" s="17" t="n">
        <f aca="false">AVERAGE(C3671:C3870)</f>
        <v>99665.4641</v>
      </c>
      <c r="K3870" s="17" t="n">
        <f aca="false">MAX(K3869,C3870)</f>
        <v>120026.42</v>
      </c>
      <c r="L3870" s="25" t="n">
        <f aca="false">C3870/K3870-1</f>
        <v>-0.0294427676839816</v>
      </c>
      <c r="M3870" s="25" t="n">
        <f aca="false">IF(COUNT(G3841:G3870)&lt;20,"",_xlfn.STDEV.S(G3841:G3870)*SQRT($R$3))</f>
        <v>0.213745997263107</v>
      </c>
      <c r="N3870" s="25" t="n">
        <f aca="false">IF(A3870-7&lt;$R$2,"",C3870/INDEX(Clean_Data!$C$2:$C$4314,MATCH(A3870-7,Clean_Data!$A$2:$A$4314,1))-1)</f>
        <v>0.0350957334075925</v>
      </c>
      <c r="O3870" s="25" t="n">
        <f aca="false">IF(A3870-30&lt;$R$2,"",C3870/INDEX(Clean_Data!$C$2:$C$4314,MATCH(A3870-30,Clean_Data!$A$2:$A$4314,1))-1)</f>
        <v>0.00397487574473443</v>
      </c>
    </row>
    <row r="3871" customFormat="false" ht="15" hidden="false" customHeight="false" outlineLevel="0" collapsed="false">
      <c r="A3871" s="16" t="n">
        <v>45878</v>
      </c>
      <c r="B3871" s="23" t="n">
        <f aca="false">YEAR(A3871)</f>
        <v>2025</v>
      </c>
      <c r="C3871" s="17" t="n">
        <v>119309.37</v>
      </c>
      <c r="D3871" s="23" t="n">
        <f aca="false">A3871-A3870</f>
        <v>1</v>
      </c>
      <c r="E3871" s="24" t="n">
        <f aca="false">LN(C3871)</f>
        <v>11.6894751464938</v>
      </c>
      <c r="F3871" s="25" t="n">
        <f aca="false">LN(C3871/C3870)</f>
        <v>0.0238928884182335</v>
      </c>
      <c r="G3871" s="25" t="n">
        <f aca="false">IF(AND(D3871=1,A3871&gt;=$R$2),F3871,"")</f>
        <v>0.0238928884182335</v>
      </c>
      <c r="H3871" s="27" t="n">
        <f aca="false">IF(G3871="","",G3871^2)</f>
        <v>0.000570870116966156</v>
      </c>
      <c r="I3871" s="25" t="n">
        <f aca="false">IF(G3871="","",C3871/C3870-1)</f>
        <v>0.0241806104100599</v>
      </c>
      <c r="J3871" s="17" t="n">
        <f aca="false">AVERAGE(C3672:C3871)</f>
        <v>99743.6754</v>
      </c>
      <c r="K3871" s="17" t="n">
        <f aca="false">MAX(K3870,C3871)</f>
        <v>120026.42</v>
      </c>
      <c r="L3871" s="25" t="n">
        <f aca="false">C3871/K3871-1</f>
        <v>-0.00597410136868204</v>
      </c>
      <c r="M3871" s="25" t="n">
        <f aca="false">IF(COUNT(G3842:G3871)&lt;20,"",_xlfn.STDEV.S(G3842:G3871)*SQRT($R$3))</f>
        <v>0.22488004154134</v>
      </c>
      <c r="N3871" s="25" t="n">
        <f aca="false">IF(A3871-7&lt;$R$2,"",C3871/INDEX(Clean_Data!$C$2:$C$4314,MATCH(A3871-7,Clean_Data!$A$2:$A$4314,1))-1)</f>
        <v>0.0445966593217939</v>
      </c>
      <c r="O3871" s="25" t="n">
        <f aca="false">IF(A3871-30&lt;$R$2,"",C3871/INDEX(Clean_Data!$C$2:$C$4314,MATCH(A3871-30,Clean_Data!$A$2:$A$4314,1))-1)</f>
        <v>0.0146893882541363</v>
      </c>
    </row>
    <row r="3872" customFormat="false" ht="15" hidden="false" customHeight="false" outlineLevel="0" collapsed="false">
      <c r="A3872" s="16" t="n">
        <v>45879</v>
      </c>
      <c r="B3872" s="23" t="n">
        <f aca="false">YEAR(A3872)</f>
        <v>2025</v>
      </c>
      <c r="C3872" s="17" t="n">
        <v>118701.84</v>
      </c>
      <c r="D3872" s="23" t="n">
        <f aca="false">A3872-A3871</f>
        <v>1</v>
      </c>
      <c r="E3872" s="24" t="n">
        <f aca="false">LN(C3872)</f>
        <v>11.6843700817413</v>
      </c>
      <c r="F3872" s="25" t="n">
        <f aca="false">LN(C3872/C3871)</f>
        <v>-0.00510506475251679</v>
      </c>
      <c r="G3872" s="25" t="n">
        <f aca="false">IF(AND(D3872=1,A3872&gt;=$R$2),F3872,"")</f>
        <v>-0.00510506475251679</v>
      </c>
      <c r="H3872" s="27" t="n">
        <f aca="false">IF(G3872="","",G3872^2)</f>
        <v>2.60616861273893E-005</v>
      </c>
      <c r="I3872" s="25" t="n">
        <f aca="false">IF(G3872="","",C3872/C3871-1)</f>
        <v>-0.00509205605561403</v>
      </c>
      <c r="J3872" s="17" t="n">
        <f aca="false">AVERAGE(C3673:C3872)</f>
        <v>99817.5528</v>
      </c>
      <c r="K3872" s="17" t="n">
        <f aca="false">MAX(K3871,C3872)</f>
        <v>120026.42</v>
      </c>
      <c r="L3872" s="25" t="n">
        <f aca="false">C3872/K3872-1</f>
        <v>-0.0110357369652448</v>
      </c>
      <c r="M3872" s="25" t="n">
        <f aca="false">IF(COUNT(G3843:G3872)&lt;20,"",_xlfn.STDEV.S(G3843:G3872)*SQRT($R$3))</f>
        <v>0.225680926130023</v>
      </c>
      <c r="N3872" s="25" t="n">
        <f aca="false">IF(A3872-7&lt;$R$2,"",C3872/INDEX(Clean_Data!$C$2:$C$4314,MATCH(A3872-7,Clean_Data!$A$2:$A$4314,1))-1)</f>
        <v>0.0317247397586391</v>
      </c>
      <c r="O3872" s="25" t="n">
        <f aca="false">IF(A3872-30&lt;$R$2,"",C3872/INDEX(Clean_Data!$C$2:$C$4314,MATCH(A3872-30,Clean_Data!$A$2:$A$4314,1))-1)</f>
        <v>0.0104636270655341</v>
      </c>
    </row>
    <row r="3873" customFormat="false" ht="15" hidden="false" customHeight="false" outlineLevel="0" collapsed="false">
      <c r="A3873" s="16" t="n">
        <v>45880</v>
      </c>
      <c r="B3873" s="23" t="n">
        <f aca="false">YEAR(A3873)</f>
        <v>2025</v>
      </c>
      <c r="C3873" s="17" t="n">
        <v>120113.18</v>
      </c>
      <c r="D3873" s="23" t="n">
        <f aca="false">A3873-A3872</f>
        <v>1</v>
      </c>
      <c r="E3873" s="24" t="n">
        <f aca="false">LN(C3873)</f>
        <v>11.6961897439286</v>
      </c>
      <c r="F3873" s="25" t="n">
        <f aca="false">LN(C3873/C3872)</f>
        <v>0.0118196621873342</v>
      </c>
      <c r="G3873" s="25" t="n">
        <f aca="false">IF(AND(D3873=1,A3873&gt;=$R$2),F3873,"")</f>
        <v>0.0118196621873342</v>
      </c>
      <c r="H3873" s="27" t="n">
        <f aca="false">IF(G3873="","",G3873^2)</f>
        <v>0.000139704414222699</v>
      </c>
      <c r="I3873" s="25" t="n">
        <f aca="false">IF(G3873="","",C3873/C3872-1)</f>
        <v>0.011889790419424</v>
      </c>
      <c r="J3873" s="17" t="n">
        <f aca="false">AVERAGE(C3674:C3873)</f>
        <v>99893.86735</v>
      </c>
      <c r="K3873" s="17" t="n">
        <f aca="false">MAX(K3872,C3873)</f>
        <v>120113.18</v>
      </c>
      <c r="L3873" s="25" t="n">
        <f aca="false">C3873/K3873-1</f>
        <v>0</v>
      </c>
      <c r="M3873" s="25" t="n">
        <f aca="false">IF(COUNT(G3844:G3873)&lt;20,"",_xlfn.STDEV.S(G3844:G3873)*SQRT($R$3))</f>
        <v>0.224130866138284</v>
      </c>
      <c r="N3873" s="25" t="n">
        <f aca="false">IF(A3873-7&lt;$R$2,"",C3873/INDEX(Clean_Data!$C$2:$C$4314,MATCH(A3873-7,Clean_Data!$A$2:$A$4314,1))-1)</f>
        <v>0.0525814992952158</v>
      </c>
      <c r="O3873" s="25" t="n">
        <f aca="false">IF(A3873-30&lt;$R$2,"",C3873/INDEX(Clean_Data!$C$2:$C$4314,MATCH(A3873-30,Clean_Data!$A$2:$A$4314,1))-1)</f>
        <v>0.00824614556049763</v>
      </c>
    </row>
    <row r="3874" customFormat="false" ht="15" hidden="false" customHeight="false" outlineLevel="0" collapsed="false">
      <c r="A3874" s="16" t="n">
        <v>45881</v>
      </c>
      <c r="B3874" s="23" t="n">
        <f aca="false">YEAR(A3874)</f>
        <v>2025</v>
      </c>
      <c r="C3874" s="17" t="n">
        <v>123365.63</v>
      </c>
      <c r="D3874" s="23" t="n">
        <f aca="false">A3874-A3873</f>
        <v>1</v>
      </c>
      <c r="E3874" s="24" t="n">
        <f aca="false">LN(C3874)</f>
        <v>11.7229078265365</v>
      </c>
      <c r="F3874" s="25" t="n">
        <f aca="false">LN(C3874/C3873)</f>
        <v>0.0267180826079029</v>
      </c>
      <c r="G3874" s="25" t="n">
        <f aca="false">IF(AND(D3874=1,A3874&gt;=$R$2),F3874,"")</f>
        <v>0.0267180826079029</v>
      </c>
      <c r="H3874" s="27" t="n">
        <f aca="false">IF(G3874="","",G3874^2)</f>
        <v>0.000713855938242726</v>
      </c>
      <c r="I3874" s="25" t="n">
        <f aca="false">IF(G3874="","",C3874/C3873-1)</f>
        <v>0.0270782107342427</v>
      </c>
      <c r="J3874" s="17" t="n">
        <f aca="false">AVERAGE(C3675:C3874)</f>
        <v>99987.0277</v>
      </c>
      <c r="K3874" s="17" t="n">
        <f aca="false">MAX(K3873,C3874)</f>
        <v>123365.63</v>
      </c>
      <c r="L3874" s="25" t="n">
        <f aca="false">C3874/K3874-1</f>
        <v>0</v>
      </c>
      <c r="M3874" s="25" t="n">
        <f aca="false">IF(COUNT(G3845:G3874)&lt;20,"",_xlfn.STDEV.S(G3845:G3874)*SQRT($R$3))</f>
        <v>0.241715361416736</v>
      </c>
      <c r="N3874" s="25" t="n">
        <f aca="false">IF(A3874-7&lt;$R$2,"",C3874/INDEX(Clean_Data!$C$2:$C$4314,MATCH(A3874-7,Clean_Data!$A$2:$A$4314,1))-1)</f>
        <v>0.0724757436896473</v>
      </c>
      <c r="O3874" s="25" t="n">
        <f aca="false">IF(A3874-30&lt;$R$2,"",C3874/INDEX(Clean_Data!$C$2:$C$4314,MATCH(A3874-30,Clean_Data!$A$2:$A$4314,1))-1)</f>
        <v>0.0292158485666763</v>
      </c>
    </row>
    <row r="3875" customFormat="false" ht="15" hidden="false" customHeight="false" outlineLevel="0" collapsed="false">
      <c r="A3875" s="16" t="n">
        <v>45882</v>
      </c>
      <c r="B3875" s="23" t="n">
        <f aca="false">YEAR(A3875)</f>
        <v>2025</v>
      </c>
      <c r="C3875" s="17" t="n">
        <v>118389.79</v>
      </c>
      <c r="D3875" s="23" t="n">
        <f aca="false">A3875-A3874</f>
        <v>1</v>
      </c>
      <c r="E3875" s="24" t="n">
        <f aca="false">LN(C3875)</f>
        <v>11.6817377646056</v>
      </c>
      <c r="F3875" s="25" t="n">
        <f aca="false">LN(C3875/C3874)</f>
        <v>-0.0411700619308971</v>
      </c>
      <c r="G3875" s="25" t="n">
        <f aca="false">IF(AND(D3875=1,A3875&gt;=$R$2),F3875,"")</f>
        <v>-0.0411700619308971</v>
      </c>
      <c r="H3875" s="27" t="n">
        <f aca="false">IF(G3875="","",G3875^2)</f>
        <v>0.00169497399939391</v>
      </c>
      <c r="I3875" s="25" t="n">
        <f aca="false">IF(G3875="","",C3875/C3874-1)</f>
        <v>-0.04033408656852</v>
      </c>
      <c r="J3875" s="17" t="n">
        <f aca="false">AVERAGE(C3676:C3875)</f>
        <v>100066.16165</v>
      </c>
      <c r="K3875" s="17" t="n">
        <f aca="false">MAX(K3874,C3875)</f>
        <v>123365.63</v>
      </c>
      <c r="L3875" s="25" t="n">
        <f aca="false">C3875/K3875-1</f>
        <v>-0.04033408656852</v>
      </c>
      <c r="M3875" s="25" t="n">
        <f aca="false">IF(COUNT(G3846:G3875)&lt;20,"",_xlfn.STDEV.S(G3846:G3875)*SQRT($R$3))</f>
        <v>0.276100990798544</v>
      </c>
      <c r="N3875" s="25" t="n">
        <f aca="false">IF(A3875-7&lt;$R$2,"",C3875/INDEX(Clean_Data!$C$2:$C$4314,MATCH(A3875-7,Clean_Data!$A$2:$A$4314,1))-1)</f>
        <v>0.0074398702673153</v>
      </c>
      <c r="O3875" s="25" t="n">
        <f aca="false">IF(A3875-30&lt;$R$2,"",C3875/INDEX(Clean_Data!$C$2:$C$4314,MATCH(A3875-30,Clean_Data!$A$2:$A$4314,1))-1)</f>
        <v>0.00516336841633369</v>
      </c>
    </row>
    <row r="3876" customFormat="false" ht="15" hidden="false" customHeight="false" outlineLevel="0" collapsed="false">
      <c r="A3876" s="16" t="n">
        <v>45883</v>
      </c>
      <c r="B3876" s="23" t="n">
        <f aca="false">YEAR(A3876)</f>
        <v>2025</v>
      </c>
      <c r="C3876" s="17" t="n">
        <v>117436.96</v>
      </c>
      <c r="D3876" s="23" t="n">
        <f aca="false">A3876-A3875</f>
        <v>1</v>
      </c>
      <c r="E3876" s="24" t="n">
        <f aca="false">LN(C3876)</f>
        <v>11.6736569579547</v>
      </c>
      <c r="F3876" s="25" t="n">
        <f aca="false">LN(C3876/C3875)</f>
        <v>-0.00808080665092342</v>
      </c>
      <c r="G3876" s="25" t="n">
        <f aca="false">IF(AND(D3876=1,A3876&gt;=$R$2),F3876,"")</f>
        <v>-0.00808080665092342</v>
      </c>
      <c r="H3876" s="27" t="n">
        <f aca="false">IF(G3876="","",G3876^2)</f>
        <v>6.52994361296082E-005</v>
      </c>
      <c r="I3876" s="25" t="n">
        <f aca="false">IF(G3876="","",C3876/C3875-1)</f>
        <v>-0.00804824470083099</v>
      </c>
      <c r="J3876" s="17" t="n">
        <f aca="false">AVERAGE(C3677:C3876)</f>
        <v>100143.03435</v>
      </c>
      <c r="K3876" s="17" t="n">
        <f aca="false">MAX(K3875,C3876)</f>
        <v>123365.63</v>
      </c>
      <c r="L3876" s="25" t="n">
        <f aca="false">C3876/K3876-1</f>
        <v>-0.048057712670863</v>
      </c>
      <c r="M3876" s="25" t="n">
        <f aca="false">IF(COUNT(G3847:G3876)&lt;20,"",_xlfn.STDEV.S(G3847:G3876)*SQRT($R$3))</f>
        <v>0.276204160904635</v>
      </c>
      <c r="N3876" s="25" t="n">
        <f aca="false">IF(A3876-7&lt;$R$2,"",C3876/INDEX(Clean_Data!$C$2:$C$4314,MATCH(A3876-7,Clean_Data!$A$2:$A$4314,1))-1)</f>
        <v>0.00645479547758954</v>
      </c>
      <c r="O3876" s="25" t="n">
        <f aca="false">IF(A3876-30&lt;$R$2,"",C3876/INDEX(Clean_Data!$C$2:$C$4314,MATCH(A3876-30,Clean_Data!$A$2:$A$4314,1))-1)</f>
        <v>-0.0104878865887303</v>
      </c>
    </row>
    <row r="3877" customFormat="false" ht="15" hidden="false" customHeight="false" outlineLevel="0" collapsed="false">
      <c r="A3877" s="16" t="n">
        <v>45884</v>
      </c>
      <c r="B3877" s="23" t="n">
        <f aca="false">YEAR(A3877)</f>
        <v>2025</v>
      </c>
      <c r="C3877" s="17" t="n">
        <v>117455.68</v>
      </c>
      <c r="D3877" s="23" t="n">
        <f aca="false">A3877-A3876</f>
        <v>1</v>
      </c>
      <c r="E3877" s="24" t="n">
        <f aca="false">LN(C3877)</f>
        <v>11.6738163499224</v>
      </c>
      <c r="F3877" s="25" t="n">
        <f aca="false">LN(C3877/C3876)</f>
        <v>0.000159391967663255</v>
      </c>
      <c r="G3877" s="25" t="n">
        <f aca="false">IF(AND(D3877=1,A3877&gt;=$R$2),F3877,"")</f>
        <v>0.000159391967663255</v>
      </c>
      <c r="H3877" s="27" t="n">
        <f aca="false">IF(G3877="","",G3877^2)</f>
        <v>2.5405799355564E-008</v>
      </c>
      <c r="I3877" s="25" t="n">
        <f aca="false">IF(G3877="","",C3877/C3876-1)</f>
        <v>0.000159404671237873</v>
      </c>
      <c r="J3877" s="17" t="n">
        <f aca="false">AVERAGE(C3678:C3877)</f>
        <v>100223.86275</v>
      </c>
      <c r="K3877" s="17" t="n">
        <f aca="false">MAX(K3876,C3877)</f>
        <v>123365.63</v>
      </c>
      <c r="L3877" s="25" t="n">
        <f aca="false">C3877/K3877-1</f>
        <v>-0.0479059686235138</v>
      </c>
      <c r="M3877" s="25" t="n">
        <f aca="false">IF(COUNT(G3848:G3877)&lt;20,"",_xlfn.STDEV.S(G3848:G3877)*SQRT($R$3))</f>
        <v>0.275545091948254</v>
      </c>
      <c r="N3877" s="25" t="n">
        <f aca="false">IF(A3877-7&lt;$R$2,"",C3877/INDEX(Clean_Data!$C$2:$C$4314,MATCH(A3877-7,Clean_Data!$A$2:$A$4314,1))-1)</f>
        <v>0.00826808521852596</v>
      </c>
      <c r="O3877" s="25" t="n">
        <f aca="false">IF(A3877-30&lt;$R$2,"",C3877/INDEX(Clean_Data!$C$2:$C$4314,MATCH(A3877-30,Clean_Data!$A$2:$A$4314,1))-1)</f>
        <v>-0.0152423388594752</v>
      </c>
    </row>
    <row r="3878" customFormat="false" ht="15" hidden="false" customHeight="false" outlineLevel="0" collapsed="false">
      <c r="A3878" s="16" t="n">
        <v>45885</v>
      </c>
      <c r="B3878" s="23" t="n">
        <f aca="false">YEAR(A3878)</f>
        <v>2025</v>
      </c>
      <c r="C3878" s="17" t="n">
        <v>117488.6</v>
      </c>
      <c r="D3878" s="23" t="n">
        <f aca="false">A3878-A3877</f>
        <v>1</v>
      </c>
      <c r="E3878" s="24" t="n">
        <f aca="false">LN(C3878)</f>
        <v>11.6740965865829</v>
      </c>
      <c r="F3878" s="25" t="n">
        <f aca="false">LN(C3878/C3877)</f>
        <v>0.000280236660500496</v>
      </c>
      <c r="G3878" s="25" t="n">
        <f aca="false">IF(AND(D3878=1,A3878&gt;=$R$2),F3878,"")</f>
        <v>0.000280236660500496</v>
      </c>
      <c r="H3878" s="27" t="n">
        <f aca="false">IF(G3878="","",G3878^2)</f>
        <v>7.85325858884702E-008</v>
      </c>
      <c r="I3878" s="25" t="n">
        <f aca="false">IF(G3878="","",C3878/C3877-1)</f>
        <v>0.000280275930461649</v>
      </c>
      <c r="J3878" s="17" t="n">
        <f aca="false">AVERAGE(C3679:C3878)</f>
        <v>100292.5695</v>
      </c>
      <c r="K3878" s="17" t="n">
        <f aca="false">MAX(K3877,C3878)</f>
        <v>123365.63</v>
      </c>
      <c r="L3878" s="25" t="n">
        <f aca="false">C3878/K3878-1</f>
        <v>-0.0476391195829827</v>
      </c>
      <c r="M3878" s="25" t="n">
        <f aca="false">IF(COUNT(G3849:G3878)&lt;20,"",_xlfn.STDEV.S(G3849:G3878)*SQRT($R$3))</f>
        <v>0.273162921168942</v>
      </c>
      <c r="N3878" s="25" t="n">
        <f aca="false">IF(A3878-7&lt;$R$2,"",C3878/INDEX(Clean_Data!$C$2:$C$4314,MATCH(A3878-7,Clean_Data!$A$2:$A$4314,1))-1)</f>
        <v>-0.0152609137069452</v>
      </c>
      <c r="O3878" s="25" t="n">
        <f aca="false">IF(A3878-30&lt;$R$2,"",C3878/INDEX(Clean_Data!$C$2:$C$4314,MATCH(A3878-30,Clean_Data!$A$2:$A$4314,1))-1)</f>
        <v>-0.00452835272431951</v>
      </c>
    </row>
    <row r="3879" customFormat="false" ht="15" hidden="false" customHeight="false" outlineLevel="0" collapsed="false">
      <c r="A3879" s="16" t="n">
        <v>45886</v>
      </c>
      <c r="B3879" s="23" t="n">
        <f aca="false">YEAR(A3879)</f>
        <v>2025</v>
      </c>
      <c r="C3879" s="17" t="n">
        <v>116286.76</v>
      </c>
      <c r="D3879" s="23" t="n">
        <f aca="false">A3879-A3878</f>
        <v>1</v>
      </c>
      <c r="E3879" s="24" t="n">
        <f aca="false">LN(C3879)</f>
        <v>11.6638144885179</v>
      </c>
      <c r="F3879" s="25" t="n">
        <f aca="false">LN(C3879/C3878)</f>
        <v>-0.0102820980649633</v>
      </c>
      <c r="G3879" s="25" t="n">
        <f aca="false">IF(AND(D3879=1,A3879&gt;=$R$2),F3879,"")</f>
        <v>-0.0102820980649633</v>
      </c>
      <c r="H3879" s="27" t="n">
        <f aca="false">IF(G3879="","",G3879^2)</f>
        <v>0.000105721540617523</v>
      </c>
      <c r="I3879" s="25" t="n">
        <f aca="false">IF(G3879="","",C3879/C3878-1)</f>
        <v>-0.0102294180031085</v>
      </c>
      <c r="J3879" s="17" t="n">
        <f aca="false">AVERAGE(C3680:C3879)</f>
        <v>100350.2901</v>
      </c>
      <c r="K3879" s="17" t="n">
        <f aca="false">MAX(K3878,C3879)</f>
        <v>123365.63</v>
      </c>
      <c r="L3879" s="25" t="n">
        <f aca="false">C3879/K3879-1</f>
        <v>-0.0573812171185768</v>
      </c>
      <c r="M3879" s="25" t="n">
        <f aca="false">IF(COUNT(G3850:G3879)&lt;20,"",_xlfn.STDEV.S(G3850:G3879)*SQRT($R$3))</f>
        <v>0.275436929032934</v>
      </c>
      <c r="N3879" s="25" t="n">
        <f aca="false">IF(A3879-7&lt;$R$2,"",C3879/INDEX(Clean_Data!$C$2:$C$4314,MATCH(A3879-7,Clean_Data!$A$2:$A$4314,1))-1)</f>
        <v>-0.0203457671759764</v>
      </c>
      <c r="O3879" s="25" t="n">
        <f aca="false">IF(A3879-30&lt;$R$2,"",C3879/INDEX(Clean_Data!$C$2:$C$4314,MATCH(A3879-30,Clean_Data!$A$2:$A$4314,1))-1)</f>
        <v>-0.0138016491147757</v>
      </c>
    </row>
    <row r="3880" customFormat="false" ht="15" hidden="false" customHeight="false" outlineLevel="0" collapsed="false">
      <c r="A3880" s="16" t="n">
        <v>45887</v>
      </c>
      <c r="B3880" s="23" t="n">
        <f aca="false">YEAR(A3880)</f>
        <v>2025</v>
      </c>
      <c r="C3880" s="17" t="n">
        <v>112856.19</v>
      </c>
      <c r="D3880" s="23" t="n">
        <f aca="false">A3880-A3879</f>
        <v>1</v>
      </c>
      <c r="E3880" s="24" t="n">
        <f aca="false">LN(C3880)</f>
        <v>11.6338696323143</v>
      </c>
      <c r="F3880" s="25" t="n">
        <f aca="false">LN(C3880/C3879)</f>
        <v>-0.0299448562036495</v>
      </c>
      <c r="G3880" s="25" t="n">
        <f aca="false">IF(AND(D3880=1,A3880&gt;=$R$2),F3880,"")</f>
        <v>-0.0299448562036495</v>
      </c>
      <c r="H3880" s="27" t="n">
        <f aca="false">IF(G3880="","",G3880^2)</f>
        <v>0.000896694413057248</v>
      </c>
      <c r="I3880" s="25" t="n">
        <f aca="false">IF(G3880="","",C3880/C3879-1)</f>
        <v>-0.0295009509251095</v>
      </c>
      <c r="J3880" s="17" t="n">
        <f aca="false">AVERAGE(C3681:C3880)</f>
        <v>100402.51475</v>
      </c>
      <c r="K3880" s="17" t="n">
        <f aca="false">MAX(K3879,C3880)</f>
        <v>123365.63</v>
      </c>
      <c r="L3880" s="25" t="n">
        <f aca="false">C3880/K3880-1</f>
        <v>-0.0851893675734482</v>
      </c>
      <c r="M3880" s="25" t="n">
        <f aca="false">IF(COUNT(G3851:G3880)&lt;20,"",_xlfn.STDEV.S(G3851:G3880)*SQRT($R$3))</f>
        <v>0.293724499254725</v>
      </c>
      <c r="N3880" s="25" t="n">
        <f aca="false">IF(A3880-7&lt;$R$2,"",C3880/INDEX(Clean_Data!$C$2:$C$4314,MATCH(A3880-7,Clean_Data!$A$2:$A$4314,1))-1)</f>
        <v>-0.0604179324866763</v>
      </c>
      <c r="O3880" s="25" t="n">
        <f aca="false">IF(A3880-30&lt;$R$2,"",C3880/INDEX(Clean_Data!$C$2:$C$4314,MATCH(A3880-30,Clean_Data!$A$2:$A$4314,1))-1)</f>
        <v>-0.0379882996470118</v>
      </c>
    </row>
    <row r="3881" customFormat="false" ht="15" hidden="false" customHeight="false" outlineLevel="0" collapsed="false">
      <c r="A3881" s="16" t="n">
        <v>45888</v>
      </c>
      <c r="B3881" s="23" t="n">
        <f aca="false">YEAR(A3881)</f>
        <v>2025</v>
      </c>
      <c r="C3881" s="17" t="n">
        <v>114276</v>
      </c>
      <c r="D3881" s="23" t="n">
        <f aca="false">A3881-A3880</f>
        <v>1</v>
      </c>
      <c r="E3881" s="24" t="n">
        <f aca="false">LN(C3881)</f>
        <v>11.646371853982</v>
      </c>
      <c r="F3881" s="25" t="n">
        <f aca="false">LN(C3881/C3880)</f>
        <v>0.0125022216677726</v>
      </c>
      <c r="G3881" s="25" t="n">
        <f aca="false">IF(AND(D3881=1,A3881&gt;=$R$2),F3881,"")</f>
        <v>0.0125022216677726</v>
      </c>
      <c r="H3881" s="27" t="n">
        <f aca="false">IF(G3881="","",G3881^2)</f>
        <v>0.000156305546630123</v>
      </c>
      <c r="I3881" s="25" t="n">
        <f aca="false">IF(G3881="","",C3881/C3880-1)</f>
        <v>0.0125807011560464</v>
      </c>
      <c r="J3881" s="17" t="n">
        <f aca="false">AVERAGE(C3682:C3881)</f>
        <v>100470.7755</v>
      </c>
      <c r="K3881" s="17" t="n">
        <f aca="false">MAX(K3880,C3881)</f>
        <v>123365.63</v>
      </c>
      <c r="L3881" s="25" t="n">
        <f aca="false">C3881/K3881-1</f>
        <v>-0.0736804083925159</v>
      </c>
      <c r="M3881" s="25" t="n">
        <f aca="false">IF(COUNT(G3852:G3881)&lt;20,"",_xlfn.STDEV.S(G3852:G3881)*SQRT($R$3))</f>
        <v>0.297569466758449</v>
      </c>
      <c r="N3881" s="25" t="n">
        <f aca="false">IF(A3881-7&lt;$R$2,"",C3881/INDEX(Clean_Data!$C$2:$C$4314,MATCH(A3881-7,Clean_Data!$A$2:$A$4314,1))-1)</f>
        <v>-0.0736804083925159</v>
      </c>
      <c r="O3881" s="25" t="n">
        <f aca="false">IF(A3881-30&lt;$R$2,"",C3881/INDEX(Clean_Data!$C$2:$C$4314,MATCH(A3881-30,Clean_Data!$A$2:$A$4314,1))-1)</f>
        <v>-0.0268485266688007</v>
      </c>
    </row>
    <row r="3882" customFormat="false" ht="15" hidden="false" customHeight="false" outlineLevel="0" collapsed="false">
      <c r="A3882" s="16" t="n">
        <v>45889</v>
      </c>
      <c r="B3882" s="23" t="n">
        <f aca="false">YEAR(A3882)</f>
        <v>2025</v>
      </c>
      <c r="C3882" s="17" t="n">
        <v>112480.3</v>
      </c>
      <c r="D3882" s="23" t="n">
        <f aca="false">A3882-A3881</f>
        <v>1</v>
      </c>
      <c r="E3882" s="24" t="n">
        <f aca="false">LN(C3882)</f>
        <v>11.6305333741818</v>
      </c>
      <c r="F3882" s="25" t="n">
        <f aca="false">LN(C3882/C3881)</f>
        <v>-0.0158384798002862</v>
      </c>
      <c r="G3882" s="25" t="n">
        <f aca="false">IF(AND(D3882=1,A3882&gt;=$R$2),F3882,"")</f>
        <v>-0.0158384798002862</v>
      </c>
      <c r="H3882" s="27" t="n">
        <f aca="false">IF(G3882="","",G3882^2)</f>
        <v>0.000250857442384074</v>
      </c>
      <c r="I3882" s="25" t="n">
        <f aca="false">IF(G3882="","",C3882/C3881-1)</f>
        <v>-0.0157137106654065</v>
      </c>
      <c r="J3882" s="17" t="n">
        <f aca="false">AVERAGE(C3683:C3882)</f>
        <v>100544.7944</v>
      </c>
      <c r="K3882" s="17" t="n">
        <f aca="false">MAX(K3881,C3882)</f>
        <v>123365.63</v>
      </c>
      <c r="L3882" s="25" t="n">
        <f aca="false">C3882/K3882-1</f>
        <v>-0.0882363264387334</v>
      </c>
      <c r="M3882" s="25" t="n">
        <f aca="false">IF(COUNT(G3853:G3882)&lt;20,"",_xlfn.STDEV.S(G3853:G3882)*SQRT($R$3))</f>
        <v>0.290209238949973</v>
      </c>
      <c r="N3882" s="25" t="n">
        <f aca="false">IF(A3882-7&lt;$R$2,"",C3882/INDEX(Clean_Data!$C$2:$C$4314,MATCH(A3882-7,Clean_Data!$A$2:$A$4314,1))-1)</f>
        <v>-0.0499155374800478</v>
      </c>
      <c r="O3882" s="25" t="n">
        <f aca="false">IF(A3882-30&lt;$R$2,"",C3882/INDEX(Clean_Data!$C$2:$C$4314,MATCH(A3882-30,Clean_Data!$A$2:$A$4314,1))-1)</f>
        <v>-0.0628704913468218</v>
      </c>
    </row>
    <row r="3883" customFormat="false" ht="15" hidden="false" customHeight="false" outlineLevel="0" collapsed="false">
      <c r="A3883" s="16" t="n">
        <v>45890</v>
      </c>
      <c r="B3883" s="23" t="n">
        <f aca="false">YEAR(A3883)</f>
        <v>2025</v>
      </c>
      <c r="C3883" s="17" t="n">
        <v>116908.68</v>
      </c>
      <c r="D3883" s="23" t="n">
        <f aca="false">A3883-A3882</f>
        <v>1</v>
      </c>
      <c r="E3883" s="24" t="n">
        <f aca="false">LN(C3883)</f>
        <v>11.6691483962007</v>
      </c>
      <c r="F3883" s="25" t="n">
        <f aca="false">LN(C3883/C3882)</f>
        <v>0.0386150220188998</v>
      </c>
      <c r="G3883" s="25" t="n">
        <f aca="false">IF(AND(D3883=1,A3883&gt;=$R$2),F3883,"")</f>
        <v>0.0386150220188998</v>
      </c>
      <c r="H3883" s="27" t="n">
        <f aca="false">IF(G3883="","",G3883^2)</f>
        <v>0.00149111992552011</v>
      </c>
      <c r="I3883" s="25" t="n">
        <f aca="false">IF(G3883="","",C3883/C3882-1)</f>
        <v>0.0393702719498437</v>
      </c>
      <c r="J3883" s="17" t="n">
        <f aca="false">AVERAGE(C3684:C3883)</f>
        <v>100622.0368</v>
      </c>
      <c r="K3883" s="17" t="n">
        <f aca="false">MAX(K3882,C3883)</f>
        <v>123365.63</v>
      </c>
      <c r="L3883" s="25" t="n">
        <f aca="false">C3883/K3883-1</f>
        <v>-0.0523399426566379</v>
      </c>
      <c r="M3883" s="25" t="n">
        <f aca="false">IF(COUNT(G3854:G3883)&lt;20,"",_xlfn.STDEV.S(G3854:G3883)*SQRT($R$3))</f>
        <v>0.321471072260786</v>
      </c>
      <c r="N3883" s="25" t="n">
        <f aca="false">IF(A3883-7&lt;$R$2,"",C3883/INDEX(Clean_Data!$C$2:$C$4314,MATCH(A3883-7,Clean_Data!$A$2:$A$4314,1))-1)</f>
        <v>-0.00449841344666968</v>
      </c>
      <c r="O3883" s="25" t="n">
        <f aca="false">IF(A3883-30&lt;$R$2,"",C3883/INDEX(Clean_Data!$C$2:$C$4314,MATCH(A3883-30,Clean_Data!$A$2:$A$4314,1))-1)</f>
        <v>-0.0160066741609577</v>
      </c>
    </row>
    <row r="3884" customFormat="false" ht="15" hidden="false" customHeight="false" outlineLevel="0" collapsed="false">
      <c r="A3884" s="16" t="n">
        <v>45891</v>
      </c>
      <c r="B3884" s="23" t="n">
        <f aca="false">YEAR(A3884)</f>
        <v>2025</v>
      </c>
      <c r="C3884" s="17" t="n">
        <v>115383.87</v>
      </c>
      <c r="D3884" s="23" t="n">
        <f aca="false">A3884-A3883</f>
        <v>1</v>
      </c>
      <c r="E3884" s="24" t="n">
        <f aca="false">LN(C3884)</f>
        <v>11.65601984859</v>
      </c>
      <c r="F3884" s="25" t="n">
        <f aca="false">LN(C3884/C3883)</f>
        <v>-0.013128547610624</v>
      </c>
      <c r="G3884" s="25" t="n">
        <f aca="false">IF(AND(D3884=1,A3884&gt;=$R$2),F3884,"")</f>
        <v>-0.013128547610624</v>
      </c>
      <c r="H3884" s="27" t="n">
        <f aca="false">IF(G3884="","",G3884^2)</f>
        <v>0.00017235876236442</v>
      </c>
      <c r="I3884" s="25" t="n">
        <f aca="false">IF(G3884="","",C3884/C3883-1)</f>
        <v>-0.0130427441315735</v>
      </c>
      <c r="J3884" s="17" t="n">
        <f aca="false">AVERAGE(C3685:C3884)</f>
        <v>100709.9809</v>
      </c>
      <c r="K3884" s="17" t="n">
        <f aca="false">MAX(K3883,C3884)</f>
        <v>123365.63</v>
      </c>
      <c r="L3884" s="25" t="n">
        <f aca="false">C3884/K3884-1</f>
        <v>-0.0647000303082796</v>
      </c>
      <c r="M3884" s="25" t="n">
        <f aca="false">IF(COUNT(G3855:G3884)&lt;20,"",_xlfn.STDEV.S(G3855:G3884)*SQRT($R$3))</f>
        <v>0.324330862579237</v>
      </c>
      <c r="N3884" s="25" t="n">
        <f aca="false">IF(A3884-7&lt;$R$2,"",C3884/INDEX(Clean_Data!$C$2:$C$4314,MATCH(A3884-7,Clean_Data!$A$2:$A$4314,1))-1)</f>
        <v>-0.0176390788423344</v>
      </c>
      <c r="O3884" s="25" t="n">
        <f aca="false">IF(A3884-30&lt;$R$2,"",C3884/INDEX(Clean_Data!$C$2:$C$4314,MATCH(A3884-30,Clean_Data!$A$2:$A$4314,1))-1)</f>
        <v>-0.0254497071886256</v>
      </c>
    </row>
    <row r="3885" customFormat="false" ht="15" hidden="false" customHeight="false" outlineLevel="0" collapsed="false">
      <c r="A3885" s="16" t="n">
        <v>45892</v>
      </c>
      <c r="B3885" s="23" t="n">
        <f aca="false">YEAR(A3885)</f>
        <v>2025</v>
      </c>
      <c r="C3885" s="17" t="n">
        <v>113478</v>
      </c>
      <c r="D3885" s="23" t="n">
        <f aca="false">A3885-A3884</f>
        <v>1</v>
      </c>
      <c r="E3885" s="24" t="n">
        <f aca="false">LN(C3885)</f>
        <v>11.6393642645165</v>
      </c>
      <c r="F3885" s="25" t="n">
        <f aca="false">LN(C3885/C3884)</f>
        <v>-0.0166555840735265</v>
      </c>
      <c r="G3885" s="25" t="n">
        <f aca="false">IF(AND(D3885=1,A3885&gt;=$R$2),F3885,"")</f>
        <v>-0.0166555840735265</v>
      </c>
      <c r="H3885" s="27" t="n">
        <f aca="false">IF(G3885="","",G3885^2)</f>
        <v>0.000277408480830308</v>
      </c>
      <c r="I3885" s="25" t="n">
        <f aca="false">IF(G3885="","",C3885/C3884-1)</f>
        <v>-0.0165176467039977</v>
      </c>
      <c r="J3885" s="17" t="n">
        <f aca="false">AVERAGE(C3686:C3885)</f>
        <v>100794.17925</v>
      </c>
      <c r="K3885" s="17" t="n">
        <f aca="false">MAX(K3884,C3885)</f>
        <v>123365.63</v>
      </c>
      <c r="L3885" s="25" t="n">
        <f aca="false">C3885/K3885-1</f>
        <v>-0.0801489847699072</v>
      </c>
      <c r="M3885" s="25" t="n">
        <f aca="false">IF(COUNT(G3856:G3885)&lt;20,"",_xlfn.STDEV.S(G3856:G3885)*SQRT($R$3))</f>
        <v>0.32846776072512</v>
      </c>
      <c r="N3885" s="25" t="n">
        <f aca="false">IF(A3885-7&lt;$R$2,"",C3885/INDEX(Clean_Data!$C$2:$C$4314,MATCH(A3885-7,Clean_Data!$A$2:$A$4314,1))-1)</f>
        <v>-0.0341360778833011</v>
      </c>
      <c r="O3885" s="25" t="n">
        <f aca="false">IF(A3885-30&lt;$R$2,"",C3885/INDEX(Clean_Data!$C$2:$C$4314,MATCH(A3885-30,Clean_Data!$A$2:$A$4314,1))-1)</f>
        <v>-0.0353239351418183</v>
      </c>
    </row>
    <row r="3886" customFormat="false" ht="15" hidden="false" customHeight="false" outlineLevel="0" collapsed="false">
      <c r="A3886" s="16" t="n">
        <v>45893</v>
      </c>
      <c r="B3886" s="23" t="n">
        <f aca="false">YEAR(A3886)</f>
        <v>2025</v>
      </c>
      <c r="C3886" s="17" t="n">
        <v>110127.74</v>
      </c>
      <c r="D3886" s="23" t="n">
        <f aca="false">A3886-A3885</f>
        <v>1</v>
      </c>
      <c r="E3886" s="24" t="n">
        <f aca="false">LN(C3886)</f>
        <v>11.6093962437462</v>
      </c>
      <c r="F3886" s="25" t="n">
        <f aca="false">LN(C3886/C3885)</f>
        <v>-0.029968020770298</v>
      </c>
      <c r="G3886" s="25" t="n">
        <f aca="false">IF(AND(D3886=1,A3886&gt;=$R$2),F3886,"")</f>
        <v>-0.029968020770298</v>
      </c>
      <c r="H3886" s="27" t="n">
        <f aca="false">IF(G3886="","",G3886^2)</f>
        <v>0.000898082268889012</v>
      </c>
      <c r="I3886" s="25" t="n">
        <f aca="false">IF(G3886="","",C3886/C3885-1)</f>
        <v>-0.0295234318546326</v>
      </c>
      <c r="J3886" s="17" t="n">
        <f aca="false">AVERAGE(C3687:C3886)</f>
        <v>100861.99485</v>
      </c>
      <c r="K3886" s="17" t="n">
        <f aca="false">MAX(K3885,C3886)</f>
        <v>123365.63</v>
      </c>
      <c r="L3886" s="25" t="n">
        <f aca="false">C3886/K3886-1</f>
        <v>-0.107306143534467</v>
      </c>
      <c r="M3886" s="25" t="n">
        <f aca="false">IF(COUNT(G3857:G3886)&lt;20,"",_xlfn.STDEV.S(G3857:G3886)*SQRT($R$3))</f>
        <v>0.343000634874121</v>
      </c>
      <c r="N3886" s="25" t="n">
        <f aca="false">IF(A3886-7&lt;$R$2,"",C3886/INDEX(Clean_Data!$C$2:$C$4314,MATCH(A3886-7,Clean_Data!$A$2:$A$4314,1))-1)</f>
        <v>-0.0529640691683214</v>
      </c>
      <c r="O3886" s="25" t="n">
        <f aca="false">IF(A3886-30&lt;$R$2,"",C3886/INDEX(Clean_Data!$C$2:$C$4314,MATCH(A3886-30,Clean_Data!$A$2:$A$4314,1))-1)</f>
        <v>-0.0664738034695879</v>
      </c>
    </row>
    <row r="3887" customFormat="false" ht="15" hidden="false" customHeight="false" outlineLevel="0" collapsed="false">
      <c r="A3887" s="16" t="n">
        <v>45894</v>
      </c>
      <c r="B3887" s="23" t="n">
        <f aca="false">YEAR(A3887)</f>
        <v>2025</v>
      </c>
      <c r="C3887" s="17" t="n">
        <v>111788.01</v>
      </c>
      <c r="D3887" s="23" t="n">
        <f aca="false">A3887-A3886</f>
        <v>1</v>
      </c>
      <c r="E3887" s="24" t="n">
        <f aca="false">LN(C3887)</f>
        <v>11.6243595888715</v>
      </c>
      <c r="F3887" s="25" t="n">
        <f aca="false">LN(C3887/C3886)</f>
        <v>0.0149633451252587</v>
      </c>
      <c r="G3887" s="25" t="n">
        <f aca="false">IF(AND(D3887=1,A3887&gt;=$R$2),F3887,"")</f>
        <v>0.0149633451252587</v>
      </c>
      <c r="H3887" s="27" t="n">
        <f aca="false">IF(G3887="","",G3887^2)</f>
        <v>0.000223901697337604</v>
      </c>
      <c r="I3887" s="25" t="n">
        <f aca="false">IF(G3887="","",C3887/C3886-1)</f>
        <v>0.0150758564554216</v>
      </c>
      <c r="J3887" s="17" t="n">
        <f aca="false">AVERAGE(C3688:C3887)</f>
        <v>100938.2495</v>
      </c>
      <c r="K3887" s="17" t="n">
        <f aca="false">MAX(K3886,C3887)</f>
        <v>123365.63</v>
      </c>
      <c r="L3887" s="25" t="n">
        <f aca="false">C3887/K3887-1</f>
        <v>-0.0938480190957564</v>
      </c>
      <c r="M3887" s="25" t="n">
        <f aca="false">IF(COUNT(G3858:G3887)&lt;20,"",_xlfn.STDEV.S(G3858:G3887)*SQRT($R$3))</f>
        <v>0.344388109665373</v>
      </c>
      <c r="N3887" s="25" t="n">
        <f aca="false">IF(A3887-7&lt;$R$2,"",C3887/INDEX(Clean_Data!$C$2:$C$4314,MATCH(A3887-7,Clean_Data!$A$2:$A$4314,1))-1)</f>
        <v>-0.00946496598901669</v>
      </c>
      <c r="O3887" s="25" t="n">
        <f aca="false">IF(A3887-30&lt;$R$2,"",C3887/INDEX(Clean_Data!$C$2:$C$4314,MATCH(A3887-30,Clean_Data!$A$2:$A$4314,1))-1)</f>
        <v>-0.0642654884857155</v>
      </c>
    </row>
    <row r="3888" customFormat="false" ht="15" hidden="false" customHeight="false" outlineLevel="0" collapsed="false">
      <c r="A3888" s="16" t="n">
        <v>45895</v>
      </c>
      <c r="B3888" s="23" t="n">
        <f aca="false">YEAR(A3888)</f>
        <v>2025</v>
      </c>
      <c r="C3888" s="17" t="n">
        <v>111253.21</v>
      </c>
      <c r="D3888" s="23" t="n">
        <f aca="false">A3888-A3887</f>
        <v>1</v>
      </c>
      <c r="E3888" s="24" t="n">
        <f aca="false">LN(C3888)</f>
        <v>11.6195640535448</v>
      </c>
      <c r="F3888" s="25" t="n">
        <f aca="false">LN(C3888/C3887)</f>
        <v>-0.00479553532666584</v>
      </c>
      <c r="G3888" s="25" t="n">
        <f aca="false">IF(AND(D3888=1,A3888&gt;=$R$2),F3888,"")</f>
        <v>-0.00479553532666584</v>
      </c>
      <c r="H3888" s="27" t="n">
        <f aca="false">IF(G3888="","",G3888^2)</f>
        <v>2.29971590693001E-005</v>
      </c>
      <c r="I3888" s="25" t="n">
        <f aca="false">IF(G3888="","",C3888/C3887-1)</f>
        <v>-0.00478405510573088</v>
      </c>
      <c r="J3888" s="17" t="n">
        <f aca="false">AVERAGE(C3689:C3888)</f>
        <v>101012.1343</v>
      </c>
      <c r="K3888" s="17" t="n">
        <f aca="false">MAX(K3887,C3888)</f>
        <v>123365.63</v>
      </c>
      <c r="L3888" s="25" t="n">
        <f aca="false">C3888/K3888-1</f>
        <v>-0.0981831001065694</v>
      </c>
      <c r="M3888" s="25" t="n">
        <f aca="false">IF(COUNT(G3859:G3888)&lt;20,"",_xlfn.STDEV.S(G3859:G3888)*SQRT($R$3))</f>
        <v>0.342816926637063</v>
      </c>
      <c r="N3888" s="25" t="n">
        <f aca="false">IF(A3888-7&lt;$R$2,"",C3888/INDEX(Clean_Data!$C$2:$C$4314,MATCH(A3888-7,Clean_Data!$A$2:$A$4314,1))-1)</f>
        <v>-0.0264516608911757</v>
      </c>
      <c r="O3888" s="25" t="n">
        <f aca="false">IF(A3888-30&lt;$R$2,"",C3888/INDEX(Clean_Data!$C$2:$C$4314,MATCH(A3888-30,Clean_Data!$A$2:$A$4314,1))-1)</f>
        <v>-0.0577398656176783</v>
      </c>
    </row>
    <row r="3889" customFormat="false" ht="15" hidden="false" customHeight="false" outlineLevel="0" collapsed="false">
      <c r="A3889" s="16" t="n">
        <v>45896</v>
      </c>
      <c r="B3889" s="23" t="n">
        <f aca="false">YEAR(A3889)</f>
        <v>2025</v>
      </c>
      <c r="C3889" s="17" t="n">
        <v>112574.85</v>
      </c>
      <c r="D3889" s="23" t="n">
        <f aca="false">A3889-A3888</f>
        <v>1</v>
      </c>
      <c r="E3889" s="24" t="n">
        <f aca="false">LN(C3889)</f>
        <v>11.6313736127238</v>
      </c>
      <c r="F3889" s="25" t="n">
        <f aca="false">LN(C3889/C3888)</f>
        <v>0.0118095591790439</v>
      </c>
      <c r="G3889" s="25" t="n">
        <f aca="false">IF(AND(D3889=1,A3889&gt;=$R$2),F3889,"")</f>
        <v>0.0118095591790439</v>
      </c>
      <c r="H3889" s="27" t="n">
        <f aca="false">IF(G3889="","",G3889^2)</f>
        <v>0.000139465688003339</v>
      </c>
      <c r="I3889" s="25" t="n">
        <f aca="false">IF(G3889="","",C3889/C3888-1)</f>
        <v>0.0118795673401244</v>
      </c>
      <c r="J3889" s="17" t="n">
        <f aca="false">AVERAGE(C3690:C3889)</f>
        <v>101092.62945</v>
      </c>
      <c r="K3889" s="17" t="n">
        <f aca="false">MAX(K3888,C3889)</f>
        <v>123365.63</v>
      </c>
      <c r="L3889" s="25" t="n">
        <f aca="false">C3889/K3889-1</f>
        <v>-0.0874699055158231</v>
      </c>
      <c r="M3889" s="25" t="n">
        <f aca="false">IF(COUNT(G3860:G3889)&lt;20,"",_xlfn.STDEV.S(G3860:G3889)*SQRT($R$3))</f>
        <v>0.346177026598222</v>
      </c>
      <c r="N3889" s="25" t="n">
        <f aca="false">IF(A3889-7&lt;$R$2,"",C3889/INDEX(Clean_Data!$C$2:$C$4314,MATCH(A3889-7,Clean_Data!$A$2:$A$4314,1))-1)</f>
        <v>0.000840591641380728</v>
      </c>
      <c r="O3889" s="25" t="n">
        <f aca="false">IF(A3889-30&lt;$R$2,"",C3889/INDEX(Clean_Data!$C$2:$C$4314,MATCH(A3889-30,Clean_Data!$A$2:$A$4314,1))-1)</f>
        <v>-0.0454370047363176</v>
      </c>
    </row>
    <row r="3890" customFormat="false" ht="15" hidden="false" customHeight="false" outlineLevel="0" collapsed="false">
      <c r="A3890" s="16" t="n">
        <v>45897</v>
      </c>
      <c r="B3890" s="23" t="n">
        <f aca="false">YEAR(A3890)</f>
        <v>2025</v>
      </c>
      <c r="C3890" s="17" t="n">
        <v>108378.32</v>
      </c>
      <c r="D3890" s="23" t="n">
        <f aca="false">A3890-A3889</f>
        <v>1</v>
      </c>
      <c r="E3890" s="24" t="n">
        <f aca="false">LN(C3890)</f>
        <v>11.593383347985</v>
      </c>
      <c r="F3890" s="25" t="n">
        <f aca="false">LN(C3890/C3889)</f>
        <v>-0.0379902647388322</v>
      </c>
      <c r="G3890" s="25" t="n">
        <f aca="false">IF(AND(D3890=1,A3890&gt;=$R$2),F3890,"")</f>
        <v>-0.0379902647388322</v>
      </c>
      <c r="H3890" s="27" t="n">
        <f aca="false">IF(G3890="","",G3890^2)</f>
        <v>0.00144326021492656</v>
      </c>
      <c r="I3890" s="25" t="n">
        <f aca="false">IF(G3890="","",C3890/C3889-1)</f>
        <v>-0.0372776868012704</v>
      </c>
      <c r="J3890" s="17" t="n">
        <f aca="false">AVERAGE(C3691:C3890)</f>
        <v>101147.299</v>
      </c>
      <c r="K3890" s="17" t="n">
        <f aca="false">MAX(K3889,C3890)</f>
        <v>123365.63</v>
      </c>
      <c r="L3890" s="25" t="n">
        <f aca="false">C3890/K3890-1</f>
        <v>-0.121486916574738</v>
      </c>
      <c r="M3890" s="25" t="n">
        <f aca="false">IF(COUNT(G3861:G3890)&lt;20,"",_xlfn.STDEV.S(G3861:G3890)*SQRT($R$3))</f>
        <v>0.368738371054517</v>
      </c>
      <c r="N3890" s="25" t="n">
        <f aca="false">IF(A3890-7&lt;$R$2,"",C3890/INDEX(Clean_Data!$C$2:$C$4314,MATCH(A3890-7,Clean_Data!$A$2:$A$4314,1))-1)</f>
        <v>-0.0729660107359008</v>
      </c>
      <c r="O3890" s="25" t="n">
        <f aca="false">IF(A3890-30&lt;$R$2,"",C3890/INDEX(Clean_Data!$C$2:$C$4314,MATCH(A3890-30,Clean_Data!$A$2:$A$4314,1))-1)</f>
        <v>-0.0802157172845829</v>
      </c>
    </row>
    <row r="3891" customFormat="false" ht="15" hidden="false" customHeight="false" outlineLevel="0" collapsed="false">
      <c r="A3891" s="16" t="n">
        <v>45898</v>
      </c>
      <c r="B3891" s="23" t="n">
        <f aca="false">YEAR(A3891)</f>
        <v>2025</v>
      </c>
      <c r="C3891" s="17" t="n">
        <v>108827.93</v>
      </c>
      <c r="D3891" s="23" t="n">
        <f aca="false">A3891-A3890</f>
        <v>1</v>
      </c>
      <c r="E3891" s="24" t="n">
        <f aca="false">LN(C3891)</f>
        <v>11.5975232900185</v>
      </c>
      <c r="F3891" s="25" t="n">
        <f aca="false">LN(C3891/C3890)</f>
        <v>0.00413994203352599</v>
      </c>
      <c r="G3891" s="25" t="n">
        <f aca="false">IF(AND(D3891=1,A3891&gt;=$R$2),F3891,"")</f>
        <v>0.00413994203352599</v>
      </c>
      <c r="H3891" s="27" t="n">
        <f aca="false">IF(G3891="","",G3891^2)</f>
        <v>1.71391200409553E-005</v>
      </c>
      <c r="I3891" s="25" t="n">
        <f aca="false">IF(G3891="","",C3891/C3890-1)</f>
        <v>0.00414852343162342</v>
      </c>
      <c r="J3891" s="17" t="n">
        <f aca="false">AVERAGE(C3692:C3891)</f>
        <v>101212.56825</v>
      </c>
      <c r="K3891" s="17" t="n">
        <f aca="false">MAX(K3890,C3891)</f>
        <v>123365.63</v>
      </c>
      <c r="L3891" s="25" t="n">
        <f aca="false">C3891/K3891-1</f>
        <v>-0.117842384463161</v>
      </c>
      <c r="M3891" s="25" t="n">
        <f aca="false">IF(COUNT(G3862:G3891)&lt;20,"",_xlfn.STDEV.S(G3862:G3891)*SQRT($R$3))</f>
        <v>0.365467809029145</v>
      </c>
      <c r="N3891" s="25" t="n">
        <f aca="false">IF(A3891-7&lt;$R$2,"",C3891/INDEX(Clean_Data!$C$2:$C$4314,MATCH(A3891-7,Clean_Data!$A$2:$A$4314,1))-1)</f>
        <v>-0.0568185137142653</v>
      </c>
      <c r="O3891" s="25" t="n">
        <f aca="false">IF(A3891-30&lt;$R$2,"",C3891/INDEX(Clean_Data!$C$2:$C$4314,MATCH(A3891-30,Clean_Data!$A$2:$A$4314,1))-1)</f>
        <v>-0.0598922971812733</v>
      </c>
    </row>
    <row r="3892" customFormat="false" ht="15" hidden="false" customHeight="false" outlineLevel="0" collapsed="false">
      <c r="A3892" s="16" t="n">
        <v>45899</v>
      </c>
      <c r="B3892" s="23" t="n">
        <f aca="false">YEAR(A3892)</f>
        <v>2025</v>
      </c>
      <c r="C3892" s="17" t="n">
        <v>108247.95</v>
      </c>
      <c r="D3892" s="23" t="n">
        <f aca="false">A3892-A3891</f>
        <v>1</v>
      </c>
      <c r="E3892" s="24" t="n">
        <f aca="false">LN(C3892)</f>
        <v>11.5921797080411</v>
      </c>
      <c r="F3892" s="25" t="n">
        <f aca="false">LN(C3892/C3891)</f>
        <v>-0.00534358197746691</v>
      </c>
      <c r="G3892" s="25" t="n">
        <f aca="false">IF(AND(D3892=1,A3892&gt;=$R$2),F3892,"")</f>
        <v>-0.00534358197746691</v>
      </c>
      <c r="H3892" s="27" t="n">
        <f aca="false">IF(G3892="","",G3892^2)</f>
        <v>2.85538683499092E-005</v>
      </c>
      <c r="I3892" s="25" t="n">
        <f aca="false">IF(G3892="","",C3892/C3891-1)</f>
        <v>-0.0053293304393458</v>
      </c>
      <c r="J3892" s="17" t="n">
        <f aca="false">AVERAGE(C3693:C3892)</f>
        <v>101264.49535</v>
      </c>
      <c r="K3892" s="17" t="n">
        <f aca="false">MAX(K3891,C3892)</f>
        <v>123365.63</v>
      </c>
      <c r="L3892" s="25" t="n">
        <f aca="false">C3892/K3892-1</f>
        <v>-0.122543693895942</v>
      </c>
      <c r="M3892" s="25" t="n">
        <f aca="false">IF(COUNT(G3863:G3892)&lt;20,"",_xlfn.STDEV.S(G3863:G3892)*SQRT($R$3))</f>
        <v>0.358623603004145</v>
      </c>
      <c r="N3892" s="25" t="n">
        <f aca="false">IF(A3892-7&lt;$R$2,"",C3892/INDEX(Clean_Data!$C$2:$C$4314,MATCH(A3892-7,Clean_Data!$A$2:$A$4314,1))-1)</f>
        <v>-0.0460886691693544</v>
      </c>
      <c r="O3892" s="25" t="n">
        <f aca="false">IF(A3892-30&lt;$R$2,"",C3892/INDEX(Clean_Data!$C$2:$C$4314,MATCH(A3892-30,Clean_Data!$A$2:$A$4314,1))-1)</f>
        <v>-0.0441574929802745</v>
      </c>
    </row>
    <row r="3893" customFormat="false" ht="15" hidden="false" customHeight="false" outlineLevel="0" collapsed="false">
      <c r="A3893" s="16" t="n">
        <v>45900</v>
      </c>
      <c r="B3893" s="23" t="n">
        <f aca="false">YEAR(A3893)</f>
        <v>2025</v>
      </c>
      <c r="C3893" s="17" t="n">
        <v>109240.55</v>
      </c>
      <c r="D3893" s="23" t="n">
        <f aca="false">A3893-A3892</f>
        <v>1</v>
      </c>
      <c r="E3893" s="24" t="n">
        <f aca="false">LN(C3893)</f>
        <v>11.6013076103608</v>
      </c>
      <c r="F3893" s="25" t="n">
        <f aca="false">LN(C3893/C3892)</f>
        <v>0.00912790231968449</v>
      </c>
      <c r="G3893" s="25" t="n">
        <f aca="false">IF(AND(D3893=1,A3893&gt;=$R$2),F3893,"")</f>
        <v>0.00912790231968449</v>
      </c>
      <c r="H3893" s="27" t="n">
        <f aca="false">IF(G3893="","",G3893^2)</f>
        <v>8.33186007577014E-005</v>
      </c>
      <c r="I3893" s="25" t="n">
        <f aca="false">IF(G3893="","",C3893/C3892-1)</f>
        <v>0.00916968866384993</v>
      </c>
      <c r="J3893" s="17" t="n">
        <f aca="false">AVERAGE(C3694:C3893)</f>
        <v>101327.57165</v>
      </c>
      <c r="K3893" s="17" t="n">
        <f aca="false">MAX(K3892,C3893)</f>
        <v>123365.63</v>
      </c>
      <c r="L3893" s="25" t="n">
        <f aca="false">C3893/K3893-1</f>
        <v>-0.114497692752836</v>
      </c>
      <c r="M3893" s="25" t="n">
        <f aca="false">IF(COUNT(G3864:G3893)&lt;20,"",_xlfn.STDEV.S(G3864:G3893)*SQRT($R$3))</f>
        <v>0.360070785502737</v>
      </c>
      <c r="N3893" s="25" t="n">
        <f aca="false">IF(A3893-7&lt;$R$2,"",C3893/INDEX(Clean_Data!$C$2:$C$4314,MATCH(A3893-7,Clean_Data!$A$2:$A$4314,1))-1)</f>
        <v>-0.0080560084135024</v>
      </c>
      <c r="O3893" s="25" t="n">
        <f aca="false">IF(A3893-30&lt;$R$2,"",C3893/INDEX(Clean_Data!$C$2:$C$4314,MATCH(A3893-30,Clean_Data!$A$2:$A$4314,1))-1)</f>
        <v>-0.0293416527800905</v>
      </c>
    </row>
    <row r="3894" customFormat="false" ht="15" hidden="false" customHeight="false" outlineLevel="0" collapsed="false">
      <c r="A3894" s="16" t="n">
        <v>45901</v>
      </c>
      <c r="B3894" s="23" t="n">
        <f aca="false">YEAR(A3894)</f>
        <v>2025</v>
      </c>
      <c r="C3894" s="17" t="n">
        <v>111247.94</v>
      </c>
      <c r="D3894" s="23" t="n">
        <f aca="false">A3894-A3893</f>
        <v>1</v>
      </c>
      <c r="E3894" s="24" t="n">
        <f aca="false">LN(C3894)</f>
        <v>11.6195166830031</v>
      </c>
      <c r="F3894" s="25" t="n">
        <f aca="false">LN(C3894/C3893)</f>
        <v>0.0182090726423555</v>
      </c>
      <c r="G3894" s="25" t="n">
        <f aca="false">IF(AND(D3894=1,A3894&gt;=$R$2),F3894,"")</f>
        <v>0.0182090726423555</v>
      </c>
      <c r="H3894" s="27" t="n">
        <f aca="false">IF(G3894="","",G3894^2)</f>
        <v>0.000331570326494578</v>
      </c>
      <c r="I3894" s="25" t="n">
        <f aca="false">IF(G3894="","",C3894/C3893-1)</f>
        <v>0.0183758686678162</v>
      </c>
      <c r="J3894" s="17" t="n">
        <f aca="false">AVERAGE(C3695:C3894)</f>
        <v>101396.2662</v>
      </c>
      <c r="K3894" s="17" t="n">
        <f aca="false">MAX(K3893,C3894)</f>
        <v>123365.63</v>
      </c>
      <c r="L3894" s="25" t="n">
        <f aca="false">C3894/K3894-1</f>
        <v>-0.0982258186498136</v>
      </c>
      <c r="M3894" s="25" t="n">
        <f aca="false">IF(COUNT(G3865:G3894)&lt;20,"",_xlfn.STDEV.S(G3865:G3894)*SQRT($R$3))</f>
        <v>0.362167040814744</v>
      </c>
      <c r="N3894" s="25" t="n">
        <f aca="false">IF(A3894-7&lt;$R$2,"",C3894/INDEX(Clean_Data!$C$2:$C$4314,MATCH(A3894-7,Clean_Data!$A$2:$A$4314,1))-1)</f>
        <v>-0.00483119790753939</v>
      </c>
      <c r="O3894" s="25" t="n">
        <f aca="false">IF(A3894-30&lt;$R$2,"",C3894/INDEX(Clean_Data!$C$2:$C$4314,MATCH(A3894-30,Clean_Data!$A$2:$A$4314,1))-1)</f>
        <v>-0.0259840741726205</v>
      </c>
    </row>
    <row r="3895" customFormat="false" ht="15" hidden="false" customHeight="false" outlineLevel="0" collapsed="false">
      <c r="A3895" s="16" t="n">
        <v>45902</v>
      </c>
      <c r="B3895" s="23" t="n">
        <f aca="false">YEAR(A3895)</f>
        <v>2025</v>
      </c>
      <c r="C3895" s="17" t="n">
        <v>111756.41</v>
      </c>
      <c r="D3895" s="23" t="n">
        <f aca="false">A3895-A3894</f>
        <v>1</v>
      </c>
      <c r="E3895" s="24" t="n">
        <f aca="false">LN(C3895)</f>
        <v>11.6240768710098</v>
      </c>
      <c r="F3895" s="25" t="n">
        <f aca="false">LN(C3895/C3894)</f>
        <v>0.00456018800663907</v>
      </c>
      <c r="G3895" s="25" t="n">
        <f aca="false">IF(AND(D3895=1,A3895&gt;=$R$2),F3895,"")</f>
        <v>0.00456018800663907</v>
      </c>
      <c r="H3895" s="27" t="n">
        <f aca="false">IF(G3895="","",G3895^2)</f>
        <v>2.07953146558949E-005</v>
      </c>
      <c r="I3895" s="25" t="n">
        <f aca="false">IF(G3895="","",C3895/C3894-1)</f>
        <v>0.00457060148709276</v>
      </c>
      <c r="J3895" s="17" t="n">
        <f aca="false">AVERAGE(C3696:C3895)</f>
        <v>101467.06355</v>
      </c>
      <c r="K3895" s="17" t="n">
        <f aca="false">MAX(K3894,C3895)</f>
        <v>123365.63</v>
      </c>
      <c r="L3895" s="25" t="n">
        <f aca="false">C3895/K3895-1</f>
        <v>-0.0941041682355126</v>
      </c>
      <c r="M3895" s="25" t="n">
        <f aca="false">IF(COUNT(G3866:G3895)&lt;20,"",_xlfn.STDEV.S(G3866:G3895)*SQRT($R$3))</f>
        <v>0.361515673328905</v>
      </c>
      <c r="N3895" s="25" t="n">
        <f aca="false">IF(A3895-7&lt;$R$2,"",C3895/INDEX(Clean_Data!$C$2:$C$4314,MATCH(A3895-7,Clean_Data!$A$2:$A$4314,1))-1)</f>
        <v>0.00452301556062973</v>
      </c>
      <c r="O3895" s="25" t="n">
        <f aca="false">IF(A3895-30&lt;$R$2,"",C3895/INDEX(Clean_Data!$C$2:$C$4314,MATCH(A3895-30,Clean_Data!$A$2:$A$4314,1))-1)</f>
        <v>-0.028643085704402</v>
      </c>
    </row>
    <row r="3896" customFormat="false" ht="15" hidden="false" customHeight="false" outlineLevel="0" collapsed="false">
      <c r="A3896" s="16" t="n">
        <v>45903</v>
      </c>
      <c r="B3896" s="23" t="n">
        <f aca="false">YEAR(A3896)</f>
        <v>2025</v>
      </c>
      <c r="C3896" s="17" t="n">
        <v>110720.79</v>
      </c>
      <c r="D3896" s="23" t="n">
        <f aca="false">A3896-A3895</f>
        <v>1</v>
      </c>
      <c r="E3896" s="24" t="n">
        <f aca="false">LN(C3896)</f>
        <v>11.6147669059416</v>
      </c>
      <c r="F3896" s="25" t="n">
        <f aca="false">LN(C3896/C3895)</f>
        <v>-0.00930996506810546</v>
      </c>
      <c r="G3896" s="25" t="n">
        <f aca="false">IF(AND(D3896=1,A3896&gt;=$R$2),F3896,"")</f>
        <v>-0.00930996506810546</v>
      </c>
      <c r="H3896" s="27" t="n">
        <f aca="false">IF(G3896="","",G3896^2)</f>
        <v>8.66754495693439E-005</v>
      </c>
      <c r="I3896" s="25" t="n">
        <f aca="false">IF(G3896="","",C3896/C3895-1)</f>
        <v>-0.00926676152177763</v>
      </c>
      <c r="J3896" s="17" t="n">
        <f aca="false">AVERAGE(C3697:C3896)</f>
        <v>101540.0681</v>
      </c>
      <c r="K3896" s="17" t="n">
        <f aca="false">MAX(K3895,C3896)</f>
        <v>123365.63</v>
      </c>
      <c r="L3896" s="25" t="n">
        <f aca="false">C3896/K3896-1</f>
        <v>-0.102498888872047</v>
      </c>
      <c r="M3896" s="25" t="n">
        <f aca="false">IF(COUNT(G3867:G3896)&lt;20,"",_xlfn.STDEV.S(G3867:G3896)*SQRT($R$3))</f>
        <v>0.361817186833533</v>
      </c>
      <c r="N3896" s="25" t="n">
        <f aca="false">IF(A3896-7&lt;$R$2,"",C3896/INDEX(Clean_Data!$C$2:$C$4314,MATCH(A3896-7,Clean_Data!$A$2:$A$4314,1))-1)</f>
        <v>-0.016469575575717</v>
      </c>
      <c r="O3896" s="25" t="n">
        <f aca="false">IF(A3896-30&lt;$R$2,"",C3896/INDEX(Clean_Data!$C$2:$C$4314,MATCH(A3896-30,Clean_Data!$A$2:$A$4314,1))-1)</f>
        <v>-0.0297263369319609</v>
      </c>
    </row>
    <row r="3897" customFormat="false" ht="15" hidden="false" customHeight="false" outlineLevel="0" collapsed="false">
      <c r="A3897" s="16" t="n">
        <v>45904</v>
      </c>
      <c r="B3897" s="23" t="n">
        <f aca="false">YEAR(A3897)</f>
        <v>2025</v>
      </c>
      <c r="C3897" s="17" t="n">
        <v>110670.02</v>
      </c>
      <c r="D3897" s="23" t="n">
        <f aca="false">A3897-A3896</f>
        <v>1</v>
      </c>
      <c r="E3897" s="24" t="n">
        <f aca="false">LN(C3897)</f>
        <v>11.6143082599763</v>
      </c>
      <c r="F3897" s="25" t="n">
        <f aca="false">LN(C3897/C3896)</f>
        <v>-0.000458645965385591</v>
      </c>
      <c r="G3897" s="25" t="n">
        <f aca="false">IF(AND(D3897=1,A3897&gt;=$R$2),F3897,"")</f>
        <v>-0.000458645965385591</v>
      </c>
      <c r="H3897" s="27" t="n">
        <f aca="false">IF(G3897="","",G3897^2)</f>
        <v>2.10356121564481E-007</v>
      </c>
      <c r="I3897" s="25" t="n">
        <f aca="false">IF(G3897="","",C3897/C3896-1)</f>
        <v>-0.000458540803402796</v>
      </c>
      <c r="J3897" s="17" t="n">
        <f aca="false">AVERAGE(C3698:C3897)</f>
        <v>101614.5092</v>
      </c>
      <c r="K3897" s="17" t="n">
        <f aca="false">MAX(K3896,C3897)</f>
        <v>123365.63</v>
      </c>
      <c r="L3897" s="25" t="n">
        <f aca="false">C3897/K3897-1</f>
        <v>-0.102910429752598</v>
      </c>
      <c r="M3897" s="25" t="n">
        <f aca="false">IF(COUNT(G3868:G3897)&lt;20,"",_xlfn.STDEV.S(G3868:G3897)*SQRT($R$3))</f>
        <v>0.360369254490284</v>
      </c>
      <c r="N3897" s="25" t="n">
        <f aca="false">IF(A3897-7&lt;$R$2,"",C3897/INDEX(Clean_Data!$C$2:$C$4314,MATCH(A3897-7,Clean_Data!$A$2:$A$4314,1))-1)</f>
        <v>0.0211453729860362</v>
      </c>
      <c r="O3897" s="25" t="n">
        <f aca="false">IF(A3897-30&lt;$R$2,"",C3897/INDEX(Clean_Data!$C$2:$C$4314,MATCH(A3897-30,Clean_Data!$A$2:$A$4314,1))-1)</f>
        <v>-0.0378931959926916</v>
      </c>
    </row>
    <row r="3898" customFormat="false" ht="15" hidden="false" customHeight="false" outlineLevel="0" collapsed="false">
      <c r="A3898" s="16" t="n">
        <v>45905</v>
      </c>
      <c r="B3898" s="23" t="n">
        <f aca="false">YEAR(A3898)</f>
        <v>2025</v>
      </c>
      <c r="C3898" s="17" t="n">
        <v>110212.6</v>
      </c>
      <c r="D3898" s="23" t="n">
        <f aca="false">A3898-A3897</f>
        <v>1</v>
      </c>
      <c r="E3898" s="24" t="n">
        <f aca="false">LN(C3898)</f>
        <v>11.610166506733</v>
      </c>
      <c r="F3898" s="25" t="n">
        <f aca="false">LN(C3898/C3897)</f>
        <v>-0.00414175324329527</v>
      </c>
      <c r="G3898" s="25" t="n">
        <f aca="false">IF(AND(D3898=1,A3898&gt;=$R$2),F3898,"")</f>
        <v>-0.00414175324329527</v>
      </c>
      <c r="H3898" s="27" t="n">
        <f aca="false">IF(G3898="","",G3898^2)</f>
        <v>1.71541199283469E-005</v>
      </c>
      <c r="I3898" s="25" t="n">
        <f aca="false">IF(G3898="","",C3898/C3897-1)</f>
        <v>-0.00413318801243556</v>
      </c>
      <c r="J3898" s="17" t="n">
        <f aca="false">AVERAGE(C3699:C3898)</f>
        <v>101687.5352</v>
      </c>
      <c r="K3898" s="17" t="n">
        <f aca="false">MAX(K3897,C3898)</f>
        <v>123365.63</v>
      </c>
      <c r="L3898" s="25" t="n">
        <f aca="false">C3898/K3898-1</f>
        <v>-0.106618269610426</v>
      </c>
      <c r="M3898" s="25" t="n">
        <f aca="false">IF(COUNT(G3869:G3898)&lt;20,"",_xlfn.STDEV.S(G3869:G3898)*SQRT($R$3))</f>
        <v>0.351032496540094</v>
      </c>
      <c r="N3898" s="25" t="n">
        <f aca="false">IF(A3898-7&lt;$R$2,"",C3898/INDEX(Clean_Data!$C$2:$C$4314,MATCH(A3898-7,Clean_Data!$A$2:$A$4314,1))-1)</f>
        <v>0.0127234800845704</v>
      </c>
      <c r="O3898" s="25" t="n">
        <f aca="false">IF(A3898-30&lt;$R$2,"",C3898/INDEX(Clean_Data!$C$2:$C$4314,MATCH(A3898-30,Clean_Data!$A$2:$A$4314,1))-1)</f>
        <v>-0.0621440628805615</v>
      </c>
    </row>
    <row r="3899" customFormat="false" ht="15" hidden="false" customHeight="false" outlineLevel="0" collapsed="false">
      <c r="A3899" s="16" t="n">
        <v>45906</v>
      </c>
      <c r="B3899" s="23" t="n">
        <f aca="false">YEAR(A3899)</f>
        <v>2025</v>
      </c>
      <c r="C3899" s="17" t="n">
        <v>111129.61</v>
      </c>
      <c r="D3899" s="23" t="n">
        <f aca="false">A3899-A3898</f>
        <v>1</v>
      </c>
      <c r="E3899" s="24" t="n">
        <f aca="false">LN(C3899)</f>
        <v>11.6184524567701</v>
      </c>
      <c r="F3899" s="25" t="n">
        <f aca="false">LN(C3899/C3898)</f>
        <v>0.00828595003716501</v>
      </c>
      <c r="G3899" s="25" t="n">
        <f aca="false">IF(AND(D3899=1,A3899&gt;=$R$2),F3899,"")</f>
        <v>0.00828595003716501</v>
      </c>
      <c r="H3899" s="27" t="n">
        <f aca="false">IF(G3899="","",G3899^2)</f>
        <v>6.86569680183948E-005</v>
      </c>
      <c r="I3899" s="25" t="n">
        <f aca="false">IF(G3899="","",C3899/C3898-1)</f>
        <v>0.00832037353260873</v>
      </c>
      <c r="J3899" s="17" t="n">
        <f aca="false">AVERAGE(C3700:C3899)</f>
        <v>101760.0231</v>
      </c>
      <c r="K3899" s="17" t="n">
        <f aca="false">MAX(K3898,C3899)</f>
        <v>123365.63</v>
      </c>
      <c r="L3899" s="25" t="n">
        <f aca="false">C3899/K3899-1</f>
        <v>-0.0991849999063759</v>
      </c>
      <c r="M3899" s="25" t="n">
        <f aca="false">IF(COUNT(G3870:G3899)&lt;20,"",_xlfn.STDEV.S(G3870:G3899)*SQRT($R$3))</f>
        <v>0.352394812017232</v>
      </c>
      <c r="N3899" s="25" t="n">
        <f aca="false">IF(A3899-7&lt;$R$2,"",C3899/INDEX(Clean_Data!$C$2:$C$4314,MATCH(A3899-7,Clean_Data!$A$2:$A$4314,1))-1)</f>
        <v>0.0266209198419001</v>
      </c>
      <c r="O3899" s="25" t="n">
        <f aca="false">IF(A3899-30&lt;$R$2,"",C3899/INDEX(Clean_Data!$C$2:$C$4314,MATCH(A3899-30,Clean_Data!$A$2:$A$4314,1))-1)</f>
        <v>-0.0476002707831139</v>
      </c>
    </row>
    <row r="3900" customFormat="false" ht="15" hidden="false" customHeight="false" outlineLevel="0" collapsed="false">
      <c r="A3900" s="16" t="n">
        <v>45907</v>
      </c>
      <c r="B3900" s="23" t="n">
        <f aca="false">YEAR(A3900)</f>
        <v>2025</v>
      </c>
      <c r="C3900" s="17" t="n">
        <v>112072.57</v>
      </c>
      <c r="D3900" s="23" t="n">
        <f aca="false">A3900-A3899</f>
        <v>1</v>
      </c>
      <c r="E3900" s="24" t="n">
        <f aca="false">LN(C3900)</f>
        <v>11.6269018868791</v>
      </c>
      <c r="F3900" s="25" t="n">
        <f aca="false">LN(C3900/C3899)</f>
        <v>0.00844943010901582</v>
      </c>
      <c r="G3900" s="25" t="n">
        <f aca="false">IF(AND(D3900=1,A3900&gt;=$R$2),F3900,"")</f>
        <v>0.00844943010901582</v>
      </c>
      <c r="H3900" s="27" t="n">
        <f aca="false">IF(G3900="","",G3900^2)</f>
        <v>7.1392869167143E-005</v>
      </c>
      <c r="I3900" s="25" t="n">
        <f aca="false">IF(G3900="","",C3900/C3899-1)</f>
        <v>0.00848522729450774</v>
      </c>
      <c r="J3900" s="17" t="n">
        <f aca="false">AVERAGE(C3701:C3900)</f>
        <v>101828.64995</v>
      </c>
      <c r="K3900" s="17" t="n">
        <f aca="false">MAX(K3899,C3900)</f>
        <v>123365.63</v>
      </c>
      <c r="L3900" s="25" t="n">
        <f aca="false">C3900/K3900-1</f>
        <v>-0.0915413798802794</v>
      </c>
      <c r="M3900" s="25" t="n">
        <f aca="false">IF(COUNT(G3871:G3900)&lt;20,"",_xlfn.STDEV.S(G3871:G3900)*SQRT($R$3))</f>
        <v>0.354142607719081</v>
      </c>
      <c r="N3900" s="25" t="n">
        <f aca="false">IF(A3900-7&lt;$R$2,"",C3900/INDEX(Clean_Data!$C$2:$C$4314,MATCH(A3900-7,Clean_Data!$A$2:$A$4314,1))-1)</f>
        <v>0.0259246223128682</v>
      </c>
      <c r="O3900" s="25" t="n">
        <f aca="false">IF(A3900-30&lt;$R$2,"",C3900/INDEX(Clean_Data!$C$2:$C$4314,MATCH(A3900-30,Clean_Data!$A$2:$A$4314,1))-1)</f>
        <v>-0.0379418384924489</v>
      </c>
    </row>
    <row r="3901" customFormat="false" ht="15" hidden="false" customHeight="false" outlineLevel="0" collapsed="false">
      <c r="A3901" s="16" t="n">
        <v>45908</v>
      </c>
      <c r="B3901" s="23" t="n">
        <f aca="false">YEAR(A3901)</f>
        <v>2025</v>
      </c>
      <c r="C3901" s="17" t="n">
        <v>111549.32</v>
      </c>
      <c r="D3901" s="23" t="n">
        <f aca="false">A3901-A3900</f>
        <v>1</v>
      </c>
      <c r="E3901" s="24" t="n">
        <f aca="false">LN(C3901)</f>
        <v>11.622222103921</v>
      </c>
      <c r="F3901" s="25" t="n">
        <f aca="false">LN(C3901/C3900)</f>
        <v>-0.00467978295816184</v>
      </c>
      <c r="G3901" s="25" t="n">
        <f aca="false">IF(AND(D3901=1,A3901&gt;=$R$2),F3901,"")</f>
        <v>-0.00467978295816184</v>
      </c>
      <c r="H3901" s="27" t="n">
        <f aca="false">IF(G3901="","",G3901^2)</f>
        <v>2.19003685355019E-005</v>
      </c>
      <c r="I3901" s="25" t="n">
        <f aca="false">IF(G3901="","",C3901/C3900-1)</f>
        <v>-0.00466884983542359</v>
      </c>
      <c r="J3901" s="17" t="n">
        <f aca="false">AVERAGE(C3702:C3901)</f>
        <v>101905.6114</v>
      </c>
      <c r="K3901" s="17" t="n">
        <f aca="false">MAX(K3900,C3901)</f>
        <v>123365.63</v>
      </c>
      <c r="L3901" s="25" t="n">
        <f aca="false">C3901/K3901-1</f>
        <v>-0.0957828367593145</v>
      </c>
      <c r="M3901" s="25" t="n">
        <f aca="false">IF(COUNT(G3872:G3901)&lt;20,"",_xlfn.STDEV.S(G3872:G3901)*SQRT($R$3))</f>
        <v>0.342399876081595</v>
      </c>
      <c r="N3901" s="25" t="n">
        <f aca="false">IF(A3901-7&lt;$R$2,"",C3901/INDEX(Clean_Data!$C$2:$C$4314,MATCH(A3901-7,Clean_Data!$A$2:$A$4314,1))-1)</f>
        <v>0.00270908387157554</v>
      </c>
      <c r="O3901" s="25" t="n">
        <f aca="false">IF(A3901-30&lt;$R$2,"",C3901/INDEX(Clean_Data!$C$2:$C$4314,MATCH(A3901-30,Clean_Data!$A$2:$A$4314,1))-1)</f>
        <v>-0.0650414129250703</v>
      </c>
    </row>
    <row r="3902" customFormat="false" ht="15" hidden="false" customHeight="false" outlineLevel="0" collapsed="false">
      <c r="A3902" s="16" t="n">
        <v>45909</v>
      </c>
      <c r="B3902" s="23" t="n">
        <f aca="false">YEAR(A3902)</f>
        <v>2025</v>
      </c>
      <c r="C3902" s="17" t="n">
        <v>113983.97</v>
      </c>
      <c r="D3902" s="23" t="n">
        <f aca="false">A3902-A3901</f>
        <v>1</v>
      </c>
      <c r="E3902" s="24" t="n">
        <f aca="false">LN(C3902)</f>
        <v>11.6438131034545</v>
      </c>
      <c r="F3902" s="25" t="n">
        <f aca="false">LN(C3902/C3901)</f>
        <v>0.0215909995334776</v>
      </c>
      <c r="G3902" s="25" t="n">
        <f aca="false">IF(AND(D3902=1,A3902&gt;=$R$2),F3902,"")</f>
        <v>0.0215909995334776</v>
      </c>
      <c r="H3902" s="27" t="n">
        <f aca="false">IF(G3902="","",G3902^2)</f>
        <v>0.000466171260854631</v>
      </c>
      <c r="I3902" s="25" t="n">
        <f aca="false">IF(G3902="","",C3902/C3901-1)</f>
        <v>0.0218257717752111</v>
      </c>
      <c r="J3902" s="17" t="n">
        <f aca="false">AVERAGE(C3703:C3902)</f>
        <v>101992.62065</v>
      </c>
      <c r="K3902" s="17" t="n">
        <f aca="false">MAX(K3901,C3902)</f>
        <v>123365.63</v>
      </c>
      <c r="L3902" s="25" t="n">
        <f aca="false">C3902/K3902-1</f>
        <v>-0.0760475993191945</v>
      </c>
      <c r="M3902" s="25" t="n">
        <f aca="false">IF(COUNT(G3873:G3902)&lt;20,"",_xlfn.STDEV.S(G3873:G3902)*SQRT($R$3))</f>
        <v>0.352114278897447</v>
      </c>
      <c r="N3902" s="25" t="n">
        <f aca="false">IF(A3902-7&lt;$R$2,"",C3902/INDEX(Clean_Data!$C$2:$C$4314,MATCH(A3902-7,Clean_Data!$A$2:$A$4314,1))-1)</f>
        <v>0.0199322794996726</v>
      </c>
      <c r="O3902" s="25" t="n">
        <f aca="false">IF(A3902-30&lt;$R$2,"",C3902/INDEX(Clean_Data!$C$2:$C$4314,MATCH(A3902-30,Clean_Data!$A$2:$A$4314,1))-1)</f>
        <v>-0.0397455507008148</v>
      </c>
    </row>
    <row r="3903" customFormat="false" ht="15" hidden="false" customHeight="false" outlineLevel="0" collapsed="false">
      <c r="A3903" s="16" t="n">
        <v>45910</v>
      </c>
      <c r="B3903" s="23" t="n">
        <f aca="false">YEAR(A3903)</f>
        <v>2025</v>
      </c>
      <c r="C3903" s="17" t="n">
        <v>115540</v>
      </c>
      <c r="D3903" s="23" t="n">
        <f aca="false">A3903-A3902</f>
        <v>1</v>
      </c>
      <c r="E3903" s="24" t="n">
        <f aca="false">LN(C3903)</f>
        <v>11.6573720693353</v>
      </c>
      <c r="F3903" s="25" t="n">
        <f aca="false">LN(C3903/C3902)</f>
        <v>0.013558965880792</v>
      </c>
      <c r="G3903" s="25" t="n">
        <f aca="false">IF(AND(D3903=1,A3903&gt;=$R$2),F3903,"")</f>
        <v>0.013558965880792</v>
      </c>
      <c r="H3903" s="27" t="n">
        <f aca="false">IF(G3903="","",G3903^2)</f>
        <v>0.000183845555756483</v>
      </c>
      <c r="I3903" s="25" t="n">
        <f aca="false">IF(G3903="","",C3903/C3902-1)</f>
        <v>0.0136513055300671</v>
      </c>
      <c r="J3903" s="17" t="n">
        <f aca="false">AVERAGE(C3704:C3903)</f>
        <v>102088.99075</v>
      </c>
      <c r="K3903" s="17" t="n">
        <f aca="false">MAX(K3902,C3903)</f>
        <v>123365.63</v>
      </c>
      <c r="L3903" s="25" t="n">
        <f aca="false">C3903/K3903-1</f>
        <v>-0.0634344428022619</v>
      </c>
      <c r="M3903" s="25" t="n">
        <f aca="false">IF(COUNT(G3874:G3903)&lt;20,"",_xlfn.STDEV.S(G3874:G3903)*SQRT($R$3))</f>
        <v>0.352984355535</v>
      </c>
      <c r="N3903" s="25" t="n">
        <f aca="false">IF(A3903-7&lt;$R$2,"",C3903/INDEX(Clean_Data!$C$2:$C$4314,MATCH(A3903-7,Clean_Data!$A$2:$A$4314,1))-1)</f>
        <v>0.0435257913170599</v>
      </c>
      <c r="O3903" s="25" t="n">
        <f aca="false">IF(A3903-30&lt;$R$2,"",C3903/INDEX(Clean_Data!$C$2:$C$4314,MATCH(A3903-30,Clean_Data!$A$2:$A$4314,1))-1)</f>
        <v>-0.0380739232780282</v>
      </c>
    </row>
    <row r="3904" customFormat="false" ht="15" hidden="false" customHeight="false" outlineLevel="0" collapsed="false">
      <c r="A3904" s="16" t="n">
        <v>45911</v>
      </c>
      <c r="B3904" s="23" t="n">
        <f aca="false">YEAR(A3904)</f>
        <v>2025</v>
      </c>
      <c r="C3904" s="17" t="n">
        <v>116106.03</v>
      </c>
      <c r="D3904" s="23" t="n">
        <f aca="false">A3904-A3903</f>
        <v>1</v>
      </c>
      <c r="E3904" s="24" t="n">
        <f aca="false">LN(C3904)</f>
        <v>11.6622591043217</v>
      </c>
      <c r="F3904" s="25" t="n">
        <f aca="false">LN(C3904/C3903)</f>
        <v>0.00488703498649214</v>
      </c>
      <c r="G3904" s="25" t="n">
        <f aca="false">IF(AND(D3904=1,A3904&gt;=$R$2),F3904,"")</f>
        <v>0.00488703498649214</v>
      </c>
      <c r="H3904" s="27" t="n">
        <f aca="false">IF(G3904="","",G3904^2)</f>
        <v>2.38831109591983E-005</v>
      </c>
      <c r="I3904" s="25" t="n">
        <f aca="false">IF(G3904="","",C3904/C3903-1)</f>
        <v>0.00489899601869492</v>
      </c>
      <c r="J3904" s="17" t="n">
        <f aca="false">AVERAGE(C3705:C3904)</f>
        <v>102211.9668</v>
      </c>
      <c r="K3904" s="17" t="n">
        <f aca="false">MAX(K3903,C3904)</f>
        <v>123365.63</v>
      </c>
      <c r="L3904" s="25" t="n">
        <f aca="false">C3904/K3904-1</f>
        <v>-0.0588462118663035</v>
      </c>
      <c r="M3904" s="25" t="n">
        <f aca="false">IF(COUNT(G3875:G3904)&lt;20,"",_xlfn.STDEV.S(G3875:G3904)*SQRT($R$3))</f>
        <v>0.339120629709537</v>
      </c>
      <c r="N3904" s="25" t="n">
        <f aca="false">IF(A3904-7&lt;$R$2,"",C3904/INDEX(Clean_Data!$C$2:$C$4314,MATCH(A3904-7,Clean_Data!$A$2:$A$4314,1))-1)</f>
        <v>0.0491190839217341</v>
      </c>
      <c r="O3904" s="25" t="n">
        <f aca="false">IF(A3904-30&lt;$R$2,"",C3904/INDEX(Clean_Data!$C$2:$C$4314,MATCH(A3904-30,Clean_Data!$A$2:$A$4314,1))-1)</f>
        <v>-0.0588462118663035</v>
      </c>
    </row>
    <row r="3905" customFormat="false" ht="15" hidden="false" customHeight="false" outlineLevel="0" collapsed="false">
      <c r="A3905" s="16" t="n">
        <v>45912</v>
      </c>
      <c r="B3905" s="23" t="n">
        <f aca="false">YEAR(A3905)</f>
        <v>2025</v>
      </c>
      <c r="C3905" s="17" t="n">
        <v>115968.35</v>
      </c>
      <c r="D3905" s="23" t="n">
        <f aca="false">A3905-A3904</f>
        <v>1</v>
      </c>
      <c r="E3905" s="24" t="n">
        <f aca="false">LN(C3905)</f>
        <v>11.661072588032</v>
      </c>
      <c r="F3905" s="25" t="n">
        <f aca="false">LN(C3905/C3904)</f>
        <v>-0.00118651628975494</v>
      </c>
      <c r="G3905" s="25" t="n">
        <f aca="false">IF(AND(D3905=1,A3905&gt;=$R$2),F3905,"")</f>
        <v>-0.00118651628975494</v>
      </c>
      <c r="H3905" s="27" t="n">
        <f aca="false">IF(G3905="","",G3905^2)</f>
        <v>1.40782090585383E-006</v>
      </c>
      <c r="I3905" s="25" t="n">
        <f aca="false">IF(G3905="","",C3905/C3904-1)</f>
        <v>-0.00118581265761986</v>
      </c>
      <c r="J3905" s="17" t="n">
        <f aca="false">AVERAGE(C3706:C3905)</f>
        <v>102348.88985</v>
      </c>
      <c r="K3905" s="17" t="n">
        <f aca="false">MAX(K3904,C3905)</f>
        <v>123365.63</v>
      </c>
      <c r="L3905" s="25" t="n">
        <f aca="false">C3905/K3905-1</f>
        <v>-0.0599622439410393</v>
      </c>
      <c r="M3905" s="25" t="n">
        <f aca="false">IF(COUNT(G3876:G3905)&lt;20,"",_xlfn.STDEV.S(G3876:G3905)*SQRT($R$3))</f>
        <v>0.308303817555557</v>
      </c>
      <c r="N3905" s="25" t="n">
        <f aca="false">IF(A3905-7&lt;$R$2,"",C3905/INDEX(Clean_Data!$C$2:$C$4314,MATCH(A3905-7,Clean_Data!$A$2:$A$4314,1))-1)</f>
        <v>0.0522240651250401</v>
      </c>
      <c r="O3905" s="25" t="n">
        <f aca="false">IF(A3905-30&lt;$R$2,"",C3905/INDEX(Clean_Data!$C$2:$C$4314,MATCH(A3905-30,Clean_Data!$A$2:$A$4314,1))-1)</f>
        <v>-0.0204531150870357</v>
      </c>
    </row>
    <row r="3906" customFormat="false" ht="15" hidden="false" customHeight="false" outlineLevel="0" collapsed="false">
      <c r="A3906" s="16" t="n">
        <v>45913</v>
      </c>
      <c r="B3906" s="23" t="n">
        <f aca="false">YEAR(A3906)</f>
        <v>2025</v>
      </c>
      <c r="C3906" s="17" t="n">
        <v>115314.13</v>
      </c>
      <c r="D3906" s="23" t="n">
        <f aca="false">A3906-A3905</f>
        <v>1</v>
      </c>
      <c r="E3906" s="24" t="n">
        <f aca="false">LN(C3906)</f>
        <v>11.6554152486184</v>
      </c>
      <c r="F3906" s="25" t="n">
        <f aca="false">LN(C3906/C3905)</f>
        <v>-0.00565733941356043</v>
      </c>
      <c r="G3906" s="25" t="n">
        <f aca="false">IF(AND(D3906=1,A3906&gt;=$R$2),F3906,"")</f>
        <v>-0.00565733941356043</v>
      </c>
      <c r="H3906" s="27" t="n">
        <f aca="false">IF(G3906="","",G3906^2)</f>
        <v>3.20054892402243E-005</v>
      </c>
      <c r="I3906" s="25" t="n">
        <f aca="false">IF(G3906="","",C3906/C3905-1)</f>
        <v>-0.00564136680395988</v>
      </c>
      <c r="J3906" s="17" t="n">
        <f aca="false">AVERAGE(C3707:C3906)</f>
        <v>102504.9016</v>
      </c>
      <c r="K3906" s="17" t="n">
        <f aca="false">MAX(K3905,C3906)</f>
        <v>123365.63</v>
      </c>
      <c r="L3906" s="25" t="n">
        <f aca="false">C3906/K3906-1</f>
        <v>-0.0652653417325393</v>
      </c>
      <c r="M3906" s="25" t="n">
        <f aca="false">IF(COUNT(G3877:G3906)&lt;20,"",_xlfn.STDEV.S(G3877:G3906)*SQRT($R$3))</f>
        <v>0.30768776004327</v>
      </c>
      <c r="N3906" s="25" t="n">
        <f aca="false">IF(A3906-7&lt;$R$2,"",C3906/INDEX(Clean_Data!$C$2:$C$4314,MATCH(A3906-7,Clean_Data!$A$2:$A$4314,1))-1)</f>
        <v>0.0376544109171264</v>
      </c>
      <c r="O3906" s="25" t="n">
        <f aca="false">IF(A3906-30&lt;$R$2,"",C3906/INDEX(Clean_Data!$C$2:$C$4314,MATCH(A3906-30,Clean_Data!$A$2:$A$4314,1))-1)</f>
        <v>-0.0180763364446763</v>
      </c>
    </row>
    <row r="3907" customFormat="false" ht="15" hidden="false" customHeight="false" outlineLevel="0" collapsed="false">
      <c r="A3907" s="16" t="n">
        <v>45914</v>
      </c>
      <c r="B3907" s="23" t="n">
        <f aca="false">YEAR(A3907)</f>
        <v>2025</v>
      </c>
      <c r="C3907" s="17" t="n">
        <v>115381.08</v>
      </c>
      <c r="D3907" s="23" t="n">
        <f aca="false">A3907-A3906</f>
        <v>1</v>
      </c>
      <c r="E3907" s="24" t="n">
        <f aca="false">LN(C3907)</f>
        <v>11.6559956681415</v>
      </c>
      <c r="F3907" s="25" t="n">
        <f aca="false">LN(C3907/C3906)</f>
        <v>0.000580419523054307</v>
      </c>
      <c r="G3907" s="25" t="n">
        <f aca="false">IF(AND(D3907=1,A3907&gt;=$R$2),F3907,"")</f>
        <v>0.000580419523054307</v>
      </c>
      <c r="H3907" s="27" t="n">
        <f aca="false">IF(G3907="","",G3907^2)</f>
        <v>3.3688682274259E-007</v>
      </c>
      <c r="I3907" s="25" t="n">
        <f aca="false">IF(G3907="","",C3907/C3906-1)</f>
        <v>0.00058058799905969</v>
      </c>
      <c r="J3907" s="17" t="n">
        <f aca="false">AVERAGE(C3708:C3907)</f>
        <v>102658.68105</v>
      </c>
      <c r="K3907" s="17" t="n">
        <f aca="false">MAX(K3906,C3907)</f>
        <v>123365.63</v>
      </c>
      <c r="L3907" s="25" t="n">
        <f aca="false">C3907/K3907-1</f>
        <v>-0.0647226460076441</v>
      </c>
      <c r="M3907" s="25" t="n">
        <f aca="false">IF(COUNT(G3878:G3907)&lt;20,"",_xlfn.STDEV.S(G3878:G3907)*SQRT($R$3))</f>
        <v>0.307704481659915</v>
      </c>
      <c r="N3907" s="25" t="n">
        <f aca="false">IF(A3907-7&lt;$R$2,"",C3907/INDEX(Clean_Data!$C$2:$C$4314,MATCH(A3907-7,Clean_Data!$A$2:$A$4314,1))-1)</f>
        <v>0.029521139740081</v>
      </c>
      <c r="O3907" s="25" t="n">
        <f aca="false">IF(A3907-30&lt;$R$2,"",C3907/INDEX(Clean_Data!$C$2:$C$4314,MATCH(A3907-30,Clean_Data!$A$2:$A$4314,1))-1)</f>
        <v>-0.0176628324828565</v>
      </c>
    </row>
    <row r="3908" customFormat="false" ht="15" hidden="false" customHeight="false" outlineLevel="0" collapsed="false">
      <c r="A3908" s="16" t="n">
        <v>45915</v>
      </c>
      <c r="B3908" s="23" t="n">
        <f aca="false">YEAR(A3908)</f>
        <v>2025</v>
      </c>
      <c r="C3908" s="17" t="n">
        <v>116832.56</v>
      </c>
      <c r="D3908" s="23" t="n">
        <f aca="false">A3908-A3907</f>
        <v>1</v>
      </c>
      <c r="E3908" s="24" t="n">
        <f aca="false">LN(C3908)</f>
        <v>11.6684970776512</v>
      </c>
      <c r="F3908" s="25" t="n">
        <f aca="false">LN(C3908/C3907)</f>
        <v>0.0125014095097291</v>
      </c>
      <c r="G3908" s="25" t="n">
        <f aca="false">IF(AND(D3908=1,A3908&gt;=$R$2),F3908,"")</f>
        <v>0.0125014095097291</v>
      </c>
      <c r="H3908" s="27" t="n">
        <f aca="false">IF(G3908="","",G3908^2)</f>
        <v>0.000156285239729944</v>
      </c>
      <c r="I3908" s="25" t="n">
        <f aca="false">IF(G3908="","",C3908/C3907-1)</f>
        <v>0.0125798787808191</v>
      </c>
      <c r="J3908" s="17" t="n">
        <f aca="false">AVERAGE(C3709:C3908)</f>
        <v>102821.3552</v>
      </c>
      <c r="K3908" s="17" t="n">
        <f aca="false">MAX(K3907,C3908)</f>
        <v>123365.63</v>
      </c>
      <c r="L3908" s="25" t="n">
        <f aca="false">C3908/K3908-1</f>
        <v>-0.052956970267975</v>
      </c>
      <c r="M3908" s="25" t="n">
        <f aca="false">IF(COUNT(G3879:G3908)&lt;20,"",_xlfn.STDEV.S(G3879:G3908)*SQRT($R$3))</f>
        <v>0.311075842352712</v>
      </c>
      <c r="N3908" s="25" t="n">
        <f aca="false">IF(A3908-7&lt;$R$2,"",C3908/INDEX(Clean_Data!$C$2:$C$4314,MATCH(A3908-7,Clean_Data!$A$2:$A$4314,1))-1)</f>
        <v>0.0473623685021118</v>
      </c>
      <c r="O3908" s="25" t="n">
        <f aca="false">IF(A3908-30&lt;$R$2,"",C3908/INDEX(Clean_Data!$C$2:$C$4314,MATCH(A3908-30,Clean_Data!$A$2:$A$4314,1))-1)</f>
        <v>-0.00558386090224927</v>
      </c>
    </row>
    <row r="3909" customFormat="false" ht="15" hidden="false" customHeight="false" outlineLevel="0" collapsed="false">
      <c r="A3909" s="16" t="n">
        <v>45916</v>
      </c>
      <c r="B3909" s="23" t="n">
        <f aca="false">YEAR(A3909)</f>
        <v>2025</v>
      </c>
      <c r="C3909" s="17" t="n">
        <v>116484.4</v>
      </c>
      <c r="D3909" s="23" t="n">
        <f aca="false">A3909-A3908</f>
        <v>1</v>
      </c>
      <c r="E3909" s="24" t="n">
        <f aca="false">LN(C3909)</f>
        <v>11.6655126374423</v>
      </c>
      <c r="F3909" s="25" t="n">
        <f aca="false">LN(C3909/C3908)</f>
        <v>-0.0029844402088759</v>
      </c>
      <c r="G3909" s="25" t="n">
        <f aca="false">IF(AND(D3909=1,A3909&gt;=$R$2),F3909,"")</f>
        <v>-0.0029844402088759</v>
      </c>
      <c r="H3909" s="27" t="n">
        <f aca="false">IF(G3909="","",G3909^2)</f>
        <v>8.90688336035522E-006</v>
      </c>
      <c r="I3909" s="25" t="n">
        <f aca="false">IF(G3909="","",C3909/C3908-1)</f>
        <v>-0.00297999119423564</v>
      </c>
      <c r="J3909" s="17" t="n">
        <f aca="false">AVERAGE(C3710:C3909)</f>
        <v>102973.6834</v>
      </c>
      <c r="K3909" s="17" t="n">
        <f aca="false">MAX(K3908,C3909)</f>
        <v>123365.63</v>
      </c>
      <c r="L3909" s="25" t="n">
        <f aca="false">C3909/K3909-1</f>
        <v>-0.0557791501571386</v>
      </c>
      <c r="M3909" s="25" t="n">
        <f aca="false">IF(COUNT(G3880:G3909)&lt;20,"",_xlfn.STDEV.S(G3880:G3909)*SQRT($R$3))</f>
        <v>0.30913038516229</v>
      </c>
      <c r="N3909" s="25" t="n">
        <f aca="false">IF(A3909-7&lt;$R$2,"",C3909/INDEX(Clean_Data!$C$2:$C$4314,MATCH(A3909-7,Clean_Data!$A$2:$A$4314,1))-1)</f>
        <v>0.0219366810964734</v>
      </c>
      <c r="O3909" s="25" t="n">
        <f aca="false">IF(A3909-30&lt;$R$2,"",C3909/INDEX(Clean_Data!$C$2:$C$4314,MATCH(A3909-30,Clean_Data!$A$2:$A$4314,1))-1)</f>
        <v>0.00169959159581023</v>
      </c>
    </row>
    <row r="3910" customFormat="false" ht="15" hidden="false" customHeight="false" outlineLevel="0" collapsed="false">
      <c r="A3910" s="16" t="n">
        <v>45917</v>
      </c>
      <c r="B3910" s="23" t="n">
        <f aca="false">YEAR(A3910)</f>
        <v>2025</v>
      </c>
      <c r="C3910" s="17" t="n">
        <v>117117.99</v>
      </c>
      <c r="D3910" s="23" t="n">
        <f aca="false">A3910-A3909</f>
        <v>1</v>
      </c>
      <c r="E3910" s="24" t="n">
        <f aca="false">LN(C3910)</f>
        <v>11.6709371671626</v>
      </c>
      <c r="F3910" s="25" t="n">
        <f aca="false">LN(C3910/C3909)</f>
        <v>0.00542452972028519</v>
      </c>
      <c r="G3910" s="25" t="n">
        <f aca="false">IF(AND(D3910=1,A3910&gt;=$R$2),F3910,"")</f>
        <v>0.00542452972028519</v>
      </c>
      <c r="H3910" s="27" t="n">
        <f aca="false">IF(G3910="","",G3910^2)</f>
        <v>2.94255226862573E-005</v>
      </c>
      <c r="I3910" s="25" t="n">
        <f aca="false">IF(G3910="","",C3910/C3909-1)</f>
        <v>0.00543926912101544</v>
      </c>
      <c r="J3910" s="17" t="n">
        <f aca="false">AVERAGE(C3711:C3910)</f>
        <v>103087.94595</v>
      </c>
      <c r="K3910" s="17" t="n">
        <f aca="false">MAX(K3909,C3910)</f>
        <v>123365.63</v>
      </c>
      <c r="L3910" s="25" t="n">
        <f aca="false">C3910/K3910-1</f>
        <v>-0.0506432788451694</v>
      </c>
      <c r="M3910" s="25" t="n">
        <f aca="false">IF(COUNT(G3881:G3910)&lt;20,"",_xlfn.STDEV.S(G3881:G3910)*SQRT($R$3))</f>
        <v>0.289949530091233</v>
      </c>
      <c r="N3910" s="25" t="n">
        <f aca="false">IF(A3910-7&lt;$R$2,"",C3910/INDEX(Clean_Data!$C$2:$C$4314,MATCH(A3910-7,Clean_Data!$A$2:$A$4314,1))-1)</f>
        <v>0.0136575212047776</v>
      </c>
      <c r="O3910" s="25" t="n">
        <f aca="false">IF(A3910-30&lt;$R$2,"",C3910/INDEX(Clean_Data!$C$2:$C$4314,MATCH(A3910-30,Clean_Data!$A$2:$A$4314,1))-1)</f>
        <v>0.0377631036454447</v>
      </c>
    </row>
    <row r="3911" customFormat="false" ht="15" hidden="false" customHeight="false" outlineLevel="0" collapsed="false">
      <c r="A3911" s="16" t="n">
        <v>45918</v>
      </c>
      <c r="B3911" s="23" t="n">
        <f aca="false">YEAR(A3911)</f>
        <v>2025</v>
      </c>
      <c r="C3911" s="17" t="n">
        <v>115690.55</v>
      </c>
      <c r="D3911" s="23" t="n">
        <f aca="false">A3911-A3910</f>
        <v>1</v>
      </c>
      <c r="E3911" s="24" t="n">
        <f aca="false">LN(C3911)</f>
        <v>11.6586742330958</v>
      </c>
      <c r="F3911" s="25" t="n">
        <f aca="false">LN(C3911/C3910)</f>
        <v>-0.0122629340668013</v>
      </c>
      <c r="G3911" s="25" t="n">
        <f aca="false">IF(AND(D3911=1,A3911&gt;=$R$2),F3911,"")</f>
        <v>-0.0122629340668013</v>
      </c>
      <c r="H3911" s="27" t="n">
        <f aca="false">IF(G3911="","",G3911^2)</f>
        <v>0.000150379551926717</v>
      </c>
      <c r="I3911" s="25" t="n">
        <f aca="false">IF(G3911="","",C3911/C3910-1)</f>
        <v>-0.0121880506999822</v>
      </c>
      <c r="J3911" s="17" t="n">
        <f aca="false">AVERAGE(C3712:C3911)</f>
        <v>103235.5932</v>
      </c>
      <c r="K3911" s="17" t="n">
        <f aca="false">MAX(K3910,C3911)</f>
        <v>123365.63</v>
      </c>
      <c r="L3911" s="25" t="n">
        <f aca="false">C3911/K3911-1</f>
        <v>-0.0622140866949733</v>
      </c>
      <c r="M3911" s="25" t="n">
        <f aca="false">IF(COUNT(G3882:G3911)&lt;20,"",_xlfn.STDEV.S(G3882:G3911)*SQRT($R$3))</f>
        <v>0.290704483247919</v>
      </c>
      <c r="N3911" s="25" t="n">
        <f aca="false">IF(A3911-7&lt;$R$2,"",C3911/INDEX(Clean_Data!$C$2:$C$4314,MATCH(A3911-7,Clean_Data!$A$2:$A$4314,1))-1)</f>
        <v>-0.00357845324657125</v>
      </c>
      <c r="O3911" s="25" t="n">
        <f aca="false">IF(A3911-30&lt;$R$2,"",C3911/INDEX(Clean_Data!$C$2:$C$4314,MATCH(A3911-30,Clean_Data!$A$2:$A$4314,1))-1)</f>
        <v>0.0123783646609963</v>
      </c>
    </row>
    <row r="3912" customFormat="false" ht="15" hidden="false" customHeight="false" outlineLevel="0" collapsed="false">
      <c r="A3912" s="16" t="n">
        <v>45919</v>
      </c>
      <c r="B3912" s="23" t="n">
        <f aca="false">YEAR(A3912)</f>
        <v>2025</v>
      </c>
      <c r="C3912" s="17" t="n">
        <v>115752.4</v>
      </c>
      <c r="D3912" s="23" t="n">
        <f aca="false">A3912-A3911</f>
        <v>1</v>
      </c>
      <c r="E3912" s="24" t="n">
        <f aca="false">LN(C3912)</f>
        <v>11.6592087060748</v>
      </c>
      <c r="F3912" s="25" t="n">
        <f aca="false">LN(C3912/C3911)</f>
        <v>0.000534472978955229</v>
      </c>
      <c r="G3912" s="25" t="n">
        <f aca="false">IF(AND(D3912=1,A3912&gt;=$R$2),F3912,"")</f>
        <v>0.000534472978955229</v>
      </c>
      <c r="H3912" s="27" t="n">
        <f aca="false">IF(G3912="","",G3912^2)</f>
        <v>2.85661365233277E-007</v>
      </c>
      <c r="I3912" s="25" t="n">
        <f aca="false">IF(G3912="","",C3912/C3911-1)</f>
        <v>0.000534615835087626</v>
      </c>
      <c r="J3912" s="17" t="n">
        <f aca="false">AVERAGE(C3713:C3912)</f>
        <v>103378.1054</v>
      </c>
      <c r="K3912" s="17" t="n">
        <f aca="false">MAX(K3911,C3912)</f>
        <v>123365.63</v>
      </c>
      <c r="L3912" s="25" t="n">
        <f aca="false">C3912/K3912-1</f>
        <v>-0.0617127314957984</v>
      </c>
      <c r="M3912" s="25" t="n">
        <f aca="false">IF(COUNT(G3883:G3912)&lt;20,"",_xlfn.STDEV.S(G3883:G3912)*SQRT($R$3))</f>
        <v>0.284734732339434</v>
      </c>
      <c r="N3912" s="25" t="n">
        <f aca="false">IF(A3912-7&lt;$R$2,"",C3912/INDEX(Clean_Data!$C$2:$C$4314,MATCH(A3912-7,Clean_Data!$A$2:$A$4314,1))-1)</f>
        <v>-0.0018621460079411</v>
      </c>
      <c r="O3912" s="25" t="n">
        <f aca="false">IF(A3912-30&lt;$R$2,"",C3912/INDEX(Clean_Data!$C$2:$C$4314,MATCH(A3912-30,Clean_Data!$A$2:$A$4314,1))-1)</f>
        <v>0.0290904273903962</v>
      </c>
    </row>
    <row r="3913" customFormat="false" ht="15" hidden="false" customHeight="false" outlineLevel="0" collapsed="false">
      <c r="A3913" s="16" t="n">
        <v>45920</v>
      </c>
      <c r="B3913" s="23" t="n">
        <f aca="false">YEAR(A3913)</f>
        <v>2025</v>
      </c>
      <c r="C3913" s="17" t="n">
        <v>115282.27</v>
      </c>
      <c r="D3913" s="23" t="n">
        <f aca="false">A3913-A3912</f>
        <v>1</v>
      </c>
      <c r="E3913" s="24" t="n">
        <f aca="false">LN(C3913)</f>
        <v>11.6551389216662</v>
      </c>
      <c r="F3913" s="25" t="n">
        <f aca="false">LN(C3913/C3912)</f>
        <v>-0.0040697844085689</v>
      </c>
      <c r="G3913" s="25" t="n">
        <f aca="false">IF(AND(D3913=1,A3913&gt;=$R$2),F3913,"")</f>
        <v>-0.0040697844085689</v>
      </c>
      <c r="H3913" s="27" t="n">
        <f aca="false">IF(G3913="","",G3913^2)</f>
        <v>1.65631451322305E-005</v>
      </c>
      <c r="I3913" s="25" t="n">
        <f aca="false">IF(G3913="","",C3913/C3912-1)</f>
        <v>-0.00406151405931965</v>
      </c>
      <c r="J3913" s="17" t="n">
        <f aca="false">AVERAGE(C3714:C3913)</f>
        <v>103501.4981</v>
      </c>
      <c r="K3913" s="17" t="n">
        <f aca="false">MAX(K3912,C3913)</f>
        <v>123365.63</v>
      </c>
      <c r="L3913" s="25" t="n">
        <f aca="false">C3913/K3913-1</f>
        <v>-0.0655235984285089</v>
      </c>
      <c r="M3913" s="25" t="n">
        <f aca="false">IF(COUNT(G3884:G3913)&lt;20,"",_xlfn.STDEV.S(G3884:G3913)*SQRT($R$3))</f>
        <v>0.250554239956143</v>
      </c>
      <c r="N3913" s="25" t="n">
        <f aca="false">IF(A3913-7&lt;$R$2,"",C3913/INDEX(Clean_Data!$C$2:$C$4314,MATCH(A3913-7,Clean_Data!$A$2:$A$4314,1))-1)</f>
        <v>-0.000276288777446454</v>
      </c>
      <c r="O3913" s="25" t="n">
        <f aca="false">IF(A3913-30&lt;$R$2,"",C3913/INDEX(Clean_Data!$C$2:$C$4314,MATCH(A3913-30,Clean_Data!$A$2:$A$4314,1))-1)</f>
        <v>-0.013911798508032</v>
      </c>
    </row>
    <row r="3914" customFormat="false" ht="15" hidden="false" customHeight="false" outlineLevel="0" collapsed="false">
      <c r="A3914" s="16" t="n">
        <v>45921</v>
      </c>
      <c r="B3914" s="23" t="n">
        <f aca="false">YEAR(A3914)</f>
        <v>2025</v>
      </c>
      <c r="C3914" s="17" t="n">
        <v>112736.59</v>
      </c>
      <c r="D3914" s="23" t="n">
        <f aca="false">A3914-A3913</f>
        <v>1</v>
      </c>
      <c r="E3914" s="24" t="n">
        <f aca="false">LN(C3914)</f>
        <v>11.6328093145931</v>
      </c>
      <c r="F3914" s="25" t="n">
        <f aca="false">LN(C3914/C3913)</f>
        <v>-0.022329607073145</v>
      </c>
      <c r="G3914" s="25" t="n">
        <f aca="false">IF(AND(D3914=1,A3914&gt;=$R$2),F3914,"")</f>
        <v>-0.022329607073145</v>
      </c>
      <c r="H3914" s="27" t="n">
        <f aca="false">IF(G3914="","",G3914^2)</f>
        <v>0.000498611352041045</v>
      </c>
      <c r="I3914" s="25" t="n">
        <f aca="false">IF(G3914="","",C3914/C3913-1)</f>
        <v>-0.0220821467169237</v>
      </c>
      <c r="J3914" s="17" t="n">
        <f aca="false">AVERAGE(C3715:C3914)</f>
        <v>103615.5718</v>
      </c>
      <c r="K3914" s="17" t="n">
        <f aca="false">MAX(K3913,C3914)</f>
        <v>123365.63</v>
      </c>
      <c r="L3914" s="25" t="n">
        <f aca="false">C3914/K3914-1</f>
        <v>-0.0861588434315134</v>
      </c>
      <c r="M3914" s="25" t="n">
        <f aca="false">IF(COUNT(G3885:G3914)&lt;20,"",_xlfn.STDEV.S(G3885:G3914)*SQRT($R$3))</f>
        <v>0.258340923072174</v>
      </c>
      <c r="N3914" s="25" t="n">
        <f aca="false">IF(A3914-7&lt;$R$2,"",C3914/INDEX(Clean_Data!$C$2:$C$4314,MATCH(A3914-7,Clean_Data!$A$2:$A$4314,1))-1)</f>
        <v>-0.022919615590355</v>
      </c>
      <c r="O3914" s="25" t="n">
        <f aca="false">IF(A3914-30&lt;$R$2,"",C3914/INDEX(Clean_Data!$C$2:$C$4314,MATCH(A3914-30,Clean_Data!$A$2:$A$4314,1))-1)</f>
        <v>-0.0229432415466737</v>
      </c>
    </row>
    <row r="3915" customFormat="false" ht="15" hidden="false" customHeight="false" outlineLevel="0" collapsed="false">
      <c r="A3915" s="16" t="n">
        <v>45922</v>
      </c>
      <c r="B3915" s="23" t="n">
        <f aca="false">YEAR(A3915)</f>
        <v>2025</v>
      </c>
      <c r="C3915" s="17" t="n">
        <v>112017.21</v>
      </c>
      <c r="D3915" s="23" t="n">
        <f aca="false">A3915-A3914</f>
        <v>1</v>
      </c>
      <c r="E3915" s="24" t="n">
        <f aca="false">LN(C3915)</f>
        <v>11.6264077991869</v>
      </c>
      <c r="F3915" s="25" t="n">
        <f aca="false">LN(C3915/C3914)</f>
        <v>-0.00640151540614675</v>
      </c>
      <c r="G3915" s="25" t="n">
        <f aca="false">IF(AND(D3915=1,A3915&gt;=$R$2),F3915,"")</f>
        <v>-0.00640151540614675</v>
      </c>
      <c r="H3915" s="27" t="n">
        <f aca="false">IF(G3915="","",G3915^2)</f>
        <v>4.09793994951342E-005</v>
      </c>
      <c r="I3915" s="25" t="n">
        <f aca="false">IF(G3915="","",C3915/C3914-1)</f>
        <v>-0.00638106935822691</v>
      </c>
      <c r="J3915" s="17" t="n">
        <f aca="false">AVERAGE(C3716:C3915)</f>
        <v>103741.87295</v>
      </c>
      <c r="K3915" s="17" t="n">
        <f aca="false">MAX(K3914,C3915)</f>
        <v>123365.63</v>
      </c>
      <c r="L3915" s="25" t="n">
        <f aca="false">C3915/K3915-1</f>
        <v>-0.0919901272339792</v>
      </c>
      <c r="M3915" s="25" t="n">
        <f aca="false">IF(COUNT(G3886:G3915)&lt;20,"",_xlfn.STDEV.S(G3886:G3915)*SQRT($R$3))</f>
        <v>0.252823807078422</v>
      </c>
      <c r="N3915" s="25" t="n">
        <f aca="false">IF(A3915-7&lt;$R$2,"",C3915/INDEX(Clean_Data!$C$2:$C$4314,MATCH(A3915-7,Clean_Data!$A$2:$A$4314,1))-1)</f>
        <v>-0.0412158220276949</v>
      </c>
      <c r="O3915" s="25" t="n">
        <f aca="false">IF(A3915-30&lt;$R$2,"",C3915/INDEX(Clean_Data!$C$2:$C$4314,MATCH(A3915-30,Clean_Data!$A$2:$A$4314,1))-1)</f>
        <v>-0.0128728916618198</v>
      </c>
    </row>
    <row r="3916" customFormat="false" ht="15" hidden="false" customHeight="false" outlineLevel="0" collapsed="false">
      <c r="A3916" s="16" t="n">
        <v>45923</v>
      </c>
      <c r="B3916" s="23" t="n">
        <f aca="false">YEAR(A3916)</f>
        <v>2025</v>
      </c>
      <c r="C3916" s="17" t="n">
        <v>113348.17</v>
      </c>
      <c r="D3916" s="23" t="n">
        <f aca="false">A3916-A3915</f>
        <v>1</v>
      </c>
      <c r="E3916" s="24" t="n">
        <f aca="false">LN(C3916)</f>
        <v>11.6382195111207</v>
      </c>
      <c r="F3916" s="25" t="n">
        <f aca="false">LN(C3916/C3915)</f>
        <v>0.0118117119338239</v>
      </c>
      <c r="G3916" s="25" t="n">
        <f aca="false">IF(AND(D3916=1,A3916&gt;=$R$2),F3916,"")</f>
        <v>0.0118117119338239</v>
      </c>
      <c r="H3916" s="27" t="n">
        <f aca="false">IF(G3916="","",G3916^2)</f>
        <v>0.000139516538807637</v>
      </c>
      <c r="I3916" s="25" t="n">
        <f aca="false">IF(G3916="","",C3916/C3915-1)</f>
        <v>0.0118817456710445</v>
      </c>
      <c r="J3916" s="17" t="n">
        <f aca="false">AVERAGE(C3717:C3916)</f>
        <v>103877.58035</v>
      </c>
      <c r="K3916" s="17" t="n">
        <f aca="false">MAX(K3915,C3916)</f>
        <v>123365.63</v>
      </c>
      <c r="L3916" s="25" t="n">
        <f aca="false">C3916/K3916-1</f>
        <v>-0.0812013848589758</v>
      </c>
      <c r="M3916" s="25" t="n">
        <f aca="false">IF(COUNT(G3887:G3916)&lt;20,"",_xlfn.STDEV.S(G3887:G3916)*SQRT($R$3))</f>
        <v>0.232581801683733</v>
      </c>
      <c r="N3916" s="25" t="n">
        <f aca="false">IF(A3916-7&lt;$R$2,"",C3916/INDEX(Clean_Data!$C$2:$C$4314,MATCH(A3916-7,Clean_Data!$A$2:$A$4314,1))-1)</f>
        <v>-0.0269240344629839</v>
      </c>
      <c r="O3916" s="25" t="n">
        <f aca="false">IF(A3916-30&lt;$R$2,"",C3916/INDEX(Clean_Data!$C$2:$C$4314,MATCH(A3916-30,Clean_Data!$A$2:$A$4314,1))-1)</f>
        <v>0.0292426776396211</v>
      </c>
    </row>
    <row r="3917" customFormat="false" ht="15" hidden="false" customHeight="false" outlineLevel="0" collapsed="false">
      <c r="A3917" s="16" t="n">
        <v>45924</v>
      </c>
      <c r="B3917" s="23" t="n">
        <f aca="false">YEAR(A3917)</f>
        <v>2025</v>
      </c>
      <c r="C3917" s="17" t="n">
        <v>109035.72</v>
      </c>
      <c r="D3917" s="23" t="n">
        <f aca="false">A3917-A3916</f>
        <v>1</v>
      </c>
      <c r="E3917" s="24" t="n">
        <f aca="false">LN(C3917)</f>
        <v>11.5994308139493</v>
      </c>
      <c r="F3917" s="25" t="n">
        <f aca="false">LN(C3917/C3916)</f>
        <v>-0.0387886971714653</v>
      </c>
      <c r="G3917" s="25" t="n">
        <f aca="false">IF(AND(D3917=1,A3917&gt;=$R$2),F3917,"")</f>
        <v>-0.0387886971714653</v>
      </c>
      <c r="H3917" s="27" t="n">
        <f aca="false">IF(G3917="","",G3917^2)</f>
        <v>0.00150456302825964</v>
      </c>
      <c r="I3917" s="25" t="n">
        <f aca="false">IF(G3917="","",C3917/C3916-1)</f>
        <v>-0.0380460487363845</v>
      </c>
      <c r="J3917" s="17" t="n">
        <f aca="false">AVERAGE(C3718:C3917)</f>
        <v>104019.2631</v>
      </c>
      <c r="K3917" s="17" t="n">
        <f aca="false">MAX(K3916,C3917)</f>
        <v>123365.63</v>
      </c>
      <c r="L3917" s="25" t="n">
        <f aca="false">C3917/K3917-1</f>
        <v>-0.116158041749554</v>
      </c>
      <c r="M3917" s="25" t="n">
        <f aca="false">IF(COUNT(G3888:G3917)&lt;20,"",_xlfn.STDEV.S(G3888:G3917)*SQRT($R$3))</f>
        <v>0.26514295806349</v>
      </c>
      <c r="N3917" s="25" t="n">
        <f aca="false">IF(A3917-7&lt;$R$2,"",C3917/INDEX(Clean_Data!$C$2:$C$4314,MATCH(A3917-7,Clean_Data!$A$2:$A$4314,1))-1)</f>
        <v>-0.0690096372043271</v>
      </c>
      <c r="O3917" s="25" t="n">
        <f aca="false">IF(A3917-30&lt;$R$2,"",C3917/INDEX(Clean_Data!$C$2:$C$4314,MATCH(A3917-30,Clean_Data!$A$2:$A$4314,1))-1)</f>
        <v>-0.0246206189733585</v>
      </c>
    </row>
    <row r="3918" customFormat="false" ht="15" hidden="false" customHeight="false" outlineLevel="0" collapsed="false">
      <c r="A3918" s="16" t="n">
        <v>45925</v>
      </c>
      <c r="B3918" s="23" t="n">
        <f aca="false">YEAR(A3918)</f>
        <v>2025</v>
      </c>
      <c r="C3918" s="17" t="n">
        <v>109697.29</v>
      </c>
      <c r="D3918" s="23" t="n">
        <f aca="false">A3918-A3917</f>
        <v>1</v>
      </c>
      <c r="E3918" s="24" t="n">
        <f aca="false">LN(C3918)</f>
        <v>11.6054799422207</v>
      </c>
      <c r="F3918" s="25" t="n">
        <f aca="false">LN(C3918/C3917)</f>
        <v>0.00604912827143576</v>
      </c>
      <c r="G3918" s="25" t="n">
        <f aca="false">IF(AND(D3918=1,A3918&gt;=$R$2),F3918,"")</f>
        <v>0.00604912827143576</v>
      </c>
      <c r="H3918" s="27" t="n">
        <f aca="false">IF(G3918="","",G3918^2)</f>
        <v>3.65919528442834E-005</v>
      </c>
      <c r="I3918" s="25" t="n">
        <f aca="false">IF(G3918="","",C3918/C3917-1)</f>
        <v>0.00606746119528534</v>
      </c>
      <c r="J3918" s="17" t="n">
        <f aca="false">AVERAGE(C3719:C3918)</f>
        <v>104175.026</v>
      </c>
      <c r="K3918" s="17" t="n">
        <f aca="false">MAX(K3917,C3918)</f>
        <v>123365.63</v>
      </c>
      <c r="L3918" s="25" t="n">
        <f aca="false">C3918/K3918-1</f>
        <v>-0.110795364965104</v>
      </c>
      <c r="M3918" s="25" t="n">
        <f aca="false">IF(COUNT(G3889:G3918)&lt;20,"",_xlfn.STDEV.S(G3889:G3918)*SQRT($R$3))</f>
        <v>0.265799538865319</v>
      </c>
      <c r="N3918" s="25" t="n">
        <f aca="false">IF(A3918-7&lt;$R$2,"",C3918/INDEX(Clean_Data!$C$2:$C$4314,MATCH(A3918-7,Clean_Data!$A$2:$A$4314,1))-1)</f>
        <v>-0.051804231201252</v>
      </c>
      <c r="O3918" s="25" t="n">
        <f aca="false">IF(A3918-30&lt;$R$2,"",C3918/INDEX(Clean_Data!$C$2:$C$4314,MATCH(A3918-30,Clean_Data!$A$2:$A$4314,1))-1)</f>
        <v>-0.0139853942191871</v>
      </c>
    </row>
    <row r="3919" customFormat="false" ht="15" hidden="false" customHeight="false" outlineLevel="0" collapsed="false">
      <c r="A3919" s="16" t="n">
        <v>45926</v>
      </c>
      <c r="B3919" s="23" t="n">
        <f aca="false">YEAR(A3919)</f>
        <v>2025</v>
      </c>
      <c r="C3919" s="17" t="n">
        <v>109681.16</v>
      </c>
      <c r="D3919" s="23" t="n">
        <f aca="false">A3919-A3918</f>
        <v>1</v>
      </c>
      <c r="E3919" s="24" t="n">
        <f aca="false">LN(C3919)</f>
        <v>11.605332890402</v>
      </c>
      <c r="F3919" s="25" t="n">
        <f aca="false">LN(C3919/C3918)</f>
        <v>-0.000147051818709217</v>
      </c>
      <c r="G3919" s="25" t="n">
        <f aca="false">IF(AND(D3919=1,A3919&gt;=$R$2),F3919,"")</f>
        <v>-0.000147051818709217</v>
      </c>
      <c r="H3919" s="27" t="n">
        <f aca="false">IF(G3919="","",G3919^2)</f>
        <v>2.16242373856884E-008</v>
      </c>
      <c r="I3919" s="25" t="n">
        <f aca="false">IF(G3919="","",C3919/C3918-1)</f>
        <v>-0.000147041007120485</v>
      </c>
      <c r="J3919" s="17" t="n">
        <f aca="false">AVERAGE(C3720:C3919)</f>
        <v>104308.85925</v>
      </c>
      <c r="K3919" s="17" t="n">
        <f aca="false">MAX(K3918,C3919)</f>
        <v>123365.63</v>
      </c>
      <c r="L3919" s="25" t="n">
        <f aca="false">C3919/K3919-1</f>
        <v>-0.110926114510176</v>
      </c>
      <c r="M3919" s="25" t="n">
        <f aca="false">IF(COUNT(G3890:G3919)&lt;20,"",_xlfn.STDEV.S(G3890:G3919)*SQRT($R$3))</f>
        <v>0.26209358185667</v>
      </c>
      <c r="N3919" s="25" t="n">
        <f aca="false">IF(A3919-7&lt;$R$2,"",C3919/INDEX(Clean_Data!$C$2:$C$4314,MATCH(A3919-7,Clean_Data!$A$2:$A$4314,1))-1)</f>
        <v>-0.0524502299736332</v>
      </c>
      <c r="O3919" s="25" t="n">
        <f aca="false">IF(A3919-30&lt;$R$2,"",C3919/INDEX(Clean_Data!$C$2:$C$4314,MATCH(A3919-30,Clean_Data!$A$2:$A$4314,1))-1)</f>
        <v>-0.0257045867704909</v>
      </c>
    </row>
    <row r="3920" customFormat="false" ht="15" hidden="false" customHeight="false" outlineLevel="0" collapsed="false">
      <c r="A3920" s="16" t="n">
        <v>45927</v>
      </c>
      <c r="B3920" s="23" t="n">
        <f aca="false">YEAR(A3920)</f>
        <v>2025</v>
      </c>
      <c r="C3920" s="17" t="n">
        <v>112197.67</v>
      </c>
      <c r="D3920" s="23" t="n">
        <f aca="false">A3920-A3919</f>
        <v>1</v>
      </c>
      <c r="E3920" s="24" t="n">
        <f aca="false">LN(C3920)</f>
        <v>11.6280175053667</v>
      </c>
      <c r="F3920" s="25" t="n">
        <f aca="false">LN(C3920/C3919)</f>
        <v>0.0226846149646887</v>
      </c>
      <c r="G3920" s="25" t="n">
        <f aca="false">IF(AND(D3920=1,A3920&gt;=$R$2),F3920,"")</f>
        <v>0.0226846149646887</v>
      </c>
      <c r="H3920" s="27" t="n">
        <f aca="false">IF(G3920="","",G3920^2)</f>
        <v>0.000514591756096177</v>
      </c>
      <c r="I3920" s="25" t="n">
        <f aca="false">IF(G3920="","",C3920/C3919-1)</f>
        <v>0.0229438674791549</v>
      </c>
      <c r="J3920" s="17" t="n">
        <f aca="false">AVERAGE(C3721:C3920)</f>
        <v>104451.55045</v>
      </c>
      <c r="K3920" s="17" t="n">
        <f aca="false">MAX(K3919,C3920)</f>
        <v>123365.63</v>
      </c>
      <c r="L3920" s="25" t="n">
        <f aca="false">C3920/K3920-1</f>
        <v>-0.0905273211023201</v>
      </c>
      <c r="M3920" s="25" t="n">
        <f aca="false">IF(COUNT(G3891:G3920)&lt;20,"",_xlfn.STDEV.S(G3891:G3920)*SQRT($R$3))</f>
        <v>0.238297884270676</v>
      </c>
      <c r="N3920" s="25" t="n">
        <f aca="false">IF(A3920-7&lt;$R$2,"",C3920/INDEX(Clean_Data!$C$2:$C$4314,MATCH(A3920-7,Clean_Data!$A$2:$A$4314,1))-1)</f>
        <v>-0.0267569332213878</v>
      </c>
      <c r="O3920" s="25" t="n">
        <f aca="false">IF(A3920-30&lt;$R$2,"",C3920/INDEX(Clean_Data!$C$2:$C$4314,MATCH(A3920-30,Clean_Data!$A$2:$A$4314,1))-1)</f>
        <v>0.0352409042694146</v>
      </c>
    </row>
    <row r="3921" customFormat="false" ht="15" hidden="false" customHeight="false" outlineLevel="0" collapsed="false">
      <c r="A3921" s="16" t="n">
        <v>45928</v>
      </c>
      <c r="B3921" s="23" t="n">
        <f aca="false">YEAR(A3921)</f>
        <v>2025</v>
      </c>
      <c r="C3921" s="17" t="n">
        <v>114365.07</v>
      </c>
      <c r="D3921" s="23" t="n">
        <f aca="false">A3921-A3920</f>
        <v>1</v>
      </c>
      <c r="E3921" s="24" t="n">
        <f aca="false">LN(C3921)</f>
        <v>11.6471509791366</v>
      </c>
      <c r="F3921" s="25" t="n">
        <f aca="false">LN(C3921/C3920)</f>
        <v>0.0191334737699525</v>
      </c>
      <c r="G3921" s="25" t="n">
        <f aca="false">IF(AND(D3921=1,A3921&gt;=$R$2),F3921,"")</f>
        <v>0.0191334737699525</v>
      </c>
      <c r="H3921" s="27" t="n">
        <f aca="false">IF(G3921="","",G3921^2)</f>
        <v>0.000366089818505461</v>
      </c>
      <c r="I3921" s="25" t="n">
        <f aca="false">IF(G3921="","",C3921/C3920-1)</f>
        <v>0.0193176917132059</v>
      </c>
      <c r="J3921" s="17" t="n">
        <f aca="false">AVERAGE(C3722:C3921)</f>
        <v>104618.00865</v>
      </c>
      <c r="K3921" s="17" t="n">
        <f aca="false">MAX(K3920,C3921)</f>
        <v>123365.63</v>
      </c>
      <c r="L3921" s="25" t="n">
        <f aca="false">C3921/K3921-1</f>
        <v>-0.0729584082697912</v>
      </c>
      <c r="M3921" s="25" t="n">
        <f aca="false">IF(COUNT(G3892:G3921)&lt;20,"",_xlfn.STDEV.S(G3892:G3921)*SQRT($R$3))</f>
        <v>0.246267755664007</v>
      </c>
      <c r="N3921" s="25" t="n">
        <f aca="false">IF(A3921-7&lt;$R$2,"",C3921/INDEX(Clean_Data!$C$2:$C$4314,MATCH(A3921-7,Clean_Data!$A$2:$A$4314,1))-1)</f>
        <v>0.0144449996225715</v>
      </c>
      <c r="O3921" s="25" t="n">
        <f aca="false">IF(A3921-30&lt;$R$2,"",C3921/INDEX(Clean_Data!$C$2:$C$4314,MATCH(A3921-30,Clean_Data!$A$2:$A$4314,1))-1)</f>
        <v>0.0508797695591565</v>
      </c>
    </row>
    <row r="3922" customFormat="false" ht="15" hidden="false" customHeight="false" outlineLevel="0" collapsed="false">
      <c r="A3922" s="16" t="n">
        <v>45929</v>
      </c>
      <c r="B3922" s="23" t="n">
        <f aca="false">YEAR(A3922)</f>
        <v>2025</v>
      </c>
      <c r="C3922" s="17" t="n">
        <v>114067.71</v>
      </c>
      <c r="D3922" s="23" t="n">
        <f aca="false">A3922-A3921</f>
        <v>1</v>
      </c>
      <c r="E3922" s="24" t="n">
        <f aca="false">LN(C3922)</f>
        <v>11.6445474984281</v>
      </c>
      <c r="F3922" s="25" t="n">
        <f aca="false">LN(C3922/C3921)</f>
        <v>-0.0026034807085182</v>
      </c>
      <c r="G3922" s="25" t="n">
        <f aca="false">IF(AND(D3922=1,A3922&gt;=$R$2),F3922,"")</f>
        <v>-0.0026034807085182</v>
      </c>
      <c r="H3922" s="27" t="n">
        <f aca="false">IF(G3922="","",G3922^2)</f>
        <v>6.7781117996264E-006</v>
      </c>
      <c r="I3922" s="25" t="n">
        <f aca="false">IF(G3922="","",C3922/C3921-1)</f>
        <v>-0.00260009459181898</v>
      </c>
      <c r="J3922" s="17" t="n">
        <f aca="false">AVERAGE(C3723:C3922)</f>
        <v>104768.44475</v>
      </c>
      <c r="K3922" s="17" t="n">
        <f aca="false">MAX(K3921,C3922)</f>
        <v>123365.63</v>
      </c>
      <c r="L3922" s="25" t="n">
        <f aca="false">C3922/K3922-1</f>
        <v>-0.0753688040988402</v>
      </c>
      <c r="M3922" s="25" t="n">
        <f aca="false">IF(COUNT(G3893:G3922)&lt;20,"",_xlfn.STDEV.S(G3893:G3922)*SQRT($R$3))</f>
        <v>0.245471955754905</v>
      </c>
      <c r="N3922" s="25" t="n">
        <f aca="false">IF(A3922-7&lt;$R$2,"",C3922/INDEX(Clean_Data!$C$2:$C$4314,MATCH(A3922-7,Clean_Data!$A$2:$A$4314,1))-1)</f>
        <v>0.0183052229206566</v>
      </c>
      <c r="O3922" s="25" t="n">
        <f aca="false">IF(A3922-30&lt;$R$2,"",C3922/INDEX(Clean_Data!$C$2:$C$4314,MATCH(A3922-30,Clean_Data!$A$2:$A$4314,1))-1)</f>
        <v>0.0537632352390971</v>
      </c>
    </row>
    <row r="3923" customFormat="false" ht="15" hidden="false" customHeight="false" outlineLevel="0" collapsed="false">
      <c r="A3923" s="16" t="n">
        <v>45930</v>
      </c>
      <c r="B3923" s="23" t="n">
        <f aca="false">YEAR(A3923)</f>
        <v>2025</v>
      </c>
      <c r="C3923" s="17" t="n">
        <v>118659.97</v>
      </c>
      <c r="D3923" s="23" t="n">
        <f aca="false">A3923-A3922</f>
        <v>1</v>
      </c>
      <c r="E3923" s="24" t="n">
        <f aca="false">LN(C3923)</f>
        <v>11.6840172869894</v>
      </c>
      <c r="F3923" s="25" t="n">
        <f aca="false">LN(C3923/C3922)</f>
        <v>0.0394697885612828</v>
      </c>
      <c r="G3923" s="25" t="n">
        <f aca="false">IF(AND(D3923=1,A3923&gt;=$R$2),F3923,"")</f>
        <v>0.0394697885612828</v>
      </c>
      <c r="H3923" s="27" t="n">
        <f aca="false">IF(G3923="","",G3923^2)</f>
        <v>0.00155786420907237</v>
      </c>
      <c r="I3923" s="25" t="n">
        <f aca="false">IF(G3923="","",C3923/C3922-1)</f>
        <v>0.0402590706870507</v>
      </c>
      <c r="J3923" s="17" t="n">
        <f aca="false">AVERAGE(C3724:C3923)</f>
        <v>104939.9873</v>
      </c>
      <c r="K3923" s="17" t="n">
        <f aca="false">MAX(K3922,C3923)</f>
        <v>123365.63</v>
      </c>
      <c r="L3923" s="25" t="n">
        <f aca="false">C3923/K3923-1</f>
        <v>-0.0381440114236031</v>
      </c>
      <c r="M3923" s="25" t="n">
        <f aca="false">IF(COUNT(G3894:G3923)&lt;20,"",_xlfn.STDEV.S(G3894:G3923)*SQRT($R$3))</f>
        <v>0.277661537449841</v>
      </c>
      <c r="N3923" s="25" t="n">
        <f aca="false">IF(A3923-7&lt;$R$2,"",C3923/INDEX(Clean_Data!$C$2:$C$4314,MATCH(A3923-7,Clean_Data!$A$2:$A$4314,1))-1)</f>
        <v>0.0468626886521415</v>
      </c>
      <c r="O3923" s="25" t="n">
        <f aca="false">IF(A3923-30&lt;$R$2,"",C3923/INDEX(Clean_Data!$C$2:$C$4314,MATCH(A3923-30,Clean_Data!$A$2:$A$4314,1))-1)</f>
        <v>0.0862264058538702</v>
      </c>
    </row>
    <row r="3924" customFormat="false" ht="15" hidden="false" customHeight="false" outlineLevel="0" collapsed="false">
      <c r="A3924" s="16" t="n">
        <v>45931</v>
      </c>
      <c r="B3924" s="23" t="n">
        <f aca="false">YEAR(A3924)</f>
        <v>2025</v>
      </c>
      <c r="C3924" s="17" t="n">
        <v>120621.32</v>
      </c>
      <c r="D3924" s="23" t="n">
        <f aca="false">A3924-A3923</f>
        <v>1</v>
      </c>
      <c r="E3924" s="24" t="n">
        <f aca="false">LN(C3924)</f>
        <v>11.7004113304039</v>
      </c>
      <c r="F3924" s="25" t="n">
        <f aca="false">LN(C3924/C3923)</f>
        <v>0.0163940434144848</v>
      </c>
      <c r="G3924" s="25" t="n">
        <f aca="false">IF(AND(D3924=1,A3924&gt;=$R$2),F3924,"")</f>
        <v>0.0163940434144848</v>
      </c>
      <c r="H3924" s="27" t="n">
        <f aca="false">IF(G3924="","",G3924^2)</f>
        <v>0.000268764659476014</v>
      </c>
      <c r="I3924" s="25" t="n">
        <f aca="false">IF(G3924="","",C3924/C3923-1)</f>
        <v>0.0165291631204694</v>
      </c>
      <c r="J3924" s="17" t="n">
        <f aca="false">AVERAGE(C3725:C3924)</f>
        <v>105130.28105</v>
      </c>
      <c r="K3924" s="17" t="n">
        <f aca="false">MAX(K3923,C3924)</f>
        <v>123365.63</v>
      </c>
      <c r="L3924" s="25" t="n">
        <f aca="false">C3924/K3924-1</f>
        <v>-0.0222453368900236</v>
      </c>
      <c r="M3924" s="25" t="n">
        <f aca="false">IF(COUNT(G3895:G3924)&lt;20,"",_xlfn.STDEV.S(G3895:G3924)*SQRT($R$3))</f>
        <v>0.276459807778667</v>
      </c>
      <c r="N3924" s="25" t="n">
        <f aca="false">IF(A3924-7&lt;$R$2,"",C3924/INDEX(Clean_Data!$C$2:$C$4314,MATCH(A3924-7,Clean_Data!$A$2:$A$4314,1))-1)</f>
        <v>0.106255087782242</v>
      </c>
      <c r="O3924" s="25" t="n">
        <f aca="false">IF(A3924-30&lt;$R$2,"",C3924/INDEX(Clean_Data!$C$2:$C$4314,MATCH(A3924-30,Clean_Data!$A$2:$A$4314,1))-1)</f>
        <v>0.0842566612918856</v>
      </c>
    </row>
    <row r="3925" customFormat="false" ht="15" hidden="false" customHeight="false" outlineLevel="0" collapsed="false">
      <c r="A3925" s="16" t="n">
        <v>45932</v>
      </c>
      <c r="B3925" s="23" t="n">
        <f aca="false">YEAR(A3925)</f>
        <v>2025</v>
      </c>
      <c r="C3925" s="17" t="n">
        <v>122318.4</v>
      </c>
      <c r="D3925" s="23" t="n">
        <f aca="false">A3925-A3924</f>
        <v>1</v>
      </c>
      <c r="E3925" s="24" t="n">
        <f aca="false">LN(C3925)</f>
        <v>11.7143827600727</v>
      </c>
      <c r="F3925" s="25" t="n">
        <f aca="false">LN(C3925/C3924)</f>
        <v>0.0139714296687641</v>
      </c>
      <c r="G3925" s="25" t="n">
        <f aca="false">IF(AND(D3925=1,A3925&gt;=$R$2),F3925,"")</f>
        <v>0.0139714296687641</v>
      </c>
      <c r="H3925" s="27" t="n">
        <f aca="false">IF(G3925="","",G3925^2)</f>
        <v>0.000195200846989222</v>
      </c>
      <c r="I3925" s="25" t="n">
        <f aca="false">IF(G3925="","",C3925/C3924-1)</f>
        <v>0.0140694862234967</v>
      </c>
      <c r="J3925" s="17" t="n">
        <f aca="false">AVERAGE(C3726:C3925)</f>
        <v>105321.81605</v>
      </c>
      <c r="K3925" s="17" t="n">
        <f aca="false">MAX(K3924,C3925)</f>
        <v>123365.63</v>
      </c>
      <c r="L3925" s="25" t="n">
        <f aca="false">C3925/K3925-1</f>
        <v>-0.00848883112743815</v>
      </c>
      <c r="M3925" s="25" t="n">
        <f aca="false">IF(COUNT(G3896:G3925)&lt;20,"",_xlfn.STDEV.S(G3896:G3925)*SQRT($R$3))</f>
        <v>0.279193771735574</v>
      </c>
      <c r="N3925" s="25" t="n">
        <f aca="false">IF(A3925-7&lt;$R$2,"",C3925/INDEX(Clean_Data!$C$2:$C$4314,MATCH(A3925-7,Clean_Data!$A$2:$A$4314,1))-1)</f>
        <v>0.115053981734645</v>
      </c>
      <c r="O3925" s="25" t="n">
        <f aca="false">IF(A3925-30&lt;$R$2,"",C3925/INDEX(Clean_Data!$C$2:$C$4314,MATCH(A3925-30,Clean_Data!$A$2:$A$4314,1))-1)</f>
        <v>0.0945090308466421</v>
      </c>
    </row>
    <row r="3926" customFormat="false" ht="15" hidden="false" customHeight="false" outlineLevel="0" collapsed="false">
      <c r="A3926" s="16" t="n">
        <v>45933</v>
      </c>
      <c r="B3926" s="23" t="n">
        <f aca="false">YEAR(A3926)</f>
        <v>2025</v>
      </c>
      <c r="C3926" s="17" t="n">
        <v>122458.56</v>
      </c>
      <c r="D3926" s="23" t="n">
        <f aca="false">A3926-A3925</f>
        <v>1</v>
      </c>
      <c r="E3926" s="24" t="n">
        <f aca="false">LN(C3926)</f>
        <v>11.7155279660211</v>
      </c>
      <c r="F3926" s="25" t="n">
        <f aca="false">LN(C3926/C3925)</f>
        <v>0.0011452059484543</v>
      </c>
      <c r="G3926" s="25" t="n">
        <f aca="false">IF(AND(D3926=1,A3926&gt;=$R$2),F3926,"")</f>
        <v>0.0011452059484543</v>
      </c>
      <c r="H3926" s="27" t="n">
        <f aca="false">IF(G3926="","",G3926^2)</f>
        <v>1.31149666437512E-006</v>
      </c>
      <c r="I3926" s="25" t="n">
        <f aca="false">IF(G3926="","",C3926/C3925-1)</f>
        <v>0.00114586194718047</v>
      </c>
      <c r="J3926" s="17" t="n">
        <f aca="false">AVERAGE(C3727:C3926)</f>
        <v>105520.61505</v>
      </c>
      <c r="K3926" s="17" t="n">
        <f aca="false">MAX(K3925,C3926)</f>
        <v>123365.63</v>
      </c>
      <c r="L3926" s="25" t="n">
        <f aca="false">C3926/K3926-1</f>
        <v>-0.00735269620882262</v>
      </c>
      <c r="M3926" s="25" t="n">
        <f aca="false">IF(COUNT(G3897:G3926)&lt;20,"",_xlfn.STDEV.S(G3897:G3926)*SQRT($R$3))</f>
        <v>0.275747464998525</v>
      </c>
      <c r="N3926" s="25" t="n">
        <f aca="false">IF(A3926-7&lt;$R$2,"",C3926/INDEX(Clean_Data!$C$2:$C$4314,MATCH(A3926-7,Clean_Data!$A$2:$A$4314,1))-1)</f>
        <v>0.116495850335645</v>
      </c>
      <c r="O3926" s="25" t="n">
        <f aca="false">IF(A3926-30&lt;$R$2,"",C3926/INDEX(Clean_Data!$C$2:$C$4314,MATCH(A3926-30,Clean_Data!$A$2:$A$4314,1))-1)</f>
        <v>0.106012339687966</v>
      </c>
    </row>
    <row r="3927" customFormat="false" ht="15" hidden="false" customHeight="false" outlineLevel="0" collapsed="false">
      <c r="A3927" s="16" t="n">
        <v>45934</v>
      </c>
      <c r="B3927" s="23" t="n">
        <f aca="false">YEAR(A3927)</f>
        <v>2025</v>
      </c>
      <c r="C3927" s="17" t="n">
        <v>123520.79</v>
      </c>
      <c r="D3927" s="23" t="n">
        <f aca="false">A3927-A3926</f>
        <v>1</v>
      </c>
      <c r="E3927" s="24" t="n">
        <f aca="false">LN(C3927)</f>
        <v>11.7241647609635</v>
      </c>
      <c r="F3927" s="25" t="n">
        <f aca="false">LN(C3927/C3926)</f>
        <v>0.00863679494242583</v>
      </c>
      <c r="G3927" s="25" t="n">
        <f aca="false">IF(AND(D3927=1,A3927&gt;=$R$2),F3927,"")</f>
        <v>0.00863679494242583</v>
      </c>
      <c r="H3927" s="27" t="n">
        <f aca="false">IF(G3927="","",G3927^2)</f>
        <v>7.45942268775125E-005</v>
      </c>
      <c r="I3927" s="25" t="n">
        <f aca="false">IF(G3927="","",C3927/C3926-1)</f>
        <v>0.00867419966395167</v>
      </c>
      <c r="J3927" s="17" t="n">
        <f aca="false">AVERAGE(C3728:C3927)</f>
        <v>105703.8292</v>
      </c>
      <c r="K3927" s="17" t="n">
        <f aca="false">MAX(K3926,C3927)</f>
        <v>123520.79</v>
      </c>
      <c r="L3927" s="25" t="n">
        <f aca="false">C3927/K3927-1</f>
        <v>0</v>
      </c>
      <c r="M3927" s="25" t="n">
        <f aca="false">IF(COUNT(G3898:G3927)&lt;20,"",_xlfn.STDEV.S(G3898:G3927)*SQRT($R$3))</f>
        <v>0.275987642801794</v>
      </c>
      <c r="N3927" s="25" t="n">
        <f aca="false">IF(A3927-7&lt;$R$2,"",C3927/INDEX(Clean_Data!$C$2:$C$4314,MATCH(A3927-7,Clean_Data!$A$2:$A$4314,1))-1)</f>
        <v>0.100921168862063</v>
      </c>
      <c r="O3927" s="25" t="n">
        <f aca="false">IF(A3927-30&lt;$R$2,"",C3927/INDEX(Clean_Data!$C$2:$C$4314,MATCH(A3927-30,Clean_Data!$A$2:$A$4314,1))-1)</f>
        <v>0.116117897150466</v>
      </c>
    </row>
    <row r="3928" customFormat="false" ht="15" hidden="false" customHeight="false" outlineLevel="0" collapsed="false">
      <c r="A3928" s="16" t="n">
        <v>45935</v>
      </c>
      <c r="B3928" s="23" t="n">
        <f aca="false">YEAR(A3928)</f>
        <v>2025</v>
      </c>
      <c r="C3928" s="17" t="n">
        <v>124720.09</v>
      </c>
      <c r="D3928" s="23" t="n">
        <f aca="false">A3928-A3927</f>
        <v>1</v>
      </c>
      <c r="E3928" s="24" t="n">
        <f aca="false">LN(C3928)</f>
        <v>11.7338272253478</v>
      </c>
      <c r="F3928" s="25" t="n">
        <f aca="false">LN(C3928/C3927)</f>
        <v>0.00966246438427949</v>
      </c>
      <c r="G3928" s="25" t="n">
        <f aca="false">IF(AND(D3928=1,A3928&gt;=$R$2),F3928,"")</f>
        <v>0.00966246438427949</v>
      </c>
      <c r="H3928" s="27" t="n">
        <f aca="false">IF(G3928="","",G3928^2)</f>
        <v>9.33632179774695E-005</v>
      </c>
      <c r="I3928" s="25" t="n">
        <f aca="false">IF(G3928="","",C3928/C3927-1)</f>
        <v>0.00970929671029475</v>
      </c>
      <c r="J3928" s="17" t="n">
        <f aca="false">AVERAGE(C3729:C3928)</f>
        <v>105906.51255</v>
      </c>
      <c r="K3928" s="17" t="n">
        <f aca="false">MAX(K3927,C3928)</f>
        <v>124720.09</v>
      </c>
      <c r="L3928" s="25" t="n">
        <f aca="false">C3928/K3928-1</f>
        <v>0</v>
      </c>
      <c r="M3928" s="25" t="n">
        <f aca="false">IF(COUNT(G3899:G3928)&lt;20,"",_xlfn.STDEV.S(G3899:G3928)*SQRT($R$3))</f>
        <v>0.275274345110478</v>
      </c>
      <c r="N3928" s="25" t="n">
        <f aca="false">IF(A3928-7&lt;$R$2,"",C3928/INDEX(Clean_Data!$C$2:$C$4314,MATCH(A3928-7,Clean_Data!$A$2:$A$4314,1))-1)</f>
        <v>0.0905435549508253</v>
      </c>
      <c r="O3928" s="25" t="n">
        <f aca="false">IF(A3928-30&lt;$R$2,"",C3928/INDEX(Clean_Data!$C$2:$C$4314,MATCH(A3928-30,Clean_Data!$A$2:$A$4314,1))-1)</f>
        <v>0.131631864233309</v>
      </c>
    </row>
    <row r="3929" customFormat="false" ht="15" hidden="false" customHeight="false" outlineLevel="0" collapsed="false">
      <c r="A3929" s="16" t="n">
        <v>45936</v>
      </c>
      <c r="B3929" s="23" t="n">
        <f aca="false">YEAR(A3929)</f>
        <v>2025</v>
      </c>
      <c r="C3929" s="17" t="n">
        <v>121393.95</v>
      </c>
      <c r="D3929" s="23" t="n">
        <f aca="false">A3929-A3928</f>
        <v>1</v>
      </c>
      <c r="E3929" s="24" t="n">
        <f aca="false">LN(C3929)</f>
        <v>11.7067963211104</v>
      </c>
      <c r="F3929" s="25" t="n">
        <f aca="false">LN(C3929/C3928)</f>
        <v>-0.0270309042374554</v>
      </c>
      <c r="G3929" s="25" t="n">
        <f aca="false">IF(AND(D3929=1,A3929&gt;=$R$2),F3929,"")</f>
        <v>-0.0270309042374554</v>
      </c>
      <c r="H3929" s="27" t="n">
        <f aca="false">IF(G3929="","",G3929^2)</f>
        <v>0.000730669783894482</v>
      </c>
      <c r="I3929" s="25" t="n">
        <f aca="false">IF(G3929="","",C3929/C3928-1)</f>
        <v>-0.0266688389977909</v>
      </c>
      <c r="J3929" s="17" t="n">
        <f aca="false">AVERAGE(C3730:C3929)</f>
        <v>106093.1725</v>
      </c>
      <c r="K3929" s="17" t="n">
        <f aca="false">MAX(K3928,C3929)</f>
        <v>124720.09</v>
      </c>
      <c r="L3929" s="25" t="n">
        <f aca="false">C3929/K3929-1</f>
        <v>-0.0266688389977909</v>
      </c>
      <c r="M3929" s="25" t="n">
        <f aca="false">IF(COUNT(G3900:G3929)&lt;20,"",_xlfn.STDEV.S(G3900:G3929)*SQRT($R$3))</f>
        <v>0.295380150951071</v>
      </c>
      <c r="N3929" s="25" t="n">
        <f aca="false">IF(A3929-7&lt;$R$2,"",C3929/INDEX(Clean_Data!$C$2:$C$4314,MATCH(A3929-7,Clean_Data!$A$2:$A$4314,1))-1)</f>
        <v>0.0642271156315839</v>
      </c>
      <c r="O3929" s="25" t="n">
        <f aca="false">IF(A3929-30&lt;$R$2,"",C3929/INDEX(Clean_Data!$C$2:$C$4314,MATCH(A3929-30,Clean_Data!$A$2:$A$4314,1))-1)</f>
        <v>0.0923636823705221</v>
      </c>
    </row>
    <row r="3930" customFormat="false" ht="15" hidden="false" customHeight="false" outlineLevel="0" collapsed="false">
      <c r="A3930" s="16" t="n">
        <v>45937</v>
      </c>
      <c r="B3930" s="23" t="n">
        <f aca="false">YEAR(A3930)</f>
        <v>2025</v>
      </c>
      <c r="C3930" s="17" t="n">
        <v>123343.25</v>
      </c>
      <c r="D3930" s="23" t="n">
        <f aca="false">A3930-A3929</f>
        <v>1</v>
      </c>
      <c r="E3930" s="24" t="n">
        <f aca="false">LN(C3930)</f>
        <v>11.7227263981254</v>
      </c>
      <c r="F3930" s="25" t="n">
        <f aca="false">LN(C3930/C3929)</f>
        <v>0.0159300770149983</v>
      </c>
      <c r="G3930" s="25" t="n">
        <f aca="false">IF(AND(D3930=1,A3930&gt;=$R$2),F3930,"")</f>
        <v>0.0159300770149983</v>
      </c>
      <c r="H3930" s="27" t="n">
        <f aca="false">IF(G3930="","",G3930^2)</f>
        <v>0.000253767353703778</v>
      </c>
      <c r="I3930" s="25" t="n">
        <f aca="false">IF(G3930="","",C3930/C3929-1)</f>
        <v>0.0160576371392478</v>
      </c>
      <c r="J3930" s="17" t="n">
        <f aca="false">AVERAGE(C3731:C3930)</f>
        <v>106290.6286</v>
      </c>
      <c r="K3930" s="17" t="n">
        <f aca="false">MAX(K3929,C3930)</f>
        <v>124720.09</v>
      </c>
      <c r="L3930" s="25" t="n">
        <f aca="false">C3930/K3930-1</f>
        <v>-0.0110394403980946</v>
      </c>
      <c r="M3930" s="25" t="n">
        <f aca="false">IF(COUNT(G3901:G3930)&lt;20,"",_xlfn.STDEV.S(G3901:G3930)*SQRT($R$3))</f>
        <v>0.29827309062026</v>
      </c>
      <c r="N3930" s="25" t="n">
        <f aca="false">IF(A3930-7&lt;$R$2,"",C3930/INDEX(Clean_Data!$C$2:$C$4314,MATCH(A3930-7,Clean_Data!$A$2:$A$4314,1))-1)</f>
        <v>0.0394680699818144</v>
      </c>
      <c r="O3930" s="25" t="n">
        <f aca="false">IF(A3930-30&lt;$R$2,"",C3930/INDEX(Clean_Data!$C$2:$C$4314,MATCH(A3930-30,Clean_Data!$A$2:$A$4314,1))-1)</f>
        <v>0.100565910106282</v>
      </c>
    </row>
    <row r="3931" customFormat="false" ht="15" hidden="false" customHeight="false" outlineLevel="0" collapsed="false">
      <c r="A3931" s="16" t="n">
        <v>45938</v>
      </c>
      <c r="B3931" s="23" t="n">
        <f aca="false">YEAR(A3931)</f>
        <v>2025</v>
      </c>
      <c r="C3931" s="17" t="n">
        <v>121714.51</v>
      </c>
      <c r="D3931" s="23" t="n">
        <f aca="false">A3931-A3930</f>
        <v>1</v>
      </c>
      <c r="E3931" s="24" t="n">
        <f aca="false">LN(C3931)</f>
        <v>11.7094334994774</v>
      </c>
      <c r="F3931" s="25" t="n">
        <f aca="false">LN(C3931/C3930)</f>
        <v>-0.0132928986479152</v>
      </c>
      <c r="G3931" s="25" t="n">
        <f aca="false">IF(AND(D3931=1,A3931&gt;=$R$2),F3931,"")</f>
        <v>-0.0132928986479152</v>
      </c>
      <c r="H3931" s="27" t="n">
        <f aca="false">IF(G3931="","",G3931^2)</f>
        <v>0.000176701154463745</v>
      </c>
      <c r="I3931" s="25" t="n">
        <f aca="false">IF(G3931="","",C3931/C3930-1)</f>
        <v>-0.0132049382515865</v>
      </c>
      <c r="J3931" s="17" t="n">
        <f aca="false">AVERAGE(C3732:C3931)</f>
        <v>106468.73645</v>
      </c>
      <c r="K3931" s="17" t="n">
        <f aca="false">MAX(K3930,C3931)</f>
        <v>124720.09</v>
      </c>
      <c r="L3931" s="25" t="n">
        <f aca="false">C3931/K3931-1</f>
        <v>-0.0240986035208923</v>
      </c>
      <c r="M3931" s="25" t="n">
        <f aca="false">IF(COUNT(G3902:G3931)&lt;20,"",_xlfn.STDEV.S(G3902:G3931)*SQRT($R$3))</f>
        <v>0.302616259379364</v>
      </c>
      <c r="N3931" s="25" t="n">
        <f aca="false">IF(A3931-7&lt;$R$2,"",C3931/INDEX(Clean_Data!$C$2:$C$4314,MATCH(A3931-7,Clean_Data!$A$2:$A$4314,1))-1)</f>
        <v>0.00906299151758572</v>
      </c>
      <c r="O3931" s="25" t="n">
        <f aca="false">IF(A3931-30&lt;$R$2,"",C3931/INDEX(Clean_Data!$C$2:$C$4314,MATCH(A3931-30,Clean_Data!$A$2:$A$4314,1))-1)</f>
        <v>0.0911273148056842</v>
      </c>
    </row>
    <row r="3932" customFormat="false" ht="15" hidden="false" customHeight="false" outlineLevel="0" collapsed="false">
      <c r="A3932" s="16" t="n">
        <v>45939</v>
      </c>
      <c r="B3932" s="23" t="n">
        <f aca="false">YEAR(A3932)</f>
        <v>2025</v>
      </c>
      <c r="C3932" s="17" t="n">
        <v>112980.28</v>
      </c>
      <c r="D3932" s="23" t="n">
        <f aca="false">A3932-A3931</f>
        <v>1</v>
      </c>
      <c r="E3932" s="24" t="n">
        <f aca="false">LN(C3932)</f>
        <v>11.6349685691909</v>
      </c>
      <c r="F3932" s="25" t="n">
        <f aca="false">LN(C3932/C3931)</f>
        <v>-0.0744649302865183</v>
      </c>
      <c r="G3932" s="25" t="n">
        <f aca="false">IF(AND(D3932=1,A3932&gt;=$R$2),F3932,"")</f>
        <v>-0.0744649302865183</v>
      </c>
      <c r="H3932" s="27" t="n">
        <f aca="false">IF(G3932="","",G3932^2)</f>
        <v>0.00554502584257603</v>
      </c>
      <c r="I3932" s="25" t="n">
        <f aca="false">IF(G3932="","",C3932/C3931-1)</f>
        <v>-0.071759973400049</v>
      </c>
      <c r="J3932" s="17" t="n">
        <f aca="false">AVERAGE(C3733:C3932)</f>
        <v>106596.01975</v>
      </c>
      <c r="K3932" s="17" t="n">
        <f aca="false">MAX(K3931,C3932)</f>
        <v>124720.09</v>
      </c>
      <c r="L3932" s="25" t="n">
        <f aca="false">C3932/K3932-1</f>
        <v>-0.0941292617733037</v>
      </c>
      <c r="M3932" s="25" t="n">
        <f aca="false">IF(COUNT(G3903:G3932)&lt;20,"",_xlfn.STDEV.S(G3903:G3932)*SQRT($R$3))</f>
        <v>0.398319277418869</v>
      </c>
      <c r="N3932" s="25" t="n">
        <f aca="false">IF(A3932-7&lt;$R$2,"",C3932/INDEX(Clean_Data!$C$2:$C$4314,MATCH(A3932-7,Clean_Data!$A$2:$A$4314,1))-1)</f>
        <v>-0.0763427252155031</v>
      </c>
      <c r="O3932" s="25" t="n">
        <f aca="false">IF(A3932-30&lt;$R$2,"",C3932/INDEX(Clean_Data!$C$2:$C$4314,MATCH(A3932-30,Clean_Data!$A$2:$A$4314,1))-1)</f>
        <v>-0.00880553642762227</v>
      </c>
    </row>
    <row r="3933" customFormat="false" ht="15" hidden="false" customHeight="false" outlineLevel="0" collapsed="false">
      <c r="A3933" s="16" t="n">
        <v>45940</v>
      </c>
      <c r="B3933" s="23" t="n">
        <f aca="false">YEAR(A3933)</f>
        <v>2025</v>
      </c>
      <c r="C3933" s="17" t="n">
        <v>110768.89</v>
      </c>
      <c r="D3933" s="23" t="n">
        <f aca="false">A3933-A3932</f>
        <v>1</v>
      </c>
      <c r="E3933" s="24" t="n">
        <f aca="false">LN(C3933)</f>
        <v>11.615201237697</v>
      </c>
      <c r="F3933" s="25" t="n">
        <f aca="false">LN(C3933/C3932)</f>
        <v>-0.0197673314939024</v>
      </c>
      <c r="G3933" s="25" t="n">
        <f aca="false">IF(AND(D3933=1,A3933&gt;=$R$2),F3933,"")</f>
        <v>-0.0197673314939024</v>
      </c>
      <c r="H3933" s="27" t="n">
        <f aca="false">IF(G3933="","",G3933^2)</f>
        <v>0.000390747394389824</v>
      </c>
      <c r="I3933" s="25" t="n">
        <f aca="false">IF(G3933="","",C3933/C3932-1)</f>
        <v>-0.0195732387988417</v>
      </c>
      <c r="J3933" s="17" t="n">
        <f aca="false">AVERAGE(C3734:C3933)</f>
        <v>106712.7248</v>
      </c>
      <c r="K3933" s="17" t="n">
        <f aca="false">MAX(K3932,C3933)</f>
        <v>124720.09</v>
      </c>
      <c r="L3933" s="25" t="n">
        <f aca="false">C3933/K3933-1</f>
        <v>-0.111860086053498</v>
      </c>
      <c r="M3933" s="25" t="n">
        <f aca="false">IF(COUNT(G3904:G3933)&lt;20,"",_xlfn.STDEV.S(G3904:G3933)*SQRT($R$3))</f>
        <v>0.400685753957488</v>
      </c>
      <c r="N3933" s="25" t="n">
        <f aca="false">IF(A3933-7&lt;$R$2,"",C3933/INDEX(Clean_Data!$C$2:$C$4314,MATCH(A3933-7,Clean_Data!$A$2:$A$4314,1))-1)</f>
        <v>-0.0954581696861371</v>
      </c>
      <c r="O3933" s="25" t="n">
        <f aca="false">IF(A3933-30&lt;$R$2,"",C3933/INDEX(Clean_Data!$C$2:$C$4314,MATCH(A3933-30,Clean_Data!$A$2:$A$4314,1))-1)</f>
        <v>-0.041294010732214</v>
      </c>
    </row>
    <row r="3934" customFormat="false" ht="15" hidden="false" customHeight="false" outlineLevel="0" collapsed="false">
      <c r="A3934" s="16" t="n">
        <v>45941</v>
      </c>
      <c r="B3934" s="23" t="n">
        <f aca="false">YEAR(A3934)</f>
        <v>2025</v>
      </c>
      <c r="C3934" s="17" t="n">
        <v>115067.98</v>
      </c>
      <c r="D3934" s="23" t="n">
        <f aca="false">A3934-A3933</f>
        <v>1</v>
      </c>
      <c r="E3934" s="24" t="n">
        <f aca="false">LN(C3934)</f>
        <v>11.6532783631314</v>
      </c>
      <c r="F3934" s="25" t="n">
        <f aca="false">LN(C3934/C3933)</f>
        <v>0.0380771254343721</v>
      </c>
      <c r="G3934" s="25" t="n">
        <f aca="false">IF(AND(D3934=1,A3934&gt;=$R$2),F3934,"")</f>
        <v>0.0380771254343721</v>
      </c>
      <c r="H3934" s="27" t="n">
        <f aca="false">IF(G3934="","",G3934^2)</f>
        <v>0.00144986748134491</v>
      </c>
      <c r="I3934" s="25" t="n">
        <f aca="false">IF(G3934="","",C3934/C3933-1)</f>
        <v>0.0388113485654682</v>
      </c>
      <c r="J3934" s="17" t="n">
        <f aca="false">AVERAGE(C3735:C3934)</f>
        <v>106853.43465</v>
      </c>
      <c r="K3934" s="17" t="n">
        <f aca="false">MAX(K3933,C3934)</f>
        <v>124720.09</v>
      </c>
      <c r="L3934" s="25" t="n">
        <f aca="false">C3934/K3934-1</f>
        <v>-0.0773901782784153</v>
      </c>
      <c r="M3934" s="25" t="n">
        <f aca="false">IF(COUNT(G3905:G3934)&lt;20,"",_xlfn.STDEV.S(G3905:G3934)*SQRT($R$3))</f>
        <v>0.423330924710328</v>
      </c>
      <c r="N3934" s="25" t="n">
        <f aca="false">IF(A3934-7&lt;$R$2,"",C3934/INDEX(Clean_Data!$C$2:$C$4314,MATCH(A3934-7,Clean_Data!$A$2:$A$4314,1))-1)</f>
        <v>-0.0684322857714883</v>
      </c>
      <c r="O3934" s="25" t="n">
        <f aca="false">IF(A3934-30&lt;$R$2,"",C3934/INDEX(Clean_Data!$C$2:$C$4314,MATCH(A3934-30,Clean_Data!$A$2:$A$4314,1))-1)</f>
        <v>-0.00894053478531653</v>
      </c>
    </row>
    <row r="3935" customFormat="false" ht="15" hidden="false" customHeight="false" outlineLevel="0" collapsed="false">
      <c r="A3935" s="16" t="n">
        <v>45942</v>
      </c>
      <c r="B3935" s="23" t="n">
        <f aca="false">YEAR(A3935)</f>
        <v>2025</v>
      </c>
      <c r="C3935" s="17" t="n">
        <v>115274.03</v>
      </c>
      <c r="D3935" s="23" t="n">
        <f aca="false">A3935-A3934</f>
        <v>1</v>
      </c>
      <c r="E3935" s="24" t="n">
        <f aca="false">LN(C3935)</f>
        <v>11.6550674423789</v>
      </c>
      <c r="F3935" s="25" t="n">
        <f aca="false">LN(C3935/C3934)</f>
        <v>0.00178907924751092</v>
      </c>
      <c r="G3935" s="25" t="n">
        <f aca="false">IF(AND(D3935=1,A3935&gt;=$R$2),F3935,"")</f>
        <v>0.00178907924751092</v>
      </c>
      <c r="H3935" s="27" t="n">
        <f aca="false">IF(G3935="","",G3935^2)</f>
        <v>3.20080455387424E-006</v>
      </c>
      <c r="I3935" s="25" t="n">
        <f aca="false">IF(G3935="","",C3935/C3934-1)</f>
        <v>0.00179068060463039</v>
      </c>
      <c r="J3935" s="17" t="n">
        <f aca="false">AVERAGE(C3736:C3935)</f>
        <v>106993.7174</v>
      </c>
      <c r="K3935" s="17" t="n">
        <f aca="false">MAX(K3934,C3935)</f>
        <v>124720.09</v>
      </c>
      <c r="L3935" s="25" t="n">
        <f aca="false">C3935/K3935-1</f>
        <v>-0.0757380787650169</v>
      </c>
      <c r="M3935" s="25" t="n">
        <f aca="false">IF(COUNT(G3906:G3935)&lt;20,"",_xlfn.STDEV.S(G3906:G3935)*SQRT($R$3))</f>
        <v>0.423379672151584</v>
      </c>
      <c r="N3935" s="25" t="n">
        <f aca="false">IF(A3935-7&lt;$R$2,"",C3935/INDEX(Clean_Data!$C$2:$C$4314,MATCH(A3935-7,Clean_Data!$A$2:$A$4314,1))-1)</f>
        <v>-0.0757380787650169</v>
      </c>
      <c r="O3935" s="25" t="n">
        <f aca="false">IF(A3935-30&lt;$R$2,"",C3935/INDEX(Clean_Data!$C$2:$C$4314,MATCH(A3935-30,Clean_Data!$A$2:$A$4314,1))-1)</f>
        <v>-0.0059871508045084</v>
      </c>
    </row>
    <row r="3936" customFormat="false" ht="15" hidden="false" customHeight="false" outlineLevel="0" collapsed="false">
      <c r="A3936" s="16" t="n">
        <v>45943</v>
      </c>
      <c r="B3936" s="23" t="n">
        <f aca="false">YEAR(A3936)</f>
        <v>2025</v>
      </c>
      <c r="C3936" s="17" t="n">
        <v>113068</v>
      </c>
      <c r="D3936" s="23" t="n">
        <f aca="false">A3936-A3935</f>
        <v>1</v>
      </c>
      <c r="E3936" s="24" t="n">
        <f aca="false">LN(C3936)</f>
        <v>11.6357446866151</v>
      </c>
      <c r="F3936" s="25" t="n">
        <f aca="false">LN(C3936/C3935)</f>
        <v>-0.0193227557638335</v>
      </c>
      <c r="G3936" s="25" t="n">
        <f aca="false">IF(AND(D3936=1,A3936&gt;=$R$2),F3936,"")</f>
        <v>-0.0193227557638335</v>
      </c>
      <c r="H3936" s="27" t="n">
        <f aca="false">IF(G3936="","",G3936^2)</f>
        <v>0.000373368890308762</v>
      </c>
      <c r="I3936" s="25" t="n">
        <f aca="false">IF(G3936="","",C3936/C3935-1)</f>
        <v>-0.0191372679518536</v>
      </c>
      <c r="J3936" s="17" t="n">
        <f aca="false">AVERAGE(C3737:C3936)</f>
        <v>107137.1484</v>
      </c>
      <c r="K3936" s="17" t="n">
        <f aca="false">MAX(K3935,C3936)</f>
        <v>124720.09</v>
      </c>
      <c r="L3936" s="25" t="n">
        <f aca="false">C3936/K3936-1</f>
        <v>-0.0934259268093857</v>
      </c>
      <c r="M3936" s="25" t="n">
        <f aca="false">IF(COUNT(G3907:G3936)&lt;20,"",_xlfn.STDEV.S(G3907:G3936)*SQRT($R$3))</f>
        <v>0.42825181076598</v>
      </c>
      <c r="N3936" s="25" t="n">
        <f aca="false">IF(A3936-7&lt;$R$2,"",C3936/INDEX(Clean_Data!$C$2:$C$4314,MATCH(A3936-7,Clean_Data!$A$2:$A$4314,1))-1)</f>
        <v>-0.0685862021954141</v>
      </c>
      <c r="O3936" s="25" t="n">
        <f aca="false">IF(A3936-30&lt;$R$2,"",C3936/INDEX(Clean_Data!$C$2:$C$4314,MATCH(A3936-30,Clean_Data!$A$2:$A$4314,1))-1)</f>
        <v>-0.0194783588099742</v>
      </c>
    </row>
    <row r="3937" customFormat="false" ht="15" hidden="false" customHeight="false" outlineLevel="0" collapsed="false">
      <c r="A3937" s="16" t="n">
        <v>45944</v>
      </c>
      <c r="B3937" s="23" t="n">
        <f aca="false">YEAR(A3937)</f>
        <v>2025</v>
      </c>
      <c r="C3937" s="17" t="n">
        <v>110804.12</v>
      </c>
      <c r="D3937" s="23" t="n">
        <f aca="false">A3937-A3936</f>
        <v>1</v>
      </c>
      <c r="E3937" s="24" t="n">
        <f aca="false">LN(C3937)</f>
        <v>11.6155192367195</v>
      </c>
      <c r="F3937" s="25" t="n">
        <f aca="false">LN(C3937/C3936)</f>
        <v>-0.0202254498955433</v>
      </c>
      <c r="G3937" s="25" t="n">
        <f aca="false">IF(AND(D3937=1,A3937&gt;=$R$2),F3937,"")</f>
        <v>-0.0202254498955433</v>
      </c>
      <c r="H3937" s="27" t="n">
        <f aca="false">IF(G3937="","",G3937^2)</f>
        <v>0.000409068823477134</v>
      </c>
      <c r="I3937" s="25" t="n">
        <f aca="false">IF(G3937="","",C3937/C3936-1)</f>
        <v>-0.0200222874730251</v>
      </c>
      <c r="J3937" s="17" t="n">
        <f aca="false">AVERAGE(C3738:C3937)</f>
        <v>107278.08485</v>
      </c>
      <c r="K3937" s="17" t="n">
        <f aca="false">MAX(K3936,C3937)</f>
        <v>124720.09</v>
      </c>
      <c r="L3937" s="25" t="n">
        <f aca="false">C3937/K3937-1</f>
        <v>-0.111577613518399</v>
      </c>
      <c r="M3937" s="25" t="n">
        <f aca="false">IF(COUNT(G3908:G3937)&lt;20,"",_xlfn.STDEV.S(G3908:G3937)*SQRT($R$3))</f>
        <v>0.433611555541562</v>
      </c>
      <c r="N3937" s="25" t="n">
        <f aca="false">IF(A3937-7&lt;$R$2,"",C3937/INDEX(Clean_Data!$C$2:$C$4314,MATCH(A3937-7,Clean_Data!$A$2:$A$4314,1))-1)</f>
        <v>-0.101660447572121</v>
      </c>
      <c r="O3937" s="25" t="n">
        <f aca="false">IF(A3937-30&lt;$R$2,"",C3937/INDEX(Clean_Data!$C$2:$C$4314,MATCH(A3937-30,Clean_Data!$A$2:$A$4314,1))-1)</f>
        <v>-0.039668202100379</v>
      </c>
    </row>
    <row r="3938" customFormat="false" ht="15" hidden="false" customHeight="false" outlineLevel="0" collapsed="false">
      <c r="A3938" s="16" t="n">
        <v>45945</v>
      </c>
      <c r="B3938" s="23" t="n">
        <f aca="false">YEAR(A3938)</f>
        <v>2025</v>
      </c>
      <c r="C3938" s="17" t="n">
        <v>108198</v>
      </c>
      <c r="D3938" s="23" t="n">
        <f aca="false">A3938-A3937</f>
        <v>1</v>
      </c>
      <c r="E3938" s="24" t="n">
        <f aca="false">LN(C3938)</f>
        <v>11.5917181609353</v>
      </c>
      <c r="F3938" s="25" t="n">
        <f aca="false">LN(C3938/C3937)</f>
        <v>-0.0238010757842051</v>
      </c>
      <c r="G3938" s="25" t="n">
        <f aca="false">IF(AND(D3938=1,A3938&gt;=$R$2),F3938,"")</f>
        <v>-0.0238010757842051</v>
      </c>
      <c r="H3938" s="27" t="n">
        <f aca="false">IF(G3938="","",G3938^2)</f>
        <v>0.000566491208485475</v>
      </c>
      <c r="I3938" s="25" t="n">
        <f aca="false">IF(G3938="","",C3938/C3937-1)</f>
        <v>-0.0235200640553799</v>
      </c>
      <c r="J3938" s="17" t="n">
        <f aca="false">AVERAGE(C3739:C3938)</f>
        <v>107407.17495</v>
      </c>
      <c r="K3938" s="17" t="n">
        <f aca="false">MAX(K3937,C3938)</f>
        <v>124720.09</v>
      </c>
      <c r="L3938" s="25" t="n">
        <f aca="false">C3938/K3938-1</f>
        <v>-0.13247336495668</v>
      </c>
      <c r="M3938" s="25" t="n">
        <f aca="false">IF(COUNT(G3909:G3938)&lt;20,"",_xlfn.STDEV.S(G3909:G3938)*SQRT($R$3))</f>
        <v>0.437488374640801</v>
      </c>
      <c r="N3938" s="25" t="n">
        <f aca="false">IF(A3938-7&lt;$R$2,"",C3938/INDEX(Clean_Data!$C$2:$C$4314,MATCH(A3938-7,Clean_Data!$A$2:$A$4314,1))-1)</f>
        <v>-0.111050933861542</v>
      </c>
      <c r="O3938" s="25" t="n">
        <f aca="false">IF(A3938-30&lt;$R$2,"",C3938/INDEX(Clean_Data!$C$2:$C$4314,MATCH(A3938-30,Clean_Data!$A$2:$A$4314,1))-1)</f>
        <v>-0.0739054249945392</v>
      </c>
    </row>
    <row r="3939" customFormat="false" ht="15" hidden="false" customHeight="false" outlineLevel="0" collapsed="false">
      <c r="A3939" s="16" t="n">
        <v>45946</v>
      </c>
      <c r="B3939" s="23" t="n">
        <f aca="false">YEAR(A3939)</f>
        <v>2025</v>
      </c>
      <c r="C3939" s="17" t="n">
        <v>106463.3</v>
      </c>
      <c r="D3939" s="23" t="n">
        <f aca="false">A3939-A3938</f>
        <v>1</v>
      </c>
      <c r="E3939" s="24" t="n">
        <f aca="false">LN(C3939)</f>
        <v>11.5755556038041</v>
      </c>
      <c r="F3939" s="25" t="n">
        <f aca="false">LN(C3939/C3938)</f>
        <v>-0.0161625571312245</v>
      </c>
      <c r="G3939" s="25" t="n">
        <f aca="false">IF(AND(D3939=1,A3939&gt;=$R$2),F3939,"")</f>
        <v>-0.0161625571312245</v>
      </c>
      <c r="H3939" s="27" t="n">
        <f aca="false">IF(G3939="","",G3939^2)</f>
        <v>0.000261228253020096</v>
      </c>
      <c r="I3939" s="25" t="n">
        <f aca="false">IF(G3939="","",C3939/C3938-1)</f>
        <v>-0.0160326438566332</v>
      </c>
      <c r="J3939" s="17" t="n">
        <f aca="false">AVERAGE(C3740:C3939)</f>
        <v>107526.81985</v>
      </c>
      <c r="K3939" s="17" t="n">
        <f aca="false">MAX(K3938,C3939)</f>
        <v>124720.09</v>
      </c>
      <c r="L3939" s="25" t="n">
        <f aca="false">C3939/K3939-1</f>
        <v>-0.146382110532473</v>
      </c>
      <c r="M3939" s="25" t="n">
        <f aca="false">IF(COUNT(G3910:G3939)&lt;20,"",_xlfn.STDEV.S(G3910:G3939)*SQRT($R$3))</f>
        <v>0.440056820750948</v>
      </c>
      <c r="N3939" s="25" t="n">
        <f aca="false">IF(A3939-7&lt;$R$2,"",C3939/INDEX(Clean_Data!$C$2:$C$4314,MATCH(A3939-7,Clean_Data!$A$2:$A$4314,1))-1)</f>
        <v>-0.0576824557347529</v>
      </c>
      <c r="O3939" s="25" t="n">
        <f aca="false">IF(A3939-30&lt;$R$2,"",C3939/INDEX(Clean_Data!$C$2:$C$4314,MATCH(A3939-30,Clean_Data!$A$2:$A$4314,1))-1)</f>
        <v>-0.0860295455872202</v>
      </c>
    </row>
    <row r="3940" customFormat="false" ht="15" hidden="false" customHeight="false" outlineLevel="0" collapsed="false">
      <c r="A3940" s="16" t="n">
        <v>45947</v>
      </c>
      <c r="B3940" s="23" t="n">
        <f aca="false">YEAR(A3940)</f>
        <v>2025</v>
      </c>
      <c r="C3940" s="17" t="n">
        <v>107208.91</v>
      </c>
      <c r="D3940" s="23" t="n">
        <f aca="false">A3940-A3939</f>
        <v>1</v>
      </c>
      <c r="E3940" s="24" t="n">
        <f aca="false">LN(C3940)</f>
        <v>11.5825346398366</v>
      </c>
      <c r="F3940" s="25" t="n">
        <f aca="false">LN(C3940/C3939)</f>
        <v>0.00697903603246213</v>
      </c>
      <c r="G3940" s="25" t="n">
        <f aca="false">IF(AND(D3940=1,A3940&gt;=$R$2),F3940,"")</f>
        <v>0.00697903603246213</v>
      </c>
      <c r="H3940" s="27" t="n">
        <f aca="false">IF(G3940="","",G3940^2)</f>
        <v>4.87069439424047E-005</v>
      </c>
      <c r="I3940" s="25" t="n">
        <f aca="false">IF(G3940="","",C3940/C3939-1)</f>
        <v>0.0070034462580062</v>
      </c>
      <c r="J3940" s="17" t="n">
        <f aca="false">AVERAGE(C3741:C3940)</f>
        <v>107637.01255</v>
      </c>
      <c r="K3940" s="17" t="n">
        <f aca="false">MAX(K3939,C3940)</f>
        <v>124720.09</v>
      </c>
      <c r="L3940" s="25" t="n">
        <f aca="false">C3940/K3940-1</f>
        <v>-0.140403843518715</v>
      </c>
      <c r="M3940" s="25" t="n">
        <f aca="false">IF(COUNT(G3911:G3940)&lt;20,"",_xlfn.STDEV.S(G3911:G3940)*SQRT($R$3))</f>
        <v>0.440464536162538</v>
      </c>
      <c r="N3940" s="25" t="n">
        <f aca="false">IF(A3940-7&lt;$R$2,"",C3940/INDEX(Clean_Data!$C$2:$C$4314,MATCH(A3940-7,Clean_Data!$A$2:$A$4314,1))-1)</f>
        <v>-0.0321388072048027</v>
      </c>
      <c r="O3940" s="25" t="n">
        <f aca="false">IF(A3940-30&lt;$R$2,"",C3940/INDEX(Clean_Data!$C$2:$C$4314,MATCH(A3940-30,Clean_Data!$A$2:$A$4314,1))-1)</f>
        <v>-0.0846076678740815</v>
      </c>
    </row>
    <row r="3941" customFormat="false" ht="15" hidden="false" customHeight="false" outlineLevel="0" collapsed="false">
      <c r="A3941" s="16" t="n">
        <v>45948</v>
      </c>
      <c r="B3941" s="23" t="n">
        <f aca="false">YEAR(A3941)</f>
        <v>2025</v>
      </c>
      <c r="C3941" s="17" t="n">
        <v>108676.78</v>
      </c>
      <c r="D3941" s="23" t="n">
        <f aca="false">A3941-A3940</f>
        <v>1</v>
      </c>
      <c r="E3941" s="24" t="n">
        <f aca="false">LN(C3941)</f>
        <v>11.5961334348349</v>
      </c>
      <c r="F3941" s="25" t="n">
        <f aca="false">LN(C3941/C3940)</f>
        <v>0.0135987949983235</v>
      </c>
      <c r="G3941" s="25" t="n">
        <f aca="false">IF(AND(D3941=1,A3941&gt;=$R$2),F3941,"")</f>
        <v>0.0135987949983235</v>
      </c>
      <c r="H3941" s="27" t="n">
        <f aca="false">IF(G3941="","",G3941^2)</f>
        <v>0.000184927225406427</v>
      </c>
      <c r="I3941" s="25" t="n">
        <f aca="false">IF(G3941="","",C3941/C3940-1)</f>
        <v>0.0136916791710688</v>
      </c>
      <c r="J3941" s="17" t="n">
        <f aca="false">AVERAGE(C3742:C3941)</f>
        <v>107767.94605</v>
      </c>
      <c r="K3941" s="17" t="n">
        <f aca="false">MAX(K3940,C3941)</f>
        <v>124720.09</v>
      </c>
      <c r="L3941" s="25" t="n">
        <f aca="false">C3941/K3941-1</f>
        <v>-0.128634528727489</v>
      </c>
      <c r="M3941" s="25" t="n">
        <f aca="false">IF(COUNT(G3912:G3941)&lt;20,"",_xlfn.STDEV.S(G3912:G3941)*SQRT($R$3))</f>
        <v>0.442810989320523</v>
      </c>
      <c r="N3941" s="25" t="n">
        <f aca="false">IF(A3941-7&lt;$R$2,"",C3941/INDEX(Clean_Data!$C$2:$C$4314,MATCH(A3941-7,Clean_Data!$A$2:$A$4314,1))-1)</f>
        <v>-0.0555428191230958</v>
      </c>
      <c r="O3941" s="25" t="n">
        <f aca="false">IF(A3941-30&lt;$R$2,"",C3941/INDEX(Clean_Data!$C$2:$C$4314,MATCH(A3941-30,Clean_Data!$A$2:$A$4314,1))-1)</f>
        <v>-0.0606252628239731</v>
      </c>
    </row>
    <row r="3942" customFormat="false" ht="15" hidden="false" customHeight="false" outlineLevel="0" collapsed="false">
      <c r="A3942" s="16" t="n">
        <v>45949</v>
      </c>
      <c r="B3942" s="23" t="n">
        <f aca="false">YEAR(A3942)</f>
        <v>2025</v>
      </c>
      <c r="C3942" s="17" t="n">
        <v>110568.06</v>
      </c>
      <c r="D3942" s="23" t="n">
        <f aca="false">A3942-A3941</f>
        <v>1</v>
      </c>
      <c r="E3942" s="24" t="n">
        <f aca="false">LN(C3942)</f>
        <v>11.6133865379362</v>
      </c>
      <c r="F3942" s="25" t="n">
        <f aca="false">LN(C3942/C3941)</f>
        <v>0.0172531031013128</v>
      </c>
      <c r="G3942" s="25" t="n">
        <f aca="false">IF(AND(D3942=1,A3942&gt;=$R$2),F3942,"")</f>
        <v>0.0172531031013128</v>
      </c>
      <c r="H3942" s="27" t="n">
        <f aca="false">IF(G3942="","",G3942^2)</f>
        <v>0.000297669566624528</v>
      </c>
      <c r="I3942" s="25" t="n">
        <f aca="false">IF(G3942="","",C3942/C3941-1)</f>
        <v>0.0174027975433206</v>
      </c>
      <c r="J3942" s="17" t="n">
        <f aca="false">AVERAGE(C3743:C3942)</f>
        <v>107904.9147</v>
      </c>
      <c r="K3942" s="17" t="n">
        <f aca="false">MAX(K3941,C3942)</f>
        <v>124720.09</v>
      </c>
      <c r="L3942" s="25" t="n">
        <f aca="false">C3942/K3942-1</f>
        <v>-0.113470331844693</v>
      </c>
      <c r="M3942" s="25" t="n">
        <f aca="false">IF(COUNT(G3913:G3942)&lt;20,"",_xlfn.STDEV.S(G3913:G3942)*SQRT($R$3))</f>
        <v>0.447866699381184</v>
      </c>
      <c r="N3942" s="25" t="n">
        <f aca="false">IF(A3942-7&lt;$R$2,"",C3942/INDEX(Clean_Data!$C$2:$C$4314,MATCH(A3942-7,Clean_Data!$A$2:$A$4314,1))-1)</f>
        <v>-0.0408241995183131</v>
      </c>
      <c r="O3942" s="25" t="n">
        <f aca="false">IF(A3942-30&lt;$R$2,"",C3942/INDEX(Clean_Data!$C$2:$C$4314,MATCH(A3942-30,Clean_Data!$A$2:$A$4314,1))-1)</f>
        <v>-0.0447881858173135</v>
      </c>
    </row>
    <row r="3943" customFormat="false" ht="15" hidden="false" customHeight="false" outlineLevel="0" collapsed="false">
      <c r="A3943" s="16" t="n">
        <v>45950</v>
      </c>
      <c r="B3943" s="23" t="n">
        <f aca="false">YEAR(A3943)</f>
        <v>2025</v>
      </c>
      <c r="C3943" s="17" t="n">
        <v>108362.27</v>
      </c>
      <c r="D3943" s="23" t="n">
        <f aca="false">A3943-A3942</f>
        <v>1</v>
      </c>
      <c r="E3943" s="24" t="n">
        <f aca="false">LN(C3943)</f>
        <v>11.5932352446692</v>
      </c>
      <c r="F3943" s="25" t="n">
        <f aca="false">LN(C3943/C3942)</f>
        <v>-0.0201512932670366</v>
      </c>
      <c r="G3943" s="25" t="n">
        <f aca="false">IF(AND(D3943=1,A3943&gt;=$R$2),F3943,"")</f>
        <v>-0.0201512932670366</v>
      </c>
      <c r="H3943" s="27" t="n">
        <f aca="false">IF(G3943="","",G3943^2)</f>
        <v>0.000406074620334114</v>
      </c>
      <c r="I3943" s="25" t="n">
        <f aca="false">IF(G3943="","",C3943/C3942-1)</f>
        <v>-0.0199496129352363</v>
      </c>
      <c r="J3943" s="17" t="n">
        <f aca="false">AVERAGE(C3744:C3943)</f>
        <v>108027.42525</v>
      </c>
      <c r="K3943" s="17" t="n">
        <f aca="false">MAX(K3942,C3943)</f>
        <v>124720.09</v>
      </c>
      <c r="L3943" s="25" t="n">
        <f aca="false">C3943/K3943-1</f>
        <v>-0.131156255579995</v>
      </c>
      <c r="M3943" s="25" t="n">
        <f aca="false">IF(COUNT(G3914:G3943)&lt;20,"",_xlfn.STDEV.S(G3914:G3943)*SQRT($R$3))</f>
        <v>0.452504412572217</v>
      </c>
      <c r="N3943" s="25" t="n">
        <f aca="false">IF(A3943-7&lt;$R$2,"",C3943/INDEX(Clean_Data!$C$2:$C$4314,MATCH(A3943-7,Clean_Data!$A$2:$A$4314,1))-1)</f>
        <v>-0.0416185835072699</v>
      </c>
      <c r="O3943" s="25" t="n">
        <f aca="false">IF(A3943-30&lt;$R$2,"",C3943/INDEX(Clean_Data!$C$2:$C$4314,MATCH(A3943-30,Clean_Data!$A$2:$A$4314,1))-1)</f>
        <v>-0.0600265765065174</v>
      </c>
    </row>
    <row r="3944" customFormat="false" ht="15" hidden="false" customHeight="false" outlineLevel="0" collapsed="false">
      <c r="A3944" s="16" t="n">
        <v>45951</v>
      </c>
      <c r="B3944" s="23" t="n">
        <f aca="false">YEAR(A3944)</f>
        <v>2025</v>
      </c>
      <c r="C3944" s="17" t="n">
        <v>107585.98</v>
      </c>
      <c r="D3944" s="23" t="n">
        <f aca="false">A3944-A3943</f>
        <v>1</v>
      </c>
      <c r="E3944" s="24" t="n">
        <f aca="false">LN(C3944)</f>
        <v>11.5860456208226</v>
      </c>
      <c r="F3944" s="25" t="n">
        <f aca="false">LN(C3944/C3943)</f>
        <v>-0.00718962384655591</v>
      </c>
      <c r="G3944" s="25" t="n">
        <f aca="false">IF(AND(D3944=1,A3944&gt;=$R$2),F3944,"")</f>
        <v>-0.00718962384655591</v>
      </c>
      <c r="H3944" s="27" t="n">
        <f aca="false">IF(G3944="","",G3944^2)</f>
        <v>5.16906910549654E-005</v>
      </c>
      <c r="I3944" s="25" t="n">
        <f aca="false">IF(G3944="","",C3944/C3943-1)</f>
        <v>-0.00716384032929551</v>
      </c>
      <c r="J3944" s="17" t="n">
        <f aca="false">AVERAGE(C3745:C3944)</f>
        <v>108147.8639</v>
      </c>
      <c r="K3944" s="17" t="n">
        <f aca="false">MAX(K3943,C3944)</f>
        <v>124720.09</v>
      </c>
      <c r="L3944" s="25" t="n">
        <f aca="false">C3944/K3944-1</f>
        <v>-0.137380513436127</v>
      </c>
      <c r="M3944" s="25" t="n">
        <f aca="false">IF(COUNT(G3915:G3944)&lt;20,"",_xlfn.STDEV.S(G3915:G3944)*SQRT($R$3))</f>
        <v>0.447018393782089</v>
      </c>
      <c r="N3944" s="25" t="n">
        <f aca="false">IF(A3944-7&lt;$R$2,"",C3944/INDEX(Clean_Data!$C$2:$C$4314,MATCH(A3944-7,Clean_Data!$A$2:$A$4314,1))-1)</f>
        <v>-0.0290435048805044</v>
      </c>
      <c r="O3944" s="25" t="n">
        <f aca="false">IF(A3944-30&lt;$R$2,"",C3944/INDEX(Clean_Data!$C$2:$C$4314,MATCH(A3944-30,Clean_Data!$A$2:$A$4314,1))-1)</f>
        <v>-0.0456871189735294</v>
      </c>
    </row>
    <row r="3945" customFormat="false" ht="15" hidden="false" customHeight="false" outlineLevel="0" collapsed="false">
      <c r="A3945" s="16" t="n">
        <v>45952</v>
      </c>
      <c r="B3945" s="23" t="n">
        <f aca="false">YEAR(A3945)</f>
        <v>2025</v>
      </c>
      <c r="C3945" s="17" t="n">
        <v>110116.03</v>
      </c>
      <c r="D3945" s="23" t="n">
        <f aca="false">A3945-A3944</f>
        <v>1</v>
      </c>
      <c r="E3945" s="24" t="n">
        <f aca="false">LN(C3945)</f>
        <v>11.6092899070266</v>
      </c>
      <c r="F3945" s="25" t="n">
        <f aca="false">LN(C3945/C3944)</f>
        <v>0.0232442862039671</v>
      </c>
      <c r="G3945" s="25" t="n">
        <f aca="false">IF(AND(D3945=1,A3945&gt;=$R$2),F3945,"")</f>
        <v>0.0232442862039671</v>
      </c>
      <c r="H3945" s="27" t="n">
        <f aca="false">IF(G3945="","",G3945^2)</f>
        <v>0.000540296841131934</v>
      </c>
      <c r="I3945" s="25" t="n">
        <f aca="false">IF(G3945="","",C3945/C3944-1)</f>
        <v>0.0235165399803952</v>
      </c>
      <c r="J3945" s="17" t="n">
        <f aca="false">AVERAGE(C3746:C3945)</f>
        <v>108306.5903</v>
      </c>
      <c r="K3945" s="17" t="n">
        <f aca="false">MAX(K3944,C3945)</f>
        <v>124720.09</v>
      </c>
      <c r="L3945" s="25" t="n">
        <f aca="false">C3945/K3945-1</f>
        <v>-0.11709468779248</v>
      </c>
      <c r="M3945" s="25" t="n">
        <f aca="false">IF(COUNT(G3916:G3945)&lt;20,"",_xlfn.STDEV.S(G3916:G3945)*SQRT($R$3))</f>
        <v>0.454867553283895</v>
      </c>
      <c r="N3945" s="25" t="n">
        <f aca="false">IF(A3945-7&lt;$R$2,"",C3945/INDEX(Clean_Data!$C$2:$C$4314,MATCH(A3945-7,Clean_Data!$A$2:$A$4314,1))-1)</f>
        <v>0.0177270374683451</v>
      </c>
      <c r="O3945" s="25" t="n">
        <f aca="false">IF(A3945-30&lt;$R$2,"",C3945/INDEX(Clean_Data!$C$2:$C$4314,MATCH(A3945-30,Clean_Data!$A$2:$A$4314,1))-1)</f>
        <v>-0.0169722134661273</v>
      </c>
    </row>
    <row r="3946" customFormat="false" ht="15" hidden="false" customHeight="false" outlineLevel="0" collapsed="false">
      <c r="A3946" s="16" t="n">
        <v>45953</v>
      </c>
      <c r="B3946" s="23" t="n">
        <f aca="false">YEAR(A3946)</f>
        <v>2025</v>
      </c>
      <c r="C3946" s="17" t="n">
        <v>111042.13</v>
      </c>
      <c r="D3946" s="23" t="n">
        <f aca="false">A3946-A3945</f>
        <v>1</v>
      </c>
      <c r="E3946" s="24" t="n">
        <f aca="false">LN(C3946)</f>
        <v>11.6176649578333</v>
      </c>
      <c r="F3946" s="25" t="n">
        <f aca="false">LN(C3946/C3945)</f>
        <v>0.0083750508067356</v>
      </c>
      <c r="G3946" s="25" t="n">
        <f aca="false">IF(AND(D3946=1,A3946&gt;=$R$2),F3946,"")</f>
        <v>0.0083750508067356</v>
      </c>
      <c r="H3946" s="27" t="n">
        <f aca="false">IF(G3946="","",G3946^2)</f>
        <v>7.01414760154027E-005</v>
      </c>
      <c r="I3946" s="25" t="n">
        <f aca="false">IF(G3946="","",C3946/C3945-1)</f>
        <v>0.00841021965648414</v>
      </c>
      <c r="J3946" s="17" t="n">
        <f aca="false">AVERAGE(C3747:C3946)</f>
        <v>108466.1009</v>
      </c>
      <c r="K3946" s="17" t="n">
        <f aca="false">MAX(K3945,C3946)</f>
        <v>124720.09</v>
      </c>
      <c r="L3946" s="25" t="n">
        <f aca="false">C3946/K3946-1</f>
        <v>-0.109669260180938</v>
      </c>
      <c r="M3946" s="25" t="n">
        <f aca="false">IF(COUNT(G3917:G3946)&lt;20,"",_xlfn.STDEV.S(G3917:G3946)*SQRT($R$3))</f>
        <v>0.453846896366889</v>
      </c>
      <c r="N3946" s="25" t="n">
        <f aca="false">IF(A3946-7&lt;$R$2,"",C3946/INDEX(Clean_Data!$C$2:$C$4314,MATCH(A3946-7,Clean_Data!$A$2:$A$4314,1))-1)</f>
        <v>0.0430085296999061</v>
      </c>
      <c r="O3946" s="25" t="n">
        <f aca="false">IF(A3946-30&lt;$R$2,"",C3946/INDEX(Clean_Data!$C$2:$C$4314,MATCH(A3946-30,Clean_Data!$A$2:$A$4314,1))-1)</f>
        <v>-0.0203447483977905</v>
      </c>
    </row>
    <row r="3947" customFormat="false" ht="15" hidden="false" customHeight="false" outlineLevel="0" collapsed="false">
      <c r="A3947" s="16" t="n">
        <v>45954</v>
      </c>
      <c r="B3947" s="23" t="n">
        <f aca="false">YEAR(A3947)</f>
        <v>2025</v>
      </c>
      <c r="C3947" s="17" t="n">
        <v>111666.21</v>
      </c>
      <c r="D3947" s="23" t="n">
        <f aca="false">A3947-A3946</f>
        <v>1</v>
      </c>
      <c r="E3947" s="24" t="n">
        <f aca="false">LN(C3947)</f>
        <v>11.6232694325785</v>
      </c>
      <c r="F3947" s="25" t="n">
        <f aca="false">LN(C3947/C3946)</f>
        <v>0.00560447474518172</v>
      </c>
      <c r="G3947" s="25" t="n">
        <f aca="false">IF(AND(D3947=1,A3947&gt;=$R$2),F3947,"")</f>
        <v>0.00560447474518172</v>
      </c>
      <c r="H3947" s="27" t="n">
        <f aca="false">IF(G3947="","",G3947^2)</f>
        <v>3.14101371693797E-005</v>
      </c>
      <c r="I3947" s="25" t="n">
        <f aca="false">IF(G3947="","",C3947/C3946-1)</f>
        <v>0.00562020919447415</v>
      </c>
      <c r="J3947" s="17" t="n">
        <f aca="false">AVERAGE(C3748:C3947)</f>
        <v>108643.17375</v>
      </c>
      <c r="K3947" s="17" t="n">
        <f aca="false">MAX(K3946,C3947)</f>
        <v>124720.09</v>
      </c>
      <c r="L3947" s="25" t="n">
        <f aca="false">C3947/K3947-1</f>
        <v>-0.104665415170884</v>
      </c>
      <c r="M3947" s="25" t="n">
        <f aca="false">IF(COUNT(G3918:G3947)&lt;20,"",_xlfn.STDEV.S(G3918:G3947)*SQRT($R$3))</f>
        <v>0.432867685860005</v>
      </c>
      <c r="N3947" s="25" t="n">
        <f aca="false">IF(A3947-7&lt;$R$2,"",C3947/INDEX(Clean_Data!$C$2:$C$4314,MATCH(A3947-7,Clean_Data!$A$2:$A$4314,1))-1)</f>
        <v>0.0415758354412894</v>
      </c>
      <c r="O3947" s="25" t="n">
        <f aca="false">IF(A3947-30&lt;$R$2,"",C3947/INDEX(Clean_Data!$C$2:$C$4314,MATCH(A3947-30,Clean_Data!$A$2:$A$4314,1))-1)</f>
        <v>0.0241250298526026</v>
      </c>
    </row>
    <row r="3948" customFormat="false" ht="15" hidden="false" customHeight="false" outlineLevel="0" collapsed="false">
      <c r="A3948" s="16" t="n">
        <v>45955</v>
      </c>
      <c r="B3948" s="23" t="n">
        <f aca="false">YEAR(A3948)</f>
        <v>2025</v>
      </c>
      <c r="C3948" s="17" t="n">
        <v>114548.09</v>
      </c>
      <c r="D3948" s="23" t="n">
        <f aca="false">A3948-A3947</f>
        <v>1</v>
      </c>
      <c r="E3948" s="24" t="n">
        <f aca="false">LN(C3948)</f>
        <v>11.6487500138011</v>
      </c>
      <c r="F3948" s="25" t="n">
        <f aca="false">LN(C3948/C3947)</f>
        <v>0.0254805812226268</v>
      </c>
      <c r="G3948" s="25" t="n">
        <f aca="false">IF(AND(D3948=1,A3948&gt;=$R$2),F3948,"")</f>
        <v>0.0254805812226268</v>
      </c>
      <c r="H3948" s="27" t="n">
        <f aca="false">IF(G3948="","",G3948^2)</f>
        <v>0.000649260019442882</v>
      </c>
      <c r="I3948" s="25" t="n">
        <f aca="false">IF(G3948="","",C3948/C3947-1)</f>
        <v>0.0258079861401224</v>
      </c>
      <c r="J3948" s="17" t="n">
        <f aca="false">AVERAGE(C3749:C3948)</f>
        <v>108802.94045</v>
      </c>
      <c r="K3948" s="17" t="n">
        <f aca="false">MAX(K3947,C3948)</f>
        <v>124720.09</v>
      </c>
      <c r="L3948" s="25" t="n">
        <f aca="false">C3948/K3948-1</f>
        <v>-0.0815586326148418</v>
      </c>
      <c r="M3948" s="25" t="n">
        <f aca="false">IF(COUNT(G3919:G3948)&lt;20,"",_xlfn.STDEV.S(G3919:G3948)*SQRT($R$3))</f>
        <v>0.441065201445713</v>
      </c>
      <c r="N3948" s="25" t="n">
        <f aca="false">IF(A3948-7&lt;$R$2,"",C3948/INDEX(Clean_Data!$C$2:$C$4314,MATCH(A3948-7,Clean_Data!$A$2:$A$4314,1))-1)</f>
        <v>0.0540254321116249</v>
      </c>
      <c r="O3948" s="25" t="n">
        <f aca="false">IF(A3948-30&lt;$R$2,"",C3948/INDEX(Clean_Data!$C$2:$C$4314,MATCH(A3948-30,Clean_Data!$A$2:$A$4314,1))-1)</f>
        <v>0.0442198708828632</v>
      </c>
    </row>
    <row r="3949" customFormat="false" ht="15" hidden="false" customHeight="false" outlineLevel="0" collapsed="false">
      <c r="A3949" s="16" t="n">
        <v>45956</v>
      </c>
      <c r="B3949" s="23" t="n">
        <f aca="false">YEAR(A3949)</f>
        <v>2025</v>
      </c>
      <c r="C3949" s="17" t="n">
        <v>114087.06</v>
      </c>
      <c r="D3949" s="23" t="n">
        <f aca="false">A3949-A3948</f>
        <v>1</v>
      </c>
      <c r="E3949" s="24" t="n">
        <f aca="false">LN(C3949)</f>
        <v>11.6447171201288</v>
      </c>
      <c r="F3949" s="25" t="n">
        <f aca="false">LN(C3949/C3948)</f>
        <v>-0.00403289367236878</v>
      </c>
      <c r="G3949" s="25" t="n">
        <f aca="false">IF(AND(D3949=1,A3949&gt;=$R$2),F3949,"")</f>
        <v>-0.00403289367236878</v>
      </c>
      <c r="H3949" s="27" t="n">
        <f aca="false">IF(G3949="","",G3949^2)</f>
        <v>1.62642313726321E-005</v>
      </c>
      <c r="I3949" s="25" t="n">
        <f aca="false">IF(G3949="","",C3949/C3948-1)</f>
        <v>-0.00402477247765543</v>
      </c>
      <c r="J3949" s="17" t="n">
        <f aca="false">AVERAGE(C3750:C3949)</f>
        <v>108975.61405</v>
      </c>
      <c r="K3949" s="17" t="n">
        <f aca="false">MAX(K3948,C3949)</f>
        <v>124720.09</v>
      </c>
      <c r="L3949" s="25" t="n">
        <f aca="false">C3949/K3949-1</f>
        <v>-0.0852551501526337</v>
      </c>
      <c r="M3949" s="25" t="n">
        <f aca="false">IF(COUNT(G3920:G3949)&lt;20,"",_xlfn.STDEV.S(G3920:G3949)*SQRT($R$3))</f>
        <v>0.441449536548455</v>
      </c>
      <c r="N3949" s="25" t="n">
        <f aca="false">IF(A3949-7&lt;$R$2,"",C3949/INDEX(Clean_Data!$C$2:$C$4314,MATCH(A3949-7,Clean_Data!$A$2:$A$4314,1))-1)</f>
        <v>0.0318265509949256</v>
      </c>
      <c r="O3949" s="25" t="n">
        <f aca="false">IF(A3949-30&lt;$R$2,"",C3949/INDEX(Clean_Data!$C$2:$C$4314,MATCH(A3949-30,Clean_Data!$A$2:$A$4314,1))-1)</f>
        <v>0.04017007114075</v>
      </c>
    </row>
    <row r="3950" customFormat="false" ht="15" hidden="false" customHeight="false" outlineLevel="0" collapsed="false">
      <c r="A3950" s="16" t="n">
        <v>45957</v>
      </c>
      <c r="B3950" s="23" t="n">
        <f aca="false">YEAR(A3950)</f>
        <v>2025</v>
      </c>
      <c r="C3950" s="17" t="n">
        <v>112906.75</v>
      </c>
      <c r="D3950" s="23" t="n">
        <f aca="false">A3950-A3949</f>
        <v>1</v>
      </c>
      <c r="E3950" s="24" t="n">
        <f aca="false">LN(C3950)</f>
        <v>11.6343175357731</v>
      </c>
      <c r="F3950" s="25" t="n">
        <f aca="false">LN(C3950/C3949)</f>
        <v>-0.0103995843556963</v>
      </c>
      <c r="G3950" s="25" t="n">
        <f aca="false">IF(AND(D3950=1,A3950&gt;=$R$2),F3950,"")</f>
        <v>-0.0103995843556963</v>
      </c>
      <c r="H3950" s="27" t="n">
        <f aca="false">IF(G3950="","",G3950^2)</f>
        <v>0.000108151354771243</v>
      </c>
      <c r="I3950" s="25" t="n">
        <f aca="false">IF(G3950="","",C3950/C3949-1)</f>
        <v>-0.0103456956468156</v>
      </c>
      <c r="J3950" s="17" t="n">
        <f aca="false">AVERAGE(C3751:C3950)</f>
        <v>109123.24545</v>
      </c>
      <c r="K3950" s="17" t="n">
        <f aca="false">MAX(K3949,C3950)</f>
        <v>124720.09</v>
      </c>
      <c r="L3950" s="25" t="n">
        <f aca="false">C3950/K3950-1</f>
        <v>-0.0947188219636468</v>
      </c>
      <c r="M3950" s="25" t="n">
        <f aca="false">IF(COUNT(G3921:G3950)&lt;20,"",_xlfn.STDEV.S(G3921:G3950)*SQRT($R$3))</f>
        <v>0.436344193084072</v>
      </c>
      <c r="N3950" s="25" t="n">
        <f aca="false">IF(A3950-7&lt;$R$2,"",C3950/INDEX(Clean_Data!$C$2:$C$4314,MATCH(A3950-7,Clean_Data!$A$2:$A$4314,1))-1)</f>
        <v>0.0419378442330527</v>
      </c>
      <c r="O3950" s="25" t="n">
        <f aca="false">IF(A3950-30&lt;$R$2,"",C3950/INDEX(Clean_Data!$C$2:$C$4314,MATCH(A3950-30,Clean_Data!$A$2:$A$4314,1))-1)</f>
        <v>0.00631991733874693</v>
      </c>
    </row>
    <row r="3951" customFormat="false" ht="15" hidden="false" customHeight="false" outlineLevel="0" collapsed="false">
      <c r="A3951" s="16" t="n">
        <v>45958</v>
      </c>
      <c r="B3951" s="23" t="n">
        <f aca="false">YEAR(A3951)</f>
        <v>2025</v>
      </c>
      <c r="C3951" s="17" t="n">
        <v>110032.13</v>
      </c>
      <c r="D3951" s="23" t="n">
        <f aca="false">A3951-A3950</f>
        <v>1</v>
      </c>
      <c r="E3951" s="24" t="n">
        <f aca="false">LN(C3951)</f>
        <v>11.6085276930334</v>
      </c>
      <c r="F3951" s="25" t="n">
        <f aca="false">LN(C3951/C3950)</f>
        <v>-0.0257898427396548</v>
      </c>
      <c r="G3951" s="25" t="n">
        <f aca="false">IF(AND(D3951=1,A3951&gt;=$R$2),F3951,"")</f>
        <v>-0.0257898427396548</v>
      </c>
      <c r="H3951" s="27" t="n">
        <f aca="false">IF(G3951="","",G3951^2)</f>
        <v>0.000665115988536127</v>
      </c>
      <c r="I3951" s="25" t="n">
        <f aca="false">IF(G3951="","",C3951/C3950-1)</f>
        <v>-0.0254601252803751</v>
      </c>
      <c r="J3951" s="17" t="n">
        <f aca="false">AVERAGE(C3752:C3951)</f>
        <v>109247.05105</v>
      </c>
      <c r="K3951" s="17" t="n">
        <f aca="false">MAX(K3950,C3951)</f>
        <v>124720.09</v>
      </c>
      <c r="L3951" s="25" t="n">
        <f aca="false">C3951/K3951-1</f>
        <v>-0.117767394170418</v>
      </c>
      <c r="M3951" s="25" t="n">
        <f aca="false">IF(COUNT(G3922:G3951)&lt;20,"",_xlfn.STDEV.S(G3922:G3951)*SQRT($R$3))</f>
        <v>0.439943927340334</v>
      </c>
      <c r="N3951" s="25" t="n">
        <f aca="false">IF(A3951-7&lt;$R$2,"",C3951/INDEX(Clean_Data!$C$2:$C$4314,MATCH(A3951-7,Clean_Data!$A$2:$A$4314,1))-1)</f>
        <v>0.02273669859214</v>
      </c>
      <c r="O3951" s="25" t="n">
        <f aca="false">IF(A3951-30&lt;$R$2,"",C3951/INDEX(Clean_Data!$C$2:$C$4314,MATCH(A3951-30,Clean_Data!$A$2:$A$4314,1))-1)</f>
        <v>-0.0378869177450772</v>
      </c>
    </row>
    <row r="3952" customFormat="false" ht="15" hidden="false" customHeight="false" outlineLevel="0" collapsed="false">
      <c r="A3952" s="16" t="n">
        <v>45959</v>
      </c>
      <c r="B3952" s="23" t="n">
        <f aca="false">YEAR(A3952)</f>
        <v>2025</v>
      </c>
      <c r="C3952" s="17" t="n">
        <v>108308.18</v>
      </c>
      <c r="D3952" s="23" t="n">
        <f aca="false">A3952-A3951</f>
        <v>1</v>
      </c>
      <c r="E3952" s="24" t="n">
        <f aca="false">LN(C3952)</f>
        <v>11.5927359610694</v>
      </c>
      <c r="F3952" s="25" t="n">
        <f aca="false">LN(C3952/C3951)</f>
        <v>-0.0157917319640403</v>
      </c>
      <c r="G3952" s="25" t="n">
        <f aca="false">IF(AND(D3952=1,A3952&gt;=$R$2),F3952,"")</f>
        <v>-0.0157917319640403</v>
      </c>
      <c r="H3952" s="27" t="n">
        <f aca="false">IF(G3952="","",G3952^2)</f>
        <v>0.000249378798424093</v>
      </c>
      <c r="I3952" s="25" t="n">
        <f aca="false">IF(G3952="","",C3952/C3951-1)</f>
        <v>-0.0156676963356068</v>
      </c>
      <c r="J3952" s="17" t="n">
        <f aca="false">AVERAGE(C3753:C3952)</f>
        <v>109369.9266</v>
      </c>
      <c r="K3952" s="17" t="n">
        <f aca="false">MAX(K3951,C3952)</f>
        <v>124720.09</v>
      </c>
      <c r="L3952" s="25" t="n">
        <f aca="false">C3952/K3952-1</f>
        <v>-0.131589946735927</v>
      </c>
      <c r="M3952" s="25" t="n">
        <f aca="false">IF(COUNT(G3923:G3952)&lt;20,"",_xlfn.STDEV.S(G3923:G3952)*SQRT($R$3))</f>
        <v>0.442835980452077</v>
      </c>
      <c r="N3952" s="25" t="n">
        <f aca="false">IF(A3952-7&lt;$R$2,"",C3952/INDEX(Clean_Data!$C$2:$C$4314,MATCH(A3952-7,Clean_Data!$A$2:$A$4314,1))-1)</f>
        <v>-0.0164176823301748</v>
      </c>
      <c r="O3952" s="25" t="n">
        <f aca="false">IF(A3952-30&lt;$R$2,"",C3952/INDEX(Clean_Data!$C$2:$C$4314,MATCH(A3952-30,Clean_Data!$A$2:$A$4314,1))-1)</f>
        <v>-0.0504922032711975</v>
      </c>
    </row>
    <row r="3953" customFormat="false" ht="15" hidden="false" customHeight="false" outlineLevel="0" collapsed="false">
      <c r="A3953" s="16" t="n">
        <v>45960</v>
      </c>
      <c r="B3953" s="23" t="n">
        <f aca="false">YEAR(A3953)</f>
        <v>2025</v>
      </c>
      <c r="C3953" s="17" t="n">
        <v>109555.27</v>
      </c>
      <c r="D3953" s="23" t="n">
        <f aca="false">A3953-A3952</f>
        <v>1</v>
      </c>
      <c r="E3953" s="24" t="n">
        <f aca="false">LN(C3953)</f>
        <v>11.6041844497543</v>
      </c>
      <c r="F3953" s="25" t="n">
        <f aca="false">LN(C3953/C3952)</f>
        <v>0.0114484886849248</v>
      </c>
      <c r="G3953" s="25" t="n">
        <f aca="false">IF(AND(D3953=1,A3953&gt;=$R$2),F3953,"")</f>
        <v>0.0114484886849248</v>
      </c>
      <c r="H3953" s="27" t="n">
        <f aca="false">IF(G3953="","",G3953^2)</f>
        <v>0.000131067893168851</v>
      </c>
      <c r="I3953" s="25" t="n">
        <f aca="false">IF(G3953="","",C3953/C3952-1)</f>
        <v>0.0115142734371496</v>
      </c>
      <c r="J3953" s="17" t="n">
        <f aca="false">AVERAGE(C3754:C3953)</f>
        <v>109494.75115</v>
      </c>
      <c r="K3953" s="17" t="n">
        <f aca="false">MAX(K3952,C3953)</f>
        <v>124720.09</v>
      </c>
      <c r="L3953" s="25" t="n">
        <f aca="false">C3953/K3953-1</f>
        <v>-0.121590835927075</v>
      </c>
      <c r="M3953" s="25" t="n">
        <f aca="false">IF(COUNT(G3924:G3953)&lt;20,"",_xlfn.STDEV.S(G3924:G3953)*SQRT($R$3))</f>
        <v>0.420235805761679</v>
      </c>
      <c r="N3953" s="25" t="n">
        <f aca="false">IF(A3953-7&lt;$R$2,"",C3953/INDEX(Clean_Data!$C$2:$C$4314,MATCH(A3953-7,Clean_Data!$A$2:$A$4314,1))-1)</f>
        <v>-0.0133900529465708</v>
      </c>
      <c r="O3953" s="25" t="n">
        <f aca="false">IF(A3953-30&lt;$R$2,"",C3953/INDEX(Clean_Data!$C$2:$C$4314,MATCH(A3953-30,Clean_Data!$A$2:$A$4314,1))-1)</f>
        <v>-0.0767293300343831</v>
      </c>
    </row>
    <row r="3954" customFormat="false" ht="15" hidden="false" customHeight="false" outlineLevel="0" collapsed="false">
      <c r="A3954" s="16" t="n">
        <v>45961</v>
      </c>
      <c r="B3954" s="23" t="n">
        <f aca="false">YEAR(A3954)</f>
        <v>2025</v>
      </c>
      <c r="C3954" s="17" t="n">
        <v>110052.25</v>
      </c>
      <c r="D3954" s="23" t="n">
        <f aca="false">A3954-A3953</f>
        <v>1</v>
      </c>
      <c r="E3954" s="24" t="n">
        <f aca="false">LN(C3954)</f>
        <v>11.6087105319978</v>
      </c>
      <c r="F3954" s="25" t="n">
        <f aca="false">LN(C3954/C3953)</f>
        <v>0.00452608224348044</v>
      </c>
      <c r="G3954" s="25" t="n">
        <f aca="false">IF(AND(D3954=1,A3954&gt;=$R$2),F3954,"")</f>
        <v>0.00452608224348044</v>
      </c>
      <c r="H3954" s="27" t="n">
        <f aca="false">IF(G3954="","",G3954^2)</f>
        <v>2.04854204747489E-005</v>
      </c>
      <c r="I3954" s="25" t="n">
        <f aca="false">IF(G3954="","",C3954/C3953-1)</f>
        <v>0.00453634042433548</v>
      </c>
      <c r="J3954" s="17" t="n">
        <f aca="false">AVERAGE(C3755:C3954)</f>
        <v>109626.8635</v>
      </c>
      <c r="K3954" s="17" t="n">
        <f aca="false">MAX(K3953,C3954)</f>
        <v>124720.09</v>
      </c>
      <c r="L3954" s="25" t="n">
        <f aca="false">C3954/K3954-1</f>
        <v>-0.117606072926984</v>
      </c>
      <c r="M3954" s="25" t="n">
        <f aca="false">IF(COUNT(G3925:G3954)&lt;20,"",_xlfn.STDEV.S(G3925:G3954)*SQRT($R$3))</f>
        <v>0.415474617337331</v>
      </c>
      <c r="N3954" s="25" t="n">
        <f aca="false">IF(A3954-7&lt;$R$2,"",C3954/INDEX(Clean_Data!$C$2:$C$4314,MATCH(A3954-7,Clean_Data!$A$2:$A$4314,1))-1)</f>
        <v>-0.0144534322423946</v>
      </c>
      <c r="O3954" s="25" t="n">
        <f aca="false">IF(A3954-30&lt;$R$2,"",C3954/INDEX(Clean_Data!$C$2:$C$4314,MATCH(A3954-30,Clean_Data!$A$2:$A$4314,1))-1)</f>
        <v>-0.0876219063097635</v>
      </c>
    </row>
    <row r="3955" customFormat="false" ht="15" hidden="false" customHeight="false" outlineLevel="0" collapsed="false">
      <c r="A3955" s="16" t="n">
        <v>45962</v>
      </c>
      <c r="B3955" s="23" t="n">
        <f aca="false">YEAR(A3955)</f>
        <v>2025</v>
      </c>
      <c r="C3955" s="17" t="n">
        <v>110536.01</v>
      </c>
      <c r="D3955" s="23" t="n">
        <f aca="false">A3955-A3954</f>
        <v>1</v>
      </c>
      <c r="E3955" s="24" t="n">
        <f aca="false">LN(C3955)</f>
        <v>11.6130966292048</v>
      </c>
      <c r="F3955" s="25" t="n">
        <f aca="false">LN(C3955/C3954)</f>
        <v>0.00438609720700055</v>
      </c>
      <c r="G3955" s="25" t="n">
        <f aca="false">IF(AND(D3955=1,A3955&gt;=$R$2),F3955,"")</f>
        <v>0.00438609720700055</v>
      </c>
      <c r="H3955" s="27" t="n">
        <f aca="false">IF(G3955="","",G3955^2)</f>
        <v>1.9237848709258E-005</v>
      </c>
      <c r="I3955" s="25" t="n">
        <f aca="false">IF(G3955="","",C3955/C3954-1)</f>
        <v>0.00439573020996842</v>
      </c>
      <c r="J3955" s="17" t="n">
        <f aca="false">AVERAGE(C3756:C3955)</f>
        <v>109759.39995</v>
      </c>
      <c r="K3955" s="17" t="n">
        <f aca="false">MAX(K3954,C3955)</f>
        <v>124720.09</v>
      </c>
      <c r="L3955" s="25" t="n">
        <f aca="false">C3955/K3955-1</f>
        <v>-0.113727307284656</v>
      </c>
      <c r="M3955" s="25" t="n">
        <f aca="false">IF(COUNT(G3926:G3955)&lt;20,"",_xlfn.STDEV.S(G3926:G3955)*SQRT($R$3))</f>
        <v>0.41185964481039</v>
      </c>
      <c r="N3955" s="25" t="n">
        <f aca="false">IF(A3955-7&lt;$R$2,"",C3955/INDEX(Clean_Data!$C$2:$C$4314,MATCH(A3955-7,Clean_Data!$A$2:$A$4314,1))-1)</f>
        <v>-0.0350252893784611</v>
      </c>
      <c r="O3955" s="25" t="n">
        <f aca="false">IF(A3955-30&lt;$R$2,"",C3955/INDEX(Clean_Data!$C$2:$C$4314,MATCH(A3955-30,Clean_Data!$A$2:$A$4314,1))-1)</f>
        <v>-0.096325573257989</v>
      </c>
    </row>
    <row r="3956" customFormat="false" ht="15" hidden="false" customHeight="false" outlineLevel="0" collapsed="false">
      <c r="A3956" s="16" t="n">
        <v>45963</v>
      </c>
      <c r="B3956" s="23" t="n">
        <f aca="false">YEAR(A3956)</f>
        <v>2025</v>
      </c>
      <c r="C3956" s="17" t="n">
        <v>106557.98</v>
      </c>
      <c r="D3956" s="23" t="n">
        <f aca="false">A3956-A3955</f>
        <v>1</v>
      </c>
      <c r="E3956" s="24" t="n">
        <f aca="false">LN(C3956)</f>
        <v>11.5764445291381</v>
      </c>
      <c r="F3956" s="25" t="n">
        <f aca="false">LN(C3956/C3955)</f>
        <v>-0.0366521000666814</v>
      </c>
      <c r="G3956" s="25" t="n">
        <f aca="false">IF(AND(D3956=1,A3956&gt;=$R$2),F3956,"")</f>
        <v>-0.0366521000666814</v>
      </c>
      <c r="H3956" s="27" t="n">
        <f aca="false">IF(G3956="","",G3956^2)</f>
        <v>0.00134337643929802</v>
      </c>
      <c r="I3956" s="25" t="n">
        <f aca="false">IF(G3956="","",C3956/C3955-1)</f>
        <v>-0.0359885434619903</v>
      </c>
      <c r="J3956" s="17" t="n">
        <f aca="false">AVERAGE(C3757:C3956)</f>
        <v>109867.38</v>
      </c>
      <c r="K3956" s="17" t="n">
        <f aca="false">MAX(K3955,C3956)</f>
        <v>124720.09</v>
      </c>
      <c r="L3956" s="25" t="n">
        <f aca="false">C3956/K3956-1</f>
        <v>-0.145622970605618</v>
      </c>
      <c r="M3956" s="25" t="n">
        <f aca="false">IF(COUNT(G3927:G3956)&lt;20,"",_xlfn.STDEV.S(G3927:G3956)*SQRT($R$3))</f>
        <v>0.427443816113585</v>
      </c>
      <c r="N3956" s="25" t="n">
        <f aca="false">IF(A3956-7&lt;$R$2,"",C3956/INDEX(Clean_Data!$C$2:$C$4314,MATCH(A3956-7,Clean_Data!$A$2:$A$4314,1))-1)</f>
        <v>-0.0659941627034653</v>
      </c>
      <c r="O3956" s="25" t="n">
        <f aca="false">IF(A3956-30&lt;$R$2,"",C3956/INDEX(Clean_Data!$C$2:$C$4314,MATCH(A3956-30,Clean_Data!$A$2:$A$4314,1))-1)</f>
        <v>-0.129844577626913</v>
      </c>
    </row>
    <row r="3957" customFormat="false" ht="15" hidden="false" customHeight="false" outlineLevel="0" collapsed="false">
      <c r="A3957" s="16" t="n">
        <v>45964</v>
      </c>
      <c r="B3957" s="23" t="n">
        <f aca="false">YEAR(A3957)</f>
        <v>2025</v>
      </c>
      <c r="C3957" s="17" t="n">
        <v>101468.15</v>
      </c>
      <c r="D3957" s="23" t="n">
        <f aca="false">A3957-A3956</f>
        <v>1</v>
      </c>
      <c r="E3957" s="24" t="n">
        <f aca="false">LN(C3957)</f>
        <v>11.5275002351172</v>
      </c>
      <c r="F3957" s="25" t="n">
        <f aca="false">LN(C3957/C3956)</f>
        <v>-0.0489442940209106</v>
      </c>
      <c r="G3957" s="25" t="n">
        <f aca="false">IF(AND(D3957=1,A3957&gt;=$R$2),F3957,"")</f>
        <v>-0.0489442940209106</v>
      </c>
      <c r="H3957" s="27" t="n">
        <f aca="false">IF(G3957="","",G3957^2)</f>
        <v>0.00239554391720534</v>
      </c>
      <c r="I3957" s="25" t="n">
        <f aca="false">IF(G3957="","",C3957/C3956-1)</f>
        <v>-0.047765826641984</v>
      </c>
      <c r="J3957" s="17" t="n">
        <f aca="false">AVERAGE(C3758:C3957)</f>
        <v>109952.3884</v>
      </c>
      <c r="K3957" s="17" t="n">
        <f aca="false">MAX(K3956,C3957)</f>
        <v>124720.09</v>
      </c>
      <c r="L3957" s="25" t="n">
        <f aca="false">C3957/K3957-1</f>
        <v>-0.186432995678563</v>
      </c>
      <c r="M3957" s="25" t="n">
        <f aca="false">IF(COUNT(G3928:G3957)&lt;20,"",_xlfn.STDEV.S(G3928:G3957)*SQRT($R$3))</f>
        <v>0.451452444400314</v>
      </c>
      <c r="N3957" s="25" t="n">
        <f aca="false">IF(A3957-7&lt;$R$2,"",C3957/INDEX(Clean_Data!$C$2:$C$4314,MATCH(A3957-7,Clean_Data!$A$2:$A$4314,1))-1)</f>
        <v>-0.101310151961685</v>
      </c>
      <c r="O3957" s="25" t="n">
        <f aca="false">IF(A3957-30&lt;$R$2,"",C3957/INDEX(Clean_Data!$C$2:$C$4314,MATCH(A3957-30,Clean_Data!$A$2:$A$4314,1))-1)</f>
        <v>-0.178533832239901</v>
      </c>
    </row>
    <row r="3958" customFormat="false" ht="15" hidden="false" customHeight="false" outlineLevel="0" collapsed="false">
      <c r="A3958" s="16" t="n">
        <v>45965</v>
      </c>
      <c r="B3958" s="23" t="n">
        <f aca="false">YEAR(A3958)</f>
        <v>2025</v>
      </c>
      <c r="C3958" s="17" t="n">
        <v>100291.85</v>
      </c>
      <c r="D3958" s="23" t="n">
        <f aca="false">A3958-A3957</f>
        <v>1</v>
      </c>
      <c r="E3958" s="24" t="n">
        <f aca="false">LN(C3958)</f>
        <v>11.5158397144173</v>
      </c>
      <c r="F3958" s="25" t="n">
        <f aca="false">LN(C3958/C3957)</f>
        <v>-0.0116605206999186</v>
      </c>
      <c r="G3958" s="25" t="n">
        <f aca="false">IF(AND(D3958=1,A3958&gt;=$R$2),F3958,"")</f>
        <v>-0.0116605206999186</v>
      </c>
      <c r="H3958" s="27" t="n">
        <f aca="false">IF(G3958="","",G3958^2)</f>
        <v>0.000135967742993231</v>
      </c>
      <c r="I3958" s="25" t="n">
        <f aca="false">IF(G3958="","",C3958/C3957-1)</f>
        <v>-0.0115928003023608</v>
      </c>
      <c r="J3958" s="17" t="n">
        <f aca="false">AVERAGE(C3759:C3958)</f>
        <v>110028.4727</v>
      </c>
      <c r="K3958" s="17" t="n">
        <f aca="false">MAX(K3957,C3958)</f>
        <v>124720.09</v>
      </c>
      <c r="L3958" s="25" t="n">
        <f aca="false">C3958/K3958-1</f>
        <v>-0.195864515492251</v>
      </c>
      <c r="M3958" s="25" t="n">
        <f aca="false">IF(COUNT(G3929:G3958)&lt;20,"",_xlfn.STDEV.S(G3929:G3958)*SQRT($R$3))</f>
        <v>0.447924239098346</v>
      </c>
      <c r="N3958" s="25" t="n">
        <f aca="false">IF(A3958-7&lt;$R$2,"",C3958/INDEX(Clean_Data!$C$2:$C$4314,MATCH(A3958-7,Clean_Data!$A$2:$A$4314,1))-1)</f>
        <v>-0.0885221434866343</v>
      </c>
      <c r="O3958" s="25" t="n">
        <f aca="false">IF(A3958-30&lt;$R$2,"",C3958/INDEX(Clean_Data!$C$2:$C$4314,MATCH(A3958-30,Clean_Data!$A$2:$A$4314,1))-1)</f>
        <v>-0.195864515492251</v>
      </c>
    </row>
    <row r="3959" customFormat="false" ht="15" hidden="false" customHeight="false" outlineLevel="0" collapsed="false">
      <c r="A3959" s="16" t="n">
        <v>45966</v>
      </c>
      <c r="B3959" s="23" t="n">
        <f aca="false">YEAR(A3959)</f>
        <v>2025</v>
      </c>
      <c r="C3959" s="17" t="n">
        <v>103472</v>
      </c>
      <c r="D3959" s="23" t="n">
        <f aca="false">A3959-A3958</f>
        <v>1</v>
      </c>
      <c r="E3959" s="24" t="n">
        <f aca="false">LN(C3959)</f>
        <v>11.5470563236864</v>
      </c>
      <c r="F3959" s="25" t="n">
        <f aca="false">LN(C3959/C3958)</f>
        <v>0.0312166092691196</v>
      </c>
      <c r="G3959" s="25" t="n">
        <f aca="false">IF(AND(D3959=1,A3959&gt;=$R$2),F3959,"")</f>
        <v>0.0312166092691196</v>
      </c>
      <c r="H3959" s="27" t="n">
        <f aca="false">IF(G3959="","",G3959^2)</f>
        <v>0.000974476694260885</v>
      </c>
      <c r="I3959" s="25" t="n">
        <f aca="false">IF(G3959="","",C3959/C3958-1)</f>
        <v>0.0317089574078053</v>
      </c>
      <c r="J3959" s="17" t="n">
        <f aca="false">AVERAGE(C3760:C3959)</f>
        <v>110119.946</v>
      </c>
      <c r="K3959" s="17" t="n">
        <f aca="false">MAX(K3958,C3959)</f>
        <v>124720.09</v>
      </c>
      <c r="L3959" s="25" t="n">
        <f aca="false">C3959/K3959-1</f>
        <v>-0.17036621766389</v>
      </c>
      <c r="M3959" s="25" t="n">
        <f aca="false">IF(COUNT(G3930:G3959)&lt;20,"",_xlfn.STDEV.S(G3930:G3959)*SQRT($R$3))</f>
        <v>0.461449153743502</v>
      </c>
      <c r="N3959" s="25" t="n">
        <f aca="false">IF(A3959-7&lt;$R$2,"",C3959/INDEX(Clean_Data!$C$2:$C$4314,MATCH(A3959-7,Clean_Data!$A$2:$A$4314,1))-1)</f>
        <v>-0.0446520290526532</v>
      </c>
      <c r="O3959" s="25" t="n">
        <f aca="false">IF(A3959-30&lt;$R$2,"",C3959/INDEX(Clean_Data!$C$2:$C$4314,MATCH(A3959-30,Clean_Data!$A$2:$A$4314,1))-1)</f>
        <v>-0.147634622647999</v>
      </c>
    </row>
    <row r="3960" customFormat="false" ht="15" hidden="false" customHeight="false" outlineLevel="0" collapsed="false">
      <c r="A3960" s="16" t="n">
        <v>45967</v>
      </c>
      <c r="B3960" s="23" t="n">
        <f aca="false">YEAR(A3960)</f>
        <v>2025</v>
      </c>
      <c r="C3960" s="17" t="n">
        <v>101447.93</v>
      </c>
      <c r="D3960" s="23" t="n">
        <f aca="false">A3960-A3959</f>
        <v>1</v>
      </c>
      <c r="E3960" s="24" t="n">
        <f aca="false">LN(C3960)</f>
        <v>11.5273009409058</v>
      </c>
      <c r="F3960" s="25" t="n">
        <f aca="false">LN(C3960/C3959)</f>
        <v>-0.019755382780551</v>
      </c>
      <c r="G3960" s="25" t="n">
        <f aca="false">IF(AND(D3960=1,A3960&gt;=$R$2),F3960,"")</f>
        <v>-0.019755382780551</v>
      </c>
      <c r="H3960" s="27" t="n">
        <f aca="false">IF(G3960="","",G3960^2)</f>
        <v>0.00039027514880609</v>
      </c>
      <c r="I3960" s="25" t="n">
        <f aca="false">IF(G3960="","",C3960/C3959-1)</f>
        <v>-0.0195615238905211</v>
      </c>
      <c r="J3960" s="17" t="n">
        <f aca="false">AVERAGE(C3761:C3960)</f>
        <v>110189.5753</v>
      </c>
      <c r="K3960" s="17" t="n">
        <f aca="false">MAX(K3959,C3960)</f>
        <v>124720.09</v>
      </c>
      <c r="L3960" s="25" t="n">
        <f aca="false">C3960/K3960-1</f>
        <v>-0.186595118717442</v>
      </c>
      <c r="M3960" s="25" t="n">
        <f aca="false">IF(COUNT(G3931:G3960)&lt;20,"",_xlfn.STDEV.S(G3931:G3960)*SQRT($R$3))</f>
        <v>0.45753260234509</v>
      </c>
      <c r="N3960" s="25" t="n">
        <f aca="false">IF(A3960-7&lt;$R$2,"",C3960/INDEX(Clean_Data!$C$2:$C$4314,MATCH(A3960-7,Clean_Data!$A$2:$A$4314,1))-1)</f>
        <v>-0.0740022821357659</v>
      </c>
      <c r="O3960" s="25" t="n">
        <f aca="false">IF(A3960-30&lt;$R$2,"",C3960/INDEX(Clean_Data!$C$2:$C$4314,MATCH(A3960-30,Clean_Data!$A$2:$A$4314,1))-1)</f>
        <v>-0.177515348428066</v>
      </c>
    </row>
    <row r="3961" customFormat="false" ht="15" hidden="false" customHeight="false" outlineLevel="0" collapsed="false">
      <c r="A3961" s="16" t="n">
        <v>45968</v>
      </c>
      <c r="B3961" s="23" t="n">
        <f aca="false">YEAR(A3961)</f>
        <v>2025</v>
      </c>
      <c r="C3961" s="17" t="n">
        <v>102882.15</v>
      </c>
      <c r="D3961" s="23" t="n">
        <f aca="false">A3961-A3960</f>
        <v>1</v>
      </c>
      <c r="E3961" s="24" t="n">
        <f aca="false">LN(C3961)</f>
        <v>11.5413394373868</v>
      </c>
      <c r="F3961" s="25" t="n">
        <f aca="false">LN(C3961/C3960)</f>
        <v>0.0140384964810082</v>
      </c>
      <c r="G3961" s="25" t="n">
        <f aca="false">IF(AND(D3961=1,A3961&gt;=$R$2),F3961,"")</f>
        <v>0.0140384964810082</v>
      </c>
      <c r="H3961" s="27" t="n">
        <f aca="false">IF(G3961="","",G3961^2)</f>
        <v>0.000197079383447281</v>
      </c>
      <c r="I3961" s="25" t="n">
        <f aca="false">IF(G3961="","",C3961/C3960-1)</f>
        <v>0.0141374989120033</v>
      </c>
      <c r="J3961" s="17" t="n">
        <f aca="false">AVERAGE(C3762:C3961)</f>
        <v>110236.54055</v>
      </c>
      <c r="K3961" s="17" t="n">
        <f aca="false">MAX(K3960,C3961)</f>
        <v>124720.09</v>
      </c>
      <c r="L3961" s="25" t="n">
        <f aca="false">C3961/K3961-1</f>
        <v>-0.175095608093291</v>
      </c>
      <c r="M3961" s="25" t="n">
        <f aca="false">IF(COUNT(G3932:G3961)&lt;20,"",_xlfn.STDEV.S(G3932:G3961)*SQRT($R$3))</f>
        <v>0.462342845657855</v>
      </c>
      <c r="N3961" s="25" t="n">
        <f aca="false">IF(A3961-7&lt;$R$2,"",C3961/INDEX(Clean_Data!$C$2:$C$4314,MATCH(A3961-7,Clean_Data!$A$2:$A$4314,1))-1)</f>
        <v>-0.0651517801771432</v>
      </c>
      <c r="O3961" s="25" t="n">
        <f aca="false">IF(A3961-30&lt;$R$2,"",C3961/INDEX(Clean_Data!$C$2:$C$4314,MATCH(A3961-30,Clean_Data!$A$2:$A$4314,1))-1)</f>
        <v>-0.15472567732475</v>
      </c>
    </row>
    <row r="3962" customFormat="false" ht="15" hidden="false" customHeight="false" outlineLevel="0" collapsed="false">
      <c r="A3962" s="16" t="n">
        <v>45969</v>
      </c>
      <c r="B3962" s="23" t="n">
        <f aca="false">YEAR(A3962)</f>
        <v>2025</v>
      </c>
      <c r="C3962" s="17" t="n">
        <v>101838.43</v>
      </c>
      <c r="D3962" s="23" t="n">
        <f aca="false">A3962-A3961</f>
        <v>1</v>
      </c>
      <c r="E3962" s="24" t="n">
        <f aca="false">LN(C3962)</f>
        <v>11.5311428167731</v>
      </c>
      <c r="F3962" s="25" t="n">
        <f aca="false">LN(C3962/C3961)</f>
        <v>-0.0101966206137321</v>
      </c>
      <c r="G3962" s="25" t="n">
        <f aca="false">IF(AND(D3962=1,A3962&gt;=$R$2),F3962,"")</f>
        <v>-0.0101966206137321</v>
      </c>
      <c r="H3962" s="27" t="n">
        <f aca="false">IF(G3962="","",G3962^2)</f>
        <v>0.000103971071940387</v>
      </c>
      <c r="I3962" s="25" t="n">
        <f aca="false">IF(G3962="","",C3962/C3961-1)</f>
        <v>-0.0101448113205255</v>
      </c>
      <c r="J3962" s="17" t="n">
        <f aca="false">AVERAGE(C3763:C3962)</f>
        <v>110277.0281</v>
      </c>
      <c r="K3962" s="17" t="n">
        <f aca="false">MAX(K3961,C3962)</f>
        <v>124720.09</v>
      </c>
      <c r="L3962" s="25" t="n">
        <f aca="false">C3962/K3962-1</f>
        <v>-0.183464107506658</v>
      </c>
      <c r="M3962" s="25" t="n">
        <f aca="false">IF(COUNT(G3933:G3962)&lt;20,"",_xlfn.STDEV.S(G3933:G3962)*SQRT($R$3))</f>
        <v>0.390653911108406</v>
      </c>
      <c r="N3962" s="25" t="n">
        <f aca="false">IF(A3962-7&lt;$R$2,"",C3962/INDEX(Clean_Data!$C$2:$C$4314,MATCH(A3962-7,Clean_Data!$A$2:$A$4314,1))-1)</f>
        <v>-0.0786854890094187</v>
      </c>
      <c r="O3962" s="25" t="n">
        <f aca="false">IF(A3962-30&lt;$R$2,"",C3962/INDEX(Clean_Data!$C$2:$C$4314,MATCH(A3962-30,Clean_Data!$A$2:$A$4314,1))-1)</f>
        <v>-0.098617652567333</v>
      </c>
    </row>
    <row r="3963" customFormat="false" ht="15" hidden="false" customHeight="false" outlineLevel="0" collapsed="false">
      <c r="A3963" s="16" t="n">
        <v>45970</v>
      </c>
      <c r="B3963" s="23" t="n">
        <f aca="false">YEAR(A3963)</f>
        <v>2025</v>
      </c>
      <c r="C3963" s="17" t="n">
        <v>106496.49</v>
      </c>
      <c r="D3963" s="23" t="n">
        <f aca="false">A3963-A3962</f>
        <v>1</v>
      </c>
      <c r="E3963" s="24" t="n">
        <f aca="false">LN(C3963)</f>
        <v>11.575867305842</v>
      </c>
      <c r="F3963" s="25" t="n">
        <f aca="false">LN(C3963/C3962)</f>
        <v>0.0447244890689204</v>
      </c>
      <c r="G3963" s="25" t="n">
        <f aca="false">IF(AND(D3963=1,A3963&gt;=$R$2),F3963,"")</f>
        <v>0.0447244890689204</v>
      </c>
      <c r="H3963" s="27" t="n">
        <f aca="false">IF(G3963="","",G3963^2)</f>
        <v>0.00200027992247598</v>
      </c>
      <c r="I3963" s="25" t="n">
        <f aca="false">IF(G3963="","",C3963/C3962-1)</f>
        <v>0.0457397074954908</v>
      </c>
      <c r="J3963" s="17" t="n">
        <f aca="false">AVERAGE(C3764:C3963)</f>
        <v>110339.40075</v>
      </c>
      <c r="K3963" s="17" t="n">
        <f aca="false">MAX(K3962,C3963)</f>
        <v>124720.09</v>
      </c>
      <c r="L3963" s="25" t="n">
        <f aca="false">C3963/K3963-1</f>
        <v>-0.146115994624443</v>
      </c>
      <c r="M3963" s="25" t="n">
        <f aca="false">IF(COUNT(G3934:G3963)&lt;20,"",_xlfn.STDEV.S(G3934:G3963)*SQRT($R$3))</f>
        <v>0.420406763532834</v>
      </c>
      <c r="N3963" s="25" t="n">
        <f aca="false">IF(A3963-7&lt;$R$2,"",C3963/INDEX(Clean_Data!$C$2:$C$4314,MATCH(A3963-7,Clean_Data!$A$2:$A$4314,1))-1)</f>
        <v>-0.000577056734746617</v>
      </c>
      <c r="O3963" s="25" t="n">
        <f aca="false">IF(A3963-30&lt;$R$2,"",C3963/INDEX(Clean_Data!$C$2:$C$4314,MATCH(A3963-30,Clean_Data!$A$2:$A$4314,1))-1)</f>
        <v>-0.0385703964353168</v>
      </c>
    </row>
    <row r="3964" customFormat="false" ht="15" hidden="false" customHeight="false" outlineLevel="0" collapsed="false">
      <c r="A3964" s="16" t="n">
        <v>45971</v>
      </c>
      <c r="B3964" s="23" t="n">
        <f aca="false">YEAR(A3964)</f>
        <v>2025</v>
      </c>
      <c r="C3964" s="17" t="n">
        <v>106071.01</v>
      </c>
      <c r="D3964" s="23" t="n">
        <f aca="false">A3964-A3963</f>
        <v>1</v>
      </c>
      <c r="E3964" s="24" t="n">
        <f aca="false">LN(C3964)</f>
        <v>11.5718640544679</v>
      </c>
      <c r="F3964" s="25" t="n">
        <f aca="false">LN(C3964/C3963)</f>
        <v>-0.00400325137407327</v>
      </c>
      <c r="G3964" s="25" t="n">
        <f aca="false">IF(AND(D3964=1,A3964&gt;=$R$2),F3964,"")</f>
        <v>-0.00400325137407327</v>
      </c>
      <c r="H3964" s="27" t="n">
        <f aca="false">IF(G3964="","",G3964^2)</f>
        <v>1.60260215640196E-005</v>
      </c>
      <c r="I3964" s="25" t="n">
        <f aca="false">IF(G3964="","",C3964/C3963-1)</f>
        <v>-0.00399524904529724</v>
      </c>
      <c r="J3964" s="17" t="n">
        <f aca="false">AVERAGE(C3765:C3964)</f>
        <v>110396.21185</v>
      </c>
      <c r="K3964" s="17" t="n">
        <f aca="false">MAX(K3963,C3964)</f>
        <v>124720.09</v>
      </c>
      <c r="L3964" s="25" t="n">
        <f aca="false">C3964/K3964-1</f>
        <v>-0.149527473881714</v>
      </c>
      <c r="M3964" s="25" t="n">
        <f aca="false">IF(COUNT(G3935:G3964)&lt;20,"",_xlfn.STDEV.S(G3935:G3964)*SQRT($R$3))</f>
        <v>0.395681036307912</v>
      </c>
      <c r="N3964" s="25" t="n">
        <f aca="false">IF(A3964-7&lt;$R$2,"",C3964/INDEX(Clean_Data!$C$2:$C$4314,MATCH(A3964-7,Clean_Data!$A$2:$A$4314,1))-1)</f>
        <v>0.0453626088580505</v>
      </c>
      <c r="O3964" s="25" t="n">
        <f aca="false">IF(A3964-30&lt;$R$2,"",C3964/INDEX(Clean_Data!$C$2:$C$4314,MATCH(A3964-30,Clean_Data!$A$2:$A$4314,1))-1)</f>
        <v>-0.0781883022540241</v>
      </c>
    </row>
    <row r="3965" customFormat="false" ht="15" hidden="false" customHeight="false" outlineLevel="0" collapsed="false">
      <c r="A3965" s="16" t="n">
        <v>45972</v>
      </c>
      <c r="B3965" s="23" t="n">
        <f aca="false">YEAR(A3965)</f>
        <v>2025</v>
      </c>
      <c r="C3965" s="17" t="n">
        <v>102734.93</v>
      </c>
      <c r="D3965" s="23" t="n">
        <f aca="false">A3965-A3964</f>
        <v>1</v>
      </c>
      <c r="E3965" s="24" t="n">
        <f aca="false">LN(C3965)</f>
        <v>11.5399074549352</v>
      </c>
      <c r="F3965" s="25" t="n">
        <f aca="false">LN(C3965/C3964)</f>
        <v>-0.0319565995327393</v>
      </c>
      <c r="G3965" s="25" t="n">
        <f aca="false">IF(AND(D3965=1,A3965&gt;=$R$2),F3965,"")</f>
        <v>-0.0319565995327393</v>
      </c>
      <c r="H3965" s="27" t="n">
        <f aca="false">IF(G3965="","",G3965^2)</f>
        <v>0.00102122425369588</v>
      </c>
      <c r="I3965" s="25" t="n">
        <f aca="false">IF(G3965="","",C3965/C3964-1)</f>
        <v>-0.0314513833704422</v>
      </c>
      <c r="J3965" s="17" t="n">
        <f aca="false">AVERAGE(C3766:C3965)</f>
        <v>110436.5533</v>
      </c>
      <c r="K3965" s="17" t="n">
        <f aca="false">MAX(K3964,C3965)</f>
        <v>124720.09</v>
      </c>
      <c r="L3965" s="25" t="n">
        <f aca="false">C3965/K3965-1</f>
        <v>-0.176276011346688</v>
      </c>
      <c r="M3965" s="25" t="n">
        <f aca="false">IF(COUNT(G3936:G3965)&lt;20,"",_xlfn.STDEV.S(G3936:G3965)*SQRT($R$3))</f>
        <v>0.408158672905756</v>
      </c>
      <c r="N3965" s="25" t="n">
        <f aca="false">IF(A3965-7&lt;$R$2,"",C3965/INDEX(Clean_Data!$C$2:$C$4314,MATCH(A3965-7,Clean_Data!$A$2:$A$4314,1))-1)</f>
        <v>0.0243597061974625</v>
      </c>
      <c r="O3965" s="25" t="n">
        <f aca="false">IF(A3965-30&lt;$R$2,"",C3965/INDEX(Clean_Data!$C$2:$C$4314,MATCH(A3965-30,Clean_Data!$A$2:$A$4314,1))-1)</f>
        <v>-0.108776452076847</v>
      </c>
    </row>
    <row r="3966" customFormat="false" ht="15" hidden="false" customHeight="false" outlineLevel="0" collapsed="false">
      <c r="A3966" s="16" t="n">
        <v>45973</v>
      </c>
      <c r="B3966" s="23" t="n">
        <f aca="false">YEAR(A3966)</f>
        <v>2025</v>
      </c>
      <c r="C3966" s="17" t="n">
        <v>101945.44</v>
      </c>
      <c r="D3966" s="23" t="n">
        <f aca="false">A3966-A3965</f>
        <v>1</v>
      </c>
      <c r="E3966" s="24" t="n">
        <f aca="false">LN(C3966)</f>
        <v>11.5321930471945</v>
      </c>
      <c r="F3966" s="25" t="n">
        <f aca="false">LN(C3966/C3965)</f>
        <v>-0.00771440774067288</v>
      </c>
      <c r="G3966" s="25" t="n">
        <f aca="false">IF(AND(D3966=1,A3966&gt;=$R$2),F3966,"")</f>
        <v>-0.00771440774067288</v>
      </c>
      <c r="H3966" s="27" t="n">
        <f aca="false">IF(G3966="","",G3966^2)</f>
        <v>5.95120867893537E-005</v>
      </c>
      <c r="I3966" s="25" t="n">
        <f aca="false">IF(G3966="","",C3966/C3965-1)</f>
        <v>-0.00768472806668574</v>
      </c>
      <c r="J3966" s="17" t="n">
        <f aca="false">AVERAGE(C3767:C3966)</f>
        <v>110477.37765</v>
      </c>
      <c r="K3966" s="17" t="n">
        <f aca="false">MAX(K3965,C3966)</f>
        <v>124720.09</v>
      </c>
      <c r="L3966" s="25" t="n">
        <f aca="false">C3966/K3966-1</f>
        <v>-0.182606106201495</v>
      </c>
      <c r="M3966" s="25" t="n">
        <f aca="false">IF(COUNT(G3937:G3966)&lt;20,"",_xlfn.STDEV.S(G3937:G3966)*SQRT($R$3))</f>
        <v>0.404608944770017</v>
      </c>
      <c r="N3966" s="25" t="n">
        <f aca="false">IF(A3966-7&lt;$R$2,"",C3966/INDEX(Clean_Data!$C$2:$C$4314,MATCH(A3966-7,Clean_Data!$A$2:$A$4314,1))-1)</f>
        <v>-0.0147533632286996</v>
      </c>
      <c r="O3966" s="25" t="n">
        <f aca="false">IF(A3966-30&lt;$R$2,"",C3966/INDEX(Clean_Data!$C$2:$C$4314,MATCH(A3966-30,Clean_Data!$A$2:$A$4314,1))-1)</f>
        <v>-0.0983705380832773</v>
      </c>
    </row>
    <row r="3967" customFormat="false" ht="15" hidden="false" customHeight="false" outlineLevel="0" collapsed="false">
      <c r="A3967" s="16" t="n">
        <v>45974</v>
      </c>
      <c r="B3967" s="23" t="n">
        <f aca="false">YEAR(A3967)</f>
        <v>2025</v>
      </c>
      <c r="C3967" s="17" t="n">
        <v>98906.39</v>
      </c>
      <c r="D3967" s="23" t="n">
        <f aca="false">A3967-A3966</f>
        <v>1</v>
      </c>
      <c r="E3967" s="24" t="n">
        <f aca="false">LN(C3967)</f>
        <v>11.5019291262415</v>
      </c>
      <c r="F3967" s="25" t="n">
        <f aca="false">LN(C3967/C3966)</f>
        <v>-0.0302639209530163</v>
      </c>
      <c r="G3967" s="25" t="n">
        <f aca="false">IF(AND(D3967=1,A3967&gt;=$R$2),F3967,"")</f>
        <v>-0.0302639209530163</v>
      </c>
      <c r="H3967" s="27" t="n">
        <f aca="false">IF(G3967="","",G3967^2)</f>
        <v>0.00091590491145042</v>
      </c>
      <c r="I3967" s="25" t="n">
        <f aca="false">IF(G3967="","",C3967/C3966-1)</f>
        <v>-0.0298105535666922</v>
      </c>
      <c r="J3967" s="17" t="n">
        <f aca="false">AVERAGE(C3768:C3967)</f>
        <v>110496.69675</v>
      </c>
      <c r="K3967" s="17" t="n">
        <f aca="false">MAX(K3966,C3967)</f>
        <v>124720.09</v>
      </c>
      <c r="L3967" s="25" t="n">
        <f aca="false">C3967/K3967-1</f>
        <v>-0.206973070657662</v>
      </c>
      <c r="M3967" s="25" t="n">
        <f aca="false">IF(COUNT(G3938:G3967)&lt;20,"",_xlfn.STDEV.S(G3938:G3967)*SQRT($R$3))</f>
        <v>0.411306504149029</v>
      </c>
      <c r="N3967" s="25" t="n">
        <f aca="false">IF(A3967-7&lt;$R$2,"",C3967/INDEX(Clean_Data!$C$2:$C$4314,MATCH(A3967-7,Clean_Data!$A$2:$A$4314,1))-1)</f>
        <v>-0.0250526550911389</v>
      </c>
      <c r="O3967" s="25" t="n">
        <f aca="false">IF(A3967-30&lt;$R$2,"",C3967/INDEX(Clean_Data!$C$2:$C$4314,MATCH(A3967-30,Clean_Data!$A$2:$A$4314,1))-1)</f>
        <v>-0.107376241966454</v>
      </c>
    </row>
    <row r="3968" customFormat="false" ht="15" hidden="false" customHeight="false" outlineLevel="0" collapsed="false">
      <c r="A3968" s="16" t="n">
        <v>45975</v>
      </c>
      <c r="B3968" s="23" t="n">
        <f aca="false">YEAR(A3968)</f>
        <v>2025</v>
      </c>
      <c r="C3968" s="17" t="n">
        <v>94829.23</v>
      </c>
      <c r="D3968" s="23" t="n">
        <f aca="false">A3968-A3967</f>
        <v>1</v>
      </c>
      <c r="E3968" s="24" t="n">
        <f aca="false">LN(C3968)</f>
        <v>11.4598329740515</v>
      </c>
      <c r="F3968" s="25" t="n">
        <f aca="false">LN(C3968/C3967)</f>
        <v>-0.0420961521900248</v>
      </c>
      <c r="G3968" s="25" t="n">
        <f aca="false">IF(AND(D3968=1,A3968&gt;=$R$2),F3968,"")</f>
        <v>-0.0420961521900248</v>
      </c>
      <c r="H3968" s="27" t="n">
        <f aca="false">IF(G3968="","",G3968^2)</f>
        <v>0.00177208602920573</v>
      </c>
      <c r="I3968" s="25" t="n">
        <f aca="false">IF(G3968="","",C3968/C3967-1)</f>
        <v>-0.0412224124245157</v>
      </c>
      <c r="J3968" s="17" t="n">
        <f aca="false">AVERAGE(C3769:C3968)</f>
        <v>110499.48745</v>
      </c>
      <c r="K3968" s="17" t="n">
        <f aca="false">MAX(K3967,C3968)</f>
        <v>124720.09</v>
      </c>
      <c r="L3968" s="25" t="n">
        <f aca="false">C3968/K3968-1</f>
        <v>-0.23966355380276</v>
      </c>
      <c r="M3968" s="25" t="n">
        <f aca="false">IF(COUNT(G3939:G3968)&lt;20,"",_xlfn.STDEV.S(G3939:G3968)*SQRT($R$3))</f>
        <v>0.427156593663445</v>
      </c>
      <c r="N3968" s="25" t="n">
        <f aca="false">IF(A3968-7&lt;$R$2,"",C3968/INDEX(Clean_Data!$C$2:$C$4314,MATCH(A3968-7,Clean_Data!$A$2:$A$4314,1))-1)</f>
        <v>-0.0782732475944563</v>
      </c>
      <c r="O3968" s="25" t="n">
        <f aca="false">IF(A3968-30&lt;$R$2,"",C3968/INDEX(Clean_Data!$C$2:$C$4314,MATCH(A3968-30,Clean_Data!$A$2:$A$4314,1))-1)</f>
        <v>-0.12355838370395</v>
      </c>
    </row>
    <row r="3969" customFormat="false" ht="15" hidden="false" customHeight="false" outlineLevel="0" collapsed="false">
      <c r="A3969" s="16" t="n">
        <v>45976</v>
      </c>
      <c r="B3969" s="23" t="n">
        <f aca="false">YEAR(A3969)</f>
        <v>2025</v>
      </c>
      <c r="C3969" s="17" t="n">
        <v>95095.36</v>
      </c>
      <c r="D3969" s="23" t="n">
        <f aca="false">A3969-A3968</f>
        <v>1</v>
      </c>
      <c r="E3969" s="24" t="n">
        <f aca="false">LN(C3969)</f>
        <v>11.4626354565966</v>
      </c>
      <c r="F3969" s="25" t="n">
        <f aca="false">LN(C3969/C3968)</f>
        <v>0.00280248254509891</v>
      </c>
      <c r="G3969" s="25" t="n">
        <f aca="false">IF(AND(D3969=1,A3969&gt;=$R$2),F3969,"")</f>
        <v>0.00280248254509891</v>
      </c>
      <c r="H3969" s="27" t="n">
        <f aca="false">IF(G3969="","",G3969^2)</f>
        <v>7.85390841558408E-006</v>
      </c>
      <c r="I3969" s="25" t="n">
        <f aca="false">IF(G3969="","",C3969/C3968-1)</f>
        <v>0.00280641317028518</v>
      </c>
      <c r="J3969" s="17" t="n">
        <f aca="false">AVERAGE(C3770:C3969)</f>
        <v>110504.05155</v>
      </c>
      <c r="K3969" s="17" t="n">
        <f aca="false">MAX(K3968,C3969)</f>
        <v>124720.09</v>
      </c>
      <c r="L3969" s="25" t="n">
        <f aca="false">C3969/K3969-1</f>
        <v>-0.237529735586304</v>
      </c>
      <c r="M3969" s="25" t="n">
        <f aca="false">IF(COUNT(G3940:G3969)&lt;20,"",_xlfn.STDEV.S(G3940:G3969)*SQRT($R$3))</f>
        <v>0.42570124618017</v>
      </c>
      <c r="N3969" s="25" t="n">
        <f aca="false">IF(A3969-7&lt;$R$2,"",C3969/INDEX(Clean_Data!$C$2:$C$4314,MATCH(A3969-7,Clean_Data!$A$2:$A$4314,1))-1)</f>
        <v>-0.0662134127558721</v>
      </c>
      <c r="O3969" s="25" t="n">
        <f aca="false">IF(A3969-30&lt;$R$2,"",C3969/INDEX(Clean_Data!$C$2:$C$4314,MATCH(A3969-30,Clean_Data!$A$2:$A$4314,1))-1)</f>
        <v>-0.106778016462011</v>
      </c>
    </row>
    <row r="3970" customFormat="false" ht="15" hidden="false" customHeight="false" outlineLevel="0" collapsed="false">
      <c r="A3970" s="16" t="n">
        <v>45977</v>
      </c>
      <c r="B3970" s="23" t="n">
        <f aca="false">YEAR(A3970)</f>
        <v>2025</v>
      </c>
      <c r="C3970" s="17" t="n">
        <v>95197.96</v>
      </c>
      <c r="D3970" s="23" t="n">
        <f aca="false">A3970-A3969</f>
        <v>1</v>
      </c>
      <c r="E3970" s="24" t="n">
        <f aca="false">LN(C3970)</f>
        <v>11.4637137919784</v>
      </c>
      <c r="F3970" s="25" t="n">
        <f aca="false">LN(C3970/C3969)</f>
        <v>0.00107833538184113</v>
      </c>
      <c r="G3970" s="25" t="n">
        <f aca="false">IF(AND(D3970=1,A3970&gt;=$R$2),F3970,"")</f>
        <v>0.00107833538184113</v>
      </c>
      <c r="H3970" s="27" t="n">
        <f aca="false">IF(G3970="","",G3970^2)</f>
        <v>1.16280719573047E-006</v>
      </c>
      <c r="I3970" s="25" t="n">
        <f aca="false">IF(G3970="","",C3970/C3969-1)</f>
        <v>0.00107891699447804</v>
      </c>
      <c r="J3970" s="17" t="n">
        <f aca="false">AVERAGE(C3771:C3970)</f>
        <v>110497.41645</v>
      </c>
      <c r="K3970" s="17" t="n">
        <f aca="false">MAX(K3969,C3970)</f>
        <v>124720.09</v>
      </c>
      <c r="L3970" s="25" t="n">
        <f aca="false">C3970/K3970-1</f>
        <v>-0.236707093460244</v>
      </c>
      <c r="M3970" s="25" t="n">
        <f aca="false">IF(COUNT(G3941:G3970)&lt;20,"",_xlfn.STDEV.S(G3941:G3970)*SQRT($R$3))</f>
        <v>0.424322350321056</v>
      </c>
      <c r="N3970" s="25" t="n">
        <f aca="false">IF(A3970-7&lt;$R$2,"",C3970/INDEX(Clean_Data!$C$2:$C$4314,MATCH(A3970-7,Clean_Data!$A$2:$A$4314,1))-1)</f>
        <v>-0.106092980153618</v>
      </c>
      <c r="O3970" s="25" t="n">
        <f aca="false">IF(A3970-30&lt;$R$2,"",C3970/INDEX(Clean_Data!$C$2:$C$4314,MATCH(A3970-30,Clean_Data!$A$2:$A$4314,1))-1)</f>
        <v>-0.112033132320812</v>
      </c>
    </row>
    <row r="3971" customFormat="false" ht="15" hidden="false" customHeight="false" outlineLevel="0" collapsed="false">
      <c r="A3971" s="16" t="n">
        <v>45978</v>
      </c>
      <c r="B3971" s="23" t="n">
        <f aca="false">YEAR(A3971)</f>
        <v>2025</v>
      </c>
      <c r="C3971" s="17" t="n">
        <v>91855.7</v>
      </c>
      <c r="D3971" s="23" t="n">
        <f aca="false">A3971-A3970</f>
        <v>1</v>
      </c>
      <c r="E3971" s="24" t="n">
        <f aca="false">LN(C3971)</f>
        <v>11.4279741464205</v>
      </c>
      <c r="F3971" s="25" t="n">
        <f aca="false">LN(C3971/C3970)</f>
        <v>-0.0357396455578847</v>
      </c>
      <c r="G3971" s="25" t="n">
        <f aca="false">IF(AND(D3971=1,A3971&gt;=$R$2),F3971,"")</f>
        <v>-0.0357396455578847</v>
      </c>
      <c r="H3971" s="27" t="n">
        <f aca="false">IF(G3971="","",G3971^2)</f>
        <v>0.00127732226460323</v>
      </c>
      <c r="I3971" s="25" t="n">
        <f aca="false">IF(G3971="","",C3971/C3970-1)</f>
        <v>-0.0351085254347888</v>
      </c>
      <c r="J3971" s="17" t="n">
        <f aca="false">AVERAGE(C3772:C3971)</f>
        <v>110472.0459</v>
      </c>
      <c r="K3971" s="17" t="n">
        <f aca="false">MAX(K3970,C3971)</f>
        <v>124720.09</v>
      </c>
      <c r="L3971" s="25" t="n">
        <f aca="false">C3971/K3971-1</f>
        <v>-0.263505181883689</v>
      </c>
      <c r="M3971" s="25" t="n">
        <f aca="false">IF(COUNT(G3942:G3971)&lt;20,"",_xlfn.STDEV.S(G3942:G3971)*SQRT($R$3))</f>
        <v>0.433426156233797</v>
      </c>
      <c r="N3971" s="25" t="n">
        <f aca="false">IF(A3971-7&lt;$R$2,"",C3971/INDEX(Clean_Data!$C$2:$C$4314,MATCH(A3971-7,Clean_Data!$A$2:$A$4314,1))-1)</f>
        <v>-0.134016919420302</v>
      </c>
      <c r="O3971" s="25" t="n">
        <f aca="false">IF(A3971-30&lt;$R$2,"",C3971/INDEX(Clean_Data!$C$2:$C$4314,MATCH(A3971-30,Clean_Data!$A$2:$A$4314,1))-1)</f>
        <v>-0.154780809663297</v>
      </c>
    </row>
    <row r="3972" customFormat="false" ht="15" hidden="false" customHeight="false" outlineLevel="0" collapsed="false">
      <c r="A3972" s="16" t="n">
        <v>45979</v>
      </c>
      <c r="B3972" s="23" t="n">
        <f aca="false">YEAR(A3972)</f>
        <v>2025</v>
      </c>
      <c r="C3972" s="17" t="n">
        <v>92184.51</v>
      </c>
      <c r="D3972" s="23" t="n">
        <f aca="false">A3972-A3971</f>
        <v>1</v>
      </c>
      <c r="E3972" s="24" t="n">
        <f aca="false">LN(C3972)</f>
        <v>11.431547391092</v>
      </c>
      <c r="F3972" s="25" t="n">
        <f aca="false">LN(C3972/C3971)</f>
        <v>0.00357324467143226</v>
      </c>
      <c r="G3972" s="25" t="n">
        <f aca="false">IF(AND(D3972=1,A3972&gt;=$R$2),F3972,"")</f>
        <v>0.00357324467143226</v>
      </c>
      <c r="H3972" s="27" t="n">
        <f aca="false">IF(G3972="","",G3972^2)</f>
        <v>1.2768077481919E-005</v>
      </c>
      <c r="I3972" s="25" t="n">
        <f aca="false">IF(G3972="","",C3972/C3971-1)</f>
        <v>0.00357963632088154</v>
      </c>
      <c r="J3972" s="17" t="n">
        <f aca="false">AVERAGE(C3773:C3972)</f>
        <v>110453.6618</v>
      </c>
      <c r="K3972" s="17" t="n">
        <f aca="false">MAX(K3971,C3972)</f>
        <v>124720.09</v>
      </c>
      <c r="L3972" s="25" t="n">
        <f aca="false">C3972/K3972-1</f>
        <v>-0.260868798282618</v>
      </c>
      <c r="M3972" s="25" t="n">
        <f aca="false">IF(COUNT(G3943:G3972)&lt;20,"",_xlfn.STDEV.S(G3943:G3972)*SQRT($R$3))</f>
        <v>0.426923500135445</v>
      </c>
      <c r="N3972" s="25" t="n">
        <f aca="false">IF(A3972-7&lt;$R$2,"",C3972/INDEX(Clean_Data!$C$2:$C$4314,MATCH(A3972-7,Clean_Data!$A$2:$A$4314,1))-1)</f>
        <v>-0.102695548631804</v>
      </c>
      <c r="O3972" s="25" t="n">
        <f aca="false">IF(A3972-30&lt;$R$2,"",C3972/INDEX(Clean_Data!$C$2:$C$4314,MATCH(A3972-30,Clean_Data!$A$2:$A$4314,1))-1)</f>
        <v>-0.166264561393227</v>
      </c>
    </row>
    <row r="3973" customFormat="false" ht="15" hidden="false" customHeight="false" outlineLevel="0" collapsed="false">
      <c r="A3973" s="16" t="n">
        <v>45980</v>
      </c>
      <c r="B3973" s="23" t="n">
        <f aca="false">YEAR(A3973)</f>
        <v>2025</v>
      </c>
      <c r="C3973" s="17" t="n">
        <v>91783.66</v>
      </c>
      <c r="D3973" s="23" t="n">
        <f aca="false">A3973-A3972</f>
        <v>1</v>
      </c>
      <c r="E3973" s="24" t="n">
        <f aca="false">LN(C3973)</f>
        <v>11.4271895651228</v>
      </c>
      <c r="F3973" s="25" t="n">
        <f aca="false">LN(C3973/C3972)</f>
        <v>-0.00435782596920469</v>
      </c>
      <c r="G3973" s="25" t="n">
        <f aca="false">IF(AND(D3973=1,A3973&gt;=$R$2),F3973,"")</f>
        <v>-0.00435782596920469</v>
      </c>
      <c r="H3973" s="27" t="n">
        <f aca="false">IF(G3973="","",G3973^2)</f>
        <v>1.89906471778748E-005</v>
      </c>
      <c r="I3973" s="25" t="n">
        <f aca="false">IF(G3973="","",C3973/C3972-1)</f>
        <v>-0.00434834442359122</v>
      </c>
      <c r="J3973" s="17" t="n">
        <f aca="false">AVERAGE(C3774:C3973)</f>
        <v>110441.21735</v>
      </c>
      <c r="K3973" s="17" t="n">
        <f aca="false">MAX(K3972,C3973)</f>
        <v>124720.09</v>
      </c>
      <c r="L3973" s="25" t="n">
        <f aca="false">C3973/K3973-1</f>
        <v>-0.264082795321908</v>
      </c>
      <c r="M3973" s="25" t="n">
        <f aca="false">IF(COUNT(G3944:G3973)&lt;20,"",_xlfn.STDEV.S(G3944:G3973)*SQRT($R$3))</f>
        <v>0.423906639581348</v>
      </c>
      <c r="N3973" s="25" t="n">
        <f aca="false">IF(A3973-7&lt;$R$2,"",C3973/INDEX(Clean_Data!$C$2:$C$4314,MATCH(A3973-7,Clean_Data!$A$2:$A$4314,1))-1)</f>
        <v>-0.0996786124028696</v>
      </c>
      <c r="O3973" s="25" t="n">
        <f aca="false">IF(A3973-30&lt;$R$2,"",C3973/INDEX(Clean_Data!$C$2:$C$4314,MATCH(A3973-30,Clean_Data!$A$2:$A$4314,1))-1)</f>
        <v>-0.152992457614629</v>
      </c>
    </row>
    <row r="3974" customFormat="false" ht="15" hidden="false" customHeight="false" outlineLevel="0" collapsed="false">
      <c r="A3974" s="16" t="n">
        <v>45981</v>
      </c>
      <c r="B3974" s="23" t="n">
        <f aca="false">YEAR(A3974)</f>
        <v>2025</v>
      </c>
      <c r="C3974" s="17" t="n">
        <v>87214</v>
      </c>
      <c r="D3974" s="23" t="n">
        <f aca="false">A3974-A3973</f>
        <v>1</v>
      </c>
      <c r="E3974" s="24" t="n">
        <f aca="false">LN(C3974)</f>
        <v>11.3761201474689</v>
      </c>
      <c r="F3974" s="25" t="n">
        <f aca="false">LN(C3974/C3973)</f>
        <v>-0.0510694176538349</v>
      </c>
      <c r="G3974" s="25" t="n">
        <f aca="false">IF(AND(D3974=1,A3974&gt;=$R$2),F3974,"")</f>
        <v>-0.0510694176538349</v>
      </c>
      <c r="H3974" s="27" t="n">
        <f aca="false">IF(G3974="","",G3974^2)</f>
        <v>0.00260808541950182</v>
      </c>
      <c r="I3974" s="25" t="n">
        <f aca="false">IF(G3974="","",C3974/C3973-1)</f>
        <v>-0.0497872932938173</v>
      </c>
      <c r="J3974" s="17" t="n">
        <f aca="false">AVERAGE(C3775:C3974)</f>
        <v>110403.6174</v>
      </c>
      <c r="K3974" s="17" t="n">
        <f aca="false">MAX(K3973,C3974)</f>
        <v>124720.09</v>
      </c>
      <c r="L3974" s="25" t="n">
        <f aca="false">C3974/K3974-1</f>
        <v>-0.300722121031183</v>
      </c>
      <c r="M3974" s="25" t="n">
        <f aca="false">IF(COUNT(G3945:G3974)&lt;20,"",_xlfn.STDEV.S(G3945:G3974)*SQRT($R$3))</f>
        <v>0.452714890098543</v>
      </c>
      <c r="N3974" s="25" t="n">
        <f aca="false">IF(A3974-7&lt;$R$2,"",C3974/INDEX(Clean_Data!$C$2:$C$4314,MATCH(A3974-7,Clean_Data!$A$2:$A$4314,1))-1)</f>
        <v>-0.118216729980742</v>
      </c>
      <c r="O3974" s="25" t="n">
        <f aca="false">IF(A3974-30&lt;$R$2,"",C3974/INDEX(Clean_Data!$C$2:$C$4314,MATCH(A3974-30,Clean_Data!$A$2:$A$4314,1))-1)</f>
        <v>-0.189355341653253</v>
      </c>
    </row>
    <row r="3975" customFormat="false" ht="15" hidden="false" customHeight="false" outlineLevel="0" collapsed="false">
      <c r="A3975" s="16" t="n">
        <v>45982</v>
      </c>
      <c r="B3975" s="23" t="n">
        <f aca="false">YEAR(A3975)</f>
        <v>2025</v>
      </c>
      <c r="C3975" s="17" t="n">
        <v>84826</v>
      </c>
      <c r="D3975" s="23" t="n">
        <f aca="false">A3975-A3974</f>
        <v>1</v>
      </c>
      <c r="E3975" s="24" t="n">
        <f aca="false">LN(C3975)</f>
        <v>11.3483573785602</v>
      </c>
      <c r="F3975" s="25" t="n">
        <f aca="false">LN(C3975/C3974)</f>
        <v>-0.0277627689086934</v>
      </c>
      <c r="G3975" s="25" t="n">
        <f aca="false">IF(AND(D3975=1,A3975&gt;=$R$2),F3975,"")</f>
        <v>-0.0277627689086934</v>
      </c>
      <c r="H3975" s="27" t="n">
        <f aca="false">IF(G3975="","",G3975^2)</f>
        <v>0.000770771337477511</v>
      </c>
      <c r="I3975" s="25" t="n">
        <f aca="false">IF(G3975="","",C3975/C3974-1)</f>
        <v>-0.0273809250808357</v>
      </c>
      <c r="J3975" s="17" t="n">
        <f aca="false">AVERAGE(C3776:C3975)</f>
        <v>110343.55155</v>
      </c>
      <c r="K3975" s="17" t="n">
        <f aca="false">MAX(K3974,C3975)</f>
        <v>124720.09</v>
      </c>
      <c r="L3975" s="25" t="n">
        <f aca="false">C3975/K3975-1</f>
        <v>-0.319868996245914</v>
      </c>
      <c r="M3975" s="25" t="n">
        <f aca="false">IF(COUNT(G3946:G3975)&lt;20,"",_xlfn.STDEV.S(G3946:G3975)*SQRT($R$3))</f>
        <v>0.444719507248519</v>
      </c>
      <c r="N3975" s="25" t="n">
        <f aca="false">IF(A3975-7&lt;$R$2,"",C3975/INDEX(Clean_Data!$C$2:$C$4314,MATCH(A3975-7,Clean_Data!$A$2:$A$4314,1))-1)</f>
        <v>-0.105486778707367</v>
      </c>
      <c r="O3975" s="25" t="n">
        <f aca="false">IF(A3975-30&lt;$R$2,"",C3975/INDEX(Clean_Data!$C$2:$C$4314,MATCH(A3975-30,Clean_Data!$A$2:$A$4314,1))-1)</f>
        <v>-0.22966710659656</v>
      </c>
    </row>
    <row r="3976" customFormat="false" ht="15" hidden="false" customHeight="false" outlineLevel="0" collapsed="false">
      <c r="A3976" s="16" t="n">
        <v>45983</v>
      </c>
      <c r="B3976" s="23" t="n">
        <f aca="false">YEAR(A3976)</f>
        <v>2025</v>
      </c>
      <c r="C3976" s="17" t="n">
        <v>85133.92</v>
      </c>
      <c r="D3976" s="23" t="n">
        <f aca="false">A3976-A3975</f>
        <v>1</v>
      </c>
      <c r="E3976" s="24" t="n">
        <f aca="false">LN(C3976)</f>
        <v>11.3519808250399</v>
      </c>
      <c r="F3976" s="25" t="n">
        <f aca="false">LN(C3976/C3975)</f>
        <v>0.00362344647961028</v>
      </c>
      <c r="G3976" s="25" t="n">
        <f aca="false">IF(AND(D3976=1,A3976&gt;=$R$2),F3976,"")</f>
        <v>0.00362344647961028</v>
      </c>
      <c r="H3976" s="27" t="n">
        <f aca="false">IF(G3976="","",G3976^2)</f>
        <v>1.31293643906001E-005</v>
      </c>
      <c r="I3976" s="25" t="n">
        <f aca="false">IF(G3976="","",C3976/C3975-1)</f>
        <v>0.00363001909791816</v>
      </c>
      <c r="J3976" s="17" t="n">
        <f aca="false">AVERAGE(C3777:C3976)</f>
        <v>110283.92955</v>
      </c>
      <c r="K3976" s="17" t="n">
        <f aca="false">MAX(K3975,C3976)</f>
        <v>124720.09</v>
      </c>
      <c r="L3976" s="25" t="n">
        <f aca="false">C3976/K3976-1</f>
        <v>-0.3174001077132</v>
      </c>
      <c r="M3976" s="25" t="n">
        <f aca="false">IF(COUNT(G3947:G3976)&lt;20,"",_xlfn.STDEV.S(G3947:G3976)*SQRT($R$3))</f>
        <v>0.44272798565595</v>
      </c>
      <c r="N3976" s="25" t="n">
        <f aca="false">IF(A3976-7&lt;$R$2,"",C3976/INDEX(Clean_Data!$C$2:$C$4314,MATCH(A3976-7,Clean_Data!$A$2:$A$4314,1))-1)</f>
        <v>-0.104752114088427</v>
      </c>
      <c r="O3976" s="25" t="n">
        <f aca="false">IF(A3976-30&lt;$R$2,"",C3976/INDEX(Clean_Data!$C$2:$C$4314,MATCH(A3976-30,Clean_Data!$A$2:$A$4314,1))-1)</f>
        <v>-0.233318741274145</v>
      </c>
    </row>
    <row r="3977" customFormat="false" ht="15" hidden="false" customHeight="false" outlineLevel="0" collapsed="false">
      <c r="A3977" s="16" t="n">
        <v>45984</v>
      </c>
      <c r="B3977" s="23" t="n">
        <f aca="false">YEAR(A3977)</f>
        <v>2025</v>
      </c>
      <c r="C3977" s="17" t="n">
        <v>86499.25</v>
      </c>
      <c r="D3977" s="23" t="n">
        <f aca="false">A3977-A3976</f>
        <v>1</v>
      </c>
      <c r="E3977" s="24" t="n">
        <f aca="false">LN(C3977)</f>
        <v>11.3678910223622</v>
      </c>
      <c r="F3977" s="25" t="n">
        <f aca="false">LN(C3977/C3976)</f>
        <v>0.0159101973222925</v>
      </c>
      <c r="G3977" s="25" t="n">
        <f aca="false">IF(AND(D3977=1,A3977&gt;=$R$2),F3977,"")</f>
        <v>0.0159101973222925</v>
      </c>
      <c r="H3977" s="27" t="n">
        <f aca="false">IF(G3977="","",G3977^2)</f>
        <v>0.000253134378834283</v>
      </c>
      <c r="I3977" s="25" t="n">
        <f aca="false">IF(G3977="","",C3977/C3976-1)</f>
        <v>0.0160374384264228</v>
      </c>
      <c r="J3977" s="17" t="n">
        <f aca="false">AVERAGE(C3778:C3977)</f>
        <v>110200.15835</v>
      </c>
      <c r="K3977" s="17" t="n">
        <f aca="false">MAX(K3976,C3977)</f>
        <v>124720.09</v>
      </c>
      <c r="L3977" s="25" t="n">
        <f aca="false">C3977/K3977-1</f>
        <v>-0.306452953970768</v>
      </c>
      <c r="M3977" s="25" t="n">
        <f aca="false">IF(COUNT(G3948:G3977)&lt;20,"",_xlfn.STDEV.S(G3948:G3977)*SQRT($R$3))</f>
        <v>0.448387819255558</v>
      </c>
      <c r="N3977" s="25" t="n">
        <f aca="false">IF(A3977-7&lt;$R$2,"",C3977/INDEX(Clean_Data!$C$2:$C$4314,MATCH(A3977-7,Clean_Data!$A$2:$A$4314,1))-1)</f>
        <v>-0.0913749622365858</v>
      </c>
      <c r="O3977" s="25" t="n">
        <f aca="false">IF(A3977-30&lt;$R$2,"",C3977/INDEX(Clean_Data!$C$2:$C$4314,MATCH(A3977-30,Clean_Data!$A$2:$A$4314,1))-1)</f>
        <v>-0.225376682883748</v>
      </c>
    </row>
    <row r="3978" customFormat="false" ht="15" hidden="false" customHeight="false" outlineLevel="0" collapsed="false">
      <c r="A3978" s="16" t="n">
        <v>45985</v>
      </c>
      <c r="B3978" s="23" t="n">
        <f aca="false">YEAR(A3978)</f>
        <v>2025</v>
      </c>
      <c r="C3978" s="17" t="n">
        <v>87981.12</v>
      </c>
      <c r="D3978" s="23" t="n">
        <f aca="false">A3978-A3977</f>
        <v>1</v>
      </c>
      <c r="E3978" s="24" t="n">
        <f aca="false">LN(C3978)</f>
        <v>11.3848775249876</v>
      </c>
      <c r="F3978" s="25" t="n">
        <f aca="false">LN(C3978/C3977)</f>
        <v>0.0169865026254794</v>
      </c>
      <c r="G3978" s="25" t="n">
        <f aca="false">IF(AND(D3978=1,A3978&gt;=$R$2),F3978,"")</f>
        <v>0.0169865026254794</v>
      </c>
      <c r="H3978" s="27" t="n">
        <f aca="false">IF(G3978="","",G3978^2)</f>
        <v>0.00028854127144542</v>
      </c>
      <c r="I3978" s="25" t="n">
        <f aca="false">IF(G3978="","",C3978/C3977-1)</f>
        <v>0.0171315936265344</v>
      </c>
      <c r="J3978" s="17" t="n">
        <f aca="false">AVERAGE(C3779:C3978)</f>
        <v>110125.12915</v>
      </c>
      <c r="K3978" s="17" t="n">
        <f aca="false">MAX(K3977,C3978)</f>
        <v>124720.09</v>
      </c>
      <c r="L3978" s="25" t="n">
        <f aca="false">C3978/K3978-1</f>
        <v>-0.294571387817312</v>
      </c>
      <c r="M3978" s="25" t="n">
        <f aca="false">IF(COUNT(G3949:G3978)&lt;20,"",_xlfn.STDEV.S(G3949:G3978)*SQRT($R$3))</f>
        <v>0.441204203479034</v>
      </c>
      <c r="N3978" s="25" t="n">
        <f aca="false">IF(A3978-7&lt;$R$2,"",C3978/INDEX(Clean_Data!$C$2:$C$4314,MATCH(A3978-7,Clean_Data!$A$2:$A$4314,1))-1)</f>
        <v>-0.0421811602328435</v>
      </c>
      <c r="O3978" s="25" t="n">
        <f aca="false">IF(A3978-30&lt;$R$2,"",C3978/INDEX(Clean_Data!$C$2:$C$4314,MATCH(A3978-30,Clean_Data!$A$2:$A$4314,1))-1)</f>
        <v>-0.231928528882498</v>
      </c>
    </row>
    <row r="3979" customFormat="false" ht="15" hidden="false" customHeight="false" outlineLevel="0" collapsed="false">
      <c r="A3979" s="16" t="n">
        <v>45986</v>
      </c>
      <c r="B3979" s="23" t="n">
        <f aca="false">YEAR(A3979)</f>
        <v>2025</v>
      </c>
      <c r="C3979" s="17" t="n">
        <v>87366.12</v>
      </c>
      <c r="D3979" s="23" t="n">
        <f aca="false">A3979-A3978</f>
        <v>1</v>
      </c>
      <c r="E3979" s="24" t="n">
        <f aca="false">LN(C3979)</f>
        <v>11.3778628434701</v>
      </c>
      <c r="F3979" s="25" t="n">
        <f aca="false">LN(C3979/C3978)</f>
        <v>-0.00701468151757583</v>
      </c>
      <c r="G3979" s="25" t="n">
        <f aca="false">IF(AND(D3979=1,A3979&gt;=$R$2),F3979,"")</f>
        <v>-0.00701468151757583</v>
      </c>
      <c r="H3979" s="27" t="n">
        <f aca="false">IF(G3979="","",G3979^2)</f>
        <v>4.920575679302E-005</v>
      </c>
      <c r="I3979" s="25" t="n">
        <f aca="false">IF(G3979="","",C3979/C3978-1)</f>
        <v>-0.00699013606555587</v>
      </c>
      <c r="J3979" s="17" t="n">
        <f aca="false">AVERAGE(C3780:C3979)</f>
        <v>110037.8538</v>
      </c>
      <c r="K3979" s="17" t="n">
        <f aca="false">MAX(K3978,C3979)</f>
        <v>124720.09</v>
      </c>
      <c r="L3979" s="25" t="n">
        <f aca="false">C3979/K3979-1</f>
        <v>-0.299502429801005</v>
      </c>
      <c r="M3979" s="25" t="n">
        <f aca="false">IF(COUNT(G3950:G3979)&lt;20,"",_xlfn.STDEV.S(G3950:G3979)*SQRT($R$3))</f>
        <v>0.440921568394191</v>
      </c>
      <c r="N3979" s="25" t="n">
        <f aca="false">IF(A3979-7&lt;$R$2,"",C3979/INDEX(Clean_Data!$C$2:$C$4314,MATCH(A3979-7,Clean_Data!$A$2:$A$4314,1))-1)</f>
        <v>-0.0522689766426051</v>
      </c>
      <c r="O3979" s="25" t="n">
        <f aca="false">IF(A3979-30&lt;$R$2,"",C3979/INDEX(Clean_Data!$C$2:$C$4314,MATCH(A3979-30,Clean_Data!$A$2:$A$4314,1))-1)</f>
        <v>-0.234215343966266</v>
      </c>
    </row>
    <row r="3980" customFormat="false" ht="15" hidden="false" customHeight="false" outlineLevel="0" collapsed="false">
      <c r="A3980" s="16" t="n">
        <v>45987</v>
      </c>
      <c r="B3980" s="23" t="n">
        <f aca="false">YEAR(A3980)</f>
        <v>2025</v>
      </c>
      <c r="C3980" s="17" t="n">
        <v>90635.53</v>
      </c>
      <c r="D3980" s="23" t="n">
        <f aca="false">A3980-A3979</f>
        <v>1</v>
      </c>
      <c r="E3980" s="24" t="n">
        <f aca="false">LN(C3980)</f>
        <v>11.4146015785105</v>
      </c>
      <c r="F3980" s="25" t="n">
        <f aca="false">LN(C3980/C3979)</f>
        <v>0.0367387350404746</v>
      </c>
      <c r="G3980" s="25" t="n">
        <f aca="false">IF(AND(D3980=1,A3980&gt;=$R$2),F3980,"")</f>
        <v>0.0367387350404746</v>
      </c>
      <c r="H3980" s="27" t="n">
        <f aca="false">IF(G3980="","",G3980^2)</f>
        <v>0.00134973465237419</v>
      </c>
      <c r="I3980" s="25" t="n">
        <f aca="false">IF(G3980="","",C3980/C3979-1)</f>
        <v>0.0374219434261245</v>
      </c>
      <c r="J3980" s="17" t="n">
        <f aca="false">AVERAGE(C3781:C3980)</f>
        <v>109970.34335</v>
      </c>
      <c r="K3980" s="17" t="n">
        <f aca="false">MAX(K3979,C3980)</f>
        <v>124720.09</v>
      </c>
      <c r="L3980" s="25" t="n">
        <f aca="false">C3980/K3980-1</f>
        <v>-0.27328844935888</v>
      </c>
      <c r="M3980" s="25" t="n">
        <f aca="false">IF(COUNT(G3951:G3980)&lt;20,"",_xlfn.STDEV.S(G3951:G3980)*SQRT($R$3))</f>
        <v>0.468680351309264</v>
      </c>
      <c r="N3980" s="25" t="n">
        <f aca="false">IF(A3980-7&lt;$R$2,"",C3980/INDEX(Clean_Data!$C$2:$C$4314,MATCH(A3980-7,Clean_Data!$A$2:$A$4314,1))-1)</f>
        <v>-0.0125090893084892</v>
      </c>
      <c r="O3980" s="25" t="n">
        <f aca="false">IF(A3980-30&lt;$R$2,"",C3980/INDEX(Clean_Data!$C$2:$C$4314,MATCH(A3980-30,Clean_Data!$A$2:$A$4314,1))-1)</f>
        <v>-0.197253220024489</v>
      </c>
    </row>
    <row r="3981" customFormat="false" ht="15" hidden="false" customHeight="false" outlineLevel="0" collapsed="false">
      <c r="A3981" s="16" t="n">
        <v>45988</v>
      </c>
      <c r="B3981" s="23" t="n">
        <f aca="false">YEAR(A3981)</f>
        <v>2025</v>
      </c>
      <c r="C3981" s="17" t="n">
        <v>91094</v>
      </c>
      <c r="D3981" s="23" t="n">
        <f aca="false">A3981-A3980</f>
        <v>1</v>
      </c>
      <c r="E3981" s="24" t="n">
        <f aca="false">LN(C3981)</f>
        <v>11.4196472193886</v>
      </c>
      <c r="F3981" s="25" t="n">
        <f aca="false">LN(C3981/C3980)</f>
        <v>0.00504564087809487</v>
      </c>
      <c r="G3981" s="25" t="n">
        <f aca="false">IF(AND(D3981=1,A3981&gt;=$R$2),F3981,"")</f>
        <v>0.00504564087809487</v>
      </c>
      <c r="H3981" s="27" t="n">
        <f aca="false">IF(G3981="","",G3981^2)</f>
        <v>2.5458491870702E-005</v>
      </c>
      <c r="I3981" s="25" t="n">
        <f aca="false">IF(G3981="","",C3981/C3980-1)</f>
        <v>0.00505839156013099</v>
      </c>
      <c r="J3981" s="17" t="n">
        <f aca="false">AVERAGE(C3782:C3981)</f>
        <v>109911.8123</v>
      </c>
      <c r="K3981" s="17" t="n">
        <f aca="false">MAX(K3980,C3981)</f>
        <v>124720.09</v>
      </c>
      <c r="L3981" s="25" t="n">
        <f aca="false">C3981/K3981-1</f>
        <v>-0.269612457784468</v>
      </c>
      <c r="M3981" s="25" t="n">
        <f aca="false">IF(COUNT(G3952:G3981)&lt;20,"",_xlfn.STDEV.S(G3952:G3981)*SQRT($R$3))</f>
        <v>0.465721279449306</v>
      </c>
      <c r="N3981" s="25" t="n">
        <f aca="false">IF(A3981-7&lt;$R$2,"",C3981/INDEX(Clean_Data!$C$2:$C$4314,MATCH(A3981-7,Clean_Data!$A$2:$A$4314,1))-1)</f>
        <v>0.0444882702318434</v>
      </c>
      <c r="O3981" s="25" t="n">
        <f aca="false">IF(A3981-30&lt;$R$2,"",C3981/INDEX(Clean_Data!$C$2:$C$4314,MATCH(A3981-30,Clean_Data!$A$2:$A$4314,1))-1)</f>
        <v>-0.172114545087876</v>
      </c>
    </row>
    <row r="3982" customFormat="false" ht="15" hidden="false" customHeight="false" outlineLevel="0" collapsed="false">
      <c r="A3982" s="16" t="n">
        <v>45989</v>
      </c>
      <c r="B3982" s="23" t="n">
        <f aca="false">YEAR(A3982)</f>
        <v>2025</v>
      </c>
      <c r="C3982" s="17" t="n">
        <v>90919.78</v>
      </c>
      <c r="D3982" s="23" t="n">
        <f aca="false">A3982-A3981</f>
        <v>1</v>
      </c>
      <c r="E3982" s="24" t="n">
        <f aca="false">LN(C3982)</f>
        <v>11.4177328582539</v>
      </c>
      <c r="F3982" s="25" t="n">
        <f aca="false">LN(C3982/C3981)</f>
        <v>-0.00191436113470607</v>
      </c>
      <c r="G3982" s="25" t="n">
        <f aca="false">IF(AND(D3982=1,A3982&gt;=$R$2),F3982,"")</f>
        <v>-0.00191436113470607</v>
      </c>
      <c r="H3982" s="27" t="n">
        <f aca="false">IF(G3982="","",G3982^2)</f>
        <v>3.66477855407313E-006</v>
      </c>
      <c r="I3982" s="25" t="n">
        <f aca="false">IF(G3982="","",C3982/C3981-1)</f>
        <v>-0.00191252991415458</v>
      </c>
      <c r="J3982" s="17" t="n">
        <f aca="false">AVERAGE(C3783:C3982)</f>
        <v>109845.7559</v>
      </c>
      <c r="K3982" s="17" t="n">
        <f aca="false">MAX(K3981,C3982)</f>
        <v>124720.09</v>
      </c>
      <c r="L3982" s="25" t="n">
        <f aca="false">C3982/K3982-1</f>
        <v>-0.271009345807881</v>
      </c>
      <c r="M3982" s="25" t="n">
        <f aca="false">IF(COUNT(G3953:G3982)&lt;20,"",_xlfn.STDEV.S(G3953:G3982)*SQRT($R$3))</f>
        <v>0.46467437501524</v>
      </c>
      <c r="N3982" s="25" t="n">
        <f aca="false">IF(A3982-7&lt;$R$2,"",C3982/INDEX(Clean_Data!$C$2:$C$4314,MATCH(A3982-7,Clean_Data!$A$2:$A$4314,1))-1)</f>
        <v>0.0718385872256149</v>
      </c>
      <c r="O3982" s="25" t="n">
        <f aca="false">IF(A3982-30&lt;$R$2,"",C3982/INDEX(Clean_Data!$C$2:$C$4314,MATCH(A3982-30,Clean_Data!$A$2:$A$4314,1))-1)</f>
        <v>-0.160545583906959</v>
      </c>
    </row>
    <row r="3983" customFormat="false" ht="15" hidden="false" customHeight="false" outlineLevel="0" collapsed="false">
      <c r="A3983" s="16" t="n">
        <v>45990</v>
      </c>
      <c r="B3983" s="23" t="n">
        <f aca="false">YEAR(A3983)</f>
        <v>2025</v>
      </c>
      <c r="C3983" s="17" t="n">
        <v>90946.75</v>
      </c>
      <c r="D3983" s="23" t="n">
        <f aca="false">A3983-A3982</f>
        <v>1</v>
      </c>
      <c r="E3983" s="24" t="n">
        <f aca="false">LN(C3983)</f>
        <v>11.4180294493881</v>
      </c>
      <c r="F3983" s="25" t="n">
        <f aca="false">LN(C3983/C3982)</f>
        <v>0.000296591134143377</v>
      </c>
      <c r="G3983" s="25" t="n">
        <f aca="false">IF(AND(D3983=1,A3983&gt;=$R$2),F3983,"")</f>
        <v>0.000296591134143377</v>
      </c>
      <c r="H3983" s="27" t="n">
        <f aca="false">IF(G3983="","",G3983^2)</f>
        <v>8.79663008524548E-008</v>
      </c>
      <c r="I3983" s="25" t="n">
        <f aca="false">IF(G3983="","",C3983/C3982-1)</f>
        <v>0.000296635121642463</v>
      </c>
      <c r="J3983" s="17" t="n">
        <f aca="false">AVERAGE(C3784:C3983)</f>
        <v>109782.76275</v>
      </c>
      <c r="K3983" s="17" t="n">
        <f aca="false">MAX(K3982,C3983)</f>
        <v>124720.09</v>
      </c>
      <c r="L3983" s="25" t="n">
        <f aca="false">C3983/K3983-1</f>
        <v>-0.270793101576498</v>
      </c>
      <c r="M3983" s="25" t="n">
        <f aca="false">IF(COUNT(G3954:G3983)&lt;20,"",_xlfn.STDEV.S(G3954:G3983)*SQRT($R$3))</f>
        <v>0.461068319098555</v>
      </c>
      <c r="N3983" s="25" t="n">
        <f aca="false">IF(A3983-7&lt;$R$2,"",C3983/INDEX(Clean_Data!$C$2:$C$4314,MATCH(A3983-7,Clean_Data!$A$2:$A$4314,1))-1)</f>
        <v>0.0682786602566874</v>
      </c>
      <c r="O3983" s="25" t="n">
        <f aca="false">IF(A3983-30&lt;$R$2,"",C3983/INDEX(Clean_Data!$C$2:$C$4314,MATCH(A3983-30,Clean_Data!$A$2:$A$4314,1))-1)</f>
        <v>-0.169855087756162</v>
      </c>
    </row>
    <row r="3984" customFormat="false" ht="15" hidden="false" customHeight="false" outlineLevel="0" collapsed="false">
      <c r="A3984" s="16" t="n">
        <v>45991</v>
      </c>
      <c r="B3984" s="23" t="n">
        <f aca="false">YEAR(A3984)</f>
        <v>2025</v>
      </c>
      <c r="C3984" s="17" t="n">
        <v>87446.89</v>
      </c>
      <c r="D3984" s="23" t="n">
        <f aca="false">A3984-A3983</f>
        <v>1</v>
      </c>
      <c r="E3984" s="24" t="n">
        <f aca="false">LN(C3984)</f>
        <v>11.3787869166354</v>
      </c>
      <c r="F3984" s="25" t="n">
        <f aca="false">LN(C3984/C3983)</f>
        <v>-0.0392425327526566</v>
      </c>
      <c r="G3984" s="25" t="n">
        <f aca="false">IF(AND(D3984=1,A3984&gt;=$R$2),F3984,"")</f>
        <v>-0.0392425327526566</v>
      </c>
      <c r="H3984" s="27" t="n">
        <f aca="false">IF(G3984="","",G3984^2)</f>
        <v>0.00153997637684333</v>
      </c>
      <c r="I3984" s="25" t="n">
        <f aca="false">IF(G3984="","",C3984/C3983-1)</f>
        <v>-0.0384825186166631</v>
      </c>
      <c r="J3984" s="17" t="n">
        <f aca="false">AVERAGE(C3785:C3984)</f>
        <v>109701.06505</v>
      </c>
      <c r="K3984" s="17" t="n">
        <f aca="false">MAX(K3983,C3984)</f>
        <v>124720.09</v>
      </c>
      <c r="L3984" s="25" t="n">
        <f aca="false">C3984/K3984-1</f>
        <v>-0.29885481962048</v>
      </c>
      <c r="M3984" s="25" t="n">
        <f aca="false">IF(COUNT(G3955:G3984)&lt;20,"",_xlfn.STDEV.S(G3955:G3984)*SQRT($R$3))</f>
        <v>0.473358529867565</v>
      </c>
      <c r="N3984" s="25" t="n">
        <f aca="false">IF(A3984-7&lt;$R$2,"",C3984/INDEX(Clean_Data!$C$2:$C$4314,MATCH(A3984-7,Clean_Data!$A$2:$A$4314,1))-1)</f>
        <v>0.0109554707121737</v>
      </c>
      <c r="O3984" s="25" t="n">
        <f aca="false">IF(A3984-30&lt;$R$2,"",C3984/INDEX(Clean_Data!$C$2:$C$4314,MATCH(A3984-30,Clean_Data!$A$2:$A$4314,1))-1)</f>
        <v>-0.205405705017389</v>
      </c>
    </row>
    <row r="3985" customFormat="false" ht="15" hidden="false" customHeight="false" outlineLevel="0" collapsed="false">
      <c r="A3985" s="16" t="n">
        <v>45992</v>
      </c>
      <c r="B3985" s="23" t="n">
        <f aca="false">YEAR(A3985)</f>
        <v>2025</v>
      </c>
      <c r="C3985" s="17" t="n">
        <v>86628.25</v>
      </c>
      <c r="D3985" s="23" t="n">
        <f aca="false">A3985-A3984</f>
        <v>1</v>
      </c>
      <c r="E3985" s="24" t="n">
        <f aca="false">LN(C3985)</f>
        <v>11.3693812538259</v>
      </c>
      <c r="F3985" s="25" t="n">
        <f aca="false">LN(C3985/C3984)</f>
        <v>-0.00940566280946548</v>
      </c>
      <c r="G3985" s="25" t="n">
        <f aca="false">IF(AND(D3985=1,A3985&gt;=$R$2),F3985,"")</f>
        <v>-0.00940566280946548</v>
      </c>
      <c r="H3985" s="27" t="n">
        <f aca="false">IF(G3985="","",G3985^2)</f>
        <v>8.84664928853621E-005</v>
      </c>
      <c r="I3985" s="25" t="n">
        <f aca="false">IF(G3985="","",C3985/C3984-1)</f>
        <v>-0.00936156791853893</v>
      </c>
      <c r="J3985" s="17" t="n">
        <f aca="false">AVERAGE(C3786:C3985)</f>
        <v>109616.70615</v>
      </c>
      <c r="K3985" s="17" t="n">
        <f aca="false">MAX(K3984,C3985)</f>
        <v>124720.09</v>
      </c>
      <c r="L3985" s="25" t="n">
        <f aca="false">C3985/K3985-1</f>
        <v>-0.305418637847359</v>
      </c>
      <c r="M3985" s="25" t="n">
        <f aca="false">IF(COUNT(G3956:G3985)&lt;20,"",_xlfn.STDEV.S(G3956:G3985)*SQRT($R$3))</f>
        <v>0.471379947363815</v>
      </c>
      <c r="N3985" s="25" t="n">
        <f aca="false">IF(A3985-7&lt;$R$2,"",C3985/INDEX(Clean_Data!$C$2:$C$4314,MATCH(A3985-7,Clean_Data!$A$2:$A$4314,1))-1)</f>
        <v>-0.0153768217544854</v>
      </c>
      <c r="O3985" s="25" t="n">
        <f aca="false">IF(A3985-30&lt;$R$2,"",C3985/INDEX(Clean_Data!$C$2:$C$4314,MATCH(A3985-30,Clean_Data!$A$2:$A$4314,1))-1)</f>
        <v>-0.216289334127403</v>
      </c>
    </row>
    <row r="3986" customFormat="false" ht="15" hidden="false" customHeight="false" outlineLevel="0" collapsed="false">
      <c r="A3986" s="16" t="n">
        <v>45993</v>
      </c>
      <c r="B3986" s="23" t="n">
        <f aca="false">YEAR(A3986)</f>
        <v>2025</v>
      </c>
      <c r="C3986" s="17" t="n">
        <v>91532.75</v>
      </c>
      <c r="D3986" s="23" t="n">
        <f aca="false">A3986-A3985</f>
        <v>1</v>
      </c>
      <c r="E3986" s="24" t="n">
        <f aca="false">LN(C3986)</f>
        <v>11.4244521107215</v>
      </c>
      <c r="F3986" s="25" t="n">
        <f aca="false">LN(C3986/C3985)</f>
        <v>0.0550708568956074</v>
      </c>
      <c r="G3986" s="25" t="n">
        <f aca="false">IF(AND(D3986=1,A3986&gt;=$R$2),F3986,"")</f>
        <v>0.0550708568956074</v>
      </c>
      <c r="H3986" s="27" t="n">
        <f aca="false">IF(G3986="","",G3986^2)</f>
        <v>0.00303279927921647</v>
      </c>
      <c r="I3986" s="25" t="n">
        <f aca="false">IF(G3986="","",C3986/C3985-1)</f>
        <v>0.0566154805158825</v>
      </c>
      <c r="J3986" s="17" t="n">
        <f aca="false">AVERAGE(C3787:C3986)</f>
        <v>109558.56455</v>
      </c>
      <c r="K3986" s="17" t="n">
        <f aca="false">MAX(K3985,C3986)</f>
        <v>124720.09</v>
      </c>
      <c r="L3986" s="25" t="n">
        <f aca="false">C3986/K3986-1</f>
        <v>-0.266094580271711</v>
      </c>
      <c r="M3986" s="25" t="n">
        <f aca="false">IF(COUNT(G3957:G3986)&lt;20,"",_xlfn.STDEV.S(G3957:G3986)*SQRT($R$3))</f>
        <v>0.508615668210621</v>
      </c>
      <c r="N3986" s="25" t="n">
        <f aca="false">IF(A3986-7&lt;$R$2,"",C3986/INDEX(Clean_Data!$C$2:$C$4314,MATCH(A3986-7,Clean_Data!$A$2:$A$4314,1))-1)</f>
        <v>0.0476915994438119</v>
      </c>
      <c r="O3986" s="25" t="n">
        <f aca="false">IF(A3986-30&lt;$R$2,"",C3986/INDEX(Clean_Data!$C$2:$C$4314,MATCH(A3986-30,Clean_Data!$A$2:$A$4314,1))-1)</f>
        <v>-0.141005206742846</v>
      </c>
    </row>
    <row r="3987" customFormat="false" ht="15" hidden="false" customHeight="false" outlineLevel="0" collapsed="false">
      <c r="A3987" s="16" t="n">
        <v>45994</v>
      </c>
      <c r="B3987" s="23" t="n">
        <f aca="false">YEAR(A3987)</f>
        <v>2025</v>
      </c>
      <c r="C3987" s="17" t="n">
        <v>93150.03</v>
      </c>
      <c r="D3987" s="23" t="n">
        <f aca="false">A3987-A3986</f>
        <v>1</v>
      </c>
      <c r="E3987" s="24" t="n">
        <f aca="false">LN(C3987)</f>
        <v>11.4419666980909</v>
      </c>
      <c r="F3987" s="25" t="n">
        <f aca="false">LN(C3987/C3986)</f>
        <v>0.0175145873693285</v>
      </c>
      <c r="G3987" s="25" t="n">
        <f aca="false">IF(AND(D3987=1,A3987&gt;=$R$2),F3987,"")</f>
        <v>0.0175145873693285</v>
      </c>
      <c r="H3987" s="27" t="n">
        <f aca="false">IF(G3987="","",G3987^2)</f>
        <v>0.000306760770717842</v>
      </c>
      <c r="I3987" s="25" t="n">
        <f aca="false">IF(G3987="","",C3987/C3986-1)</f>
        <v>0.0176688671541061</v>
      </c>
      <c r="J3987" s="17" t="n">
        <f aca="false">AVERAGE(C3788:C3987)</f>
        <v>109491.9474</v>
      </c>
      <c r="K3987" s="17" t="n">
        <f aca="false">MAX(K3986,C3987)</f>
        <v>124720.09</v>
      </c>
      <c r="L3987" s="25" t="n">
        <f aca="false">C3987/K3987-1</f>
        <v>-0.253127302906853</v>
      </c>
      <c r="M3987" s="25" t="n">
        <f aca="false">IF(COUNT(G3958:G3987)&lt;20,"",_xlfn.STDEV.S(G3958:G3987)*SQRT($R$3))</f>
        <v>0.488899561478822</v>
      </c>
      <c r="N3987" s="25" t="n">
        <f aca="false">IF(A3987-7&lt;$R$2,"",C3987/INDEX(Clean_Data!$C$2:$C$4314,MATCH(A3987-7,Clean_Data!$A$2:$A$4314,1))-1)</f>
        <v>0.027742983353217</v>
      </c>
      <c r="O3987" s="25" t="n">
        <f aca="false">IF(A3987-30&lt;$R$2,"",C3987/INDEX(Clean_Data!$C$2:$C$4314,MATCH(A3987-30,Clean_Data!$A$2:$A$4314,1))-1)</f>
        <v>-0.0819776452019673</v>
      </c>
    </row>
    <row r="3988" customFormat="false" ht="15" hidden="false" customHeight="false" outlineLevel="0" collapsed="false">
      <c r="A3988" s="16" t="n">
        <v>45995</v>
      </c>
      <c r="B3988" s="23" t="n">
        <f aca="false">YEAR(A3988)</f>
        <v>2025</v>
      </c>
      <c r="C3988" s="17" t="n">
        <v>92353.31</v>
      </c>
      <c r="D3988" s="23" t="n">
        <f aca="false">A3988-A3987</f>
        <v>1</v>
      </c>
      <c r="E3988" s="24" t="n">
        <f aca="false">LN(C3988)</f>
        <v>11.4333768268909</v>
      </c>
      <c r="F3988" s="25" t="n">
        <f aca="false">LN(C3988/C3987)</f>
        <v>-0.00858987120000081</v>
      </c>
      <c r="G3988" s="25" t="n">
        <f aca="false">IF(AND(D3988=1,A3988&gt;=$R$2),F3988,"")</f>
        <v>-0.00858987120000081</v>
      </c>
      <c r="H3988" s="27" t="n">
        <f aca="false">IF(G3988="","",G3988^2)</f>
        <v>7.37858872326034E-005</v>
      </c>
      <c r="I3988" s="25" t="n">
        <f aca="false">IF(G3988="","",C3988/C3987-1)</f>
        <v>-0.00855308366513674</v>
      </c>
      <c r="J3988" s="17" t="n">
        <f aca="false">AVERAGE(C3789:C3988)</f>
        <v>109425.63305</v>
      </c>
      <c r="K3988" s="17" t="n">
        <f aca="false">MAX(K3987,C3988)</f>
        <v>124720.09</v>
      </c>
      <c r="L3988" s="25" t="n">
        <f aca="false">C3988/K3988-1</f>
        <v>-0.259515367572297</v>
      </c>
      <c r="M3988" s="25" t="n">
        <f aca="false">IF(COUNT(G3959:G3988)&lt;20,"",_xlfn.STDEV.S(G3959:G3988)*SQRT($R$3))</f>
        <v>0.488320151902184</v>
      </c>
      <c r="N3988" s="25" t="n">
        <f aca="false">IF(A3988-7&lt;$R$2,"",C3988/INDEX(Clean_Data!$C$2:$C$4314,MATCH(A3988-7,Clean_Data!$A$2:$A$4314,1))-1)</f>
        <v>0.01382429139131</v>
      </c>
      <c r="O3988" s="25" t="n">
        <f aca="false">IF(A3988-30&lt;$R$2,"",C3988/INDEX(Clean_Data!$C$2:$C$4314,MATCH(A3988-30,Clean_Data!$A$2:$A$4314,1))-1)</f>
        <v>-0.0791543879188589</v>
      </c>
    </row>
    <row r="3989" customFormat="false" ht="15" hidden="false" customHeight="false" outlineLevel="0" collapsed="false">
      <c r="A3989" s="16" t="n">
        <v>45996</v>
      </c>
      <c r="B3989" s="23" t="n">
        <f aca="false">YEAR(A3989)</f>
        <v>2025</v>
      </c>
      <c r="C3989" s="17" t="n">
        <v>89347.18</v>
      </c>
      <c r="D3989" s="23" t="n">
        <f aca="false">A3989-A3988</f>
        <v>1</v>
      </c>
      <c r="E3989" s="24" t="n">
        <f aca="false">LN(C3989)</f>
        <v>11.4002849588136</v>
      </c>
      <c r="F3989" s="25" t="n">
        <f aca="false">LN(C3989/C3988)</f>
        <v>-0.0330918680772483</v>
      </c>
      <c r="G3989" s="25" t="n">
        <f aca="false">IF(AND(D3989=1,A3989&gt;=$R$2),F3989,"")</f>
        <v>-0.0330918680772483</v>
      </c>
      <c r="H3989" s="27" t="n">
        <f aca="false">IF(G3989="","",G3989^2)</f>
        <v>0.00109507173284201</v>
      </c>
      <c r="I3989" s="25" t="n">
        <f aca="false">IF(G3989="","",C3989/C3988-1)</f>
        <v>-0.0325503222353374</v>
      </c>
      <c r="J3989" s="17" t="n">
        <f aca="false">AVERAGE(C3790:C3989)</f>
        <v>109337.95275</v>
      </c>
      <c r="K3989" s="17" t="n">
        <f aca="false">MAX(K3988,C3989)</f>
        <v>124720.09</v>
      </c>
      <c r="L3989" s="25" t="n">
        <f aca="false">C3989/K3989-1</f>
        <v>-0.283618380968134</v>
      </c>
      <c r="M3989" s="25" t="n">
        <f aca="false">IF(COUNT(G3960:G3989)&lt;20,"",_xlfn.STDEV.S(G3960:G3989)*SQRT($R$3))</f>
        <v>0.483518010264635</v>
      </c>
      <c r="N3989" s="25" t="n">
        <f aca="false">IF(A3989-7&lt;$R$2,"",C3989/INDEX(Clean_Data!$C$2:$C$4314,MATCH(A3989-7,Clean_Data!$A$2:$A$4314,1))-1)</f>
        <v>-0.0172965662697381</v>
      </c>
      <c r="O3989" s="25" t="n">
        <f aca="false">IF(A3989-30&lt;$R$2,"",C3989/INDEX(Clean_Data!$C$2:$C$4314,MATCH(A3989-30,Clean_Data!$A$2:$A$4314,1))-1)</f>
        <v>-0.136508620689655</v>
      </c>
    </row>
    <row r="3990" customFormat="false" ht="15" hidden="false" customHeight="false" outlineLevel="0" collapsed="false">
      <c r="A3990" s="16" t="n">
        <v>45997</v>
      </c>
      <c r="B3990" s="23" t="n">
        <f aca="false">YEAR(A3990)</f>
        <v>2025</v>
      </c>
      <c r="C3990" s="17" t="n">
        <v>89480.46</v>
      </c>
      <c r="D3990" s="23" t="n">
        <f aca="false">A3990-A3989</f>
        <v>1</v>
      </c>
      <c r="E3990" s="24" t="n">
        <f aca="false">LN(C3990)</f>
        <v>11.4017755564044</v>
      </c>
      <c r="F3990" s="25" t="n">
        <f aca="false">LN(C3990/C3989)</f>
        <v>0.00149059759081666</v>
      </c>
      <c r="G3990" s="25" t="n">
        <f aca="false">IF(AND(D3990=1,A3990&gt;=$R$2),F3990,"")</f>
        <v>0.00149059759081666</v>
      </c>
      <c r="H3990" s="27" t="n">
        <f aca="false">IF(G3990="","",G3990^2)</f>
        <v>2.22188117774842E-006</v>
      </c>
      <c r="I3990" s="25" t="n">
        <f aca="false">IF(G3990="","",C3990/C3989-1)</f>
        <v>0.00149170908359975</v>
      </c>
      <c r="J3990" s="17" t="n">
        <f aca="false">AVERAGE(C3791:C3990)</f>
        <v>109236.85735</v>
      </c>
      <c r="K3990" s="17" t="n">
        <f aca="false">MAX(K3989,C3990)</f>
        <v>124720.09</v>
      </c>
      <c r="L3990" s="25" t="n">
        <f aca="false">C3990/K3990-1</f>
        <v>-0.282549747999701</v>
      </c>
      <c r="M3990" s="25" t="n">
        <f aca="false">IF(COUNT(G3961:G3990)&lt;20,"",_xlfn.STDEV.S(G3961:G3990)*SQRT($R$3))</f>
        <v>0.480970556743877</v>
      </c>
      <c r="N3990" s="25" t="n">
        <f aca="false">IF(A3990-7&lt;$R$2,"",C3990/INDEX(Clean_Data!$C$2:$C$4314,MATCH(A3990-7,Clean_Data!$A$2:$A$4314,1))-1)</f>
        <v>-0.0161225112497148</v>
      </c>
      <c r="O3990" s="25" t="n">
        <f aca="false">IF(A3990-30&lt;$R$2,"",C3990/INDEX(Clean_Data!$C$2:$C$4314,MATCH(A3990-30,Clean_Data!$A$2:$A$4314,1))-1)</f>
        <v>-0.117966625834554</v>
      </c>
    </row>
    <row r="3991" customFormat="false" ht="15" hidden="false" customHeight="false" outlineLevel="0" collapsed="false">
      <c r="A3991" s="16" t="n">
        <v>45998</v>
      </c>
      <c r="B3991" s="23" t="n">
        <f aca="false">YEAR(A3991)</f>
        <v>2025</v>
      </c>
      <c r="C3991" s="17" t="n">
        <v>90435.42</v>
      </c>
      <c r="D3991" s="23" t="n">
        <f aca="false">A3991-A3990</f>
        <v>1</v>
      </c>
      <c r="E3991" s="24" t="n">
        <f aca="false">LN(C3991)</f>
        <v>11.4123912838004</v>
      </c>
      <c r="F3991" s="25" t="n">
        <f aca="false">LN(C3991/C3990)</f>
        <v>0.0106157273959949</v>
      </c>
      <c r="G3991" s="25" t="n">
        <f aca="false">IF(AND(D3991=1,A3991&gt;=$R$2),F3991,"")</f>
        <v>0.0106157273959949</v>
      </c>
      <c r="H3991" s="27" t="n">
        <f aca="false">IF(G3991="","",G3991^2)</f>
        <v>0.000112693668146076</v>
      </c>
      <c r="I3991" s="25" t="n">
        <f aca="false">IF(G3991="","",C3991/C3990-1)</f>
        <v>0.0106722741478977</v>
      </c>
      <c r="J3991" s="17" t="n">
        <f aca="false">AVERAGE(C3792:C3991)</f>
        <v>109130.4218</v>
      </c>
      <c r="K3991" s="17" t="n">
        <f aca="false">MAX(K3990,C3991)</f>
        <v>124720.09</v>
      </c>
      <c r="L3991" s="25" t="n">
        <f aca="false">C3991/K3991-1</f>
        <v>-0.274892922222875</v>
      </c>
      <c r="M3991" s="25" t="n">
        <f aca="false">IF(COUNT(G3962:G3991)&lt;20,"",_xlfn.STDEV.S(G3962:G3991)*SQRT($R$3))</f>
        <v>0.479484263659896</v>
      </c>
      <c r="N3991" s="25" t="n">
        <f aca="false">IF(A3991-7&lt;$R$2,"",C3991/INDEX(Clean_Data!$C$2:$C$4314,MATCH(A3991-7,Clean_Data!$A$2:$A$4314,1))-1)</f>
        <v>0.0341753720458211</v>
      </c>
      <c r="O3991" s="25" t="n">
        <f aca="false">IF(A3991-30&lt;$R$2,"",C3991/INDEX(Clean_Data!$C$2:$C$4314,MATCH(A3991-30,Clean_Data!$A$2:$A$4314,1))-1)</f>
        <v>-0.120980461625267</v>
      </c>
    </row>
    <row r="3992" customFormat="false" ht="15" hidden="false" customHeight="false" outlineLevel="0" collapsed="false">
      <c r="A3992" s="16" t="n">
        <v>45999</v>
      </c>
      <c r="B3992" s="23" t="n">
        <f aca="false">YEAR(A3992)</f>
        <v>2025</v>
      </c>
      <c r="C3992" s="17" t="n">
        <v>90338.37</v>
      </c>
      <c r="D3992" s="23" t="n">
        <f aca="false">A3992-A3991</f>
        <v>1</v>
      </c>
      <c r="E3992" s="24" t="n">
        <f aca="false">LN(C3992)</f>
        <v>11.411317566097</v>
      </c>
      <c r="F3992" s="25" t="n">
        <f aca="false">LN(C3992/C3991)</f>
        <v>-0.00107371770347723</v>
      </c>
      <c r="G3992" s="25" t="n">
        <f aca="false">IF(AND(D3992=1,A3992&gt;=$R$2),F3992,"")</f>
        <v>-0.00107371770347723</v>
      </c>
      <c r="H3992" s="27" t="n">
        <f aca="false">IF(G3992="","",G3992^2)</f>
        <v>1.15286970676041E-006</v>
      </c>
      <c r="I3992" s="25" t="n">
        <f aca="false">IF(G3992="","",C3992/C3991-1)</f>
        <v>-0.00107314147487791</v>
      </c>
      <c r="J3992" s="17" t="n">
        <f aca="false">AVERAGE(C3793:C3992)</f>
        <v>109045.4656</v>
      </c>
      <c r="K3992" s="17" t="n">
        <f aca="false">MAX(K3991,C3992)</f>
        <v>124720.09</v>
      </c>
      <c r="L3992" s="25" t="n">
        <f aca="false">C3992/K3992-1</f>
        <v>-0.275671064701765</v>
      </c>
      <c r="M3992" s="25" t="n">
        <f aca="false">IF(COUNT(G3963:G3992)&lt;20,"",_xlfn.STDEV.S(G3963:G3992)*SQRT($R$3))</f>
        <v>0.479127571137948</v>
      </c>
      <c r="N3992" s="25" t="n">
        <f aca="false">IF(A3992-7&lt;$R$2,"",C3992/INDEX(Clean_Data!$C$2:$C$4314,MATCH(A3992-7,Clean_Data!$A$2:$A$4314,1))-1)</f>
        <v>0.0428280612848579</v>
      </c>
      <c r="O3992" s="25" t="n">
        <f aca="false">IF(A3992-30&lt;$R$2,"",C3992/INDEX(Clean_Data!$C$2:$C$4314,MATCH(A3992-30,Clean_Data!$A$2:$A$4314,1))-1)</f>
        <v>-0.11292456099333</v>
      </c>
    </row>
    <row r="3993" customFormat="false" ht="15" hidden="false" customHeight="false" outlineLevel="0" collapsed="false">
      <c r="A3993" s="16" t="n">
        <v>46000</v>
      </c>
      <c r="B3993" s="23" t="n">
        <f aca="false">YEAR(A3993)</f>
        <v>2025</v>
      </c>
      <c r="C3993" s="17" t="n">
        <v>92243.57</v>
      </c>
      <c r="D3993" s="23" t="n">
        <f aca="false">A3993-A3992</f>
        <v>1</v>
      </c>
      <c r="E3993" s="24" t="n">
        <f aca="false">LN(C3993)</f>
        <v>11.4321878575765</v>
      </c>
      <c r="F3993" s="25" t="n">
        <f aca="false">LN(C3993/C3992)</f>
        <v>0.0208702914795052</v>
      </c>
      <c r="G3993" s="25" t="n">
        <f aca="false">IF(AND(D3993=1,A3993&gt;=$R$2),F3993,"")</f>
        <v>0.0208702914795052</v>
      </c>
      <c r="H3993" s="27" t="n">
        <f aca="false">IF(G3993="","",G3993^2)</f>
        <v>0.000435569066439509</v>
      </c>
      <c r="I3993" s="25" t="n">
        <f aca="false">IF(G3993="","",C3993/C3992-1)</f>
        <v>0.0210895990264159</v>
      </c>
      <c r="J3993" s="17" t="n">
        <f aca="false">AVERAGE(C3794:C3993)</f>
        <v>108967.7134</v>
      </c>
      <c r="K3993" s="17" t="n">
        <f aca="false">MAX(K3992,C3993)</f>
        <v>124720.09</v>
      </c>
      <c r="L3993" s="25" t="n">
        <f aca="false">C3993/K3993-1</f>
        <v>-0.260395257893095</v>
      </c>
      <c r="M3993" s="25" t="n">
        <f aca="false">IF(COUNT(G3964:G3993)&lt;20,"",_xlfn.STDEV.S(G3964:G3993)*SQRT($R$3))</f>
        <v>0.455227804188468</v>
      </c>
      <c r="N3993" s="25" t="n">
        <f aca="false">IF(A3993-7&lt;$R$2,"",C3993/INDEX(Clean_Data!$C$2:$C$4314,MATCH(A3993-7,Clean_Data!$A$2:$A$4314,1))-1)</f>
        <v>0.00776574504753769</v>
      </c>
      <c r="O3993" s="25" t="n">
        <f aca="false">IF(A3993-30&lt;$R$2,"",C3993/INDEX(Clean_Data!$C$2:$C$4314,MATCH(A3993-30,Clean_Data!$A$2:$A$4314,1))-1)</f>
        <v>-0.133834645630105</v>
      </c>
    </row>
    <row r="3994" customFormat="false" ht="15" hidden="false" customHeight="false" outlineLevel="0" collapsed="false">
      <c r="A3994" s="16" t="n">
        <v>46001</v>
      </c>
      <c r="B3994" s="23" t="n">
        <f aca="false">YEAR(A3994)</f>
        <v>2025</v>
      </c>
      <c r="C3994" s="17" t="n">
        <v>91194.97</v>
      </c>
      <c r="D3994" s="23" t="n">
        <f aca="false">A3994-A3993</f>
        <v>1</v>
      </c>
      <c r="E3994" s="24" t="n">
        <f aca="false">LN(C3994)</f>
        <v>11.4207550210326</v>
      </c>
      <c r="F3994" s="25" t="n">
        <f aca="false">LN(C3994/C3993)</f>
        <v>-0.0114328365438245</v>
      </c>
      <c r="G3994" s="25" t="n">
        <f aca="false">IF(AND(D3994=1,A3994&gt;=$R$2),F3994,"")</f>
        <v>-0.0114328365438245</v>
      </c>
      <c r="H3994" s="27" t="n">
        <f aca="false">IF(G3994="","",G3994^2)</f>
        <v>0.000130709751437809</v>
      </c>
      <c r="I3994" s="25" t="n">
        <f aca="false">IF(G3994="","",C3994/C3993-1)</f>
        <v>-0.0113677300217241</v>
      </c>
      <c r="J3994" s="17" t="n">
        <f aca="false">AVERAGE(C3795:C3994)</f>
        <v>108878.44485</v>
      </c>
      <c r="K3994" s="17" t="n">
        <f aca="false">MAX(K3993,C3994)</f>
        <v>124720.09</v>
      </c>
      <c r="L3994" s="25" t="n">
        <f aca="false">C3994/K3994-1</f>
        <v>-0.268802884924153</v>
      </c>
      <c r="M3994" s="25" t="n">
        <f aca="false">IF(COUNT(G3965:G3994)&lt;20,"",_xlfn.STDEV.S(G3965:G3994)*SQRT($R$3))</f>
        <v>0.455803607106251</v>
      </c>
      <c r="N3994" s="25" t="n">
        <f aca="false">IF(A3994-7&lt;$R$2,"",C3994/INDEX(Clean_Data!$C$2:$C$4314,MATCH(A3994-7,Clean_Data!$A$2:$A$4314,1))-1)</f>
        <v>-0.0209882916838566</v>
      </c>
      <c r="O3994" s="25" t="n">
        <f aca="false">IF(A3994-30&lt;$R$2,"",C3994/INDEX(Clean_Data!$C$2:$C$4314,MATCH(A3994-30,Clean_Data!$A$2:$A$4314,1))-1)</f>
        <v>-0.140246048378346</v>
      </c>
    </row>
    <row r="3995" customFormat="false" ht="15" hidden="false" customHeight="false" outlineLevel="0" collapsed="false">
      <c r="A3995" s="16" t="n">
        <v>46002</v>
      </c>
      <c r="B3995" s="23" t="n">
        <f aca="false">YEAR(A3995)</f>
        <v>2025</v>
      </c>
      <c r="C3995" s="17" t="n">
        <v>91784.59</v>
      </c>
      <c r="D3995" s="23" t="n">
        <f aca="false">A3995-A3994</f>
        <v>1</v>
      </c>
      <c r="E3995" s="24" t="n">
        <f aca="false">LN(C3995)</f>
        <v>11.4271996975939</v>
      </c>
      <c r="F3995" s="25" t="n">
        <f aca="false">LN(C3995/C3994)</f>
        <v>0.00644467656130107</v>
      </c>
      <c r="G3995" s="25" t="n">
        <f aca="false">IF(AND(D3995=1,A3995&gt;=$R$2),F3995,"")</f>
        <v>0.00644467656130107</v>
      </c>
      <c r="H3995" s="27" t="n">
        <f aca="false">IF(G3995="","",G3995^2)</f>
        <v>4.15338559797834E-005</v>
      </c>
      <c r="I3995" s="25" t="n">
        <f aca="false">IF(G3995="","",C3995/C3994-1)</f>
        <v>0.00646548817330594</v>
      </c>
      <c r="J3995" s="17" t="n">
        <f aca="false">AVERAGE(C3796:C3995)</f>
        <v>108790.0462</v>
      </c>
      <c r="K3995" s="17" t="n">
        <f aca="false">MAX(K3994,C3995)</f>
        <v>124720.09</v>
      </c>
      <c r="L3995" s="25" t="n">
        <f aca="false">C3995/K3995-1</f>
        <v>-0.264075338624275</v>
      </c>
      <c r="M3995" s="25" t="n">
        <f aca="false">IF(COUNT(G3966:G3995)&lt;20,"",_xlfn.STDEV.S(G3966:G3995)*SQRT($R$3))</f>
        <v>0.446851947429905</v>
      </c>
      <c r="N3995" s="25" t="n">
        <f aca="false">IF(A3995-7&lt;$R$2,"",C3995/INDEX(Clean_Data!$C$2:$C$4314,MATCH(A3995-7,Clean_Data!$A$2:$A$4314,1))-1)</f>
        <v>-0.00615809005654477</v>
      </c>
      <c r="O3995" s="25" t="n">
        <f aca="false">IF(A3995-30&lt;$R$2,"",C3995/INDEX(Clean_Data!$C$2:$C$4314,MATCH(A3995-30,Clean_Data!$A$2:$A$4314,1))-1)</f>
        <v>-0.106588285016596</v>
      </c>
    </row>
    <row r="3996" customFormat="false" ht="15" hidden="false" customHeight="false" outlineLevel="0" collapsed="false">
      <c r="A3996" s="16" t="n">
        <v>46003</v>
      </c>
      <c r="B3996" s="23" t="n">
        <f aca="false">YEAR(A3996)</f>
        <v>2025</v>
      </c>
      <c r="C3996" s="17" t="n">
        <v>90350</v>
      </c>
      <c r="D3996" s="23" t="n">
        <f aca="false">A3996-A3995</f>
        <v>1</v>
      </c>
      <c r="E3996" s="24" t="n">
        <f aca="false">LN(C3996)</f>
        <v>11.4114462960204</v>
      </c>
      <c r="F3996" s="25" t="n">
        <f aca="false">LN(C3996/C3995)</f>
        <v>-0.0157534015735667</v>
      </c>
      <c r="G3996" s="25" t="n">
        <f aca="false">IF(AND(D3996=1,A3996&gt;=$R$2),F3996,"")</f>
        <v>-0.0157534015735667</v>
      </c>
      <c r="H3996" s="27" t="n">
        <f aca="false">IF(G3996="","",G3996^2)</f>
        <v>0.000248169661138054</v>
      </c>
      <c r="I3996" s="25" t="n">
        <f aca="false">IF(G3996="","",C3996/C3995-1)</f>
        <v>-0.0156299657709426</v>
      </c>
      <c r="J3996" s="17" t="n">
        <f aca="false">AVERAGE(C3797:C3996)</f>
        <v>108696.9039</v>
      </c>
      <c r="K3996" s="17" t="n">
        <f aca="false">MAX(K3995,C3996)</f>
        <v>124720.09</v>
      </c>
      <c r="L3996" s="25" t="n">
        <f aca="false">C3996/K3996-1</f>
        <v>-0.27557781589157</v>
      </c>
      <c r="M3996" s="25" t="n">
        <f aca="false">IF(COUNT(G3967:G3996)&lt;20,"",_xlfn.STDEV.S(G3967:G3996)*SQRT($R$3))</f>
        <v>0.448624317804051</v>
      </c>
      <c r="N3996" s="25" t="n">
        <f aca="false">IF(A3996-7&lt;$R$2,"",C3996/INDEX(Clean_Data!$C$2:$C$4314,MATCH(A3996-7,Clean_Data!$A$2:$A$4314,1))-1)</f>
        <v>0.0112238573170413</v>
      </c>
      <c r="O3996" s="25" t="n">
        <f aca="false">IF(A3996-30&lt;$R$2,"",C3996/INDEX(Clean_Data!$C$2:$C$4314,MATCH(A3996-30,Clean_Data!$A$2:$A$4314,1))-1)</f>
        <v>-0.113741624931924</v>
      </c>
    </row>
    <row r="3997" customFormat="false" ht="15" hidden="false" customHeight="false" outlineLevel="0" collapsed="false">
      <c r="A3997" s="16" t="n">
        <v>46004</v>
      </c>
      <c r="B3997" s="23" t="n">
        <f aca="false">YEAR(A3997)</f>
        <v>2025</v>
      </c>
      <c r="C3997" s="17" t="n">
        <v>90326.01</v>
      </c>
      <c r="D3997" s="23" t="n">
        <f aca="false">A3997-A3996</f>
        <v>1</v>
      </c>
      <c r="E3997" s="24" t="n">
        <f aca="false">LN(C3997)</f>
        <v>11.4111807377967</v>
      </c>
      <c r="F3997" s="25" t="n">
        <f aca="false">LN(C3997/C3996)</f>
        <v>-0.000265558223706543</v>
      </c>
      <c r="G3997" s="25" t="n">
        <f aca="false">IF(AND(D3997=1,A3997&gt;=$R$2),F3997,"")</f>
        <v>-0.000265558223706543</v>
      </c>
      <c r="H3997" s="27" t="n">
        <f aca="false">IF(G3997="","",G3997^2)</f>
        <v>7.05211701781744E-008</v>
      </c>
      <c r="I3997" s="25" t="n">
        <f aca="false">IF(G3997="","",C3997/C3996-1)</f>
        <v>-0.000265522966242493</v>
      </c>
      <c r="J3997" s="17" t="n">
        <f aca="false">AVERAGE(C3798:C3997)</f>
        <v>108609.4375</v>
      </c>
      <c r="K3997" s="17" t="n">
        <f aca="false">MAX(K3996,C3997)</f>
        <v>124720.09</v>
      </c>
      <c r="L3997" s="25" t="n">
        <f aca="false">C3997/K3997-1</f>
        <v>-0.275770166618706</v>
      </c>
      <c r="M3997" s="25" t="n">
        <f aca="false">IF(COUNT(G3968:G3997)&lt;20,"",_xlfn.STDEV.S(G3968:G3997)*SQRT($R$3))</f>
        <v>0.43863273215158</v>
      </c>
      <c r="N3997" s="25" t="n">
        <f aca="false">IF(A3997-7&lt;$R$2,"",C3997/INDEX(Clean_Data!$C$2:$C$4314,MATCH(A3997-7,Clean_Data!$A$2:$A$4314,1))-1)</f>
        <v>0.00944954909708762</v>
      </c>
      <c r="O3997" s="25" t="n">
        <f aca="false">IF(A3997-30&lt;$R$2,"",C3997/INDEX(Clean_Data!$C$2:$C$4314,MATCH(A3997-30,Clean_Data!$A$2:$A$4314,1))-1)</f>
        <v>-0.0867525343913573</v>
      </c>
    </row>
    <row r="3998" customFormat="false" ht="15" hidden="false" customHeight="false" outlineLevel="0" collapsed="false">
      <c r="A3998" s="16" t="n">
        <v>46005</v>
      </c>
      <c r="B3998" s="23" t="n">
        <f aca="false">YEAR(A3998)</f>
        <v>2025</v>
      </c>
      <c r="C3998" s="17" t="n">
        <v>88460.01</v>
      </c>
      <c r="D3998" s="23" t="n">
        <f aca="false">A3998-A3997</f>
        <v>1</v>
      </c>
      <c r="E3998" s="24" t="n">
        <f aca="false">LN(C3998)</f>
        <v>11.3903058644678</v>
      </c>
      <c r="F3998" s="25" t="n">
        <f aca="false">LN(C3998/C3997)</f>
        <v>-0.0208748733289125</v>
      </c>
      <c r="G3998" s="25" t="n">
        <f aca="false">IF(AND(D3998=1,A3998&gt;=$R$2),F3998,"")</f>
        <v>-0.0208748733289125</v>
      </c>
      <c r="H3998" s="27" t="n">
        <f aca="false">IF(G3998="","",G3998^2)</f>
        <v>0.000435760336498142</v>
      </c>
      <c r="I3998" s="25" t="n">
        <f aca="false">IF(G3998="","",C3998/C3997-1)</f>
        <v>-0.0206585013552575</v>
      </c>
      <c r="J3998" s="17" t="n">
        <f aca="false">AVERAGE(C3799:C3998)</f>
        <v>108523.87465</v>
      </c>
      <c r="K3998" s="17" t="n">
        <f aca="false">MAX(K3997,C3998)</f>
        <v>124720.09</v>
      </c>
      <c r="L3998" s="25" t="n">
        <f aca="false">C3998/K3998-1</f>
        <v>-0.290731669613131</v>
      </c>
      <c r="M3998" s="25" t="n">
        <f aca="false">IF(COUNT(G3969:G3998)&lt;20,"",_xlfn.STDEV.S(G3969:G3998)*SQRT($R$3))</f>
        <v>0.420721242282412</v>
      </c>
      <c r="N3998" s="25" t="n">
        <f aca="false">IF(A3998-7&lt;$R$2,"",C3998/INDEX(Clean_Data!$C$2:$C$4314,MATCH(A3998-7,Clean_Data!$A$2:$A$4314,1))-1)</f>
        <v>-0.0218433220081248</v>
      </c>
      <c r="O3998" s="25" t="n">
        <f aca="false">IF(A3998-30&lt;$R$2,"",C3998/INDEX(Clean_Data!$C$2:$C$4314,MATCH(A3998-30,Clean_Data!$A$2:$A$4314,1))-1)</f>
        <v>-0.0671651557225552</v>
      </c>
    </row>
    <row r="3999" customFormat="false" ht="15" hidden="false" customHeight="false" outlineLevel="0" collapsed="false">
      <c r="A3999" s="16" t="n">
        <v>46006</v>
      </c>
      <c r="B3999" s="23" t="n">
        <f aca="false">YEAR(A3999)</f>
        <v>2025</v>
      </c>
      <c r="C3999" s="17" t="n">
        <v>85950</v>
      </c>
      <c r="D3999" s="23" t="n">
        <f aca="false">A3999-A3998</f>
        <v>1</v>
      </c>
      <c r="E3999" s="24" t="n">
        <f aca="false">LN(C3999)</f>
        <v>11.361521010811</v>
      </c>
      <c r="F3999" s="25" t="n">
        <f aca="false">LN(C3999/C3998)</f>
        <v>-0.0287848536567603</v>
      </c>
      <c r="G3999" s="25" t="n">
        <f aca="false">IF(AND(D3999=1,A3999&gt;=$R$2),F3999,"")</f>
        <v>-0.0287848536567603</v>
      </c>
      <c r="H3999" s="27" t="n">
        <f aca="false">IF(G3999="","",G3999^2)</f>
        <v>0.000828567800041107</v>
      </c>
      <c r="I3999" s="25" t="n">
        <f aca="false">IF(G3999="","",C3999/C3998-1)</f>
        <v>-0.028374516349252</v>
      </c>
      <c r="J3999" s="17" t="n">
        <f aca="false">AVERAGE(C3800:C3999)</f>
        <v>108433.45835</v>
      </c>
      <c r="K3999" s="17" t="n">
        <f aca="false">MAX(K3998,C3999)</f>
        <v>124720.09</v>
      </c>
      <c r="L3999" s="25" t="n">
        <f aca="false">C3999/K3999-1</f>
        <v>-0.3108568154497</v>
      </c>
      <c r="M3999" s="25" t="n">
        <f aca="false">IF(COUNT(G3970:G3999)&lt;20,"",_xlfn.STDEV.S(G3970:G3999)*SQRT($R$3))</f>
        <v>0.430203056297433</v>
      </c>
      <c r="N3999" s="25" t="n">
        <f aca="false">IF(A3999-7&lt;$R$2,"",C3999/INDEX(Clean_Data!$C$2:$C$4314,MATCH(A3999-7,Clean_Data!$A$2:$A$4314,1))-1)</f>
        <v>-0.0485770332141259</v>
      </c>
      <c r="O3999" s="25" t="n">
        <f aca="false">IF(A3999-30&lt;$R$2,"",C3999/INDEX(Clean_Data!$C$2:$C$4314,MATCH(A3999-30,Clean_Data!$A$2:$A$4314,1))-1)</f>
        <v>-0.096170412520653</v>
      </c>
    </row>
    <row r="4000" customFormat="false" ht="15" hidden="false" customHeight="false" outlineLevel="0" collapsed="false">
      <c r="A4000" s="16" t="n">
        <v>46007</v>
      </c>
      <c r="B4000" s="23" t="n">
        <f aca="false">YEAR(A4000)</f>
        <v>2025</v>
      </c>
      <c r="C4000" s="17" t="n">
        <v>87599.87</v>
      </c>
      <c r="D4000" s="23" t="n">
        <f aca="false">A4000-A3999</f>
        <v>1</v>
      </c>
      <c r="E4000" s="24" t="n">
        <f aca="false">LN(C4000)</f>
        <v>11.3805347929051</v>
      </c>
      <c r="F4000" s="25" t="n">
        <f aca="false">LN(C4000/C3999)</f>
        <v>0.0190137820941213</v>
      </c>
      <c r="G4000" s="25" t="n">
        <f aca="false">IF(AND(D4000=1,A4000&gt;=$R$2),F4000,"")</f>
        <v>0.0190137820941213</v>
      </c>
      <c r="H4000" s="27" t="n">
        <f aca="false">IF(G4000="","",G4000^2)</f>
        <v>0.000361523909522729</v>
      </c>
      <c r="I4000" s="25" t="n">
        <f aca="false">IF(G4000="","",C4000/C3999-1)</f>
        <v>0.0191956951716112</v>
      </c>
      <c r="J4000" s="17" t="n">
        <f aca="false">AVERAGE(C3801:C4000)</f>
        <v>108348.22835</v>
      </c>
      <c r="K4000" s="17" t="n">
        <f aca="false">MAX(K3999,C4000)</f>
        <v>124720.09</v>
      </c>
      <c r="L4000" s="25" t="n">
        <f aca="false">C4000/K4000-1</f>
        <v>-0.297628232949479</v>
      </c>
      <c r="M4000" s="25" t="n">
        <f aca="false">IF(COUNT(G3971:G4000)&lt;20,"",_xlfn.STDEV.S(G3971:G4000)*SQRT($R$3))</f>
        <v>0.437032025291875</v>
      </c>
      <c r="N4000" s="25" t="n">
        <f aca="false">IF(A4000-7&lt;$R$2,"",C4000/INDEX(Clean_Data!$C$2:$C$4314,MATCH(A4000-7,Clean_Data!$A$2:$A$4314,1))-1)</f>
        <v>-0.0503417202955178</v>
      </c>
      <c r="O4000" s="25" t="n">
        <f aca="false">IF(A4000-30&lt;$R$2,"",C4000/INDEX(Clean_Data!$C$2:$C$4314,MATCH(A4000-30,Clean_Data!$A$2:$A$4314,1))-1)</f>
        <v>-0.0798135800389002</v>
      </c>
    </row>
    <row r="4001" customFormat="false" ht="15" hidden="false" customHeight="false" outlineLevel="0" collapsed="false">
      <c r="A4001" s="16" t="n">
        <v>46008</v>
      </c>
      <c r="B4001" s="23" t="n">
        <f aca="false">YEAR(A4001)</f>
        <v>2025</v>
      </c>
      <c r="C4001" s="17" t="n">
        <v>86064.34</v>
      </c>
      <c r="D4001" s="23" t="n">
        <f aca="false">A4001-A4000</f>
        <v>1</v>
      </c>
      <c r="E4001" s="24" t="n">
        <f aca="false">LN(C4001)</f>
        <v>11.3628504350537</v>
      </c>
      <c r="F4001" s="25" t="n">
        <f aca="false">LN(C4001/C4000)</f>
        <v>-0.0176843578514673</v>
      </c>
      <c r="G4001" s="25" t="n">
        <f aca="false">IF(AND(D4001=1,A4001&gt;=$R$2),F4001,"")</f>
        <v>-0.0176843578514673</v>
      </c>
      <c r="H4001" s="27" t="n">
        <f aca="false">IF(G4001="","",G4001^2)</f>
        <v>0.000312736512618753</v>
      </c>
      <c r="I4001" s="25" t="n">
        <f aca="false">IF(G4001="","",C4001/C4000-1)</f>
        <v>-0.0175289072917574</v>
      </c>
      <c r="J4001" s="17" t="n">
        <f aca="false">AVERAGE(C3802:C4001)</f>
        <v>108250.06035</v>
      </c>
      <c r="K4001" s="17" t="n">
        <f aca="false">MAX(K4000,C4001)</f>
        <v>124720.09</v>
      </c>
      <c r="L4001" s="25" t="n">
        <f aca="false">C4001/K4001-1</f>
        <v>-0.309940042538456</v>
      </c>
      <c r="M4001" s="25" t="n">
        <f aca="false">IF(COUNT(G3972:G4001)&lt;20,"",_xlfn.STDEV.S(G3972:G4001)*SQRT($R$3))</f>
        <v>0.424240375716583</v>
      </c>
      <c r="N4001" s="25" t="n">
        <f aca="false">IF(A4001-7&lt;$R$2,"",C4001/INDEX(Clean_Data!$C$2:$C$4314,MATCH(A4001-7,Clean_Data!$A$2:$A$4314,1))-1)</f>
        <v>-0.0562600108317378</v>
      </c>
      <c r="O4001" s="25" t="n">
        <f aca="false">IF(A4001-30&lt;$R$2,"",C4001/INDEX(Clean_Data!$C$2:$C$4314,MATCH(A4001-30,Clean_Data!$A$2:$A$4314,1))-1)</f>
        <v>-0.0630484553489876</v>
      </c>
    </row>
    <row r="4002" customFormat="false" ht="15" hidden="false" customHeight="false" outlineLevel="0" collapsed="false">
      <c r="A4002" s="16" t="n">
        <v>46009</v>
      </c>
      <c r="B4002" s="23" t="n">
        <f aca="false">YEAR(A4002)</f>
        <v>2025</v>
      </c>
      <c r="C4002" s="17" t="n">
        <v>85352.25</v>
      </c>
      <c r="D4002" s="23" t="n">
        <f aca="false">A4002-A4001</f>
        <v>1</v>
      </c>
      <c r="E4002" s="24" t="n">
        <f aca="false">LN(C4002)</f>
        <v>11.3545420899138</v>
      </c>
      <c r="F4002" s="25" t="n">
        <f aca="false">LN(C4002/C4001)</f>
        <v>-0.00830834513987088</v>
      </c>
      <c r="G4002" s="25" t="n">
        <f aca="false">IF(AND(D4002=1,A4002&gt;=$R$2),F4002,"")</f>
        <v>-0.00830834513987088</v>
      </c>
      <c r="H4002" s="27" t="n">
        <f aca="false">IF(G4002="","",G4002^2)</f>
        <v>6.90285989632161E-005</v>
      </c>
      <c r="I4002" s="25" t="n">
        <f aca="false">IF(G4002="","",C4002/C4001-1)</f>
        <v>-0.00827392622775003</v>
      </c>
      <c r="J4002" s="17" t="n">
        <f aca="false">AVERAGE(C3803:C4002)</f>
        <v>108147.2969</v>
      </c>
      <c r="K4002" s="17" t="n">
        <f aca="false">MAX(K4001,C4002)</f>
        <v>124720.09</v>
      </c>
      <c r="L4002" s="25" t="n">
        <f aca="false">C4002/K4002-1</f>
        <v>-0.315649547719217</v>
      </c>
      <c r="M4002" s="25" t="n">
        <f aca="false">IF(COUNT(G3973:G4002)&lt;20,"",_xlfn.STDEV.S(G3973:G4002)*SQRT($R$3))</f>
        <v>0.424239929226954</v>
      </c>
      <c r="N4002" s="25" t="n">
        <f aca="false">IF(A4002-7&lt;$R$2,"",C4002/INDEX(Clean_Data!$C$2:$C$4314,MATCH(A4002-7,Clean_Data!$A$2:$A$4314,1))-1)</f>
        <v>-0.0700808272935576</v>
      </c>
      <c r="O4002" s="25" t="n">
        <f aca="false">IF(A4002-30&lt;$R$2,"",C4002/INDEX(Clean_Data!$C$2:$C$4314,MATCH(A4002-30,Clean_Data!$A$2:$A$4314,1))-1)</f>
        <v>-0.0741150546876042</v>
      </c>
    </row>
    <row r="4003" customFormat="false" ht="15" hidden="false" customHeight="false" outlineLevel="0" collapsed="false">
      <c r="A4003" s="16" t="n">
        <v>46010</v>
      </c>
      <c r="B4003" s="23" t="n">
        <f aca="false">YEAR(A4003)</f>
        <v>2025</v>
      </c>
      <c r="C4003" s="17" t="n">
        <v>88016.09</v>
      </c>
      <c r="D4003" s="23" t="n">
        <f aca="false">A4003-A4002</f>
        <v>1</v>
      </c>
      <c r="E4003" s="24" t="n">
        <f aca="false">LN(C4003)</f>
        <v>11.3852749176561</v>
      </c>
      <c r="F4003" s="25" t="n">
        <f aca="false">LN(C4003/C4002)</f>
        <v>0.030732827742294</v>
      </c>
      <c r="G4003" s="25" t="n">
        <f aca="false">IF(AND(D4003=1,A4003&gt;=$R$2),F4003,"")</f>
        <v>0.030732827742294</v>
      </c>
      <c r="H4003" s="27" t="n">
        <f aca="false">IF(G4003="","",G4003^2)</f>
        <v>0.000944506701037518</v>
      </c>
      <c r="I4003" s="25" t="n">
        <f aca="false">IF(G4003="","",C4003/C4002-1)</f>
        <v>0.0312099563866213</v>
      </c>
      <c r="J4003" s="17" t="n">
        <f aca="false">AVERAGE(C3804:C4003)</f>
        <v>108060.13825</v>
      </c>
      <c r="K4003" s="17" t="n">
        <f aca="false">MAX(K4002,C4003)</f>
        <v>124720.09</v>
      </c>
      <c r="L4003" s="25" t="n">
        <f aca="false">C4003/K4003-1</f>
        <v>-0.294290999950369</v>
      </c>
      <c r="M4003" s="25" t="n">
        <f aca="false">IF(COUNT(G3974:G4003)&lt;20,"",_xlfn.STDEV.S(G3974:G4003)*SQRT($R$3))</f>
        <v>0.439748776631835</v>
      </c>
      <c r="N4003" s="25" t="n">
        <f aca="false">IF(A4003-7&lt;$R$2,"",C4003/INDEX(Clean_Data!$C$2:$C$4314,MATCH(A4003-7,Clean_Data!$A$2:$A$4314,1))-1)</f>
        <v>-0.0258318760376315</v>
      </c>
      <c r="O4003" s="25" t="n">
        <f aca="false">IF(A4003-30&lt;$R$2,"",C4003/INDEX(Clean_Data!$C$2:$C$4314,MATCH(A4003-30,Clean_Data!$A$2:$A$4314,1))-1)</f>
        <v>-0.0410483739698331</v>
      </c>
    </row>
    <row r="4004" customFormat="false" ht="15" hidden="false" customHeight="false" outlineLevel="0" collapsed="false">
      <c r="A4004" s="16" t="n">
        <v>46011</v>
      </c>
      <c r="B4004" s="23" t="n">
        <f aca="false">YEAR(A4004)</f>
        <v>2025</v>
      </c>
      <c r="C4004" s="17" t="n">
        <v>88322.39</v>
      </c>
      <c r="D4004" s="23" t="n">
        <f aca="false">A4004-A4003</f>
        <v>1</v>
      </c>
      <c r="E4004" s="24" t="n">
        <f aca="false">LN(C4004)</f>
        <v>11.3887489218332</v>
      </c>
      <c r="F4004" s="25" t="n">
        <f aca="false">LN(C4004/C4003)</f>
        <v>0.00347400417712162</v>
      </c>
      <c r="G4004" s="25" t="n">
        <f aca="false">IF(AND(D4004=1,A4004&gt;=$R$2),F4004,"")</f>
        <v>0.00347400417712162</v>
      </c>
      <c r="H4004" s="27" t="n">
        <f aca="false">IF(G4004="","",G4004^2)</f>
        <v>1.20687050226585E-005</v>
      </c>
      <c r="I4004" s="25" t="n">
        <f aca="false">IF(G4004="","",C4004/C4003-1)</f>
        <v>0.00348004552349468</v>
      </c>
      <c r="J4004" s="17" t="n">
        <f aca="false">AVERAGE(C3805:C4004)</f>
        <v>107977.9833</v>
      </c>
      <c r="K4004" s="17" t="n">
        <f aca="false">MAX(K4003,C4004)</f>
        <v>124720.09</v>
      </c>
      <c r="L4004" s="25" t="n">
        <f aca="false">C4004/K4004-1</f>
        <v>-0.291835100503856</v>
      </c>
      <c r="M4004" s="25" t="n">
        <f aca="false">IF(COUNT(G3975:G4004)&lt;20,"",_xlfn.STDEV.S(G3975:G4004)*SQRT($R$3))</f>
        <v>0.401715242909698</v>
      </c>
      <c r="N4004" s="25" t="n">
        <f aca="false">IF(A4004-7&lt;$R$2,"",C4004/INDEX(Clean_Data!$C$2:$C$4314,MATCH(A4004-7,Clean_Data!$A$2:$A$4314,1))-1)</f>
        <v>-0.0221820935077283</v>
      </c>
      <c r="O4004" s="25" t="n">
        <f aca="false">IF(A4004-30&lt;$R$2,"",C4004/INDEX(Clean_Data!$C$2:$C$4314,MATCH(A4004-30,Clean_Data!$A$2:$A$4314,1))-1)</f>
        <v>0.01270885408306</v>
      </c>
    </row>
    <row r="4005" customFormat="false" ht="15" hidden="false" customHeight="false" outlineLevel="0" collapsed="false">
      <c r="A4005" s="16" t="n">
        <v>46012</v>
      </c>
      <c r="B4005" s="23" t="n">
        <f aca="false">YEAR(A4005)</f>
        <v>2025</v>
      </c>
      <c r="C4005" s="17" t="n">
        <v>88716</v>
      </c>
      <c r="D4005" s="23" t="n">
        <f aca="false">A4005-A4004</f>
        <v>1</v>
      </c>
      <c r="E4005" s="24" t="n">
        <f aca="false">LN(C4005)</f>
        <v>11.3931955353451</v>
      </c>
      <c r="F4005" s="25" t="n">
        <f aca="false">LN(C4005/C4004)</f>
        <v>0.00444661351190627</v>
      </c>
      <c r="G4005" s="25" t="n">
        <f aca="false">IF(AND(D4005=1,A4005&gt;=$R$2),F4005,"")</f>
        <v>0.00444661351190627</v>
      </c>
      <c r="H4005" s="27" t="n">
        <f aca="false">IF(G4005="","",G4005^2)</f>
        <v>1.97723717242674E-005</v>
      </c>
      <c r="I4005" s="25" t="n">
        <f aca="false">IF(G4005="","",C4005/C4004-1)</f>
        <v>0.00445651436742156</v>
      </c>
      <c r="J4005" s="17" t="n">
        <f aca="false">AVERAGE(C3806:C4005)</f>
        <v>107913.7123</v>
      </c>
      <c r="K4005" s="17" t="n">
        <f aca="false">MAX(K4004,C4005)</f>
        <v>124720.09</v>
      </c>
      <c r="L4005" s="25" t="n">
        <f aca="false">C4005/K4005-1</f>
        <v>-0.288679153454748</v>
      </c>
      <c r="M4005" s="25" t="n">
        <f aca="false">IF(COUNT(G3976:G4005)&lt;20,"",_xlfn.STDEV.S(G3976:G4005)*SQRT($R$3))</f>
        <v>0.388775449089343</v>
      </c>
      <c r="N4005" s="25" t="n">
        <f aca="false">IF(A4005-7&lt;$R$2,"",C4005/INDEX(Clean_Data!$C$2:$C$4314,MATCH(A4005-7,Clean_Data!$A$2:$A$4314,1))-1)</f>
        <v>0.0028938500006952</v>
      </c>
      <c r="O4005" s="25" t="n">
        <f aca="false">IF(A4005-30&lt;$R$2,"",C4005/INDEX(Clean_Data!$C$2:$C$4314,MATCH(A4005-30,Clean_Data!$A$2:$A$4314,1))-1)</f>
        <v>0.0458585810954189</v>
      </c>
    </row>
    <row r="4006" customFormat="false" ht="15" hidden="false" customHeight="false" outlineLevel="0" collapsed="false">
      <c r="A4006" s="16" t="n">
        <v>46013</v>
      </c>
      <c r="B4006" s="23" t="n">
        <f aca="false">YEAR(A4006)</f>
        <v>2025</v>
      </c>
      <c r="C4006" s="17" t="n">
        <v>88837.97</v>
      </c>
      <c r="D4006" s="23" t="n">
        <f aca="false">A4006-A4005</f>
        <v>1</v>
      </c>
      <c r="E4006" s="24" t="n">
        <f aca="false">LN(C4006)</f>
        <v>11.3945694276798</v>
      </c>
      <c r="F4006" s="25" t="n">
        <f aca="false">LN(C4006/C4005)</f>
        <v>0.00137389233465948</v>
      </c>
      <c r="G4006" s="25" t="n">
        <f aca="false">IF(AND(D4006=1,A4006&gt;=$R$2),F4006,"")</f>
        <v>0.00137389233465948</v>
      </c>
      <c r="H4006" s="27" t="n">
        <f aca="false">IF(G4006="","",G4006^2)</f>
        <v>1.88758014723607E-006</v>
      </c>
      <c r="I4006" s="25" t="n">
        <f aca="false">IF(G4006="","",C4006/C4005-1)</f>
        <v>0.00137483655710358</v>
      </c>
      <c r="J4006" s="17" t="n">
        <f aca="false">AVERAGE(C3807:C4006)</f>
        <v>107835.9122</v>
      </c>
      <c r="K4006" s="17" t="n">
        <f aca="false">MAX(K4005,C4006)</f>
        <v>124720.09</v>
      </c>
      <c r="L4006" s="25" t="n">
        <f aca="false">C4006/K4006-1</f>
        <v>-0.287701203551088</v>
      </c>
      <c r="M4006" s="25" t="n">
        <f aca="false">IF(COUNT(G3977:G4006)&lt;20,"",_xlfn.STDEV.S(G3977:G4006)*SQRT($R$3))</f>
        <v>0.388699588223208</v>
      </c>
      <c r="N4006" s="25" t="n">
        <f aca="false">IF(A4006-7&lt;$R$2,"",C4006/INDEX(Clean_Data!$C$2:$C$4314,MATCH(A4006-7,Clean_Data!$A$2:$A$4314,1))-1)</f>
        <v>0.0336005817335661</v>
      </c>
      <c r="O4006" s="25" t="n">
        <f aca="false">IF(A4006-30&lt;$R$2,"",C4006/INDEX(Clean_Data!$C$2:$C$4314,MATCH(A4006-30,Clean_Data!$A$2:$A$4314,1))-1)</f>
        <v>0.0435085098865411</v>
      </c>
    </row>
    <row r="4007" customFormat="false" ht="15" hidden="false" customHeight="false" outlineLevel="0" collapsed="false">
      <c r="A4007" s="16" t="n">
        <v>46014</v>
      </c>
      <c r="B4007" s="23" t="n">
        <f aca="false">YEAR(A4007)</f>
        <v>2025</v>
      </c>
      <c r="C4007" s="17" t="n">
        <v>87594.74</v>
      </c>
      <c r="D4007" s="23" t="n">
        <f aca="false">A4007-A4006</f>
        <v>1</v>
      </c>
      <c r="E4007" s="24" t="n">
        <f aca="false">LN(C4007)</f>
        <v>11.3804762294596</v>
      </c>
      <c r="F4007" s="25" t="n">
        <f aca="false">LN(C4007/C4006)</f>
        <v>-0.0140931982201903</v>
      </c>
      <c r="G4007" s="25" t="n">
        <f aca="false">IF(AND(D4007=1,A4007&gt;=$R$2),F4007,"")</f>
        <v>-0.0140931982201903</v>
      </c>
      <c r="H4007" s="27" t="n">
        <f aca="false">IF(G4007="","",G4007^2)</f>
        <v>0.000198618236073576</v>
      </c>
      <c r="I4007" s="25" t="n">
        <f aca="false">IF(G4007="","",C4007/C4006-1)</f>
        <v>-0.0139943539907541</v>
      </c>
      <c r="J4007" s="17" t="n">
        <f aca="false">AVERAGE(C3808:C4007)</f>
        <v>107745.7908</v>
      </c>
      <c r="K4007" s="17" t="n">
        <f aca="false">MAX(K4006,C4007)</f>
        <v>124720.09</v>
      </c>
      <c r="L4007" s="25" t="n">
        <f aca="false">C4007/K4007-1</f>
        <v>-0.297669365055782</v>
      </c>
      <c r="M4007" s="25" t="n">
        <f aca="false">IF(COUNT(G3978:G4007)&lt;20,"",_xlfn.STDEV.S(G3978:G4007)*SQRT($R$3))</f>
        <v>0.388710336904357</v>
      </c>
      <c r="N4007" s="25" t="n">
        <f aca="false">IF(A4007-7&lt;$R$2,"",C4007/INDEX(Clean_Data!$C$2:$C$4314,MATCH(A4007-7,Clean_Data!$A$2:$A$4314,1))-1)</f>
        <v>-5.8561730742146E-005</v>
      </c>
      <c r="O4007" s="25" t="n">
        <f aca="false">IF(A4007-30&lt;$R$2,"",C4007/INDEX(Clean_Data!$C$2:$C$4314,MATCH(A4007-30,Clean_Data!$A$2:$A$4314,1))-1)</f>
        <v>0.0126647340872899</v>
      </c>
    </row>
    <row r="4008" customFormat="false" ht="15" hidden="false" customHeight="false" outlineLevel="0" collapsed="false">
      <c r="A4008" s="16" t="n">
        <v>46015</v>
      </c>
      <c r="B4008" s="23" t="n">
        <f aca="false">YEAR(A4008)</f>
        <v>2025</v>
      </c>
      <c r="C4008" s="17" t="n">
        <v>87516</v>
      </c>
      <c r="D4008" s="23" t="n">
        <f aca="false">A4008-A4007</f>
        <v>1</v>
      </c>
      <c r="E4008" s="24" t="n">
        <f aca="false">LN(C4008)</f>
        <v>11.3795769127722</v>
      </c>
      <c r="F4008" s="25" t="n">
        <f aca="false">LN(C4008/C4007)</f>
        <v>-0.00089931668733606</v>
      </c>
      <c r="G4008" s="25" t="n">
        <f aca="false">IF(AND(D4008=1,A4008&gt;=$R$2),F4008,"")</f>
        <v>-0.00089931668733606</v>
      </c>
      <c r="H4008" s="27" t="n">
        <f aca="false">IF(G4008="","",G4008^2)</f>
        <v>8.08770504121105E-007</v>
      </c>
      <c r="I4008" s="25" t="n">
        <f aca="false">IF(G4008="","",C4008/C4007-1)</f>
        <v>-0.000898912423280218</v>
      </c>
      <c r="J4008" s="17" t="n">
        <f aca="false">AVERAGE(C3809:C4008)</f>
        <v>107654.4488</v>
      </c>
      <c r="K4008" s="17" t="n">
        <f aca="false">MAX(K4007,C4008)</f>
        <v>124720.09</v>
      </c>
      <c r="L4008" s="25" t="n">
        <f aca="false">C4008/K4008-1</f>
        <v>-0.298300698788784</v>
      </c>
      <c r="M4008" s="25" t="n">
        <f aca="false">IF(COUNT(G3979:G4008)&lt;20,"",_xlfn.STDEV.S(G3979:G4008)*SQRT($R$3))</f>
        <v>0.384094945974029</v>
      </c>
      <c r="N4008" s="25" t="n">
        <f aca="false">IF(A4008-7&lt;$R$2,"",C4008/INDEX(Clean_Data!$C$2:$C$4314,MATCH(A4008-7,Clean_Data!$A$2:$A$4314,1))-1)</f>
        <v>0.0168671484612559</v>
      </c>
      <c r="O4008" s="25" t="n">
        <f aca="false">IF(A4008-30&lt;$R$2,"",C4008/INDEX(Clean_Data!$C$2:$C$4314,MATCH(A4008-30,Clean_Data!$A$2:$A$4314,1))-1)</f>
        <v>-0.00528658875904275</v>
      </c>
    </row>
    <row r="4009" customFormat="false" ht="15" hidden="false" customHeight="false" outlineLevel="0" collapsed="false">
      <c r="A4009" s="16" t="n">
        <v>46016</v>
      </c>
      <c r="B4009" s="23" t="n">
        <f aca="false">YEAR(A4009)</f>
        <v>2025</v>
      </c>
      <c r="C4009" s="17" t="n">
        <v>87159.35</v>
      </c>
      <c r="D4009" s="23" t="n">
        <f aca="false">A4009-A4008</f>
        <v>1</v>
      </c>
      <c r="E4009" s="24" t="n">
        <f aca="false">LN(C4009)</f>
        <v>11.3754933314814</v>
      </c>
      <c r="F4009" s="25" t="n">
        <f aca="false">LN(C4009/C4008)</f>
        <v>-0.00408358129081929</v>
      </c>
      <c r="G4009" s="25" t="n">
        <f aca="false">IF(AND(D4009=1,A4009&gt;=$R$2),F4009,"")</f>
        <v>-0.00408358129081929</v>
      </c>
      <c r="H4009" s="27" t="n">
        <f aca="false">IF(G4009="","",G4009^2)</f>
        <v>1.66756361587294E-005</v>
      </c>
      <c r="I4009" s="25" t="n">
        <f aca="false">IF(G4009="","",C4009/C4008-1)</f>
        <v>-0.00407525481054882</v>
      </c>
      <c r="J4009" s="17" t="n">
        <f aca="false">AVERAGE(C3810:C4009)</f>
        <v>107538.7398</v>
      </c>
      <c r="K4009" s="17" t="n">
        <f aca="false">MAX(K4008,C4009)</f>
        <v>124720.09</v>
      </c>
      <c r="L4009" s="25" t="n">
        <f aca="false">C4009/K4009-1</f>
        <v>-0.301160302241604</v>
      </c>
      <c r="M4009" s="25" t="n">
        <f aca="false">IF(COUNT(G3980:G4009)&lt;20,"",_xlfn.STDEV.S(G3980:G4009)*SQRT($R$3))</f>
        <v>0.383573889565995</v>
      </c>
      <c r="N4009" s="25" t="n">
        <f aca="false">IF(A4009-7&lt;$R$2,"",C4009/INDEX(Clean_Data!$C$2:$C$4314,MATCH(A4009-7,Clean_Data!$A$2:$A$4314,1))-1)</f>
        <v>0.0211722596650938</v>
      </c>
      <c r="O4009" s="25" t="n">
        <f aca="false">IF(A4009-30&lt;$R$2,"",C4009/INDEX(Clean_Data!$C$2:$C$4314,MATCH(A4009-30,Clean_Data!$A$2:$A$4314,1))-1)</f>
        <v>-0.00236670691109997</v>
      </c>
    </row>
    <row r="4010" customFormat="false" ht="15" hidden="false" customHeight="false" outlineLevel="0" collapsed="false">
      <c r="A4010" s="16" t="n">
        <v>46017</v>
      </c>
      <c r="B4010" s="23" t="n">
        <f aca="false">YEAR(A4010)</f>
        <v>2025</v>
      </c>
      <c r="C4010" s="17" t="n">
        <v>87280.65</v>
      </c>
      <c r="D4010" s="23" t="n">
        <f aca="false">A4010-A4009</f>
        <v>1</v>
      </c>
      <c r="E4010" s="24" t="n">
        <f aca="false">LN(C4010)</f>
        <v>11.3768840677753</v>
      </c>
      <c r="F4010" s="25" t="n">
        <f aca="false">LN(C4010/C4009)</f>
        <v>0.00139073629386595</v>
      </c>
      <c r="G4010" s="25" t="n">
        <f aca="false">IF(AND(D4010=1,A4010&gt;=$R$2),F4010,"")</f>
        <v>0.00139073629386595</v>
      </c>
      <c r="H4010" s="27" t="n">
        <f aca="false">IF(G4010="","",G4010^2)</f>
        <v>1.934147439076E-006</v>
      </c>
      <c r="I4010" s="25" t="n">
        <f aca="false">IF(G4010="","",C4010/C4009-1)</f>
        <v>0.00139170381605624</v>
      </c>
      <c r="J4010" s="17" t="n">
        <f aca="false">AVERAGE(C3811:C4010)</f>
        <v>107423.64185</v>
      </c>
      <c r="K4010" s="17" t="n">
        <f aca="false">MAX(K4009,C4010)</f>
        <v>124720.09</v>
      </c>
      <c r="L4010" s="25" t="n">
        <f aca="false">C4010/K4010-1</f>
        <v>-0.300187724367421</v>
      </c>
      <c r="M4010" s="25" t="n">
        <f aca="false">IF(COUNT(G3981:G4010)&lt;20,"",_xlfn.STDEV.S(G3981:G4010)*SQRT($R$3))</f>
        <v>0.359959367021672</v>
      </c>
      <c r="N4010" s="25" t="n">
        <f aca="false">IF(A4010-7&lt;$R$2,"",C4010/INDEX(Clean_Data!$C$2:$C$4314,MATCH(A4010-7,Clean_Data!$A$2:$A$4314,1))-1)</f>
        <v>-0.00835574495526903</v>
      </c>
      <c r="O4010" s="25" t="n">
        <f aca="false">IF(A4010-30&lt;$R$2,"",C4010/INDEX(Clean_Data!$C$2:$C$4314,MATCH(A4010-30,Clean_Data!$A$2:$A$4314,1))-1)</f>
        <v>-0.0370150646220087</v>
      </c>
    </row>
    <row r="4011" customFormat="false" ht="15" hidden="false" customHeight="false" outlineLevel="0" collapsed="false">
      <c r="A4011" s="16" t="n">
        <v>46018</v>
      </c>
      <c r="B4011" s="23" t="n">
        <f aca="false">YEAR(A4011)</f>
        <v>2025</v>
      </c>
      <c r="C4011" s="17" t="n">
        <v>87844.66</v>
      </c>
      <c r="D4011" s="23" t="n">
        <f aca="false">A4011-A4010</f>
        <v>1</v>
      </c>
      <c r="E4011" s="24" t="n">
        <f aca="false">LN(C4011)</f>
        <v>11.383325306338</v>
      </c>
      <c r="F4011" s="25" t="n">
        <f aca="false">LN(C4011/C4010)</f>
        <v>0.00644123856274441</v>
      </c>
      <c r="G4011" s="25" t="n">
        <f aca="false">IF(AND(D4011=1,A4011&gt;=$R$2),F4011,"")</f>
        <v>0.00644123856274441</v>
      </c>
      <c r="H4011" s="27" t="n">
        <f aca="false">IF(G4011="","",G4011^2)</f>
        <v>4.14895542221856E-005</v>
      </c>
      <c r="I4011" s="25" t="n">
        <f aca="false">IF(G4011="","",C4011/C4010-1)</f>
        <v>0.0064620279523584</v>
      </c>
      <c r="J4011" s="17" t="n">
        <f aca="false">AVERAGE(C3812:C4011)</f>
        <v>107319.5183</v>
      </c>
      <c r="K4011" s="17" t="n">
        <f aca="false">MAX(K4010,C4011)</f>
        <v>124720.09</v>
      </c>
      <c r="L4011" s="25" t="n">
        <f aca="false">C4011/K4011-1</f>
        <v>-0.29566551788088</v>
      </c>
      <c r="M4011" s="25" t="n">
        <f aca="false">IF(COUNT(G3982:G4011)&lt;20,"",_xlfn.STDEV.S(G3982:G4011)*SQRT($R$3))</f>
        <v>0.360299690467257</v>
      </c>
      <c r="N4011" s="25" t="n">
        <f aca="false">IF(A4011-7&lt;$R$2,"",C4011/INDEX(Clean_Data!$C$2:$C$4314,MATCH(A4011-7,Clean_Data!$A$2:$A$4314,1))-1)</f>
        <v>-0.00540893424645772</v>
      </c>
      <c r="O4011" s="25" t="n">
        <f aca="false">IF(A4011-30&lt;$R$2,"",C4011/INDEX(Clean_Data!$C$2:$C$4314,MATCH(A4011-30,Clean_Data!$A$2:$A$4314,1))-1)</f>
        <v>-0.0356701868399675</v>
      </c>
    </row>
    <row r="4012" customFormat="false" ht="15" hidden="false" customHeight="false" outlineLevel="0" collapsed="false">
      <c r="A4012" s="16" t="n">
        <v>46019</v>
      </c>
      <c r="B4012" s="23" t="n">
        <f aca="false">YEAR(A4012)</f>
        <v>2025</v>
      </c>
      <c r="C4012" s="17" t="n">
        <v>88029.48</v>
      </c>
      <c r="D4012" s="23" t="n">
        <f aca="false">A4012-A4011</f>
        <v>1</v>
      </c>
      <c r="E4012" s="24" t="n">
        <f aca="false">LN(C4012)</f>
        <v>11.3854270373604</v>
      </c>
      <c r="F4012" s="25" t="n">
        <f aca="false">LN(C4012/C4011)</f>
        <v>0.00210173102234765</v>
      </c>
      <c r="G4012" s="25" t="n">
        <f aca="false">IF(AND(D4012=1,A4012&gt;=$R$2),F4012,"")</f>
        <v>0.00210173102234765</v>
      </c>
      <c r="H4012" s="27" t="n">
        <f aca="false">IF(G4012="","",G4012^2)</f>
        <v>4.41727329029849E-006</v>
      </c>
      <c r="I4012" s="25" t="n">
        <f aca="false">IF(G4012="","",C4012/C4011-1)</f>
        <v>0.0021039412071262</v>
      </c>
      <c r="J4012" s="17" t="n">
        <f aca="false">AVERAGE(C3813:C4012)</f>
        <v>107231.06045</v>
      </c>
      <c r="K4012" s="17" t="n">
        <f aca="false">MAX(K4011,C4012)</f>
        <v>124720.09</v>
      </c>
      <c r="L4012" s="25" t="n">
        <f aca="false">C4012/K4012-1</f>
        <v>-0.29418363954035</v>
      </c>
      <c r="M4012" s="25" t="n">
        <f aca="false">IF(COUNT(G3983:G4012)&lt;20,"",_xlfn.STDEV.S(G3983:G4012)*SQRT($R$3))</f>
        <v>0.360473257972434</v>
      </c>
      <c r="N4012" s="25" t="n">
        <f aca="false">IF(A4012-7&lt;$R$2,"",C4012/INDEX(Clean_Data!$C$2:$C$4314,MATCH(A4012-7,Clean_Data!$A$2:$A$4314,1))-1)</f>
        <v>-0.00773840119031521</v>
      </c>
      <c r="O4012" s="25" t="n">
        <f aca="false">IF(A4012-30&lt;$R$2,"",C4012/INDEX(Clean_Data!$C$2:$C$4314,MATCH(A4012-30,Clean_Data!$A$2:$A$4314,1))-1)</f>
        <v>-0.0317895621832786</v>
      </c>
    </row>
    <row r="4013" customFormat="false" ht="15" hidden="false" customHeight="false" outlineLevel="0" collapsed="false">
      <c r="A4013" s="16" t="n">
        <v>46020</v>
      </c>
      <c r="B4013" s="23" t="n">
        <f aca="false">YEAR(A4013)</f>
        <v>2025</v>
      </c>
      <c r="C4013" s="17" t="n">
        <v>87055.23</v>
      </c>
      <c r="D4013" s="23" t="n">
        <f aca="false">A4013-A4012</f>
        <v>1</v>
      </c>
      <c r="E4013" s="24" t="n">
        <f aca="false">LN(C4013)</f>
        <v>11.3742980238051</v>
      </c>
      <c r="F4013" s="25" t="n">
        <f aca="false">LN(C4013/C4012)</f>
        <v>-0.0111290135552374</v>
      </c>
      <c r="G4013" s="25" t="n">
        <f aca="false">IF(AND(D4013=1,A4013&gt;=$R$2),F4013,"")</f>
        <v>-0.0111290135552374</v>
      </c>
      <c r="H4013" s="27" t="n">
        <f aca="false">IF(G4013="","",G4013^2)</f>
        <v>0.000123854942712659</v>
      </c>
      <c r="I4013" s="25" t="n">
        <f aca="false">IF(G4013="","",C4013/C4012-1)</f>
        <v>-0.0110673151766886</v>
      </c>
      <c r="J4013" s="17" t="n">
        <f aca="false">AVERAGE(C3814:C4013)</f>
        <v>107135.7431</v>
      </c>
      <c r="K4013" s="17" t="n">
        <f aca="false">MAX(K4012,C4013)</f>
        <v>124720.09</v>
      </c>
      <c r="L4013" s="25" t="n">
        <f aca="false">C4013/K4013-1</f>
        <v>-0.30199513165842</v>
      </c>
      <c r="M4013" s="25" t="n">
        <f aca="false">IF(COUNT(G3984:G4013)&lt;20,"",_xlfn.STDEV.S(G3984:G4013)*SQRT($R$3))</f>
        <v>0.362124622032471</v>
      </c>
      <c r="N4013" s="25" t="n">
        <f aca="false">IF(A4013-7&lt;$R$2,"",C4013/INDEX(Clean_Data!$C$2:$C$4314,MATCH(A4013-7,Clean_Data!$A$2:$A$4314,1))-1)</f>
        <v>-0.0200673203136001</v>
      </c>
      <c r="O4013" s="25" t="n">
        <f aca="false">IF(A4013-30&lt;$R$2,"",C4013/INDEX(Clean_Data!$C$2:$C$4314,MATCH(A4013-30,Clean_Data!$A$2:$A$4314,1))-1)</f>
        <v>-0.0427889946589626</v>
      </c>
    </row>
    <row r="4014" customFormat="false" ht="15" hidden="false" customHeight="false" outlineLevel="0" collapsed="false">
      <c r="A4014" s="16" t="n">
        <v>46021</v>
      </c>
      <c r="B4014" s="23" t="n">
        <f aca="false">YEAR(A4014)</f>
        <v>2025</v>
      </c>
      <c r="C4014" s="17" t="n">
        <v>88185.26</v>
      </c>
      <c r="D4014" s="23" t="n">
        <f aca="false">A4014-A4013</f>
        <v>1</v>
      </c>
      <c r="E4014" s="24" t="n">
        <f aca="false">LN(C4014)</f>
        <v>11.3871951078473</v>
      </c>
      <c r="F4014" s="25" t="n">
        <f aca="false">LN(C4014/C4013)</f>
        <v>0.0128970840422085</v>
      </c>
      <c r="G4014" s="25" t="n">
        <f aca="false">IF(AND(D4014=1,A4014&gt;=$R$2),F4014,"")</f>
        <v>0.0128970840422085</v>
      </c>
      <c r="H4014" s="27" t="n">
        <f aca="false">IF(G4014="","",G4014^2)</f>
        <v>0.00016633477679179</v>
      </c>
      <c r="I4014" s="25" t="n">
        <f aca="false">IF(G4014="","",C4014/C4013-1)</f>
        <v>0.0129806101253194</v>
      </c>
      <c r="J4014" s="17" t="n">
        <f aca="false">AVERAGE(C3815:C4014)</f>
        <v>107049.3423</v>
      </c>
      <c r="K4014" s="17" t="n">
        <f aca="false">MAX(K4013,C4014)</f>
        <v>124720.09</v>
      </c>
      <c r="L4014" s="25" t="n">
        <f aca="false">C4014/K4014-1</f>
        <v>-0.292934602596903</v>
      </c>
      <c r="M4014" s="25" t="n">
        <f aca="false">IF(COUNT(G3985:G4014)&lt;20,"",_xlfn.STDEV.S(G3985:G4014)*SQRT($R$3))</f>
        <v>0.338552785374657</v>
      </c>
      <c r="N4014" s="25" t="n">
        <f aca="false">IF(A4014-7&lt;$R$2,"",C4014/INDEX(Clean_Data!$C$2:$C$4314,MATCH(A4014-7,Clean_Data!$A$2:$A$4314,1))-1)</f>
        <v>0.00674150068828316</v>
      </c>
      <c r="O4014" s="25" t="n">
        <f aca="false">IF(A4014-30&lt;$R$2,"",C4014/INDEX(Clean_Data!$C$2:$C$4314,MATCH(A4014-30,Clean_Data!$A$2:$A$4314,1))-1)</f>
        <v>0.00844363933354275</v>
      </c>
    </row>
    <row r="4015" customFormat="false" ht="15" hidden="false" customHeight="false" outlineLevel="0" collapsed="false">
      <c r="A4015" s="16" t="n">
        <v>46022</v>
      </c>
      <c r="B4015" s="23" t="n">
        <f aca="false">YEAR(A4015)</f>
        <v>2025</v>
      </c>
      <c r="C4015" s="17" t="n">
        <v>87696</v>
      </c>
      <c r="D4015" s="23" t="n">
        <f aca="false">A4015-A4014</f>
        <v>1</v>
      </c>
      <c r="E4015" s="24" t="n">
        <f aca="false">LN(C4015)</f>
        <v>11.3816315672859</v>
      </c>
      <c r="F4015" s="25" t="n">
        <f aca="false">LN(C4015/C4014)</f>
        <v>-0.0055635405614455</v>
      </c>
      <c r="G4015" s="25" t="n">
        <f aca="false">IF(AND(D4015=1,A4015&gt;=$R$2),F4015,"")</f>
        <v>-0.0055635405614455</v>
      </c>
      <c r="H4015" s="27" t="n">
        <f aca="false">IF(G4015="","",G4015^2)</f>
        <v>3.09529835788493E-005</v>
      </c>
      <c r="I4015" s="25" t="n">
        <f aca="false">IF(G4015="","",C4015/C4014-1)</f>
        <v>-0.00554809273114343</v>
      </c>
      <c r="J4015" s="17" t="n">
        <f aca="false">AVERAGE(C3816:C4015)</f>
        <v>106959.82605</v>
      </c>
      <c r="K4015" s="17" t="n">
        <f aca="false">MAX(K4014,C4015)</f>
        <v>124720.09</v>
      </c>
      <c r="L4015" s="25" t="n">
        <f aca="false">C4015/K4015-1</f>
        <v>-0.296857466988678</v>
      </c>
      <c r="M4015" s="25" t="n">
        <f aca="false">IF(COUNT(G3986:G4015)&lt;20,"",_xlfn.STDEV.S(G3986:G4015)*SQRT($R$3))</f>
        <v>0.337432677137812</v>
      </c>
      <c r="N4015" s="25" t="n">
        <f aca="false">IF(A4015-7&lt;$R$2,"",C4015/INDEX(Clean_Data!$C$2:$C$4314,MATCH(A4015-7,Clean_Data!$A$2:$A$4314,1))-1)</f>
        <v>0.00205676676264921</v>
      </c>
      <c r="O4015" s="25" t="n">
        <f aca="false">IF(A4015-30&lt;$R$2,"",C4015/INDEX(Clean_Data!$C$2:$C$4314,MATCH(A4015-30,Clean_Data!$A$2:$A$4314,1))-1)</f>
        <v>0.0123256558916982</v>
      </c>
    </row>
    <row r="4016" customFormat="false" ht="15" hidden="false" customHeight="false" outlineLevel="0" collapsed="false">
      <c r="A4016" s="16" t="n">
        <v>46023</v>
      </c>
      <c r="B4016" s="23" t="n">
        <f aca="false">YEAR(A4016)</f>
        <v>2026</v>
      </c>
      <c r="C4016" s="17" t="n">
        <v>88642.88</v>
      </c>
      <c r="D4016" s="23" t="n">
        <f aca="false">A4016-A4015</f>
        <v>1</v>
      </c>
      <c r="E4016" s="24" t="n">
        <f aca="false">LN(C4016)</f>
        <v>11.392370992428</v>
      </c>
      <c r="F4016" s="25" t="n">
        <f aca="false">LN(C4016/C4015)</f>
        <v>0.010739425142122</v>
      </c>
      <c r="G4016" s="25" t="n">
        <f aca="false">IF(AND(D4016=1,A4016&gt;=$R$2),F4016,"")</f>
        <v>0.010739425142122</v>
      </c>
      <c r="H4016" s="27" t="n">
        <f aca="false">IF(G4016="","",G4016^2)</f>
        <v>0.000115335252383242</v>
      </c>
      <c r="I4016" s="25" t="n">
        <f aca="false">IF(G4016="","",C4016/C4015-1)</f>
        <v>0.010797299762817</v>
      </c>
      <c r="J4016" s="17" t="n">
        <f aca="false">AVERAGE(C3817:C4016)</f>
        <v>106868.77355</v>
      </c>
      <c r="K4016" s="17" t="n">
        <f aca="false">MAX(K4015,C4016)</f>
        <v>124720.09</v>
      </c>
      <c r="L4016" s="25" t="n">
        <f aca="false">C4016/K4016-1</f>
        <v>-0.289265426283769</v>
      </c>
      <c r="M4016" s="25" t="n">
        <f aca="false">IF(COUNT(G3987:G4016)&lt;20,"",_xlfn.STDEV.S(G3987:G4016)*SQRT($R$3))</f>
        <v>0.277077924408151</v>
      </c>
      <c r="N4016" s="25" t="n">
        <f aca="false">IF(A4016-7&lt;$R$2,"",C4016/INDEX(Clean_Data!$C$2:$C$4314,MATCH(A4016-7,Clean_Data!$A$2:$A$4314,1))-1)</f>
        <v>0.0170208933407603</v>
      </c>
      <c r="O4016" s="25" t="n">
        <f aca="false">IF(A4016-30&lt;$R$2,"",C4016/INDEX(Clean_Data!$C$2:$C$4314,MATCH(A4016-30,Clean_Data!$A$2:$A$4314,1))-1)</f>
        <v>-0.031571978335623</v>
      </c>
    </row>
    <row r="4017" customFormat="false" ht="15" hidden="false" customHeight="false" outlineLevel="0" collapsed="false">
      <c r="A4017" s="16" t="n">
        <v>46024</v>
      </c>
      <c r="B4017" s="23" t="n">
        <f aca="false">YEAR(A4017)</f>
        <v>2026</v>
      </c>
      <c r="C4017" s="17" t="n">
        <v>90112.01</v>
      </c>
      <c r="D4017" s="23" t="n">
        <f aca="false">A4017-A4016</f>
        <v>1</v>
      </c>
      <c r="E4017" s="24" t="n">
        <f aca="false">LN(C4017)</f>
        <v>11.4088087310507</v>
      </c>
      <c r="F4017" s="25" t="n">
        <f aca="false">LN(C4017/C4016)</f>
        <v>0.0164377386226449</v>
      </c>
      <c r="G4017" s="25" t="n">
        <f aca="false">IF(AND(D4017=1,A4017&gt;=$R$2),F4017,"")</f>
        <v>0.0164377386226449</v>
      </c>
      <c r="H4017" s="27" t="n">
        <f aca="false">IF(G4017="","",G4017^2)</f>
        <v>0.000270199251026393</v>
      </c>
      <c r="I4017" s="25" t="n">
        <f aca="false">IF(G4017="","",C4017/C4016-1)</f>
        <v>0.0165735815442818</v>
      </c>
      <c r="J4017" s="17" t="n">
        <f aca="false">AVERAGE(C3818:C4017)</f>
        <v>106796.3814</v>
      </c>
      <c r="K4017" s="17" t="n">
        <f aca="false">MAX(K4016,C4017)</f>
        <v>124720.09</v>
      </c>
      <c r="L4017" s="25" t="n">
        <f aca="false">C4017/K4017-1</f>
        <v>-0.277486008869942</v>
      </c>
      <c r="M4017" s="25" t="n">
        <f aca="false">IF(COUNT(G3988:G4017)&lt;20,"",_xlfn.STDEV.S(G3988:G4017)*SQRT($R$3))</f>
        <v>0.27619292449236</v>
      </c>
      <c r="N4017" s="25" t="n">
        <f aca="false">IF(A4017-7&lt;$R$2,"",C4017/INDEX(Clean_Data!$C$2:$C$4314,MATCH(A4017-7,Clean_Data!$A$2:$A$4314,1))-1)</f>
        <v>0.0324397217481767</v>
      </c>
      <c r="O4017" s="25" t="n">
        <f aca="false">IF(A4017-30&lt;$R$2,"",C4017/INDEX(Clean_Data!$C$2:$C$4314,MATCH(A4017-30,Clean_Data!$A$2:$A$4314,1))-1)</f>
        <v>-0.0326142675423723</v>
      </c>
    </row>
    <row r="4018" customFormat="false" ht="15" hidden="false" customHeight="false" outlineLevel="0" collapsed="false">
      <c r="A4018" s="16" t="n">
        <v>46025</v>
      </c>
      <c r="B4018" s="23" t="n">
        <f aca="false">YEAR(A4018)</f>
        <v>2026</v>
      </c>
      <c r="C4018" s="17" t="n">
        <v>91351.98</v>
      </c>
      <c r="D4018" s="23" t="n">
        <f aca="false">A4018-A4017</f>
        <v>1</v>
      </c>
      <c r="E4018" s="24" t="n">
        <f aca="false">LN(C4018)</f>
        <v>11.4224752364481</v>
      </c>
      <c r="F4018" s="25" t="n">
        <f aca="false">LN(C4018/C4017)</f>
        <v>0.0136665053974386</v>
      </c>
      <c r="G4018" s="25" t="n">
        <f aca="false">IF(AND(D4018=1,A4018&gt;=$R$2),F4018,"")</f>
        <v>0.0136665053974386</v>
      </c>
      <c r="H4018" s="27" t="n">
        <f aca="false">IF(G4018="","",G4018^2)</f>
        <v>0.000186773369778219</v>
      </c>
      <c r="I4018" s="25" t="n">
        <f aca="false">IF(G4018="","",C4018/C4017-1)</f>
        <v>0.0137603189630329</v>
      </c>
      <c r="J4018" s="17" t="n">
        <f aca="false">AVERAGE(C3819:C4018)</f>
        <v>106728.5633</v>
      </c>
      <c r="K4018" s="17" t="n">
        <f aca="false">MAX(K4017,C4018)</f>
        <v>124720.09</v>
      </c>
      <c r="L4018" s="25" t="n">
        <f aca="false">C4018/K4018-1</f>
        <v>-0.267543985896739</v>
      </c>
      <c r="M4018" s="25" t="n">
        <f aca="false">IF(COUNT(G3989:G4018)&lt;20,"",_xlfn.STDEV.S(G3989:G4018)*SQRT($R$3))</f>
        <v>0.279492431171231</v>
      </c>
      <c r="N4018" s="25" t="n">
        <f aca="false">IF(A4018-7&lt;$R$2,"",C4018/INDEX(Clean_Data!$C$2:$C$4314,MATCH(A4018-7,Clean_Data!$A$2:$A$4314,1))-1)</f>
        <v>0.0399263882403322</v>
      </c>
      <c r="O4018" s="25" t="n">
        <f aca="false">IF(A4018-30&lt;$R$2,"",C4018/INDEX(Clean_Data!$C$2:$C$4314,MATCH(A4018-30,Clean_Data!$A$2:$A$4314,1))-1)</f>
        <v>-0.0108423834511183</v>
      </c>
    </row>
    <row r="4019" customFormat="false" ht="15" hidden="false" customHeight="false" outlineLevel="0" collapsed="false">
      <c r="A4019" s="16" t="n">
        <v>46026</v>
      </c>
      <c r="B4019" s="23" t="n">
        <f aca="false">YEAR(A4019)</f>
        <v>2026</v>
      </c>
      <c r="C4019" s="17" t="n">
        <v>92392.38</v>
      </c>
      <c r="D4019" s="23" t="n">
        <f aca="false">A4019-A4018</f>
        <v>1</v>
      </c>
      <c r="E4019" s="24" t="n">
        <f aca="false">LN(C4019)</f>
        <v>11.4337997866967</v>
      </c>
      <c r="F4019" s="25" t="n">
        <f aca="false">LN(C4019/C4018)</f>
        <v>0.0113245502485708</v>
      </c>
      <c r="G4019" s="25" t="n">
        <f aca="false">IF(AND(D4019=1,A4019&gt;=$R$2),F4019,"")</f>
        <v>0.0113245502485708</v>
      </c>
      <c r="H4019" s="27" t="n">
        <f aca="false">IF(G4019="","",G4019^2)</f>
        <v>0.000128245438332405</v>
      </c>
      <c r="I4019" s="25" t="n">
        <f aca="false">IF(G4019="","",C4019/C4018-1)</f>
        <v>0.011388915708231</v>
      </c>
      <c r="J4019" s="17" t="n">
        <f aca="false">AVERAGE(C3820:C4019)</f>
        <v>106667.1657</v>
      </c>
      <c r="K4019" s="17" t="n">
        <f aca="false">MAX(K4018,C4019)</f>
        <v>124720.09</v>
      </c>
      <c r="L4019" s="25" t="n">
        <f aca="false">C4019/K4019-1</f>
        <v>-0.25920210609213</v>
      </c>
      <c r="M4019" s="25" t="n">
        <f aca="false">IF(COUNT(G3990:G4019)&lt;20,"",_xlfn.STDEV.S(G3990:G4019)*SQRT($R$3))</f>
        <v>0.255980385016342</v>
      </c>
      <c r="N4019" s="25" t="n">
        <f aca="false">IF(A4019-7&lt;$R$2,"",C4019/INDEX(Clean_Data!$C$2:$C$4314,MATCH(A4019-7,Clean_Data!$A$2:$A$4314,1))-1)</f>
        <v>0.0495618058859375</v>
      </c>
      <c r="O4019" s="25" t="n">
        <f aca="false">IF(A4019-30&lt;$R$2,"",C4019/INDEX(Clean_Data!$C$2:$C$4314,MATCH(A4019-30,Clean_Data!$A$2:$A$4314,1))-1)</f>
        <v>0.0340827768710776</v>
      </c>
    </row>
    <row r="4020" customFormat="false" ht="15" hidden="false" customHeight="false" outlineLevel="0" collapsed="false">
      <c r="A4020" s="16" t="n">
        <v>46027</v>
      </c>
      <c r="B4020" s="23" t="n">
        <f aca="false">YEAR(A4020)</f>
        <v>2026</v>
      </c>
      <c r="C4020" s="17" t="n">
        <v>93891.94</v>
      </c>
      <c r="D4020" s="23" t="n">
        <f aca="false">A4020-A4019</f>
        <v>1</v>
      </c>
      <c r="E4020" s="24" t="n">
        <f aca="false">LN(C4020)</f>
        <v>11.4498998255165</v>
      </c>
      <c r="F4020" s="25" t="n">
        <f aca="false">LN(C4020/C4019)</f>
        <v>0.0161000388198201</v>
      </c>
      <c r="G4020" s="25" t="n">
        <f aca="false">IF(AND(D4020=1,A4020&gt;=$R$2),F4020,"")</f>
        <v>0.0161000388198201</v>
      </c>
      <c r="H4020" s="27" t="n">
        <f aca="false">IF(G4020="","",G4020^2)</f>
        <v>0.000259211249999714</v>
      </c>
      <c r="I4020" s="25" t="n">
        <f aca="false">IF(G4020="","",C4020/C4019-1)</f>
        <v>0.0162303428053265</v>
      </c>
      <c r="J4020" s="17" t="n">
        <f aca="false">AVERAGE(C3821:C4020)</f>
        <v>106620.0364</v>
      </c>
      <c r="K4020" s="17" t="n">
        <f aca="false">MAX(K4019,C4020)</f>
        <v>124720.09</v>
      </c>
      <c r="L4020" s="25" t="n">
        <f aca="false">C4020/K4020-1</f>
        <v>-0.247178702324541</v>
      </c>
      <c r="M4020" s="25" t="n">
        <f aca="false">IF(COUNT(G3991:G4020)&lt;20,"",_xlfn.STDEV.S(G3991:G4020)*SQRT($R$3))</f>
        <v>0.261266325002406</v>
      </c>
      <c r="N4020" s="25" t="n">
        <f aca="false">IF(A4020-7&lt;$R$2,"",C4020/INDEX(Clean_Data!$C$2:$C$4314,MATCH(A4020-7,Clean_Data!$A$2:$A$4314,1))-1)</f>
        <v>0.0785330186365598</v>
      </c>
      <c r="O4020" s="25" t="n">
        <f aca="false">IF(A4020-30&lt;$R$2,"",C4020/INDEX(Clean_Data!$C$2:$C$4314,MATCH(A4020-30,Clean_Data!$A$2:$A$4314,1))-1)</f>
        <v>0.0493010429316076</v>
      </c>
    </row>
    <row r="4021" customFormat="false" ht="15" hidden="false" customHeight="false" outlineLevel="0" collapsed="false">
      <c r="A4021" s="16" t="n">
        <v>46028</v>
      </c>
      <c r="B4021" s="23" t="n">
        <f aca="false">YEAR(A4021)</f>
        <v>2026</v>
      </c>
      <c r="C4021" s="17" t="n">
        <v>92771.99</v>
      </c>
      <c r="D4021" s="23" t="n">
        <f aca="false">A4021-A4020</f>
        <v>1</v>
      </c>
      <c r="E4021" s="24" t="n">
        <f aca="false">LN(C4021)</f>
        <v>11.4379000413173</v>
      </c>
      <c r="F4021" s="25" t="n">
        <f aca="false">LN(C4021/C4020)</f>
        <v>-0.0119997841991688</v>
      </c>
      <c r="G4021" s="25" t="n">
        <f aca="false">IF(AND(D4021=1,A4021&gt;=$R$2),F4021,"")</f>
        <v>-0.0119997841991688</v>
      </c>
      <c r="H4021" s="27" t="n">
        <f aca="false">IF(G4021="","",G4021^2)</f>
        <v>0.000143994820826621</v>
      </c>
      <c r="I4021" s="25" t="n">
        <f aca="false">IF(G4021="","",C4021/C4020-1)</f>
        <v>-0.0119280739113495</v>
      </c>
      <c r="J4021" s="17" t="n">
        <f aca="false">AVERAGE(C3822:C4021)</f>
        <v>106573.0962</v>
      </c>
      <c r="K4021" s="17" t="n">
        <f aca="false">MAX(K4020,C4021)</f>
        <v>124720.09</v>
      </c>
      <c r="L4021" s="25" t="n">
        <f aca="false">C4021/K4021-1</f>
        <v>-0.256158410405252</v>
      </c>
      <c r="M4021" s="25" t="n">
        <f aca="false">IF(COUNT(G3992:G4021)&lt;20,"",_xlfn.STDEV.S(G3992:G4021)*SQRT($R$3))</f>
        <v>0.263348996828982</v>
      </c>
      <c r="N4021" s="25" t="n">
        <f aca="false">IF(A4021-7&lt;$R$2,"",C4021/INDEX(Clean_Data!$C$2:$C$4314,MATCH(A4021-7,Clean_Data!$A$2:$A$4314,1))-1)</f>
        <v>0.0520124338239747</v>
      </c>
      <c r="O4021" s="25" t="n">
        <f aca="false">IF(A4021-30&lt;$R$2,"",C4021/INDEX(Clean_Data!$C$2:$C$4314,MATCH(A4021-30,Clean_Data!$A$2:$A$4314,1))-1)</f>
        <v>0.0258368900149963</v>
      </c>
    </row>
    <row r="4022" customFormat="false" ht="15" hidden="false" customHeight="false" outlineLevel="0" collapsed="false">
      <c r="A4022" s="16" t="n">
        <v>46029</v>
      </c>
      <c r="B4022" s="23" t="n">
        <f aca="false">YEAR(A4022)</f>
        <v>2026</v>
      </c>
      <c r="C4022" s="17" t="n">
        <v>91377.92</v>
      </c>
      <c r="D4022" s="23" t="n">
        <f aca="false">A4022-A4021</f>
        <v>1</v>
      </c>
      <c r="E4022" s="24" t="n">
        <f aca="false">LN(C4022)</f>
        <v>11.4227591527658</v>
      </c>
      <c r="F4022" s="25" t="n">
        <f aca="false">LN(C4022/C4021)</f>
        <v>-0.0151408885514849</v>
      </c>
      <c r="G4022" s="25" t="n">
        <f aca="false">IF(AND(D4022=1,A4022&gt;=$R$2),F4022,"")</f>
        <v>-0.0151408885514849</v>
      </c>
      <c r="H4022" s="27" t="n">
        <f aca="false">IF(G4022="","",G4022^2)</f>
        <v>0.000229246506128486</v>
      </c>
      <c r="I4022" s="25" t="n">
        <f aca="false">IF(G4022="","",C4022/C4021-1)</f>
        <v>-0.0150268416145866</v>
      </c>
      <c r="J4022" s="17" t="n">
        <f aca="false">AVERAGE(C3823:C4022)</f>
        <v>106525.00145</v>
      </c>
      <c r="K4022" s="17" t="n">
        <f aca="false">MAX(K4021,C4022)</f>
        <v>124720.09</v>
      </c>
      <c r="L4022" s="25" t="n">
        <f aca="false">C4022/K4022-1</f>
        <v>-0.267336000158435</v>
      </c>
      <c r="M4022" s="25" t="n">
        <f aca="false">IF(COUNT(G3993:G4022)&lt;20,"",_xlfn.STDEV.S(G3993:G4022)*SQRT($R$3))</f>
        <v>0.269149771142566</v>
      </c>
      <c r="N4022" s="25" t="n">
        <f aca="false">IF(A4022-7&lt;$R$2,"",C4022/INDEX(Clean_Data!$C$2:$C$4314,MATCH(A4022-7,Clean_Data!$A$2:$A$4314,1))-1)</f>
        <v>0.0419850392264185</v>
      </c>
      <c r="O4022" s="25" t="n">
        <f aca="false">IF(A4022-30&lt;$R$2,"",C4022/INDEX(Clean_Data!$C$2:$C$4314,MATCH(A4022-30,Clean_Data!$A$2:$A$4314,1))-1)</f>
        <v>0.0115072919734993</v>
      </c>
    </row>
    <row r="4023" customFormat="false" ht="15" hidden="false" customHeight="false" outlineLevel="0" collapsed="false">
      <c r="A4023" s="16" t="n">
        <v>46030</v>
      </c>
      <c r="B4023" s="23" t="n">
        <f aca="false">YEAR(A4023)</f>
        <v>2026</v>
      </c>
      <c r="C4023" s="17" t="n">
        <v>91246.53</v>
      </c>
      <c r="D4023" s="23" t="n">
        <f aca="false">A4023-A4022</f>
        <v>1</v>
      </c>
      <c r="E4023" s="24" t="n">
        <f aca="false">LN(C4023)</f>
        <v>11.4213202433244</v>
      </c>
      <c r="F4023" s="25" t="n">
        <f aca="false">LN(C4023/C4022)</f>
        <v>-0.00143890944142276</v>
      </c>
      <c r="G4023" s="25" t="n">
        <f aca="false">IF(AND(D4023=1,A4023&gt;=$R$2),F4023,"")</f>
        <v>-0.00143890944142276</v>
      </c>
      <c r="H4023" s="27" t="n">
        <f aca="false">IF(G4023="","",G4023^2)</f>
        <v>2.07046038061555E-006</v>
      </c>
      <c r="I4023" s="25" t="n">
        <f aca="false">IF(G4023="","",C4023/C4022-1)</f>
        <v>-0.00143787470758805</v>
      </c>
      <c r="J4023" s="17" t="n">
        <f aca="false">AVERAGE(C3824:C4023)</f>
        <v>106454.13715</v>
      </c>
      <c r="K4023" s="17" t="n">
        <f aca="false">MAX(K4022,C4023)</f>
        <v>124720.09</v>
      </c>
      <c r="L4023" s="25" t="n">
        <f aca="false">C4023/K4023-1</f>
        <v>-0.268389479192967</v>
      </c>
      <c r="M4023" s="25" t="n">
        <f aca="false">IF(COUNT(G3994:G4023)&lt;20,"",_xlfn.STDEV.S(G3994:G4023)*SQRT($R$3))</f>
        <v>0.258825942125754</v>
      </c>
      <c r="N4023" s="25" t="n">
        <f aca="false">IF(A4023-7&lt;$R$2,"",C4023/INDEX(Clean_Data!$C$2:$C$4314,MATCH(A4023-7,Clean_Data!$A$2:$A$4314,1))-1)</f>
        <v>0.0293723534253398</v>
      </c>
      <c r="O4023" s="25" t="n">
        <f aca="false">IF(A4023-30&lt;$R$2,"",C4023/INDEX(Clean_Data!$C$2:$C$4314,MATCH(A4023-30,Clean_Data!$A$2:$A$4314,1))-1)</f>
        <v>-0.0108087750723439</v>
      </c>
    </row>
    <row r="4024" customFormat="false" ht="15" hidden="false" customHeight="false" outlineLevel="0" collapsed="false">
      <c r="A4024" s="16" t="n">
        <v>46031</v>
      </c>
      <c r="B4024" s="23" t="n">
        <f aca="false">YEAR(A4024)</f>
        <v>2026</v>
      </c>
      <c r="C4024" s="17" t="n">
        <v>90476.01</v>
      </c>
      <c r="D4024" s="23" t="n">
        <f aca="false">A4024-A4023</f>
        <v>1</v>
      </c>
      <c r="E4024" s="24" t="n">
        <f aca="false">LN(C4024)</f>
        <v>11.4128400116744</v>
      </c>
      <c r="F4024" s="25" t="n">
        <f aca="false">LN(C4024/C4023)</f>
        <v>-0.00848023165000356</v>
      </c>
      <c r="G4024" s="25" t="n">
        <f aca="false">IF(AND(D4024=1,A4024&gt;=$R$2),F4024,"")</f>
        <v>-0.00848023165000356</v>
      </c>
      <c r="H4024" s="27" t="n">
        <f aca="false">IF(G4024="","",G4024^2)</f>
        <v>7.19143288377222E-005</v>
      </c>
      <c r="I4024" s="25" t="n">
        <f aca="false">IF(G4024="","",C4024/C4023-1)</f>
        <v>-0.00844437591215796</v>
      </c>
      <c r="J4024" s="17" t="n">
        <f aca="false">AVERAGE(C3825:C4024)</f>
        <v>106375.8122</v>
      </c>
      <c r="K4024" s="17" t="n">
        <f aca="false">MAX(K4023,C4024)</f>
        <v>124720.09</v>
      </c>
      <c r="L4024" s="25" t="n">
        <f aca="false">C4024/K4024-1</f>
        <v>-0.274567473451952</v>
      </c>
      <c r="M4024" s="25" t="n">
        <f aca="false">IF(COUNT(G3995:G4024)&lt;20,"",_xlfn.STDEV.S(G3995:G4024)*SQRT($R$3))</f>
        <v>0.257437611249747</v>
      </c>
      <c r="N4024" s="25" t="n">
        <f aca="false">IF(A4024-7&lt;$R$2,"",C4024/INDEX(Clean_Data!$C$2:$C$4314,MATCH(A4024-7,Clean_Data!$A$2:$A$4314,1))-1)</f>
        <v>0.00403941716537015</v>
      </c>
      <c r="O4024" s="25" t="n">
        <f aca="false">IF(A4024-30&lt;$R$2,"",C4024/INDEX(Clean_Data!$C$2:$C$4314,MATCH(A4024-30,Clean_Data!$A$2:$A$4314,1))-1)</f>
        <v>-0.00788376815080927</v>
      </c>
    </row>
    <row r="4025" customFormat="false" ht="15" hidden="false" customHeight="false" outlineLevel="0" collapsed="false">
      <c r="A4025" s="16" t="n">
        <v>46032</v>
      </c>
      <c r="B4025" s="23" t="n">
        <f aca="false">YEAR(A4025)</f>
        <v>2026</v>
      </c>
      <c r="C4025" s="17" t="n">
        <v>90509.91</v>
      </c>
      <c r="D4025" s="23" t="n">
        <f aca="false">A4025-A4024</f>
        <v>1</v>
      </c>
      <c r="E4025" s="24" t="n">
        <f aca="false">LN(C4025)</f>
        <v>11.4132146264555</v>
      </c>
      <c r="F4025" s="25" t="n">
        <f aca="false">LN(C4025/C4024)</f>
        <v>0.00037461478104434</v>
      </c>
      <c r="G4025" s="25" t="n">
        <f aca="false">IF(AND(D4025=1,A4025&gt;=$R$2),F4025,"")</f>
        <v>0.00037461478104434</v>
      </c>
      <c r="H4025" s="27" t="n">
        <f aca="false">IF(G4025="","",G4025^2)</f>
        <v>1.40336234176899E-007</v>
      </c>
      <c r="I4025" s="25" t="n">
        <f aca="false">IF(G4025="","",C4025/C4024-1)</f>
        <v>0.000374684957924254</v>
      </c>
      <c r="J4025" s="17" t="n">
        <f aca="false">AVERAGE(C3826:C4025)</f>
        <v>106291.36065</v>
      </c>
      <c r="K4025" s="17" t="n">
        <f aca="false">MAX(K4024,C4025)</f>
        <v>124720.09</v>
      </c>
      <c r="L4025" s="25" t="n">
        <f aca="false">C4025/K4025-1</f>
        <v>-0.274295664796265</v>
      </c>
      <c r="M4025" s="25" t="n">
        <f aca="false">IF(COUNT(G3996:G4025)&lt;20,"",_xlfn.STDEV.S(G3996:G4025)*SQRT($R$3))</f>
        <v>0.256314971798905</v>
      </c>
      <c r="N4025" s="25" t="n">
        <f aca="false">IF(A4025-7&lt;$R$2,"",C4025/INDEX(Clean_Data!$C$2:$C$4314,MATCH(A4025-7,Clean_Data!$A$2:$A$4314,1))-1)</f>
        <v>-0.00921786260133595</v>
      </c>
      <c r="O4025" s="25" t="n">
        <f aca="false">IF(A4025-30&lt;$R$2,"",C4025/INDEX(Clean_Data!$C$2:$C$4314,MATCH(A4025-30,Clean_Data!$A$2:$A$4314,1))-1)</f>
        <v>-0.0138877343135704</v>
      </c>
    </row>
    <row r="4026" customFormat="false" ht="15" hidden="false" customHeight="false" outlineLevel="0" collapsed="false">
      <c r="A4026" s="16" t="n">
        <v>46033</v>
      </c>
      <c r="B4026" s="23" t="n">
        <f aca="false">YEAR(A4026)</f>
        <v>2026</v>
      </c>
      <c r="C4026" s="17" t="n">
        <v>91538.05</v>
      </c>
      <c r="D4026" s="23" t="n">
        <f aca="false">A4026-A4025</f>
        <v>1</v>
      </c>
      <c r="E4026" s="24" t="n">
        <f aca="false">LN(C4026)</f>
        <v>11.4245100118178</v>
      </c>
      <c r="F4026" s="25" t="n">
        <f aca="false">LN(C4026/C4025)</f>
        <v>0.0112953853622913</v>
      </c>
      <c r="G4026" s="25" t="n">
        <f aca="false">IF(AND(D4026=1,A4026&gt;=$R$2),F4026,"")</f>
        <v>0.0112953853622913</v>
      </c>
      <c r="H4026" s="27" t="n">
        <f aca="false">IF(G4026="","",G4026^2)</f>
        <v>0.000127585730482664</v>
      </c>
      <c r="I4026" s="25" t="n">
        <f aca="false">IF(G4026="","",C4026/C4025-1)</f>
        <v>0.0113594190956547</v>
      </c>
      <c r="J4026" s="17" t="n">
        <f aca="false">AVERAGE(C3827:C4026)</f>
        <v>106213.9027</v>
      </c>
      <c r="K4026" s="17" t="n">
        <f aca="false">MAX(K4025,C4026)</f>
        <v>124720.09</v>
      </c>
      <c r="L4026" s="25" t="n">
        <f aca="false">C4026/K4026-1</f>
        <v>-0.266052085113152</v>
      </c>
      <c r="M4026" s="25" t="n">
        <f aca="false">IF(COUNT(G3997:G4026)&lt;20,"",_xlfn.STDEV.S(G3997:G4026)*SQRT($R$3))</f>
        <v>0.253357703768951</v>
      </c>
      <c r="N4026" s="25" t="n">
        <f aca="false">IF(A4026-7&lt;$R$2,"",C4026/INDEX(Clean_Data!$C$2:$C$4314,MATCH(A4026-7,Clean_Data!$A$2:$A$4314,1))-1)</f>
        <v>-0.0092467582283301</v>
      </c>
      <c r="O4026" s="25" t="n">
        <f aca="false">IF(A4026-30&lt;$R$2,"",C4026/INDEX(Clean_Data!$C$2:$C$4314,MATCH(A4026-30,Clean_Data!$A$2:$A$4314,1))-1)</f>
        <v>0.0131494189263974</v>
      </c>
    </row>
    <row r="4027" customFormat="false" ht="15" hidden="false" customHeight="false" outlineLevel="0" collapsed="false">
      <c r="A4027" s="16" t="n">
        <v>46034</v>
      </c>
      <c r="B4027" s="23" t="n">
        <f aca="false">YEAR(A4027)</f>
        <v>2026</v>
      </c>
      <c r="C4027" s="17" t="n">
        <v>91293.98</v>
      </c>
      <c r="D4027" s="23" t="n">
        <f aca="false">A4027-A4026</f>
        <v>1</v>
      </c>
      <c r="E4027" s="24" t="n">
        <f aca="false">LN(C4027)</f>
        <v>11.421840127936</v>
      </c>
      <c r="F4027" s="25" t="n">
        <f aca="false">LN(C4027/C4026)</f>
        <v>-0.00266988388176031</v>
      </c>
      <c r="G4027" s="25" t="n">
        <f aca="false">IF(AND(D4027=1,A4027&gt;=$R$2),F4027,"")</f>
        <v>-0.00266988388176031</v>
      </c>
      <c r="H4027" s="27" t="n">
        <f aca="false">IF(G4027="","",G4027^2)</f>
        <v>7.12827994208349E-006</v>
      </c>
      <c r="I4027" s="25" t="n">
        <f aca="false">IF(G4027="","",C4027/C4026-1)</f>
        <v>-0.00266632291161983</v>
      </c>
      <c r="J4027" s="17" t="n">
        <f aca="false">AVERAGE(C3828:C4027)</f>
        <v>106134.8057</v>
      </c>
      <c r="K4027" s="17" t="n">
        <f aca="false">MAX(K4026,C4027)</f>
        <v>124720.09</v>
      </c>
      <c r="L4027" s="25" t="n">
        <f aca="false">C4027/K4027-1</f>
        <v>-0.268009027254551</v>
      </c>
      <c r="M4027" s="25" t="n">
        <f aca="false">IF(COUNT(G3998:G4027)&lt;20,"",_xlfn.STDEV.S(G3998:G4027)*SQRT($R$3))</f>
        <v>0.253580137702397</v>
      </c>
      <c r="N4027" s="25" t="n">
        <f aca="false">IF(A4027-7&lt;$R$2,"",C4027/INDEX(Clean_Data!$C$2:$C$4314,MATCH(A4027-7,Clean_Data!$A$2:$A$4314,1))-1)</f>
        <v>-0.0276696806988971</v>
      </c>
      <c r="O4027" s="25" t="n">
        <f aca="false">IF(A4027-30&lt;$R$2,"",C4027/INDEX(Clean_Data!$C$2:$C$4314,MATCH(A4027-30,Clean_Data!$A$2:$A$4314,1))-1)</f>
        <v>0.0107164038353957</v>
      </c>
    </row>
    <row r="4028" customFormat="false" ht="15" hidden="false" customHeight="false" outlineLevel="0" collapsed="false">
      <c r="A4028" s="16" t="n">
        <v>46035</v>
      </c>
      <c r="B4028" s="23" t="n">
        <f aca="false">YEAR(A4028)</f>
        <v>2026</v>
      </c>
      <c r="C4028" s="17" t="n">
        <v>95222.7</v>
      </c>
      <c r="D4028" s="23" t="n">
        <f aca="false">A4028-A4027</f>
        <v>1</v>
      </c>
      <c r="E4028" s="24" t="n">
        <f aca="false">LN(C4028)</f>
        <v>11.463973637734</v>
      </c>
      <c r="F4028" s="25" t="n">
        <f aca="false">LN(C4028/C4027)</f>
        <v>0.0421335097980373</v>
      </c>
      <c r="G4028" s="25" t="n">
        <f aca="false">IF(AND(D4028=1,A4028&gt;=$R$2),F4028,"")</f>
        <v>0.0421335097980373</v>
      </c>
      <c r="H4028" s="27" t="n">
        <f aca="false">IF(G4028="","",G4028^2)</f>
        <v>0.00177523264790131</v>
      </c>
      <c r="I4028" s="25" t="n">
        <f aca="false">IF(G4028="","",C4028/C4027-1)</f>
        <v>0.0430337246771364</v>
      </c>
      <c r="J4028" s="17" t="n">
        <f aca="false">AVERAGE(C3829:C4028)</f>
        <v>106074.1582</v>
      </c>
      <c r="K4028" s="17" t="n">
        <f aca="false">MAX(K4027,C4028)</f>
        <v>124720.09</v>
      </c>
      <c r="L4028" s="25" t="n">
        <f aca="false">C4028/K4028-1</f>
        <v>-0.236508729267274</v>
      </c>
      <c r="M4028" s="25" t="n">
        <f aca="false">IF(COUNT(G3999:G4028)&lt;20,"",_xlfn.STDEV.S(G3999:G4028)*SQRT($R$3))</f>
        <v>0.280949481461122</v>
      </c>
      <c r="N4028" s="25" t="n">
        <f aca="false">IF(A4028-7&lt;$R$2,"",C4028/INDEX(Clean_Data!$C$2:$C$4314,MATCH(A4028-7,Clean_Data!$A$2:$A$4314,1))-1)</f>
        <v>0.0264164862691854</v>
      </c>
      <c r="O4028" s="25" t="n">
        <f aca="false">IF(A4028-30&lt;$R$2,"",C4028/INDEX(Clean_Data!$C$2:$C$4314,MATCH(A4028-30,Clean_Data!$A$2:$A$4314,1))-1)</f>
        <v>0.0764491209078544</v>
      </c>
    </row>
    <row r="4029" customFormat="false" ht="15" hidden="false" customHeight="false" outlineLevel="0" collapsed="false">
      <c r="A4029" s="16" t="n">
        <v>46036</v>
      </c>
      <c r="B4029" s="23" t="n">
        <f aca="false">YEAR(A4029)</f>
        <v>2026</v>
      </c>
      <c r="C4029" s="17" t="n">
        <v>96852.91</v>
      </c>
      <c r="D4029" s="23" t="n">
        <f aca="false">A4029-A4028</f>
        <v>1</v>
      </c>
      <c r="E4029" s="24" t="n">
        <f aca="false">LN(C4029)</f>
        <v>11.4809487148474</v>
      </c>
      <c r="F4029" s="25" t="n">
        <f aca="false">LN(C4029/C4028)</f>
        <v>0.0169750771133326</v>
      </c>
      <c r="G4029" s="25" t="n">
        <f aca="false">IF(AND(D4029=1,A4029&gt;=$R$2),F4029,"")</f>
        <v>0.0169750771133326</v>
      </c>
      <c r="H4029" s="27" t="n">
        <f aca="false">IF(G4029="","",G4029^2)</f>
        <v>0.000288153243003588</v>
      </c>
      <c r="I4029" s="25" t="n">
        <f aca="false">IF(G4029="","",C4029/C4028-1)</f>
        <v>0.0171199724435456</v>
      </c>
      <c r="J4029" s="17" t="n">
        <f aca="false">AVERAGE(C3830:C4029)</f>
        <v>106016.49055</v>
      </c>
      <c r="K4029" s="17" t="n">
        <f aca="false">MAX(K4028,C4029)</f>
        <v>124720.09</v>
      </c>
      <c r="L4029" s="25" t="n">
        <f aca="false">C4029/K4029-1</f>
        <v>-0.223437779751442</v>
      </c>
      <c r="M4029" s="25" t="n">
        <f aca="false">IF(COUNT(G4000:G4029)&lt;20,"",_xlfn.STDEV.S(G4000:G4029)*SQRT($R$3))</f>
        <v>0.261579374704515</v>
      </c>
      <c r="N4029" s="25" t="n">
        <f aca="false">IF(A4029-7&lt;$R$2,"",C4029/INDEX(Clean_Data!$C$2:$C$4314,MATCH(A4029-7,Clean_Data!$A$2:$A$4314,1))-1)</f>
        <v>0.0599158965316786</v>
      </c>
      <c r="O4029" s="25" t="n">
        <f aca="false">IF(A4029-30&lt;$R$2,"",C4029/INDEX(Clean_Data!$C$2:$C$4314,MATCH(A4029-30,Clean_Data!$A$2:$A$4314,1))-1)</f>
        <v>0.126851774287376</v>
      </c>
    </row>
    <row r="4030" customFormat="false" ht="15" hidden="false" customHeight="false" outlineLevel="0" collapsed="false">
      <c r="A4030" s="16" t="n">
        <v>46037</v>
      </c>
      <c r="B4030" s="23" t="n">
        <f aca="false">YEAR(A4030)</f>
        <v>2026</v>
      </c>
      <c r="C4030" s="17" t="n">
        <v>95569.99</v>
      </c>
      <c r="D4030" s="23" t="n">
        <f aca="false">A4030-A4029</f>
        <v>1</v>
      </c>
      <c r="E4030" s="24" t="n">
        <f aca="false">LN(C4030)</f>
        <v>11.4676141376249</v>
      </c>
      <c r="F4030" s="25" t="n">
        <f aca="false">LN(C4030/C4029)</f>
        <v>-0.0133345772224854</v>
      </c>
      <c r="G4030" s="25" t="n">
        <f aca="false">IF(AND(D4030=1,A4030&gt;=$R$2),F4030,"")</f>
        <v>-0.0133345772224854</v>
      </c>
      <c r="H4030" s="27" t="n">
        <f aca="false">IF(G4030="","",G4030^2)</f>
        <v>0.000177810949702427</v>
      </c>
      <c r="I4030" s="25" t="n">
        <f aca="false">IF(G4030="","",C4030/C4029-1)</f>
        <v>-0.0132460656060824</v>
      </c>
      <c r="J4030" s="17" t="n">
        <f aca="false">AVERAGE(C3831:C4030)</f>
        <v>105958.47445</v>
      </c>
      <c r="K4030" s="17" t="n">
        <f aca="false">MAX(K4029,C4030)</f>
        <v>124720.09</v>
      </c>
      <c r="L4030" s="25" t="n">
        <f aca="false">C4030/K4030-1</f>
        <v>-0.233724173868059</v>
      </c>
      <c r="M4030" s="25" t="n">
        <f aca="false">IF(COUNT(G4001:G4030)&lt;20,"",_xlfn.STDEV.S(G4001:G4030)*SQRT($R$3))</f>
        <v>0.262514985437369</v>
      </c>
      <c r="N4030" s="25" t="n">
        <f aca="false">IF(A4030-7&lt;$R$2,"",C4030/INDEX(Clean_Data!$C$2:$C$4314,MATCH(A4030-7,Clean_Data!$A$2:$A$4314,1))-1)</f>
        <v>0.0473821853828305</v>
      </c>
      <c r="O4030" s="25" t="n">
        <f aca="false">IF(A4030-30&lt;$R$2,"",C4030/INDEX(Clean_Data!$C$2:$C$4314,MATCH(A4030-30,Clean_Data!$A$2:$A$4314,1))-1)</f>
        <v>0.0909832400436212</v>
      </c>
    </row>
    <row r="4031" customFormat="false" ht="15" hidden="false" customHeight="false" outlineLevel="0" collapsed="false">
      <c r="A4031" s="16" t="n">
        <v>46038</v>
      </c>
      <c r="B4031" s="23" t="n">
        <f aca="false">YEAR(A4031)</f>
        <v>2026</v>
      </c>
      <c r="C4031" s="17" t="n">
        <v>95467.76</v>
      </c>
      <c r="D4031" s="23" t="n">
        <f aca="false">A4031-A4030</f>
        <v>1</v>
      </c>
      <c r="E4031" s="24" t="n">
        <f aca="false">LN(C4031)</f>
        <v>11.4665438778489</v>
      </c>
      <c r="F4031" s="25" t="n">
        <f aca="false">LN(C4031/C4030)</f>
        <v>-0.00107025977596932</v>
      </c>
      <c r="G4031" s="25" t="n">
        <f aca="false">IF(AND(D4031=1,A4031&gt;=$R$2),F4031,"")</f>
        <v>-0.00107025977596932</v>
      </c>
      <c r="H4031" s="27" t="n">
        <f aca="false">IF(G4031="","",G4031^2)</f>
        <v>1.1454559880579E-006</v>
      </c>
      <c r="I4031" s="25" t="n">
        <f aca="false">IF(G4031="","",C4031/C4030-1)</f>
        <v>-0.00106968725224321</v>
      </c>
      <c r="J4031" s="17" t="n">
        <f aca="false">AVERAGE(C3832:C4031)</f>
        <v>105907.25435</v>
      </c>
      <c r="K4031" s="17" t="n">
        <f aca="false">MAX(K4030,C4031)</f>
        <v>124720.09</v>
      </c>
      <c r="L4031" s="25" t="n">
        <f aca="false">C4031/K4031-1</f>
        <v>-0.234543849350975</v>
      </c>
      <c r="M4031" s="25" t="n">
        <f aca="false">IF(COUNT(G4002:G4031)&lt;20,"",_xlfn.STDEV.S(G4002:G4031)*SQRT($R$3))</f>
        <v>0.252314541487554</v>
      </c>
      <c r="N4031" s="25" t="n">
        <f aca="false">IF(A4031-7&lt;$R$2,"",C4031/INDEX(Clean_Data!$C$2:$C$4314,MATCH(A4031-7,Clean_Data!$A$2:$A$4314,1))-1)</f>
        <v>0.0551720837379985</v>
      </c>
      <c r="O4031" s="25" t="n">
        <f aca="false">IF(A4031-30&lt;$R$2,"",C4031/INDEX(Clean_Data!$C$2:$C$4314,MATCH(A4031-30,Clean_Data!$A$2:$A$4314,1))-1)</f>
        <v>0.109260351035051</v>
      </c>
    </row>
    <row r="4032" customFormat="false" ht="15" hidden="false" customHeight="false" outlineLevel="0" collapsed="false">
      <c r="A4032" s="16" t="n">
        <v>46039</v>
      </c>
      <c r="B4032" s="23" t="n">
        <f aca="false">YEAR(A4032)</f>
        <v>2026</v>
      </c>
      <c r="C4032" s="17" t="n">
        <v>95015.57</v>
      </c>
      <c r="D4032" s="23" t="n">
        <f aca="false">A4032-A4031</f>
        <v>1</v>
      </c>
      <c r="E4032" s="24" t="n">
        <f aca="false">LN(C4032)</f>
        <v>11.4617960518902</v>
      </c>
      <c r="F4032" s="25" t="n">
        <f aca="false">LN(C4032/C4031)</f>
        <v>-0.00474782595865976</v>
      </c>
      <c r="G4032" s="25" t="n">
        <f aca="false">IF(AND(D4032=1,A4032&gt;=$R$2),F4032,"")</f>
        <v>-0.00474782595865976</v>
      </c>
      <c r="H4032" s="27" t="n">
        <f aca="false">IF(G4032="","",G4032^2)</f>
        <v>2.25418513337234E-005</v>
      </c>
      <c r="I4032" s="25" t="n">
        <f aca="false">IF(G4032="","",C4032/C4031-1)</f>
        <v>-0.00473657284930518</v>
      </c>
      <c r="J4032" s="17" t="n">
        <f aca="false">AVERAGE(C3833:C4032)</f>
        <v>105837.8906</v>
      </c>
      <c r="K4032" s="17" t="n">
        <f aca="false">MAX(K4031,C4032)</f>
        <v>124720.09</v>
      </c>
      <c r="L4032" s="25" t="n">
        <f aca="false">C4032/K4032-1</f>
        <v>-0.238169488171473</v>
      </c>
      <c r="M4032" s="25" t="n">
        <f aca="false">IF(COUNT(G4003:G4032)&lt;20,"",_xlfn.STDEV.S(G4003:G4032)*SQRT($R$3))</f>
        <v>0.250524303790398</v>
      </c>
      <c r="N4032" s="25" t="n">
        <f aca="false">IF(A4032-7&lt;$R$2,"",C4032/INDEX(Clean_Data!$C$2:$C$4314,MATCH(A4032-7,Clean_Data!$A$2:$A$4314,1))-1)</f>
        <v>0.0497808472022567</v>
      </c>
      <c r="O4032" s="25" t="n">
        <f aca="false">IF(A4032-30&lt;$R$2,"",C4032/INDEX(Clean_Data!$C$2:$C$4314,MATCH(A4032-30,Clean_Data!$A$2:$A$4314,1))-1)</f>
        <v>0.113216933355594</v>
      </c>
    </row>
    <row r="4033" customFormat="false" ht="15" hidden="false" customHeight="false" outlineLevel="0" collapsed="false">
      <c r="A4033" s="16" t="n">
        <v>46040</v>
      </c>
      <c r="B4033" s="23" t="n">
        <f aca="false">YEAR(A4033)</f>
        <v>2026</v>
      </c>
      <c r="C4033" s="17" t="n">
        <v>92624.74</v>
      </c>
      <c r="D4033" s="23" t="n">
        <f aca="false">A4033-A4032</f>
        <v>1</v>
      </c>
      <c r="E4033" s="24" t="n">
        <f aca="false">LN(C4033)</f>
        <v>11.4363115555769</v>
      </c>
      <c r="F4033" s="25" t="n">
        <f aca="false">LN(C4033/C4032)</f>
        <v>-0.0254844963133404</v>
      </c>
      <c r="G4033" s="25" t="n">
        <f aca="false">IF(AND(D4033=1,A4033&gt;=$R$2),F4033,"")</f>
        <v>-0.0254844963133404</v>
      </c>
      <c r="H4033" s="27" t="n">
        <f aca="false">IF(G4033="","",G4033^2)</f>
        <v>0.000649459552344662</v>
      </c>
      <c r="I4033" s="25" t="n">
        <f aca="false">IF(G4033="","",C4033/C4032-1)</f>
        <v>-0.0251625075763898</v>
      </c>
      <c r="J4033" s="17" t="n">
        <f aca="false">AVERAGE(C3834:C4033)</f>
        <v>105752.87015</v>
      </c>
      <c r="K4033" s="17" t="n">
        <f aca="false">MAX(K4032,C4033)</f>
        <v>124720.09</v>
      </c>
      <c r="L4033" s="25" t="n">
        <f aca="false">C4033/K4033-1</f>
        <v>-0.257339054197283</v>
      </c>
      <c r="M4033" s="25" t="n">
        <f aca="false">IF(COUNT(G4004:G4033)&lt;20,"",_xlfn.STDEV.S(G4004:G4033)*SQRT($R$3))</f>
        <v>0.25056387218906</v>
      </c>
      <c r="N4033" s="25" t="n">
        <f aca="false">IF(A4033-7&lt;$R$2,"",C4033/INDEX(Clean_Data!$C$2:$C$4314,MATCH(A4033-7,Clean_Data!$A$2:$A$4314,1))-1)</f>
        <v>0.0118714567330198</v>
      </c>
      <c r="O4033" s="25" t="n">
        <f aca="false">IF(A4033-30&lt;$R$2,"",C4033/INDEX(Clean_Data!$C$2:$C$4314,MATCH(A4033-30,Clean_Data!$A$2:$A$4314,1))-1)</f>
        <v>0.0523614489123523</v>
      </c>
    </row>
    <row r="4034" customFormat="false" ht="15" hidden="false" customHeight="false" outlineLevel="0" collapsed="false">
      <c r="A4034" s="16" t="n">
        <v>46041</v>
      </c>
      <c r="B4034" s="23" t="n">
        <f aca="false">YEAR(A4034)</f>
        <v>2026</v>
      </c>
      <c r="C4034" s="17" t="n">
        <v>92572.21</v>
      </c>
      <c r="D4034" s="23" t="n">
        <f aca="false">A4034-A4033</f>
        <v>1</v>
      </c>
      <c r="E4034" s="24" t="n">
        <f aca="false">LN(C4034)</f>
        <v>11.4357442676015</v>
      </c>
      <c r="F4034" s="25" t="n">
        <f aca="false">LN(C4034/C4033)</f>
        <v>-0.000567287975409359</v>
      </c>
      <c r="G4034" s="25" t="n">
        <f aca="false">IF(AND(D4034=1,A4034&gt;=$R$2),F4034,"")</f>
        <v>-0.000567287975409359</v>
      </c>
      <c r="H4034" s="27" t="n">
        <f aca="false">IF(G4034="","",G4034^2)</f>
        <v>3.21815647044049E-007</v>
      </c>
      <c r="I4034" s="25" t="n">
        <f aca="false">IF(G4034="","",C4034/C4033-1)</f>
        <v>-0.000567127098008546</v>
      </c>
      <c r="J4034" s="17" t="n">
        <f aca="false">AVERAGE(C3835:C4034)</f>
        <v>105675.5882</v>
      </c>
      <c r="K4034" s="17" t="n">
        <f aca="false">MAX(K4033,C4034)</f>
        <v>124720.09</v>
      </c>
      <c r="L4034" s="25" t="n">
        <f aca="false">C4034/K4034-1</f>
        <v>-0.25776023734428</v>
      </c>
      <c r="M4034" s="25" t="n">
        <f aca="false">IF(COUNT(G4005:G4034)&lt;20,"",_xlfn.STDEV.S(G4005:G4034)*SQRT($R$3))</f>
        <v>0.250600512746383</v>
      </c>
      <c r="N4034" s="25" t="n">
        <f aca="false">IF(A4034-7&lt;$R$2,"",C4034/INDEX(Clean_Data!$C$2:$C$4314,MATCH(A4034-7,Clean_Data!$A$2:$A$4314,1))-1)</f>
        <v>0.0140012517802379</v>
      </c>
      <c r="O4034" s="25" t="n">
        <f aca="false">IF(A4034-30&lt;$R$2,"",C4034/INDEX(Clean_Data!$C$2:$C$4314,MATCH(A4034-30,Clean_Data!$A$2:$A$4314,1))-1)</f>
        <v>0.0481171308883286</v>
      </c>
    </row>
    <row r="4035" customFormat="false" ht="15" hidden="false" customHeight="false" outlineLevel="0" collapsed="false">
      <c r="A4035" s="16" t="n">
        <v>46042</v>
      </c>
      <c r="B4035" s="23" t="n">
        <f aca="false">YEAR(A4035)</f>
        <v>2026</v>
      </c>
      <c r="C4035" s="17" t="n">
        <v>88916.02</v>
      </c>
      <c r="D4035" s="23" t="n">
        <f aca="false">A4035-A4034</f>
        <v>1</v>
      </c>
      <c r="E4035" s="24" t="n">
        <f aca="false">LN(C4035)</f>
        <v>11.3954476077422</v>
      </c>
      <c r="F4035" s="25" t="n">
        <f aca="false">LN(C4035/C4034)</f>
        <v>-0.0402966598593241</v>
      </c>
      <c r="G4035" s="25" t="n">
        <f aca="false">IF(AND(D4035=1,A4035&gt;=$R$2),F4035,"")</f>
        <v>-0.0402966598593241</v>
      </c>
      <c r="H4035" s="27" t="n">
        <f aca="false">IF(G4035="","",G4035^2)</f>
        <v>0.00162382079581807</v>
      </c>
      <c r="I4035" s="25" t="n">
        <f aca="false">IF(G4035="","",C4035/C4034-1)</f>
        <v>-0.0394955462335835</v>
      </c>
      <c r="J4035" s="17" t="n">
        <f aca="false">AVERAGE(C3836:C4035)</f>
        <v>105578.93505</v>
      </c>
      <c r="K4035" s="17" t="n">
        <f aca="false">MAX(K4034,C4035)</f>
        <v>124720.09</v>
      </c>
      <c r="L4035" s="25" t="n">
        <f aca="false">C4035/K4035-1</f>
        <v>-0.287075402206653</v>
      </c>
      <c r="M4035" s="25" t="n">
        <f aca="false">IF(COUNT(G4006:G4035)&lt;20,"",_xlfn.STDEV.S(G4006:G4035)*SQRT($R$3))</f>
        <v>0.289679055712885</v>
      </c>
      <c r="N4035" s="25" t="n">
        <f aca="false">IF(A4035-7&lt;$R$2,"",C4035/INDEX(Clean_Data!$C$2:$C$4314,MATCH(A4035-7,Clean_Data!$A$2:$A$4314,1))-1)</f>
        <v>-0.0662308462162908</v>
      </c>
      <c r="O4035" s="25" t="n">
        <f aca="false">IF(A4035-30&lt;$R$2,"",C4035/INDEX(Clean_Data!$C$2:$C$4314,MATCH(A4035-30,Clean_Data!$A$2:$A$4314,1))-1)</f>
        <v>0.0022546102168719</v>
      </c>
    </row>
    <row r="4036" customFormat="false" ht="15" hidden="false" customHeight="false" outlineLevel="0" collapsed="false">
      <c r="A4036" s="16" t="n">
        <v>46043</v>
      </c>
      <c r="B4036" s="23" t="n">
        <f aca="false">YEAR(A4036)</f>
        <v>2026</v>
      </c>
      <c r="C4036" s="17" t="n">
        <v>89936.47</v>
      </c>
      <c r="D4036" s="23" t="n">
        <f aca="false">A4036-A4035</f>
        <v>1</v>
      </c>
      <c r="E4036" s="24" t="n">
        <f aca="false">LN(C4036)</f>
        <v>11.4068588111666</v>
      </c>
      <c r="F4036" s="25" t="n">
        <f aca="false">LN(C4036/C4035)</f>
        <v>0.0114112034244751</v>
      </c>
      <c r="G4036" s="25" t="n">
        <f aca="false">IF(AND(D4036=1,A4036&gt;=$R$2),F4036,"")</f>
        <v>0.0114112034244751</v>
      </c>
      <c r="H4036" s="27" t="n">
        <f aca="false">IF(G4036="","",G4036^2)</f>
        <v>0.000130215563594752</v>
      </c>
      <c r="I4036" s="25" t="n">
        <f aca="false">IF(G4036="","",C4036/C4035-1)</f>
        <v>0.011476559567106</v>
      </c>
      <c r="J4036" s="17" t="n">
        <f aca="false">AVERAGE(C3837:C4036)</f>
        <v>105482.5275</v>
      </c>
      <c r="K4036" s="17" t="n">
        <f aca="false">MAX(K4035,C4036)</f>
        <v>124720.09</v>
      </c>
      <c r="L4036" s="25" t="n">
        <f aca="false">C4036/K4036-1</f>
        <v>-0.278893480593223</v>
      </c>
      <c r="M4036" s="25" t="n">
        <f aca="false">IF(COUNT(G4007:G4036)&lt;20,"",_xlfn.STDEV.S(G4007:G4036)*SQRT($R$3))</f>
        <v>0.292348906252146</v>
      </c>
      <c r="N4036" s="25" t="n">
        <f aca="false">IF(A4036-7&lt;$R$2,"",C4036/INDEX(Clean_Data!$C$2:$C$4314,MATCH(A4036-7,Clean_Data!$A$2:$A$4314,1))-1)</f>
        <v>-0.0714117934092017</v>
      </c>
      <c r="O4036" s="25" t="n">
        <f aca="false">IF(A4036-30&lt;$R$2,"",C4036/INDEX(Clean_Data!$C$2:$C$4314,MATCH(A4036-30,Clean_Data!$A$2:$A$4314,1))-1)</f>
        <v>0.0123652082549837</v>
      </c>
    </row>
    <row r="4037" customFormat="false" ht="15" hidden="false" customHeight="false" outlineLevel="0" collapsed="false">
      <c r="A4037" s="16" t="n">
        <v>46044</v>
      </c>
      <c r="B4037" s="23" t="n">
        <f aca="false">YEAR(A4037)</f>
        <v>2026</v>
      </c>
      <c r="C4037" s="17" t="n">
        <v>89522.33</v>
      </c>
      <c r="D4037" s="23" t="n">
        <f aca="false">A4037-A4036</f>
        <v>1</v>
      </c>
      <c r="E4037" s="24" t="n">
        <f aca="false">LN(C4037)</f>
        <v>11.4022433703504</v>
      </c>
      <c r="F4037" s="25" t="n">
        <f aca="false">LN(C4037/C4036)</f>
        <v>-0.0046154408162476</v>
      </c>
      <c r="G4037" s="25" t="n">
        <f aca="false">IF(AND(D4037=1,A4037&gt;=$R$2),F4037,"")</f>
        <v>-0.0046154408162476</v>
      </c>
      <c r="H4037" s="27" t="n">
        <f aca="false">IF(G4037="","",G4037^2)</f>
        <v>2.13022939282843E-005</v>
      </c>
      <c r="I4037" s="25" t="n">
        <f aca="false">IF(G4037="","",C4037/C4036-1)</f>
        <v>-0.00460480603697255</v>
      </c>
      <c r="J4037" s="17" t="n">
        <f aca="false">AVERAGE(C3838:C4037)</f>
        <v>105388.78995</v>
      </c>
      <c r="K4037" s="17" t="n">
        <f aca="false">MAX(K4036,C4037)</f>
        <v>124720.09</v>
      </c>
      <c r="L4037" s="25" t="n">
        <f aca="false">C4037/K4037-1</f>
        <v>-0.282214036247087</v>
      </c>
      <c r="M4037" s="25" t="n">
        <f aca="false">IF(COUNT(G4008:G4037)&lt;20,"",_xlfn.STDEV.S(G4008:G4037)*SQRT($R$3))</f>
        <v>0.288271970328949</v>
      </c>
      <c r="N4037" s="25" t="n">
        <f aca="false">IF(A4037-7&lt;$R$2,"",C4037/INDEX(Clean_Data!$C$2:$C$4314,MATCH(A4037-7,Clean_Data!$A$2:$A$4314,1))-1)</f>
        <v>-0.0632799061713829</v>
      </c>
      <c r="O4037" s="25" t="n">
        <f aca="false">IF(A4037-30&lt;$R$2,"",C4037/INDEX(Clean_Data!$C$2:$C$4314,MATCH(A4037-30,Clean_Data!$A$2:$A$4314,1))-1)</f>
        <v>0.0220057734060286</v>
      </c>
    </row>
    <row r="4038" customFormat="false" ht="15" hidden="false" customHeight="false" outlineLevel="0" collapsed="false">
      <c r="A4038" s="16" t="n">
        <v>46045</v>
      </c>
      <c r="B4038" s="23" t="n">
        <f aca="false">YEAR(A4038)</f>
        <v>2026</v>
      </c>
      <c r="C4038" s="17" t="n">
        <v>89365.99</v>
      </c>
      <c r="D4038" s="23" t="n">
        <f aca="false">A4038-A4037</f>
        <v>1</v>
      </c>
      <c r="E4038" s="24" t="n">
        <f aca="false">LN(C4038)</f>
        <v>11.4004954637257</v>
      </c>
      <c r="F4038" s="25" t="n">
        <f aca="false">LN(C4038/C4037)</f>
        <v>-0.00174790662469041</v>
      </c>
      <c r="G4038" s="25" t="n">
        <f aca="false">IF(AND(D4038=1,A4038&gt;=$R$2),F4038,"")</f>
        <v>-0.00174790662469041</v>
      </c>
      <c r="H4038" s="27" t="n">
        <f aca="false">IF(G4038="","",G4038^2)</f>
        <v>3.05517756863663E-006</v>
      </c>
      <c r="I4038" s="25" t="n">
        <f aca="false">IF(G4038="","",C4038/C4037-1)</f>
        <v>-0.00174637992554483</v>
      </c>
      <c r="J4038" s="17" t="n">
        <f aca="false">AVERAGE(C3839:C4038)</f>
        <v>105290.8297</v>
      </c>
      <c r="K4038" s="17" t="n">
        <f aca="false">MAX(K4037,C4038)</f>
        <v>124720.09</v>
      </c>
      <c r="L4038" s="25" t="n">
        <f aca="false">C4038/K4038-1</f>
        <v>-0.283467563245023</v>
      </c>
      <c r="M4038" s="25" t="n">
        <f aca="false">IF(COUNT(G4009:G4038)&lt;20,"",_xlfn.STDEV.S(G4009:G4038)*SQRT($R$3))</f>
        <v>0.288347359064948</v>
      </c>
      <c r="N4038" s="25" t="n">
        <f aca="false">IF(A4038-7&lt;$R$2,"",C4038/INDEX(Clean_Data!$C$2:$C$4314,MATCH(A4038-7,Clean_Data!$A$2:$A$4314,1))-1)</f>
        <v>-0.0639144565662795</v>
      </c>
      <c r="O4038" s="25" t="n">
        <f aca="false">IF(A4038-30&lt;$R$2,"",C4038/INDEX(Clean_Data!$C$2:$C$4314,MATCH(A4038-30,Clean_Data!$A$2:$A$4314,1))-1)</f>
        <v>0.0211388774624068</v>
      </c>
    </row>
    <row r="4039" customFormat="false" ht="15" hidden="false" customHeight="false" outlineLevel="0" collapsed="false">
      <c r="A4039" s="16" t="n">
        <v>46046</v>
      </c>
      <c r="B4039" s="23" t="n">
        <f aca="false">YEAR(A4039)</f>
        <v>2026</v>
      </c>
      <c r="C4039" s="17" t="n">
        <v>89155.13</v>
      </c>
      <c r="D4039" s="23" t="n">
        <f aca="false">A4039-A4038</f>
        <v>1</v>
      </c>
      <c r="E4039" s="24" t="n">
        <f aca="false">LN(C4039)</f>
        <v>11.3981331651018</v>
      </c>
      <c r="F4039" s="25" t="n">
        <f aca="false">LN(C4039/C4038)</f>
        <v>-0.00236229862391497</v>
      </c>
      <c r="G4039" s="25" t="n">
        <f aca="false">IF(AND(D4039=1,A4039&gt;=$R$2),F4039,"")</f>
        <v>-0.00236229862391497</v>
      </c>
      <c r="H4039" s="27" t="n">
        <f aca="false">IF(G4039="","",G4039^2)</f>
        <v>5.58045478855054E-006</v>
      </c>
      <c r="I4039" s="25" t="n">
        <f aca="false">IF(G4039="","",C4039/C4038-1)</f>
        <v>-0.00235951059234052</v>
      </c>
      <c r="J4039" s="17" t="n">
        <f aca="false">AVERAGE(C3840:C4039)</f>
        <v>105180.1911</v>
      </c>
      <c r="K4039" s="17" t="n">
        <f aca="false">MAX(K4038,C4039)</f>
        <v>124720.09</v>
      </c>
      <c r="L4039" s="25" t="n">
        <f aca="false">C4039/K4039-1</f>
        <v>-0.285158229119302</v>
      </c>
      <c r="M4039" s="25" t="n">
        <f aca="false">IF(COUNT(G4010:G4039)&lt;20,"",_xlfn.STDEV.S(G4010:G4039)*SQRT($R$3))</f>
        <v>0.288050512342046</v>
      </c>
      <c r="N4039" s="25" t="n">
        <f aca="false">IF(A4039-7&lt;$R$2,"",C4039/INDEX(Clean_Data!$C$2:$C$4314,MATCH(A4039-7,Clean_Data!$A$2:$A$4314,1))-1)</f>
        <v>-0.0616787332855026</v>
      </c>
      <c r="O4039" s="25" t="n">
        <f aca="false">IF(A4039-30&lt;$R$2,"",C4039/INDEX(Clean_Data!$C$2:$C$4314,MATCH(A4039-30,Clean_Data!$A$2:$A$4314,1))-1)</f>
        <v>0.0228980597032906</v>
      </c>
    </row>
    <row r="4040" customFormat="false" ht="15" hidden="false" customHeight="false" outlineLevel="0" collapsed="false">
      <c r="A4040" s="16" t="n">
        <v>46047</v>
      </c>
      <c r="B4040" s="23" t="n">
        <f aca="false">YEAR(A4040)</f>
        <v>2026</v>
      </c>
      <c r="C4040" s="17" t="n">
        <v>86978.89</v>
      </c>
      <c r="D4040" s="23" t="n">
        <f aca="false">A4040-A4039</f>
        <v>1</v>
      </c>
      <c r="E4040" s="24" t="n">
        <f aca="false">LN(C4040)</f>
        <v>11.3734207245158</v>
      </c>
      <c r="F4040" s="25" t="n">
        <f aca="false">LN(C4040/C4039)</f>
        <v>-0.0247124405859734</v>
      </c>
      <c r="G4040" s="25" t="n">
        <f aca="false">IF(AND(D4040=1,A4040&gt;=$R$2),F4040,"")</f>
        <v>-0.0247124405859734</v>
      </c>
      <c r="H4040" s="27" t="n">
        <f aca="false">IF(G4040="","",G4040^2)</f>
        <v>0.000610704719715267</v>
      </c>
      <c r="I4040" s="25" t="n">
        <f aca="false">IF(G4040="","",C4040/C4039-1)</f>
        <v>-0.0244095880966132</v>
      </c>
      <c r="J4040" s="17" t="n">
        <f aca="false">AVERAGE(C3841:C4040)</f>
        <v>105034.92905</v>
      </c>
      <c r="K4040" s="17" t="n">
        <f aca="false">MAX(K4039,C4040)</f>
        <v>124720.09</v>
      </c>
      <c r="L4040" s="25" t="n">
        <f aca="false">C4040/K4040-1</f>
        <v>-0.302607222300754</v>
      </c>
      <c r="M4040" s="25" t="n">
        <f aca="false">IF(COUNT(G4011:G4040)&lt;20,"",_xlfn.STDEV.S(G4011:G4040)*SQRT($R$3))</f>
        <v>0.301405405001549</v>
      </c>
      <c r="N4040" s="25" t="n">
        <f aca="false">IF(A4040-7&lt;$R$2,"",C4040/INDEX(Clean_Data!$C$2:$C$4314,MATCH(A4040-7,Clean_Data!$A$2:$A$4314,1))-1)</f>
        <v>-0.060954017252842</v>
      </c>
      <c r="O4040" s="25" t="n">
        <f aca="false">IF(A4040-30&lt;$R$2,"",C4040/INDEX(Clean_Data!$C$2:$C$4314,MATCH(A4040-30,Clean_Data!$A$2:$A$4314,1))-1)</f>
        <v>-0.00345735280385739</v>
      </c>
    </row>
    <row r="4041" customFormat="false" ht="15" hidden="false" customHeight="false" outlineLevel="0" collapsed="false">
      <c r="A4041" s="16" t="n">
        <v>46048</v>
      </c>
      <c r="B4041" s="23" t="n">
        <f aca="false">YEAR(A4041)</f>
        <v>2026</v>
      </c>
      <c r="C4041" s="17" t="n">
        <v>88136.48</v>
      </c>
      <c r="D4041" s="23" t="n">
        <f aca="false">A4041-A4040</f>
        <v>1</v>
      </c>
      <c r="E4041" s="24" t="n">
        <f aca="false">LN(C4041)</f>
        <v>11.3866418011338</v>
      </c>
      <c r="F4041" s="25" t="n">
        <f aca="false">LN(C4041/C4040)</f>
        <v>0.013221076617961</v>
      </c>
      <c r="G4041" s="25" t="n">
        <f aca="false">IF(AND(D4041=1,A4041&gt;=$R$2),F4041,"")</f>
        <v>0.013221076617961</v>
      </c>
      <c r="H4041" s="27" t="n">
        <f aca="false">IF(G4041="","",G4041^2)</f>
        <v>0.000174796866937996</v>
      </c>
      <c r="I4041" s="25" t="n">
        <f aca="false">IF(G4041="","",C4041/C4040-1)</f>
        <v>0.0133088614950132</v>
      </c>
      <c r="J4041" s="17" t="n">
        <f aca="false">AVERAGE(C3842:C4041)</f>
        <v>104887.70065</v>
      </c>
      <c r="K4041" s="17" t="n">
        <f aca="false">MAX(K4040,C4041)</f>
        <v>124720.09</v>
      </c>
      <c r="L4041" s="25" t="n">
        <f aca="false">C4041/K4041-1</f>
        <v>-0.293325718414732</v>
      </c>
      <c r="M4041" s="25" t="n">
        <f aca="false">IF(COUNT(G4012:G4041)&lt;20,"",_xlfn.STDEV.S(G4012:G4041)*SQRT($R$3))</f>
        <v>0.304176707327761</v>
      </c>
      <c r="N4041" s="25" t="n">
        <f aca="false">IF(A4041-7&lt;$R$2,"",C4041/INDEX(Clean_Data!$C$2:$C$4314,MATCH(A4041-7,Clean_Data!$A$2:$A$4314,1))-1)</f>
        <v>-0.047916431939996</v>
      </c>
      <c r="O4041" s="25" t="n">
        <f aca="false">IF(A4041-30&lt;$R$2,"",C4041/INDEX(Clean_Data!$C$2:$C$4314,MATCH(A4041-30,Clean_Data!$A$2:$A$4314,1))-1)</f>
        <v>0.00332200044942965</v>
      </c>
    </row>
    <row r="4042" customFormat="false" ht="15" hidden="false" customHeight="false" outlineLevel="0" collapsed="false">
      <c r="A4042" s="16" t="n">
        <v>46049</v>
      </c>
      <c r="B4042" s="23" t="n">
        <f aca="false">YEAR(A4042)</f>
        <v>2026</v>
      </c>
      <c r="C4042" s="17" t="n">
        <v>89296</v>
      </c>
      <c r="D4042" s="23" t="n">
        <f aca="false">A4042-A4041</f>
        <v>1</v>
      </c>
      <c r="E4042" s="24" t="n">
        <f aca="false">LN(C4042)</f>
        <v>11.3997119730282</v>
      </c>
      <c r="F4042" s="25" t="n">
        <f aca="false">LN(C4042/C4041)</f>
        <v>0.0130701718944339</v>
      </c>
      <c r="G4042" s="25" t="n">
        <f aca="false">IF(AND(D4042=1,A4042&gt;=$R$2),F4042,"")</f>
        <v>0.0130701718944339</v>
      </c>
      <c r="H4042" s="27" t="n">
        <f aca="false">IF(G4042="","",G4042^2)</f>
        <v>0.000170829393350049</v>
      </c>
      <c r="I4042" s="25" t="n">
        <f aca="false">IF(G4042="","",C4042/C4041-1)</f>
        <v>0.0131559599384954</v>
      </c>
      <c r="J4042" s="17" t="n">
        <f aca="false">AVERAGE(C3843:C4042)</f>
        <v>104746.8174</v>
      </c>
      <c r="K4042" s="17" t="n">
        <f aca="false">MAX(K4041,C4042)</f>
        <v>124720.09</v>
      </c>
      <c r="L4042" s="25" t="n">
        <f aca="false">C4042/K4042-1</f>
        <v>-0.284028739876631</v>
      </c>
      <c r="M4042" s="25" t="n">
        <f aca="false">IF(COUNT(G4013:G4042)&lt;20,"",_xlfn.STDEV.S(G4013:G4042)*SQRT($R$3))</f>
        <v>0.307468648991323</v>
      </c>
      <c r="N4042" s="25" t="n">
        <f aca="false">IF(A4042-7&lt;$R$2,"",C4042/INDEX(Clean_Data!$C$2:$C$4314,MATCH(A4042-7,Clean_Data!$A$2:$A$4314,1))-1)</f>
        <v>0.004273470629927</v>
      </c>
      <c r="O4042" s="25" t="n">
        <f aca="false">IF(A4042-30&lt;$R$2,"",C4042/INDEX(Clean_Data!$C$2:$C$4314,MATCH(A4042-30,Clean_Data!$A$2:$A$4314,1))-1)</f>
        <v>0.014387452930541</v>
      </c>
    </row>
    <row r="4043" customFormat="false" ht="15" hidden="false" customHeight="false" outlineLevel="0" collapsed="false">
      <c r="A4043" s="16" t="n">
        <v>46050</v>
      </c>
      <c r="B4043" s="23" t="n">
        <f aca="false">YEAR(A4043)</f>
        <v>2026</v>
      </c>
      <c r="C4043" s="17" t="n">
        <v>88963.96</v>
      </c>
      <c r="D4043" s="23" t="n">
        <f aca="false">A4043-A4042</f>
        <v>1</v>
      </c>
      <c r="E4043" s="24" t="n">
        <f aca="false">LN(C4043)</f>
        <v>11.3959866228822</v>
      </c>
      <c r="F4043" s="25" t="n">
        <f aca="false">LN(C4043/C4042)</f>
        <v>-0.00372535014605223</v>
      </c>
      <c r="G4043" s="25" t="n">
        <f aca="false">IF(AND(D4043=1,A4043&gt;=$R$2),F4043,"")</f>
        <v>-0.00372535014605223</v>
      </c>
      <c r="H4043" s="27" t="n">
        <f aca="false">IF(G4043="","",G4043^2)</f>
        <v>1.38782337106914E-005</v>
      </c>
      <c r="I4043" s="25" t="n">
        <f aca="false">IF(G4043="","",C4043/C4042-1)</f>
        <v>-0.00371841963805764</v>
      </c>
      <c r="J4043" s="17" t="n">
        <f aca="false">AVERAGE(C3844:C4043)</f>
        <v>104595.98315</v>
      </c>
      <c r="K4043" s="17" t="n">
        <f aca="false">MAX(K4042,C4043)</f>
        <v>124720.09</v>
      </c>
      <c r="L4043" s="25" t="n">
        <f aca="false">C4043/K4043-1</f>
        <v>-0.286691021470558</v>
      </c>
      <c r="M4043" s="25" t="n">
        <f aca="false">IF(COUNT(G4014:G4043)&lt;20,"",_xlfn.STDEV.S(G4014:G4043)*SQRT($R$3))</f>
        <v>0.305026296991821</v>
      </c>
      <c r="N4043" s="25" t="n">
        <f aca="false">IF(A4043-7&lt;$R$2,"",C4043/INDEX(Clean_Data!$C$2:$C$4314,MATCH(A4043-7,Clean_Data!$A$2:$A$4314,1))-1)</f>
        <v>-0.0108132996547451</v>
      </c>
      <c r="O4043" s="25" t="n">
        <f aca="false">IF(A4043-30&lt;$R$2,"",C4043/INDEX(Clean_Data!$C$2:$C$4314,MATCH(A4043-30,Clean_Data!$A$2:$A$4314,1))-1)</f>
        <v>0.0219255063710706</v>
      </c>
    </row>
    <row r="4044" customFormat="false" ht="15" hidden="false" customHeight="false" outlineLevel="0" collapsed="false">
      <c r="A4044" s="16" t="n">
        <v>46051</v>
      </c>
      <c r="B4044" s="23" t="n">
        <f aca="false">YEAR(A4044)</f>
        <v>2026</v>
      </c>
      <c r="C4044" s="17" t="n">
        <v>83943.96</v>
      </c>
      <c r="D4044" s="23" t="n">
        <f aca="false">A4044-A4043</f>
        <v>1</v>
      </c>
      <c r="E4044" s="24" t="n">
        <f aca="false">LN(C4044)</f>
        <v>11.3379047123295</v>
      </c>
      <c r="F4044" s="25" t="n">
        <f aca="false">LN(C4044/C4043)</f>
        <v>-0.0580819105526774</v>
      </c>
      <c r="G4044" s="25" t="n">
        <f aca="false">IF(AND(D4044=1,A4044&gt;=$R$2),F4044,"")</f>
        <v>-0.0580819105526774</v>
      </c>
      <c r="H4044" s="27" t="n">
        <f aca="false">IF(G4044="","",G4044^2)</f>
        <v>0.00337350833344922</v>
      </c>
      <c r="I4044" s="25" t="n">
        <f aca="false">IF(G4044="","",C4044/C4043-1)</f>
        <v>-0.056427344286383</v>
      </c>
      <c r="J4044" s="17" t="n">
        <f aca="false">AVERAGE(C3845:C4044)</f>
        <v>104416.3844</v>
      </c>
      <c r="K4044" s="17" t="n">
        <f aca="false">MAX(K4043,C4044)</f>
        <v>124720.09</v>
      </c>
      <c r="L4044" s="25" t="n">
        <f aca="false">C4044/K4044-1</f>
        <v>-0.326941152784607</v>
      </c>
      <c r="M4044" s="25" t="n">
        <f aca="false">IF(COUNT(G4015:G4044)&lt;20,"",_xlfn.STDEV.S(G4015:G4044)*SQRT($R$3))</f>
        <v>0.364122576191058</v>
      </c>
      <c r="N4044" s="25" t="n">
        <f aca="false">IF(A4044-7&lt;$R$2,"",C4044/INDEX(Clean_Data!$C$2:$C$4314,MATCH(A4044-7,Clean_Data!$A$2:$A$4314,1))-1)</f>
        <v>-0.0623126096025427</v>
      </c>
      <c r="O4044" s="25" t="n">
        <f aca="false">IF(A4044-30&lt;$R$2,"",C4044/INDEX(Clean_Data!$C$2:$C$4314,MATCH(A4044-30,Clean_Data!$A$2:$A$4314,1))-1)</f>
        <v>-0.0480953392891282</v>
      </c>
    </row>
    <row r="4045" customFormat="false" ht="15" hidden="false" customHeight="false" outlineLevel="0" collapsed="false">
      <c r="A4045" s="16" t="n">
        <v>46052</v>
      </c>
      <c r="B4045" s="23" t="n">
        <f aca="false">YEAR(A4045)</f>
        <v>2026</v>
      </c>
      <c r="C4045" s="17" t="n">
        <v>83986.02</v>
      </c>
      <c r="D4045" s="23" t="n">
        <f aca="false">A4045-A4044</f>
        <v>1</v>
      </c>
      <c r="E4045" s="24" t="n">
        <f aca="false">LN(C4045)</f>
        <v>11.3384056354033</v>
      </c>
      <c r="F4045" s="25" t="n">
        <f aca="false">LN(C4045/C4044)</f>
        <v>0.000500923073765403</v>
      </c>
      <c r="G4045" s="25" t="n">
        <f aca="false">IF(AND(D4045=1,A4045&gt;=$R$2),F4045,"")</f>
        <v>0.000500923073765403</v>
      </c>
      <c r="H4045" s="27" t="n">
        <f aca="false">IF(G4045="","",G4045^2)</f>
        <v>2.50923925830579E-007</v>
      </c>
      <c r="I4045" s="25" t="n">
        <f aca="false">IF(G4045="","",C4045/C4044-1)</f>
        <v>0.000501048556679873</v>
      </c>
      <c r="J4045" s="17" t="n">
        <f aca="false">AVERAGE(C3846:C4045)</f>
        <v>104247.4063</v>
      </c>
      <c r="K4045" s="17" t="n">
        <f aca="false">MAX(K4044,C4045)</f>
        <v>124720.09</v>
      </c>
      <c r="L4045" s="25" t="n">
        <f aca="false">C4045/K4045-1</f>
        <v>-0.32660391762065</v>
      </c>
      <c r="M4045" s="25" t="n">
        <f aca="false">IF(COUNT(G4016:G4045)&lt;20,"",_xlfn.STDEV.S(G4016:G4045)*SQRT($R$3))</f>
        <v>0.363915122050336</v>
      </c>
      <c r="N4045" s="25" t="n">
        <f aca="false">IF(A4045-7&lt;$R$2,"",C4045/INDEX(Clean_Data!$C$2:$C$4314,MATCH(A4045-7,Clean_Data!$A$2:$A$4314,1))-1)</f>
        <v>-0.0602015375200342</v>
      </c>
      <c r="O4045" s="25" t="n">
        <f aca="false">IF(A4045-30&lt;$R$2,"",C4045/INDEX(Clean_Data!$C$2:$C$4314,MATCH(A4045-30,Clean_Data!$A$2:$A$4314,1))-1)</f>
        <v>-0.0423050082101806</v>
      </c>
    </row>
    <row r="4046" customFormat="false" ht="15" hidden="false" customHeight="false" outlineLevel="0" collapsed="false">
      <c r="A4046" s="16" t="n">
        <v>46053</v>
      </c>
      <c r="B4046" s="23" t="n">
        <f aca="false">YEAR(A4046)</f>
        <v>2026</v>
      </c>
      <c r="C4046" s="17" t="n">
        <v>78727.3</v>
      </c>
      <c r="D4046" s="23" t="n">
        <f aca="false">A4046-A4045</f>
        <v>1</v>
      </c>
      <c r="E4046" s="24" t="n">
        <f aca="false">LN(C4046)</f>
        <v>11.2737452611665</v>
      </c>
      <c r="F4046" s="25" t="n">
        <f aca="false">LN(C4046/C4045)</f>
        <v>-0.0646603742367856</v>
      </c>
      <c r="G4046" s="25" t="n">
        <f aca="false">IF(AND(D4046=1,A4046&gt;=$R$2),F4046,"")</f>
        <v>-0.0646603742367856</v>
      </c>
      <c r="H4046" s="27" t="n">
        <f aca="false">IF(G4046="","",G4046^2)</f>
        <v>0.00418096399644117</v>
      </c>
      <c r="I4046" s="25" t="n">
        <f aca="false">IF(G4046="","",C4046/C4045-1)</f>
        <v>-0.0626142303207129</v>
      </c>
      <c r="J4046" s="17" t="n">
        <f aca="false">AVERAGE(C3847:C4046)</f>
        <v>104047.6344</v>
      </c>
      <c r="K4046" s="17" t="n">
        <f aca="false">MAX(K4045,C4046)</f>
        <v>124720.09</v>
      </c>
      <c r="L4046" s="25" t="n">
        <f aca="false">C4046/K4046-1</f>
        <v>-0.368768095019816</v>
      </c>
      <c r="M4046" s="25" t="n">
        <f aca="false">IF(COUNT(G4017:G4046)&lt;20,"",_xlfn.STDEV.S(G4017:G4046)*SQRT($R$3))</f>
        <v>0.422475048501361</v>
      </c>
      <c r="N4046" s="25" t="n">
        <f aca="false">IF(A4046-7&lt;$R$2,"",C4046/INDEX(Clean_Data!$C$2:$C$4314,MATCH(A4046-7,Clean_Data!$A$2:$A$4314,1))-1)</f>
        <v>-0.116962759181665</v>
      </c>
      <c r="O4046" s="25" t="n">
        <f aca="false">IF(A4046-30&lt;$R$2,"",C4046/INDEX(Clean_Data!$C$2:$C$4314,MATCH(A4046-30,Clean_Data!$A$2:$A$4314,1))-1)</f>
        <v>-0.111859858343953</v>
      </c>
    </row>
    <row r="4047" customFormat="false" ht="15" hidden="false" customHeight="false" outlineLevel="0" collapsed="false">
      <c r="A4047" s="16" t="n">
        <v>46054</v>
      </c>
      <c r="B4047" s="23" t="n">
        <f aca="false">YEAR(A4047)</f>
        <v>2026</v>
      </c>
      <c r="C4047" s="17" t="n">
        <v>77831.33</v>
      </c>
      <c r="D4047" s="23" t="n">
        <f aca="false">A4047-A4046</f>
        <v>1</v>
      </c>
      <c r="E4047" s="24" t="n">
        <f aca="false">LN(C4047)</f>
        <v>11.2622993283337</v>
      </c>
      <c r="F4047" s="25" t="n">
        <f aca="false">LN(C4047/C4046)</f>
        <v>-0.0114459328327631</v>
      </c>
      <c r="G4047" s="25" t="n">
        <f aca="false">IF(AND(D4047=1,A4047&gt;=$R$2),F4047,"")</f>
        <v>-0.0114459328327631</v>
      </c>
      <c r="H4047" s="27" t="n">
        <f aca="false">IF(G4047="","",G4047^2)</f>
        <v>0.000131009378412125</v>
      </c>
      <c r="I4047" s="25" t="n">
        <f aca="false">IF(G4047="","",C4047/C4046-1)</f>
        <v>-0.0113806773508046</v>
      </c>
      <c r="J4047" s="17" t="n">
        <f aca="false">AVERAGE(C3848:C4047)</f>
        <v>103840.4226</v>
      </c>
      <c r="K4047" s="17" t="n">
        <f aca="false">MAX(K4046,C4047)</f>
        <v>124720.09</v>
      </c>
      <c r="L4047" s="25" t="n">
        <f aca="false">C4047/K4047-1</f>
        <v>-0.375951941663929</v>
      </c>
      <c r="M4047" s="25" t="n">
        <f aca="false">IF(COUNT(G4018:G4047)&lt;20,"",_xlfn.STDEV.S(G4018:G4047)*SQRT($R$3))</f>
        <v>0.416691322106326</v>
      </c>
      <c r="N4047" s="25" t="n">
        <f aca="false">IF(A4047-7&lt;$R$2,"",C4047/INDEX(Clean_Data!$C$2:$C$4314,MATCH(A4047-7,Clean_Data!$A$2:$A$4314,1))-1)</f>
        <v>-0.105169886624214</v>
      </c>
      <c r="O4047" s="25" t="n">
        <f aca="false">IF(A4047-30&lt;$R$2,"",C4047/INDEX(Clean_Data!$C$2:$C$4314,MATCH(A4047-30,Clean_Data!$A$2:$A$4314,1))-1)</f>
        <v>-0.136282388995651</v>
      </c>
    </row>
    <row r="4048" customFormat="false" ht="15" hidden="false" customHeight="false" outlineLevel="0" collapsed="false">
      <c r="A4048" s="16" t="n">
        <v>46055</v>
      </c>
      <c r="B4048" s="23" t="n">
        <f aca="false">YEAR(A4048)</f>
        <v>2026</v>
      </c>
      <c r="C4048" s="17" t="n">
        <v>78938.16</v>
      </c>
      <c r="D4048" s="23" t="n">
        <f aca="false">A4048-A4047</f>
        <v>1</v>
      </c>
      <c r="E4048" s="24" t="n">
        <f aca="false">LN(C4048)</f>
        <v>11.276420040103</v>
      </c>
      <c r="F4048" s="25" t="n">
        <f aca="false">LN(C4048/C4047)</f>
        <v>0.0141207117693223</v>
      </c>
      <c r="G4048" s="25" t="n">
        <f aca="false">IF(AND(D4048=1,A4048&gt;=$R$2),F4048,"")</f>
        <v>0.0141207117693223</v>
      </c>
      <c r="H4048" s="27" t="n">
        <f aca="false">IF(G4048="","",G4048^2)</f>
        <v>0.000199394500872277</v>
      </c>
      <c r="I4048" s="25" t="n">
        <f aca="false">IF(G4048="","",C4048/C4047-1)</f>
        <v>0.0142208799464174</v>
      </c>
      <c r="J4048" s="17" t="n">
        <f aca="false">AVERAGE(C3849:C4048)</f>
        <v>103644.99815</v>
      </c>
      <c r="K4048" s="17" t="n">
        <f aca="false">MAX(K4047,C4048)</f>
        <v>124720.09</v>
      </c>
      <c r="L4048" s="25" t="n">
        <f aca="false">C4048/K4048-1</f>
        <v>-0.367077429145537</v>
      </c>
      <c r="M4048" s="25" t="n">
        <f aca="false">IF(COUNT(G4019:G4048)&lt;20,"",_xlfn.STDEV.S(G4019:G4048)*SQRT($R$3))</f>
        <v>0.416948750526554</v>
      </c>
      <c r="N4048" s="25" t="n">
        <f aca="false">IF(A4048-7&lt;$R$2,"",C4048/INDEX(Clean_Data!$C$2:$C$4314,MATCH(A4048-7,Clean_Data!$A$2:$A$4314,1))-1)</f>
        <v>-0.104364503778685</v>
      </c>
      <c r="O4048" s="25" t="n">
        <f aca="false">IF(A4048-30&lt;$R$2,"",C4048/INDEX(Clean_Data!$C$2:$C$4314,MATCH(A4048-30,Clean_Data!$A$2:$A$4314,1))-1)</f>
        <v>-0.135889993845782</v>
      </c>
    </row>
    <row r="4049" customFormat="false" ht="15" hidden="false" customHeight="false" outlineLevel="0" collapsed="false">
      <c r="A4049" s="16" t="n">
        <v>46056</v>
      </c>
      <c r="B4049" s="23" t="n">
        <f aca="false">YEAR(A4049)</f>
        <v>2026</v>
      </c>
      <c r="C4049" s="17" t="n">
        <v>76313.98</v>
      </c>
      <c r="D4049" s="23" t="n">
        <f aca="false">A4049-A4048</f>
        <v>1</v>
      </c>
      <c r="E4049" s="24" t="n">
        <f aca="false">LN(C4049)</f>
        <v>11.2426114246044</v>
      </c>
      <c r="F4049" s="25" t="n">
        <f aca="false">LN(C4049/C4048)</f>
        <v>-0.0338086154986299</v>
      </c>
      <c r="G4049" s="25" t="n">
        <f aca="false">IF(AND(D4049=1,A4049&gt;=$R$2),F4049,"")</f>
        <v>-0.0338086154986299</v>
      </c>
      <c r="H4049" s="27" t="n">
        <f aca="false">IF(G4049="","",G4049^2)</f>
        <v>0.00114302248193419</v>
      </c>
      <c r="I4049" s="25" t="n">
        <f aca="false">IF(G4049="","",C4049/C4048-1)</f>
        <v>-0.0332434908541066</v>
      </c>
      <c r="J4049" s="17" t="n">
        <f aca="false">AVERAGE(C3850:C4049)</f>
        <v>103436.9972</v>
      </c>
      <c r="K4049" s="17" t="n">
        <f aca="false">MAX(K4048,C4049)</f>
        <v>124720.09</v>
      </c>
      <c r="L4049" s="25" t="n">
        <f aca="false">C4049/K4049-1</f>
        <v>-0.388117984841095</v>
      </c>
      <c r="M4049" s="25" t="n">
        <f aca="false">IF(COUNT(G4020:G4049)&lt;20,"",_xlfn.STDEV.S(G4020:G4049)*SQRT($R$3))</f>
        <v>0.424538204799905</v>
      </c>
      <c r="N4049" s="25" t="n">
        <f aca="false">IF(A4049-7&lt;$R$2,"",C4049/INDEX(Clean_Data!$C$2:$C$4314,MATCH(A4049-7,Clean_Data!$A$2:$A$4314,1))-1)</f>
        <v>-0.145381876007884</v>
      </c>
      <c r="O4049" s="25" t="n">
        <f aca="false">IF(A4049-30&lt;$R$2,"",C4049/INDEX(Clean_Data!$C$2:$C$4314,MATCH(A4049-30,Clean_Data!$A$2:$A$4314,1))-1)</f>
        <v>-0.174023009256824</v>
      </c>
    </row>
    <row r="4050" customFormat="false" ht="15" hidden="false" customHeight="false" outlineLevel="0" collapsed="false">
      <c r="A4050" s="16" t="n">
        <v>46057</v>
      </c>
      <c r="B4050" s="23" t="n">
        <f aca="false">YEAR(A4050)</f>
        <v>2026</v>
      </c>
      <c r="C4050" s="17" t="n">
        <v>72853.79</v>
      </c>
      <c r="D4050" s="23" t="n">
        <f aca="false">A4050-A4049</f>
        <v>1</v>
      </c>
      <c r="E4050" s="24" t="n">
        <f aca="false">LN(C4050)</f>
        <v>11.1962098349784</v>
      </c>
      <c r="F4050" s="25" t="n">
        <f aca="false">LN(C4050/C4049)</f>
        <v>-0.0464015896259771</v>
      </c>
      <c r="G4050" s="25" t="n">
        <f aca="false">IF(AND(D4050=1,A4050&gt;=$R$2),F4050,"")</f>
        <v>-0.0464015896259771</v>
      </c>
      <c r="H4050" s="27" t="n">
        <f aca="false">IF(G4050="","",G4050^2)</f>
        <v>0.00215310751981758</v>
      </c>
      <c r="I4050" s="25" t="n">
        <f aca="false">IF(G4050="","",C4050/C4049-1)</f>
        <v>-0.0453414957521545</v>
      </c>
      <c r="J4050" s="17" t="n">
        <f aca="false">AVERAGE(C3851:C4050)</f>
        <v>103214.70265</v>
      </c>
      <c r="K4050" s="17" t="n">
        <f aca="false">MAX(K4049,C4050)</f>
        <v>124720.09</v>
      </c>
      <c r="L4050" s="25" t="n">
        <f aca="false">C4050/K4050-1</f>
        <v>-0.415861630632242</v>
      </c>
      <c r="M4050" s="25" t="n">
        <f aca="false">IF(COUNT(G4021:G4050)&lt;20,"",_xlfn.STDEV.S(G4021:G4050)*SQRT($R$3))</f>
        <v>0.438638895666115</v>
      </c>
      <c r="N4050" s="25" t="n">
        <f aca="false">IF(A4050-7&lt;$R$2,"",C4050/INDEX(Clean_Data!$C$2:$C$4314,MATCH(A4050-7,Clean_Data!$A$2:$A$4314,1))-1)</f>
        <v>-0.181086475916765</v>
      </c>
      <c r="O4050" s="25" t="n">
        <f aca="false">IF(A4050-30&lt;$R$2,"",C4050/INDEX(Clean_Data!$C$2:$C$4314,MATCH(A4050-30,Clean_Data!$A$2:$A$4314,1))-1)</f>
        <v>-0.224067688877235</v>
      </c>
    </row>
    <row r="4051" customFormat="false" ht="15" hidden="false" customHeight="false" outlineLevel="0" collapsed="false">
      <c r="A4051" s="16" t="n">
        <v>46058</v>
      </c>
      <c r="B4051" s="23" t="n">
        <f aca="false">YEAR(A4051)</f>
        <v>2026</v>
      </c>
      <c r="C4051" s="17" t="n">
        <v>63845.99</v>
      </c>
      <c r="D4051" s="23" t="n">
        <f aca="false">A4051-A4050</f>
        <v>1</v>
      </c>
      <c r="E4051" s="24" t="n">
        <f aca="false">LN(C4051)</f>
        <v>11.0642290560429</v>
      </c>
      <c r="F4051" s="25" t="n">
        <f aca="false">LN(C4051/C4050)</f>
        <v>-0.131980778935527</v>
      </c>
      <c r="G4051" s="25" t="n">
        <f aca="false">IF(AND(D4051=1,A4051&gt;=$R$2),F4051,"")</f>
        <v>-0.131980778935527</v>
      </c>
      <c r="H4051" s="27" t="n">
        <f aca="false">IF(G4051="","",G4051^2)</f>
        <v>0.0174189260084283</v>
      </c>
      <c r="I4051" s="25" t="n">
        <f aca="false">IF(G4051="","",C4051/C4050-1)</f>
        <v>-0.123642160551977</v>
      </c>
      <c r="J4051" s="17" t="n">
        <f aca="false">AVERAGE(C3852:C4051)</f>
        <v>102946.78865</v>
      </c>
      <c r="K4051" s="17" t="n">
        <f aca="false">MAX(K4050,C4051)</f>
        <v>124720.09</v>
      </c>
      <c r="L4051" s="25" t="n">
        <f aca="false">C4051/K4051-1</f>
        <v>-0.48808576068218</v>
      </c>
      <c r="M4051" s="25" t="n">
        <f aca="false">IF(COUNT(G4022:G4051)&lt;20,"",_xlfn.STDEV.S(G4022:G4051)*SQRT($R$3))</f>
        <v>0.615020780889591</v>
      </c>
      <c r="N4051" s="25" t="n">
        <f aca="false">IF(A4051-7&lt;$R$2,"",C4051/INDEX(Clean_Data!$C$2:$C$4314,MATCH(A4051-7,Clean_Data!$A$2:$A$4314,1))-1)</f>
        <v>-0.239421275813054</v>
      </c>
      <c r="O4051" s="25" t="n">
        <f aca="false">IF(A4051-30&lt;$R$2,"",C4051/INDEX(Clean_Data!$C$2:$C$4314,MATCH(A4051-30,Clean_Data!$A$2:$A$4314,1))-1)</f>
        <v>-0.311796696395108</v>
      </c>
    </row>
    <row r="4052" customFormat="false" ht="15" hidden="false" customHeight="false" outlineLevel="0" collapsed="false">
      <c r="A4052" s="16" t="n">
        <v>46059</v>
      </c>
      <c r="B4052" s="23" t="n">
        <f aca="false">YEAR(A4052)</f>
        <v>2026</v>
      </c>
      <c r="C4052" s="17" t="n">
        <v>69936.2</v>
      </c>
      <c r="D4052" s="23" t="n">
        <f aca="false">A4052-A4051</f>
        <v>1</v>
      </c>
      <c r="E4052" s="24" t="n">
        <f aca="false">LN(C4052)</f>
        <v>11.1553386768565</v>
      </c>
      <c r="F4052" s="25" t="n">
        <f aca="false">LN(C4052/C4051)</f>
        <v>0.0911096208136085</v>
      </c>
      <c r="G4052" s="25" t="n">
        <f aca="false">IF(AND(D4052=1,A4052&gt;=$R$2),F4052,"")</f>
        <v>0.0911096208136085</v>
      </c>
      <c r="H4052" s="27" t="n">
        <f aca="false">IF(G4052="","",G4052^2)</f>
        <v>0.00830096300479951</v>
      </c>
      <c r="I4052" s="25" t="n">
        <f aca="false">IF(G4052="","",C4052/C4051-1)</f>
        <v>0.0953890761189544</v>
      </c>
      <c r="J4052" s="17" t="n">
        <f aca="false">AVERAGE(C3853:C4052)</f>
        <v>102696.33755</v>
      </c>
      <c r="K4052" s="17" t="n">
        <f aca="false">MAX(K4051,C4052)</f>
        <v>124720.09</v>
      </c>
      <c r="L4052" s="25" t="n">
        <f aca="false">C4052/K4052-1</f>
        <v>-0.439254734341516</v>
      </c>
      <c r="M4052" s="25" t="n">
        <f aca="false">IF(COUNT(G4023:G4052)&lt;20,"",_xlfn.STDEV.S(G4023:G4052)*SQRT($R$3))</f>
        <v>0.713036030336707</v>
      </c>
      <c r="N4052" s="25" t="n">
        <f aca="false">IF(A4052-7&lt;$R$2,"",C4052/INDEX(Clean_Data!$C$2:$C$4314,MATCH(A4052-7,Clean_Data!$A$2:$A$4314,1))-1)</f>
        <v>-0.167287603341604</v>
      </c>
      <c r="O4052" s="25" t="n">
        <f aca="false">IF(A4052-30&lt;$R$2,"",C4052/INDEX(Clean_Data!$C$2:$C$4314,MATCH(A4052-30,Clean_Data!$A$2:$A$4314,1))-1)</f>
        <v>-0.234648807939599</v>
      </c>
    </row>
    <row r="4053" customFormat="false" ht="15" hidden="false" customHeight="false" outlineLevel="0" collapsed="false">
      <c r="A4053" s="16" t="n">
        <v>46060</v>
      </c>
      <c r="B4053" s="23" t="n">
        <f aca="false">YEAR(A4053)</f>
        <v>2026</v>
      </c>
      <c r="C4053" s="17" t="n">
        <v>69199.99</v>
      </c>
      <c r="D4053" s="23" t="n">
        <f aca="false">A4053-A4052</f>
        <v>1</v>
      </c>
      <c r="E4053" s="24" t="n">
        <f aca="false">LN(C4053)</f>
        <v>11.1447559970971</v>
      </c>
      <c r="F4053" s="25" t="n">
        <f aca="false">LN(C4053/C4052)</f>
        <v>-0.0105826797594191</v>
      </c>
      <c r="G4053" s="25" t="n">
        <f aca="false">IF(AND(D4053=1,A4053&gt;=$R$2),F4053,"")</f>
        <v>-0.0105826797594191</v>
      </c>
      <c r="H4053" s="27" t="n">
        <f aca="false">IF(G4053="","",G4053^2)</f>
        <v>0.000111993110890419</v>
      </c>
      <c r="I4053" s="25" t="n">
        <f aca="false">IF(G4053="","",C4053/C4052-1)</f>
        <v>-0.0105268802136803</v>
      </c>
      <c r="J4053" s="17" t="n">
        <f aca="false">AVERAGE(C3854:C4053)</f>
        <v>102448.2853</v>
      </c>
      <c r="K4053" s="17" t="n">
        <f aca="false">MAX(K4052,C4053)</f>
        <v>124720.09</v>
      </c>
      <c r="L4053" s="25" t="n">
        <f aca="false">C4053/K4053-1</f>
        <v>-0.445157632583492</v>
      </c>
      <c r="M4053" s="25" t="n">
        <f aca="false">IF(COUNT(G4024:G4053)&lt;20,"",_xlfn.STDEV.S(G4024:G4053)*SQRT($R$3))</f>
        <v>0.712542677136058</v>
      </c>
      <c r="N4053" s="25" t="n">
        <f aca="false">IF(A4053-7&lt;$R$2,"",C4053/INDEX(Clean_Data!$C$2:$C$4314,MATCH(A4053-7,Clean_Data!$A$2:$A$4314,1))-1)</f>
        <v>-0.121016597800255</v>
      </c>
      <c r="O4053" s="25" t="n">
        <f aca="false">IF(A4053-30&lt;$R$2,"",C4053/INDEX(Clean_Data!$C$2:$C$4314,MATCH(A4053-30,Clean_Data!$A$2:$A$4314,1))-1)</f>
        <v>-0.241615105801832</v>
      </c>
    </row>
    <row r="4054" customFormat="false" ht="15" hidden="false" customHeight="false" outlineLevel="0" collapsed="false">
      <c r="A4054" s="16" t="n">
        <v>46061</v>
      </c>
      <c r="B4054" s="23" t="n">
        <f aca="false">YEAR(A4054)</f>
        <v>2026</v>
      </c>
      <c r="C4054" s="17" t="n">
        <v>70477.92</v>
      </c>
      <c r="D4054" s="23" t="n">
        <f aca="false">A4054-A4053</f>
        <v>1</v>
      </c>
      <c r="E4054" s="24" t="n">
        <f aca="false">LN(C4054)</f>
        <v>11.1630547482563</v>
      </c>
      <c r="F4054" s="25" t="n">
        <f aca="false">LN(C4054/C4053)</f>
        <v>0.0182987511592211</v>
      </c>
      <c r="G4054" s="25" t="n">
        <f aca="false">IF(AND(D4054=1,A4054&gt;=$R$2),F4054,"")</f>
        <v>0.0182987511592211</v>
      </c>
      <c r="H4054" s="27" t="n">
        <f aca="false">IF(G4054="","",G4054^2)</f>
        <v>0.000334844293987094</v>
      </c>
      <c r="I4054" s="25" t="n">
        <f aca="false">IF(G4054="","",C4054/C4053-1)</f>
        <v>0.0184671992004621</v>
      </c>
      <c r="J4054" s="17" t="n">
        <f aca="false">AVERAGE(C3855:C4054)</f>
        <v>102208.6897</v>
      </c>
      <c r="K4054" s="17" t="n">
        <f aca="false">MAX(K4053,C4054)</f>
        <v>124720.09</v>
      </c>
      <c r="L4054" s="25" t="n">
        <f aca="false">C4054/K4054-1</f>
        <v>-0.434911248059555</v>
      </c>
      <c r="M4054" s="25" t="n">
        <f aca="false">IF(COUNT(G4025:G4054)&lt;20,"",_xlfn.STDEV.S(G4025:G4054)*SQRT($R$3))</f>
        <v>0.718985271789816</v>
      </c>
      <c r="N4054" s="25" t="n">
        <f aca="false">IF(A4054-7&lt;$R$2,"",C4054/INDEX(Clean_Data!$C$2:$C$4314,MATCH(A4054-7,Clean_Data!$A$2:$A$4314,1))-1)</f>
        <v>-0.0944787915097943</v>
      </c>
      <c r="O4054" s="25" t="n">
        <f aca="false">IF(A4054-30&lt;$R$2,"",C4054/INDEX(Clean_Data!$C$2:$C$4314,MATCH(A4054-30,Clean_Data!$A$2:$A$4314,1))-1)</f>
        <v>-0.221031961953229</v>
      </c>
    </row>
    <row r="4055" customFormat="false" ht="15" hidden="false" customHeight="false" outlineLevel="0" collapsed="false">
      <c r="A4055" s="16" t="n">
        <v>46062</v>
      </c>
      <c r="B4055" s="23" t="n">
        <f aca="false">YEAR(A4055)</f>
        <v>2026</v>
      </c>
      <c r="C4055" s="17" t="n">
        <v>69986.8</v>
      </c>
      <c r="D4055" s="23" t="n">
        <f aca="false">A4055-A4054</f>
        <v>1</v>
      </c>
      <c r="E4055" s="24" t="n">
        <f aca="false">LN(C4055)</f>
        <v>11.1560619318211</v>
      </c>
      <c r="F4055" s="25" t="n">
        <f aca="false">LN(C4055/C4054)</f>
        <v>-0.00699281643520384</v>
      </c>
      <c r="G4055" s="25" t="n">
        <f aca="false">IF(AND(D4055=1,A4055&gt;=$R$2),F4055,"")</f>
        <v>-0.00699281643520384</v>
      </c>
      <c r="H4055" s="27" t="n">
        <f aca="false">IF(G4055="","",G4055^2)</f>
        <v>4.8899481696457E-005</v>
      </c>
      <c r="I4055" s="25" t="n">
        <f aca="false">IF(G4055="","",C4055/C4054-1)</f>
        <v>-0.00696842358571304</v>
      </c>
      <c r="J4055" s="17" t="n">
        <f aca="false">AVERAGE(C3856:C4055)</f>
        <v>101970.45735</v>
      </c>
      <c r="K4055" s="17" t="n">
        <f aca="false">MAX(K4054,C4055)</f>
        <v>124720.09</v>
      </c>
      <c r="L4055" s="25" t="n">
        <f aca="false">C4055/K4055-1</f>
        <v>-0.438849025846598</v>
      </c>
      <c r="M4055" s="25" t="n">
        <f aca="false">IF(COUNT(G4026:G4055)&lt;20,"",_xlfn.STDEV.S(G4026:G4055)*SQRT($R$3))</f>
        <v>0.718322074059783</v>
      </c>
      <c r="N4055" s="25" t="n">
        <f aca="false">IF(A4055-7&lt;$R$2,"",C4055/INDEX(Clean_Data!$C$2:$C$4314,MATCH(A4055-7,Clean_Data!$A$2:$A$4314,1))-1)</f>
        <v>-0.113397119973407</v>
      </c>
      <c r="O4055" s="25" t="n">
        <f aca="false">IF(A4055-30&lt;$R$2,"",C4055/INDEX(Clean_Data!$C$2:$C$4314,MATCH(A4055-30,Clean_Data!$A$2:$A$4314,1))-1)</f>
        <v>-0.226749866395846</v>
      </c>
    </row>
    <row r="4056" customFormat="false" ht="15" hidden="false" customHeight="false" outlineLevel="0" collapsed="false">
      <c r="A4056" s="16" t="n">
        <v>46063</v>
      </c>
      <c r="B4056" s="23" t="n">
        <f aca="false">YEAR(A4056)</f>
        <v>2026</v>
      </c>
      <c r="C4056" s="17" t="n">
        <v>69219</v>
      </c>
      <c r="D4056" s="23" t="n">
        <f aca="false">A4056-A4055</f>
        <v>1</v>
      </c>
      <c r="E4056" s="24" t="n">
        <f aca="false">LN(C4056)</f>
        <v>11.1450306703933</v>
      </c>
      <c r="F4056" s="25" t="n">
        <f aca="false">LN(C4056/C4055)</f>
        <v>-0.0110312614278242</v>
      </c>
      <c r="G4056" s="25" t="n">
        <f aca="false">IF(AND(D4056=1,A4056&gt;=$R$2),F4056,"")</f>
        <v>-0.0110312614278242</v>
      </c>
      <c r="H4056" s="27" t="n">
        <f aca="false">IF(G4056="","",G4056^2)</f>
        <v>0.000121688728689002</v>
      </c>
      <c r="I4056" s="25" t="n">
        <f aca="false">IF(G4056="","",C4056/C4055-1)</f>
        <v>-0.0109706401778622</v>
      </c>
      <c r="J4056" s="17" t="n">
        <f aca="false">AVERAGE(C3857:C4056)</f>
        <v>101726.7042</v>
      </c>
      <c r="K4056" s="17" t="n">
        <f aca="false">MAX(K4055,C4056)</f>
        <v>124720.09</v>
      </c>
      <c r="L4056" s="25" t="n">
        <f aca="false">C4056/K4056-1</f>
        <v>-0.445005211269492</v>
      </c>
      <c r="M4056" s="25" t="n">
        <f aca="false">IF(COUNT(G4027:G4056)&lt;20,"",_xlfn.STDEV.S(G4027:G4056)*SQRT($R$3))</f>
        <v>0.71476274968913</v>
      </c>
      <c r="N4056" s="25" t="n">
        <f aca="false">IF(A4056-7&lt;$R$2,"",C4056/INDEX(Clean_Data!$C$2:$C$4314,MATCH(A4056-7,Clean_Data!$A$2:$A$4314,1))-1)</f>
        <v>-0.0929709078205592</v>
      </c>
      <c r="O4056" s="25" t="n">
        <f aca="false">IF(A4056-30&lt;$R$2,"",C4056/INDEX(Clean_Data!$C$2:$C$4314,MATCH(A4056-30,Clean_Data!$A$2:$A$4314,1))-1)</f>
        <v>-0.243822650799312</v>
      </c>
    </row>
    <row r="4057" customFormat="false" ht="15" hidden="false" customHeight="false" outlineLevel="0" collapsed="false">
      <c r="A4057" s="16" t="n">
        <v>46064</v>
      </c>
      <c r="B4057" s="23" t="n">
        <f aca="false">YEAR(A4057)</f>
        <v>2026</v>
      </c>
      <c r="C4057" s="17" t="n">
        <v>67479.13</v>
      </c>
      <c r="D4057" s="23" t="n">
        <f aca="false">A4057-A4056</f>
        <v>1</v>
      </c>
      <c r="E4057" s="24" t="n">
        <f aca="false">LN(C4057)</f>
        <v>11.1195736438678</v>
      </c>
      <c r="F4057" s="25" t="n">
        <f aca="false">LN(C4057/C4056)</f>
        <v>-0.025457026525431</v>
      </c>
      <c r="G4057" s="25" t="n">
        <f aca="false">IF(AND(D4057=1,A4057&gt;=$R$2),F4057,"")</f>
        <v>-0.025457026525431</v>
      </c>
      <c r="H4057" s="27" t="n">
        <f aca="false">IF(G4057="","",G4057^2)</f>
        <v>0.000648060199516497</v>
      </c>
      <c r="I4057" s="25" t="n">
        <f aca="false">IF(G4057="","",C4057/C4056-1)</f>
        <v>-0.0251357286294225</v>
      </c>
      <c r="J4057" s="17" t="n">
        <f aca="false">AVERAGE(C3858:C4057)</f>
        <v>101466.77225</v>
      </c>
      <c r="K4057" s="17" t="n">
        <f aca="false">MAX(K4056,C4057)</f>
        <v>124720.09</v>
      </c>
      <c r="L4057" s="25" t="n">
        <f aca="false">C4057/K4057-1</f>
        <v>-0.458955409669765</v>
      </c>
      <c r="M4057" s="25" t="n">
        <f aca="false">IF(COUNT(G4028:G4057)&lt;20,"",_xlfn.STDEV.S(G4028:G4057)*SQRT($R$3))</f>
        <v>0.716513173923796</v>
      </c>
      <c r="N4057" s="25" t="n">
        <f aca="false">IF(A4057-7&lt;$R$2,"",C4057/INDEX(Clean_Data!$C$2:$C$4314,MATCH(A4057-7,Clean_Data!$A$2:$A$4314,1))-1)</f>
        <v>-0.0737732381527438</v>
      </c>
      <c r="O4057" s="25" t="n">
        <f aca="false">IF(A4057-30&lt;$R$2,"",C4057/INDEX(Clean_Data!$C$2:$C$4314,MATCH(A4057-30,Clean_Data!$A$2:$A$4314,1))-1)</f>
        <v>-0.26085893067648</v>
      </c>
    </row>
    <row r="4058" customFormat="false" ht="15" hidden="false" customHeight="false" outlineLevel="0" collapsed="false">
      <c r="A4058" s="16" t="n">
        <v>46065</v>
      </c>
      <c r="B4058" s="23" t="n">
        <f aca="false">YEAR(A4058)</f>
        <v>2026</v>
      </c>
      <c r="C4058" s="17" t="n">
        <v>66001.99</v>
      </c>
      <c r="D4058" s="23" t="n">
        <f aca="false">A4058-A4057</f>
        <v>1</v>
      </c>
      <c r="E4058" s="24" t="n">
        <f aca="false">LN(C4058)</f>
        <v>11.0974401720692</v>
      </c>
      <c r="F4058" s="25" t="n">
        <f aca="false">LN(C4058/C4057)</f>
        <v>-0.0221334717986758</v>
      </c>
      <c r="G4058" s="25" t="n">
        <f aca="false">IF(AND(D4058=1,A4058&gt;=$R$2),F4058,"")</f>
        <v>-0.0221334717986758</v>
      </c>
      <c r="H4058" s="27" t="n">
        <f aca="false">IF(G4058="","",G4058^2)</f>
        <v>0.000489890573862778</v>
      </c>
      <c r="I4058" s="25" t="n">
        <f aca="false">IF(G4058="","",C4058/C4057-1)</f>
        <v>-0.0218903237193485</v>
      </c>
      <c r="J4058" s="17" t="n">
        <f aca="false">AVERAGE(C3859:C4058)</f>
        <v>101206.42925</v>
      </c>
      <c r="K4058" s="17" t="n">
        <f aca="false">MAX(K4057,C4058)</f>
        <v>124720.09</v>
      </c>
      <c r="L4058" s="25" t="n">
        <f aca="false">C4058/K4058-1</f>
        <v>-0.470799050898696</v>
      </c>
      <c r="M4058" s="25" t="n">
        <f aca="false">IF(COUNT(G4029:G4058)&lt;20,"",_xlfn.STDEV.S(G4029:G4058)*SQRT($R$3))</f>
        <v>0.692228988232859</v>
      </c>
      <c r="N4058" s="25" t="n">
        <f aca="false">IF(A4058-7&lt;$R$2,"",C4058/INDEX(Clean_Data!$C$2:$C$4314,MATCH(A4058-7,Clean_Data!$A$2:$A$4314,1))-1)</f>
        <v>0.0337687613583877</v>
      </c>
      <c r="O4058" s="25" t="n">
        <f aca="false">IF(A4058-30&lt;$R$2,"",C4058/INDEX(Clean_Data!$C$2:$C$4314,MATCH(A4058-30,Clean_Data!$A$2:$A$4314,1))-1)</f>
        <v>-0.306867060060259</v>
      </c>
    </row>
    <row r="4059" customFormat="false" ht="15" hidden="false" customHeight="false" outlineLevel="0" collapsed="false">
      <c r="A4059" s="16" t="n">
        <v>46066</v>
      </c>
      <c r="B4059" s="23" t="n">
        <f aca="false">YEAR(A4059)</f>
        <v>2026</v>
      </c>
      <c r="C4059" s="17" t="n">
        <v>68970.18</v>
      </c>
      <c r="D4059" s="23" t="n">
        <f aca="false">A4059-A4058</f>
        <v>1</v>
      </c>
      <c r="E4059" s="24" t="n">
        <f aca="false">LN(C4059)</f>
        <v>11.1414295162523</v>
      </c>
      <c r="F4059" s="25" t="n">
        <f aca="false">LN(C4059/C4058)</f>
        <v>0.0439893441831258</v>
      </c>
      <c r="G4059" s="25" t="n">
        <f aca="false">IF(AND(D4059=1,A4059&gt;=$R$2),F4059,"")</f>
        <v>0.0439893441831258</v>
      </c>
      <c r="H4059" s="27" t="n">
        <f aca="false">IF(G4059="","",G4059^2)</f>
        <v>0.0019350624016615</v>
      </c>
      <c r="I4059" s="25" t="n">
        <f aca="false">IF(G4059="","",C4059/C4058-1)</f>
        <v>0.0449712198071601</v>
      </c>
      <c r="J4059" s="17" t="n">
        <f aca="false">AVERAGE(C3860:C4059)</f>
        <v>100961.6132</v>
      </c>
      <c r="K4059" s="17" t="n">
        <f aca="false">MAX(K4058,C4059)</f>
        <v>124720.09</v>
      </c>
      <c r="L4059" s="25" t="n">
        <f aca="false">C4059/K4059-1</f>
        <v>-0.447000238694504</v>
      </c>
      <c r="M4059" s="25" t="n">
        <f aca="false">IF(COUNT(G4030:G4059)&lt;20,"",_xlfn.STDEV.S(G4030:G4059)*SQRT($R$3))</f>
        <v>0.712679037251202</v>
      </c>
      <c r="N4059" s="25" t="n">
        <f aca="false">IF(A4059-7&lt;$R$2,"",C4059/INDEX(Clean_Data!$C$2:$C$4314,MATCH(A4059-7,Clean_Data!$A$2:$A$4314,1))-1)</f>
        <v>-0.0138128751633633</v>
      </c>
      <c r="O4059" s="25" t="n">
        <f aca="false">IF(A4059-30&lt;$R$2,"",C4059/INDEX(Clean_Data!$C$2:$C$4314,MATCH(A4059-30,Clean_Data!$A$2:$A$4314,1))-1)</f>
        <v>-0.28788737478306</v>
      </c>
    </row>
    <row r="4060" customFormat="false" ht="15" hidden="false" customHeight="false" outlineLevel="0" collapsed="false">
      <c r="A4060" s="16" t="n">
        <v>46067</v>
      </c>
      <c r="B4060" s="23" t="n">
        <f aca="false">YEAR(A4060)</f>
        <v>2026</v>
      </c>
      <c r="C4060" s="17" t="n">
        <v>69801.43</v>
      </c>
      <c r="D4060" s="23" t="n">
        <f aca="false">A4060-A4059</f>
        <v>1</v>
      </c>
      <c r="E4060" s="24" t="n">
        <f aca="false">LN(C4060)</f>
        <v>11.1534097756466</v>
      </c>
      <c r="F4060" s="25" t="n">
        <f aca="false">LN(C4060/C4059)</f>
        <v>0.0119802593943308</v>
      </c>
      <c r="G4060" s="25" t="n">
        <f aca="false">IF(AND(D4060=1,A4060&gt;=$R$2),F4060,"")</f>
        <v>0.0119802593943308</v>
      </c>
      <c r="H4060" s="27" t="n">
        <f aca="false">IF(G4060="","",G4060^2)</f>
        <v>0.000143526615155451</v>
      </c>
      <c r="I4060" s="25" t="n">
        <f aca="false">IF(G4060="","",C4060/C4059-1)</f>
        <v>0.0120523101433112</v>
      </c>
      <c r="J4060" s="17" t="n">
        <f aca="false">AVERAGE(C3861:C4060)</f>
        <v>100721.4696</v>
      </c>
      <c r="K4060" s="17" t="n">
        <f aca="false">MAX(K4059,C4060)</f>
        <v>124720.09</v>
      </c>
      <c r="L4060" s="25" t="n">
        <f aca="false">C4060/K4060-1</f>
        <v>-0.440335314062073</v>
      </c>
      <c r="M4060" s="25" t="n">
        <f aca="false">IF(COUNT(G4031:G4060)&lt;20,"",_xlfn.STDEV.S(G4031:G4060)*SQRT($R$3))</f>
        <v>0.717232759898297</v>
      </c>
      <c r="N4060" s="25" t="n">
        <f aca="false">IF(A4060-7&lt;$R$2,"",C4060/INDEX(Clean_Data!$C$2:$C$4314,MATCH(A4060-7,Clean_Data!$A$2:$A$4314,1))-1)</f>
        <v>0.00869133073574124</v>
      </c>
      <c r="O4060" s="25" t="n">
        <f aca="false">IF(A4060-30&lt;$R$2,"",C4060/INDEX(Clean_Data!$C$2:$C$4314,MATCH(A4060-30,Clean_Data!$A$2:$A$4314,1))-1)</f>
        <v>-0.269630246900727</v>
      </c>
    </row>
    <row r="4061" customFormat="false" ht="15" hidden="false" customHeight="false" outlineLevel="0" collapsed="false">
      <c r="A4061" s="16" t="n">
        <v>46068</v>
      </c>
      <c r="B4061" s="23" t="n">
        <f aca="false">YEAR(A4061)</f>
        <v>2026</v>
      </c>
      <c r="C4061" s="17" t="n">
        <v>68913.72</v>
      </c>
      <c r="D4061" s="23" t="n">
        <f aca="false">A4061-A4060</f>
        <v>1</v>
      </c>
      <c r="E4061" s="24" t="n">
        <f aca="false">LN(C4061)</f>
        <v>11.1406105663509</v>
      </c>
      <c r="F4061" s="25" t="n">
        <f aca="false">LN(C4061/C4060)</f>
        <v>-0.0127992092957412</v>
      </c>
      <c r="G4061" s="25" t="n">
        <f aca="false">IF(AND(D4061=1,A4061&gt;=$R$2),F4061,"")</f>
        <v>-0.0127992092957412</v>
      </c>
      <c r="H4061" s="27" t="n">
        <f aca="false">IF(G4061="","",G4061^2)</f>
        <v>0.000163819758596187</v>
      </c>
      <c r="I4061" s="25" t="n">
        <f aca="false">IF(G4061="","",C4061/C4060-1)</f>
        <v>-0.0127176477616575</v>
      </c>
      <c r="J4061" s="17" t="n">
        <f aca="false">AVERAGE(C3862:C4061)</f>
        <v>100487.23255</v>
      </c>
      <c r="K4061" s="17" t="n">
        <f aca="false">MAX(K4060,C4061)</f>
        <v>124720.09</v>
      </c>
      <c r="L4061" s="25" t="n">
        <f aca="false">C4061/K4061-1</f>
        <v>-0.44745293240247</v>
      </c>
      <c r="M4061" s="25" t="n">
        <f aca="false">IF(COUNT(G4032:G4061)&lt;20,"",_xlfn.STDEV.S(G4032:G4061)*SQRT($R$3))</f>
        <v>0.716463757972381</v>
      </c>
      <c r="N4061" s="25" t="n">
        <f aca="false">IF(A4061-7&lt;$R$2,"",C4061/INDEX(Clean_Data!$C$2:$C$4314,MATCH(A4061-7,Clean_Data!$A$2:$A$4314,1))-1)</f>
        <v>-0.0221941850724312</v>
      </c>
      <c r="O4061" s="25" t="n">
        <f aca="false">IF(A4061-30&lt;$R$2,"",C4061/INDEX(Clean_Data!$C$2:$C$4314,MATCH(A4061-30,Clean_Data!$A$2:$A$4314,1))-1)</f>
        <v>-0.278146674856517</v>
      </c>
    </row>
    <row r="4062" customFormat="false" ht="15" hidden="false" customHeight="false" outlineLevel="0" collapsed="false">
      <c r="A4062" s="16" t="n">
        <v>46069</v>
      </c>
      <c r="B4062" s="23" t="n">
        <f aca="false">YEAR(A4062)</f>
        <v>2026</v>
      </c>
      <c r="C4062" s="17" t="n">
        <v>68810.28</v>
      </c>
      <c r="D4062" s="23" t="n">
        <f aca="false">A4062-A4061</f>
        <v>1</v>
      </c>
      <c r="E4062" s="24" t="n">
        <f aca="false">LN(C4062)</f>
        <v>11.1391084313642</v>
      </c>
      <c r="F4062" s="25" t="n">
        <f aca="false">LN(C4062/C4061)</f>
        <v>-0.00150213498664361</v>
      </c>
      <c r="G4062" s="25" t="n">
        <f aca="false">IF(AND(D4062=1,A4062&gt;=$R$2),F4062,"")</f>
        <v>-0.00150213498664361</v>
      </c>
      <c r="H4062" s="27" t="n">
        <f aca="false">IF(G4062="","",G4062^2)</f>
        <v>2.2564095180988E-006</v>
      </c>
      <c r="I4062" s="25" t="n">
        <f aca="false">IF(G4062="","",C4062/C4061-1)</f>
        <v>-0.00150100734657777</v>
      </c>
      <c r="J4062" s="17" t="n">
        <f aca="false">AVERAGE(C3863:C4062)</f>
        <v>100265.0403</v>
      </c>
      <c r="K4062" s="17" t="n">
        <f aca="false">MAX(K4061,C4062)</f>
        <v>124720.09</v>
      </c>
      <c r="L4062" s="25" t="n">
        <f aca="false">C4062/K4062-1</f>
        <v>-0.448282309610264</v>
      </c>
      <c r="M4062" s="25" t="n">
        <f aca="false">IF(COUNT(G4033:G4062)&lt;20,"",_xlfn.STDEV.S(G4033:G4062)*SQRT($R$3))</f>
        <v>0.716901824174662</v>
      </c>
      <c r="N4062" s="25" t="n">
        <f aca="false">IF(A4062-7&lt;$R$2,"",C4062/INDEX(Clean_Data!$C$2:$C$4314,MATCH(A4062-7,Clean_Data!$A$2:$A$4314,1))-1)</f>
        <v>-0.0168105985700161</v>
      </c>
      <c r="O4062" s="25" t="n">
        <f aca="false">IF(A4062-30&lt;$R$2,"",C4062/INDEX(Clean_Data!$C$2:$C$4314,MATCH(A4062-30,Clean_Data!$A$2:$A$4314,1))-1)</f>
        <v>-0.275799955733571</v>
      </c>
    </row>
    <row r="4063" customFormat="false" ht="15" hidden="false" customHeight="false" outlineLevel="0" collapsed="false">
      <c r="A4063" s="16" t="n">
        <v>46070</v>
      </c>
      <c r="B4063" s="23" t="n">
        <f aca="false">YEAR(A4063)</f>
        <v>2026</v>
      </c>
      <c r="C4063" s="17" t="n">
        <v>67191.37</v>
      </c>
      <c r="D4063" s="23" t="n">
        <f aca="false">A4063-A4062</f>
        <v>1</v>
      </c>
      <c r="E4063" s="24" t="n">
        <f aca="false">LN(C4063)</f>
        <v>11.1153000956453</v>
      </c>
      <c r="F4063" s="25" t="n">
        <f aca="false">LN(C4063/C4062)</f>
        <v>-0.0238083357189357</v>
      </c>
      <c r="G4063" s="25" t="n">
        <f aca="false">IF(AND(D4063=1,A4063&gt;=$R$2),F4063,"")</f>
        <v>-0.0238083357189357</v>
      </c>
      <c r="H4063" s="27" t="n">
        <f aca="false">IF(G4063="","",G4063^2)</f>
        <v>0.000566836849705549</v>
      </c>
      <c r="I4063" s="25" t="n">
        <f aca="false">IF(G4063="","",C4063/C4062-1)</f>
        <v>-0.0235271532102471</v>
      </c>
      <c r="J4063" s="17" t="n">
        <f aca="false">AVERAGE(C3864:C4063)</f>
        <v>100038.28345</v>
      </c>
      <c r="K4063" s="17" t="n">
        <f aca="false">MAX(K4062,C4063)</f>
        <v>124720.09</v>
      </c>
      <c r="L4063" s="25" t="n">
        <f aca="false">C4063/K4063-1</f>
        <v>-0.461262656240867</v>
      </c>
      <c r="M4063" s="25" t="n">
        <f aca="false">IF(COUNT(G4034:G4063)&lt;20,"",_xlfn.STDEV.S(G4034:G4063)*SQRT($R$3))</f>
        <v>0.716492134697528</v>
      </c>
      <c r="N4063" s="25" t="n">
        <f aca="false">IF(A4063-7&lt;$R$2,"",C4063/INDEX(Clean_Data!$C$2:$C$4314,MATCH(A4063-7,Clean_Data!$A$2:$A$4314,1))-1)</f>
        <v>-0.0292929686935669</v>
      </c>
      <c r="O4063" s="25" t="n">
        <f aca="false">IF(A4063-30&lt;$R$2,"",C4063/INDEX(Clean_Data!$C$2:$C$4314,MATCH(A4063-30,Clean_Data!$A$2:$A$4314,1))-1)</f>
        <v>-0.274585062263063</v>
      </c>
    </row>
    <row r="4064" customFormat="false" ht="15" hidden="false" customHeight="false" outlineLevel="0" collapsed="false">
      <c r="A4064" s="16" t="n">
        <v>46071</v>
      </c>
      <c r="B4064" s="23" t="n">
        <f aca="false">YEAR(A4064)</f>
        <v>2026</v>
      </c>
      <c r="C4064" s="17" t="n">
        <v>66533.36</v>
      </c>
      <c r="D4064" s="23" t="n">
        <f aca="false">A4064-A4063</f>
        <v>1</v>
      </c>
      <c r="E4064" s="24" t="n">
        <f aca="false">LN(C4064)</f>
        <v>11.1054587549929</v>
      </c>
      <c r="F4064" s="25" t="n">
        <f aca="false">LN(C4064/C4063)</f>
        <v>-0.00984134065238873</v>
      </c>
      <c r="G4064" s="25" t="n">
        <f aca="false">IF(AND(D4064=1,A4064&gt;=$R$2),F4064,"")</f>
        <v>-0.00984134065238873</v>
      </c>
      <c r="H4064" s="27" t="n">
        <f aca="false">IF(G4064="","",G4064^2)</f>
        <v>9.68519858363591E-005</v>
      </c>
      <c r="I4064" s="25" t="n">
        <f aca="false">IF(G4064="","",C4064/C4063-1)</f>
        <v>-0.00979307312829003</v>
      </c>
      <c r="J4064" s="17" t="n">
        <f aca="false">AVERAGE(C3865:C4064)</f>
        <v>99799.8716</v>
      </c>
      <c r="K4064" s="17" t="n">
        <f aca="false">MAX(K4063,C4064)</f>
        <v>124720.09</v>
      </c>
      <c r="L4064" s="25" t="n">
        <f aca="false">C4064/K4064-1</f>
        <v>-0.466538550445241</v>
      </c>
      <c r="M4064" s="25" t="n">
        <f aca="false">IF(COUNT(G4035:G4064)&lt;20,"",_xlfn.STDEV.S(G4035:G4064)*SQRT($R$3))</f>
        <v>0.715570986445123</v>
      </c>
      <c r="N4064" s="25" t="n">
        <f aca="false">IF(A4064-7&lt;$R$2,"",C4064/INDEX(Clean_Data!$C$2:$C$4314,MATCH(A4064-7,Clean_Data!$A$2:$A$4314,1))-1)</f>
        <v>-0.0140157408668429</v>
      </c>
      <c r="O4064" s="25" t="n">
        <f aca="false">IF(A4064-30&lt;$R$2,"",C4064/INDEX(Clean_Data!$C$2:$C$4314,MATCH(A4064-30,Clean_Data!$A$2:$A$4314,1))-1)</f>
        <v>-0.281281499058951</v>
      </c>
    </row>
    <row r="4065" customFormat="false" ht="15" hidden="false" customHeight="false" outlineLevel="0" collapsed="false">
      <c r="A4065" s="16" t="n">
        <v>46072</v>
      </c>
      <c r="B4065" s="23" t="n">
        <f aca="false">YEAR(A4065)</f>
        <v>2026</v>
      </c>
      <c r="C4065" s="17" t="n">
        <v>67214.29</v>
      </c>
      <c r="D4065" s="23" t="n">
        <f aca="false">A4065-A4064</f>
        <v>1</v>
      </c>
      <c r="E4065" s="24" t="n">
        <f aca="false">LN(C4065)</f>
        <v>11.1156411527142</v>
      </c>
      <c r="F4065" s="25" t="n">
        <f aca="false">LN(C4065/C4064)</f>
        <v>0.0101823977212975</v>
      </c>
      <c r="G4065" s="25" t="n">
        <f aca="false">IF(AND(D4065=1,A4065&gt;=$R$2),F4065,"")</f>
        <v>0.0101823977212975</v>
      </c>
      <c r="H4065" s="27" t="n">
        <f aca="false">IF(G4065="","",G4065^2)</f>
        <v>0.000103681223354684</v>
      </c>
      <c r="I4065" s="25" t="n">
        <f aca="false">IF(G4065="","",C4065/C4064-1)</f>
        <v>0.0102344147357054</v>
      </c>
      <c r="J4065" s="17" t="n">
        <f aca="false">AVERAGE(C3866:C4065)</f>
        <v>99560.6838</v>
      </c>
      <c r="K4065" s="17" t="n">
        <f aca="false">MAX(K4064,C4065)</f>
        <v>124720.09</v>
      </c>
      <c r="L4065" s="25" t="n">
        <f aca="false">C4065/K4065-1</f>
        <v>-0.461078884724987</v>
      </c>
      <c r="M4065" s="25" t="n">
        <f aca="false">IF(COUNT(G4036:G4065)&lt;20,"",_xlfn.STDEV.S(G4036:G4065)*SQRT($R$3))</f>
        <v>0.711216964342698</v>
      </c>
      <c r="N4065" s="25" t="n">
        <f aca="false">IF(A4065-7&lt;$R$2,"",C4065/INDEX(Clean_Data!$C$2:$C$4314,MATCH(A4065-7,Clean_Data!$A$2:$A$4314,1))-1)</f>
        <v>0.0183676280063676</v>
      </c>
      <c r="O4065" s="25" t="n">
        <f aca="false">IF(A4065-30&lt;$R$2,"",C4065/INDEX(Clean_Data!$C$2:$C$4314,MATCH(A4065-30,Clean_Data!$A$2:$A$4314,1))-1)</f>
        <v>-0.244069966244553</v>
      </c>
    </row>
    <row r="4066" customFormat="false" ht="15" hidden="false" customHeight="false" outlineLevel="0" collapsed="false">
      <c r="A4066" s="16" t="n">
        <v>46073</v>
      </c>
      <c r="B4066" s="23" t="n">
        <f aca="false">YEAR(A4066)</f>
        <v>2026</v>
      </c>
      <c r="C4066" s="17" t="n">
        <v>67885.32</v>
      </c>
      <c r="D4066" s="23" t="n">
        <f aca="false">A4066-A4065</f>
        <v>1</v>
      </c>
      <c r="E4066" s="24" t="n">
        <f aca="false">LN(C4066)</f>
        <v>11.1255750898776</v>
      </c>
      <c r="F4066" s="25" t="n">
        <f aca="false">LN(C4066/C4065)</f>
        <v>0.00993393716337264</v>
      </c>
      <c r="G4066" s="25" t="n">
        <f aca="false">IF(AND(D4066=1,A4066&gt;=$R$2),F4066,"")</f>
        <v>0.00993393716337264</v>
      </c>
      <c r="H4066" s="27" t="n">
        <f aca="false">IF(G4066="","",G4066^2)</f>
        <v>9.86831075658361E-005</v>
      </c>
      <c r="I4066" s="25" t="n">
        <f aca="false">IF(G4066="","",C4066/C4065-1)</f>
        <v>0.00998344250902616</v>
      </c>
      <c r="J4066" s="17" t="n">
        <f aca="false">AVERAGE(C3867:C4066)</f>
        <v>99329.54565</v>
      </c>
      <c r="K4066" s="17" t="n">
        <f aca="false">MAX(K4065,C4066)</f>
        <v>124720.09</v>
      </c>
      <c r="L4066" s="25" t="n">
        <f aca="false">C4066/K4066-1</f>
        <v>-0.455698596753739</v>
      </c>
      <c r="M4066" s="25" t="n">
        <f aca="false">IF(COUNT(G4037:G4066)&lt;20,"",_xlfn.STDEV.S(G4037:G4066)*SQRT($R$3))</f>
        <v>0.710693286883215</v>
      </c>
      <c r="N4066" s="25" t="n">
        <f aca="false">IF(A4066-7&lt;$R$2,"",C4066/INDEX(Clean_Data!$C$2:$C$4314,MATCH(A4066-7,Clean_Data!$A$2:$A$4314,1))-1)</f>
        <v>-0.015729406534824</v>
      </c>
      <c r="O4066" s="25" t="n">
        <f aca="false">IF(A4066-30&lt;$R$2,"",C4066/INDEX(Clean_Data!$C$2:$C$4314,MATCH(A4066-30,Clean_Data!$A$2:$A$4314,1))-1)</f>
        <v>-0.245185851746238</v>
      </c>
    </row>
    <row r="4067" customFormat="false" ht="15" hidden="false" customHeight="false" outlineLevel="0" collapsed="false">
      <c r="A4067" s="16" t="n">
        <v>46074</v>
      </c>
      <c r="B4067" s="23" t="n">
        <f aca="false">YEAR(A4067)</f>
        <v>2026</v>
      </c>
      <c r="C4067" s="17" t="n">
        <v>67969.48</v>
      </c>
      <c r="D4067" s="23" t="n">
        <f aca="false">A4067-A4066</f>
        <v>1</v>
      </c>
      <c r="E4067" s="24" t="n">
        <f aca="false">LN(C4067)</f>
        <v>11.1268140598774</v>
      </c>
      <c r="F4067" s="25" t="n">
        <f aca="false">LN(C4067/C4066)</f>
        <v>0.00123896999982012</v>
      </c>
      <c r="G4067" s="25" t="n">
        <f aca="false">IF(AND(D4067=1,A4067&gt;=$R$2),F4067,"")</f>
        <v>0.00123896999982012</v>
      </c>
      <c r="H4067" s="27" t="n">
        <f aca="false">IF(G4067="","",G4067^2)</f>
        <v>1.53504666045428E-006</v>
      </c>
      <c r="I4067" s="25" t="n">
        <f aca="false">IF(G4067="","",C4067/C4066-1)</f>
        <v>0.00123973784022802</v>
      </c>
      <c r="J4067" s="17" t="n">
        <f aca="false">AVERAGE(C3868:C4067)</f>
        <v>99094.2489</v>
      </c>
      <c r="K4067" s="17" t="n">
        <f aca="false">MAX(K4066,C4067)</f>
        <v>124720.09</v>
      </c>
      <c r="L4067" s="25" t="n">
        <f aca="false">C4067/K4067-1</f>
        <v>-0.455023805707645</v>
      </c>
      <c r="M4067" s="25" t="n">
        <f aca="false">IF(COUNT(G4038:G4067)&lt;20,"",_xlfn.STDEV.S(G4038:G4067)*SQRT($R$3))</f>
        <v>0.711479817082418</v>
      </c>
      <c r="N4067" s="25" t="n">
        <f aca="false">IF(A4067-7&lt;$R$2,"",C4067/INDEX(Clean_Data!$C$2:$C$4314,MATCH(A4067-7,Clean_Data!$A$2:$A$4314,1))-1)</f>
        <v>-0.0262451643182668</v>
      </c>
      <c r="O4067" s="25" t="n">
        <f aca="false">IF(A4067-30&lt;$R$2,"",C4067/INDEX(Clean_Data!$C$2:$C$4314,MATCH(A4067-30,Clean_Data!$A$2:$A$4314,1))-1)</f>
        <v>-0.24075389905513</v>
      </c>
    </row>
    <row r="4068" customFormat="false" ht="15" hidden="false" customHeight="false" outlineLevel="0" collapsed="false">
      <c r="A4068" s="16" t="n">
        <v>46075</v>
      </c>
      <c r="B4068" s="23" t="n">
        <f aca="false">YEAR(A4068)</f>
        <v>2026</v>
      </c>
      <c r="C4068" s="17" t="n">
        <v>66238.9</v>
      </c>
      <c r="D4068" s="23" t="n">
        <f aca="false">A4068-A4067</f>
        <v>1</v>
      </c>
      <c r="E4068" s="24" t="n">
        <f aca="false">LN(C4068)</f>
        <v>11.1010231826411</v>
      </c>
      <c r="F4068" s="25" t="n">
        <f aca="false">LN(C4068/C4067)</f>
        <v>-0.0257908772363419</v>
      </c>
      <c r="G4068" s="25" t="n">
        <f aca="false">IF(AND(D4068=1,A4068&gt;=$R$2),F4068,"")</f>
        <v>-0.0257908772363419</v>
      </c>
      <c r="H4068" s="27" t="n">
        <f aca="false">IF(G4068="","",G4068^2)</f>
        <v>0.000665169348620061</v>
      </c>
      <c r="I4068" s="25" t="n">
        <f aca="false">IF(G4068="","",C4068/C4067-1)</f>
        <v>-0.0254611334381255</v>
      </c>
      <c r="J4068" s="17" t="n">
        <f aca="false">AVERAGE(C3869:C4068)</f>
        <v>98837.86595</v>
      </c>
      <c r="K4068" s="17" t="n">
        <f aca="false">MAX(K4067,C4068)</f>
        <v>124720.09</v>
      </c>
      <c r="L4068" s="25" t="n">
        <f aca="false">C4068/K4068-1</f>
        <v>-0.468899517311124</v>
      </c>
      <c r="M4068" s="25" t="n">
        <f aca="false">IF(COUNT(G4039:G4068)&lt;20,"",_xlfn.STDEV.S(G4039:G4068)*SQRT($R$3))</f>
        <v>0.713258724090952</v>
      </c>
      <c r="N4068" s="25" t="n">
        <f aca="false">IF(A4068-7&lt;$R$2,"",C4068/INDEX(Clean_Data!$C$2:$C$4314,MATCH(A4068-7,Clean_Data!$A$2:$A$4314,1))-1)</f>
        <v>-0.0388140416741399</v>
      </c>
      <c r="O4068" s="25" t="n">
        <f aca="false">IF(A4068-30&lt;$R$2,"",C4068/INDEX(Clean_Data!$C$2:$C$4314,MATCH(A4068-30,Clean_Data!$A$2:$A$4314,1))-1)</f>
        <v>-0.258790732358026</v>
      </c>
    </row>
    <row r="4069" customFormat="false" ht="15" hidden="false" customHeight="false" outlineLevel="0" collapsed="false">
      <c r="A4069" s="16" t="n">
        <v>46076</v>
      </c>
      <c r="B4069" s="23" t="n">
        <f aca="false">YEAR(A4069)</f>
        <v>2026</v>
      </c>
      <c r="C4069" s="17" t="n">
        <v>64743.99</v>
      </c>
      <c r="D4069" s="23" t="n">
        <f aca="false">A4069-A4068</f>
        <v>1</v>
      </c>
      <c r="E4069" s="24" t="n">
        <f aca="false">LN(C4069)</f>
        <v>11.0781961567211</v>
      </c>
      <c r="F4069" s="25" t="n">
        <f aca="false">LN(C4069/C4068)</f>
        <v>-0.0228270259200032</v>
      </c>
      <c r="G4069" s="25" t="n">
        <f aca="false">IF(AND(D4069=1,A4069&gt;=$R$2),F4069,"")</f>
        <v>-0.0228270259200032</v>
      </c>
      <c r="H4069" s="27" t="n">
        <f aca="false">IF(G4069="","",G4069^2)</f>
        <v>0.000521073112352496</v>
      </c>
      <c r="I4069" s="25" t="n">
        <f aca="false">IF(G4069="","",C4069/C4068-1)</f>
        <v>-0.0225684605269713</v>
      </c>
      <c r="J4069" s="17" t="n">
        <f aca="false">AVERAGE(C3870:C4069)</f>
        <v>98578.16695</v>
      </c>
      <c r="K4069" s="17" t="n">
        <f aca="false">MAX(K4068,C4069)</f>
        <v>124720.09</v>
      </c>
      <c r="L4069" s="25" t="n">
        <f aca="false">C4069/K4069-1</f>
        <v>-0.480885637590544</v>
      </c>
      <c r="M4069" s="25" t="n">
        <f aca="false">IF(COUNT(G4040:G4069)&lt;20,"",_xlfn.STDEV.S(G4040:G4069)*SQRT($R$3))</f>
        <v>0.714078423618639</v>
      </c>
      <c r="N4069" s="25" t="n">
        <f aca="false">IF(A4069-7&lt;$R$2,"",C4069/INDEX(Clean_Data!$C$2:$C$4314,MATCH(A4069-7,Clean_Data!$A$2:$A$4314,1))-1)</f>
        <v>-0.0590942225493052</v>
      </c>
      <c r="O4069" s="25" t="n">
        <f aca="false">IF(A4069-30&lt;$R$2,"",C4069/INDEX(Clean_Data!$C$2:$C$4314,MATCH(A4069-30,Clean_Data!$A$2:$A$4314,1))-1)</f>
        <v>-0.273805220181946</v>
      </c>
    </row>
    <row r="4070" customFormat="false" ht="15" hidden="false" customHeight="false" outlineLevel="0" collapsed="false">
      <c r="A4070" s="16" t="n">
        <v>46077</v>
      </c>
      <c r="B4070" s="23" t="n">
        <f aca="false">YEAR(A4070)</f>
        <v>2026</v>
      </c>
      <c r="C4070" s="17" t="n">
        <v>64290.01</v>
      </c>
      <c r="D4070" s="23" t="n">
        <f aca="false">A4070-A4069</f>
        <v>1</v>
      </c>
      <c r="E4070" s="24" t="n">
        <f aca="false">LN(C4070)</f>
        <v>11.0711595326809</v>
      </c>
      <c r="F4070" s="25" t="n">
        <f aca="false">LN(C4070/C4069)</f>
        <v>-0.00703662404015286</v>
      </c>
      <c r="G4070" s="25" t="n">
        <f aca="false">IF(AND(D4070=1,A4070&gt;=$R$2),F4070,"")</f>
        <v>-0.00703662404015286</v>
      </c>
      <c r="H4070" s="27" t="n">
        <f aca="false">IF(G4070="","",G4070^2)</f>
        <v>4.95140778824571E-005</v>
      </c>
      <c r="I4070" s="25" t="n">
        <f aca="false">IF(G4070="","",C4070/C4069-1)</f>
        <v>-0.00701192496786185</v>
      </c>
      <c r="J4070" s="17" t="n">
        <f aca="false">AVERAGE(C3871:C4070)</f>
        <v>98317.15445</v>
      </c>
      <c r="K4070" s="17" t="n">
        <f aca="false">MAX(K4069,C4070)</f>
        <v>124720.09</v>
      </c>
      <c r="L4070" s="25" t="n">
        <f aca="false">C4070/K4070-1</f>
        <v>-0.484525628549498</v>
      </c>
      <c r="M4070" s="25" t="n">
        <f aca="false">IF(COUNT(G4041:G4070)&lt;20,"",_xlfn.STDEV.S(G4041:G4070)*SQRT($R$3))</f>
        <v>0.712361410230047</v>
      </c>
      <c r="N4070" s="25" t="n">
        <f aca="false">IF(A4070-7&lt;$R$2,"",C4070/INDEX(Clean_Data!$C$2:$C$4314,MATCH(A4070-7,Clean_Data!$A$2:$A$4314,1))-1)</f>
        <v>-0.0431805453587267</v>
      </c>
      <c r="O4070" s="25" t="n">
        <f aca="false">IF(A4070-30&lt;$R$2,"",C4070/INDEX(Clean_Data!$C$2:$C$4314,MATCH(A4070-30,Clean_Data!$A$2:$A$4314,1))-1)</f>
        <v>-0.260855018959198</v>
      </c>
    </row>
    <row r="4071" customFormat="false" ht="15" hidden="false" customHeight="false" outlineLevel="0" collapsed="false">
      <c r="A4071" s="16" t="n">
        <v>46078</v>
      </c>
      <c r="B4071" s="23" t="n">
        <f aca="false">YEAR(A4071)</f>
        <v>2026</v>
      </c>
      <c r="C4071" s="17" t="n">
        <v>68448.27</v>
      </c>
      <c r="D4071" s="23" t="n">
        <f aca="false">A4071-A4070</f>
        <v>1</v>
      </c>
      <c r="E4071" s="24" t="n">
        <f aca="false">LN(C4071)</f>
        <v>11.1338335564746</v>
      </c>
      <c r="F4071" s="25" t="n">
        <f aca="false">LN(C4071/C4070)</f>
        <v>0.0626740237937266</v>
      </c>
      <c r="G4071" s="25" t="n">
        <f aca="false">IF(AND(D4071=1,A4071&gt;=$R$2),F4071,"")</f>
        <v>0.0626740237937266</v>
      </c>
      <c r="H4071" s="27" t="n">
        <f aca="false">IF(G4071="","",G4071^2)</f>
        <v>0.00392803325849661</v>
      </c>
      <c r="I4071" s="25" t="n">
        <f aca="false">IF(G4071="","",C4071/C4070-1)</f>
        <v>0.0646797224016609</v>
      </c>
      <c r="J4071" s="17" t="n">
        <f aca="false">AVERAGE(C3872:C4071)</f>
        <v>98062.84895</v>
      </c>
      <c r="K4071" s="17" t="n">
        <f aca="false">MAX(K4070,C4071)</f>
        <v>124720.09</v>
      </c>
      <c r="L4071" s="25" t="n">
        <f aca="false">C4071/K4071-1</f>
        <v>-0.451184889298909</v>
      </c>
      <c r="M4071" s="25" t="n">
        <f aca="false">IF(COUNT(G4042:G4071)&lt;20,"",_xlfn.STDEV.S(G4042:G4071)*SQRT($R$3))</f>
        <v>0.752471987607016</v>
      </c>
      <c r="N4071" s="25" t="n">
        <f aca="false">IF(A4071-7&lt;$R$2,"",C4071/INDEX(Clean_Data!$C$2:$C$4314,MATCH(A4071-7,Clean_Data!$A$2:$A$4314,1))-1)</f>
        <v>0.0287812008892983</v>
      </c>
      <c r="O4071" s="25" t="n">
        <f aca="false">IF(A4071-30&lt;$R$2,"",C4071/INDEX(Clean_Data!$C$2:$C$4314,MATCH(A4071-30,Clean_Data!$A$2:$A$4314,1))-1)</f>
        <v>-0.223383212036605</v>
      </c>
    </row>
    <row r="4072" customFormat="false" ht="15" hidden="false" customHeight="false" outlineLevel="0" collapsed="false">
      <c r="A4072" s="16" t="n">
        <v>46079</v>
      </c>
      <c r="B4072" s="23" t="n">
        <f aca="false">YEAR(A4072)</f>
        <v>2026</v>
      </c>
      <c r="C4072" s="17" t="n">
        <v>67068.86</v>
      </c>
      <c r="D4072" s="23" t="n">
        <f aca="false">A4072-A4071</f>
        <v>1</v>
      </c>
      <c r="E4072" s="24" t="n">
        <f aca="false">LN(C4072)</f>
        <v>11.1134751317822</v>
      </c>
      <c r="F4072" s="25" t="n">
        <f aca="false">LN(C4072/C4071)</f>
        <v>-0.0203584246924422</v>
      </c>
      <c r="G4072" s="25" t="n">
        <f aca="false">IF(AND(D4072=1,A4072&gt;=$R$2),F4072,"")</f>
        <v>-0.0203584246924422</v>
      </c>
      <c r="H4072" s="27" t="n">
        <f aca="false">IF(G4072="","",G4072^2)</f>
        <v>0.000414465455957839</v>
      </c>
      <c r="I4072" s="25" t="n">
        <f aca="false">IF(G4072="","",C4072/C4071-1)</f>
        <v>-0.0201525911465695</v>
      </c>
      <c r="J4072" s="17" t="n">
        <f aca="false">AVERAGE(C3873:C4072)</f>
        <v>97804.68405</v>
      </c>
      <c r="K4072" s="17" t="n">
        <f aca="false">MAX(K4071,C4072)</f>
        <v>124720.09</v>
      </c>
      <c r="L4072" s="25" t="n">
        <f aca="false">C4072/K4072-1</f>
        <v>-0.462244935839928</v>
      </c>
      <c r="M4072" s="25" t="n">
        <f aca="false">IF(COUNT(G4043:G4072)&lt;20,"",_xlfn.STDEV.S(G4043:G4072)*SQRT($R$3))</f>
        <v>0.749480241340548</v>
      </c>
      <c r="N4072" s="25" t="n">
        <f aca="false">IF(A4072-7&lt;$R$2,"",C4072/INDEX(Clean_Data!$C$2:$C$4314,MATCH(A4072-7,Clean_Data!$A$2:$A$4314,1))-1)</f>
        <v>-0.00216367680146579</v>
      </c>
      <c r="O4072" s="25" t="n">
        <f aca="false">IF(A4072-30&lt;$R$2,"",C4072/INDEX(Clean_Data!$C$2:$C$4314,MATCH(A4072-30,Clean_Data!$A$2:$A$4314,1))-1)</f>
        <v>-0.248915292958251</v>
      </c>
    </row>
    <row r="4073" customFormat="false" ht="15" hidden="false" customHeight="false" outlineLevel="0" collapsed="false">
      <c r="A4073" s="16" t="n">
        <v>46080</v>
      </c>
      <c r="B4073" s="23" t="n">
        <f aca="false">YEAR(A4073)</f>
        <v>2026</v>
      </c>
      <c r="C4073" s="17" t="n">
        <v>65950</v>
      </c>
      <c r="D4073" s="23" t="n">
        <f aca="false">A4073-A4072</f>
        <v>1</v>
      </c>
      <c r="E4073" s="24" t="n">
        <f aca="false">LN(C4073)</f>
        <v>11.0966521581455</v>
      </c>
      <c r="F4073" s="25" t="n">
        <f aca="false">LN(C4073/C4072)</f>
        <v>-0.01682297363673</v>
      </c>
      <c r="G4073" s="25" t="n">
        <f aca="false">IF(AND(D4073=1,A4073&gt;=$R$2),F4073,"")</f>
        <v>-0.01682297363673</v>
      </c>
      <c r="H4073" s="27" t="n">
        <f aca="false">IF(G4073="","",G4073^2)</f>
        <v>0.000283012441982113</v>
      </c>
      <c r="I4073" s="25" t="n">
        <f aca="false">IF(G4073="","",C4073/C4072-1)</f>
        <v>-0.0166822576080763</v>
      </c>
      <c r="J4073" s="17" t="n">
        <f aca="false">AVERAGE(C3874:C4073)</f>
        <v>97533.86815</v>
      </c>
      <c r="K4073" s="17" t="n">
        <f aca="false">MAX(K4072,C4073)</f>
        <v>124720.09</v>
      </c>
      <c r="L4073" s="25" t="n">
        <f aca="false">C4073/K4073-1</f>
        <v>-0.471215904350294</v>
      </c>
      <c r="M4073" s="25" t="n">
        <f aca="false">IF(COUNT(G4044:G4073)&lt;20,"",_xlfn.STDEV.S(G4044:G4073)*SQRT($R$3))</f>
        <v>0.749593428726944</v>
      </c>
      <c r="N4073" s="25" t="n">
        <f aca="false">IF(A4073-7&lt;$R$2,"",C4073/INDEX(Clean_Data!$C$2:$C$4314,MATCH(A4073-7,Clean_Data!$A$2:$A$4314,1))-1)</f>
        <v>-0.028508667264145</v>
      </c>
      <c r="O4073" s="25" t="n">
        <f aca="false">IF(A4073-30&lt;$R$2,"",C4073/INDEX(Clean_Data!$C$2:$C$4314,MATCH(A4073-30,Clean_Data!$A$2:$A$4314,1))-1)</f>
        <v>-0.258688574564352</v>
      </c>
    </row>
    <row r="4074" customFormat="false" ht="15" hidden="false" customHeight="false" outlineLevel="0" collapsed="false">
      <c r="A4074" s="16" t="n">
        <v>46081</v>
      </c>
      <c r="B4074" s="23" t="n">
        <f aca="false">YEAR(A4074)</f>
        <v>2026</v>
      </c>
      <c r="C4074" s="17" t="n">
        <v>66680.36</v>
      </c>
      <c r="D4074" s="23" t="n">
        <f aca="false">A4074-A4073</f>
        <v>1</v>
      </c>
      <c r="E4074" s="24" t="n">
        <f aca="false">LN(C4074)</f>
        <v>11.1076657357704</v>
      </c>
      <c r="F4074" s="25" t="n">
        <f aca="false">LN(C4074/C4073)</f>
        <v>0.0110135776249114</v>
      </c>
      <c r="G4074" s="25" t="n">
        <f aca="false">IF(AND(D4074=1,A4074&gt;=$R$2),F4074,"")</f>
        <v>0.0110135776249114</v>
      </c>
      <c r="H4074" s="27" t="n">
        <f aca="false">IF(G4074="","",G4074^2)</f>
        <v>0.00012129889209995</v>
      </c>
      <c r="I4074" s="25" t="n">
        <f aca="false">IF(G4074="","",C4074/C4073-1)</f>
        <v>0.0110744503411675</v>
      </c>
      <c r="J4074" s="17" t="n">
        <f aca="false">AVERAGE(C3875:C4074)</f>
        <v>97250.4418</v>
      </c>
      <c r="K4074" s="17" t="n">
        <f aca="false">MAX(K4073,C4074)</f>
        <v>124720.09</v>
      </c>
      <c r="L4074" s="25" t="n">
        <f aca="false">C4074/K4074-1</f>
        <v>-0.465359911141822</v>
      </c>
      <c r="M4074" s="25" t="n">
        <f aca="false">IF(COUNT(G4045:G4074)&lt;20,"",_xlfn.STDEV.S(G4045:G4074)*SQRT($R$3))</f>
        <v>0.732331059610512</v>
      </c>
      <c r="N4074" s="25" t="n">
        <f aca="false">IF(A4074-7&lt;$R$2,"",C4074/INDEX(Clean_Data!$C$2:$C$4314,MATCH(A4074-7,Clean_Data!$A$2:$A$4314,1))-1)</f>
        <v>-0.0189661595174775</v>
      </c>
      <c r="O4074" s="25" t="n">
        <f aca="false">IF(A4074-30&lt;$R$2,"",C4074/INDEX(Clean_Data!$C$2:$C$4314,MATCH(A4074-30,Clean_Data!$A$2:$A$4314,1))-1)</f>
        <v>-0.205656249717073</v>
      </c>
    </row>
    <row r="4075" customFormat="false" ht="15" hidden="false" customHeight="false" outlineLevel="0" collapsed="false">
      <c r="A4075" s="16" t="n">
        <v>46082</v>
      </c>
      <c r="B4075" s="23" t="n">
        <f aca="false">YEAR(A4075)</f>
        <v>2026</v>
      </c>
      <c r="C4075" s="17" t="n">
        <v>66474.29</v>
      </c>
      <c r="D4075" s="23" t="n">
        <f aca="false">A4075-A4074</f>
        <v>1</v>
      </c>
      <c r="E4075" s="24" t="n">
        <f aca="false">LN(C4075)</f>
        <v>11.1045705353471</v>
      </c>
      <c r="F4075" s="25" t="n">
        <f aca="false">LN(C4075/C4074)</f>
        <v>-0.00309520042322355</v>
      </c>
      <c r="G4075" s="25" t="n">
        <f aca="false">IF(AND(D4075=1,A4075&gt;=$R$2),F4075,"")</f>
        <v>-0.00309520042322355</v>
      </c>
      <c r="H4075" s="27" t="n">
        <f aca="false">IF(G4075="","",G4075^2)</f>
        <v>9.58026565992327E-006</v>
      </c>
      <c r="I4075" s="25" t="n">
        <f aca="false">IF(G4075="","",C4075/C4074-1)</f>
        <v>-0.00309041522871212</v>
      </c>
      <c r="J4075" s="17" t="n">
        <f aca="false">AVERAGE(C3876:C4075)</f>
        <v>96990.8643</v>
      </c>
      <c r="K4075" s="17" t="n">
        <f aca="false">MAX(K4074,C4075)</f>
        <v>124720.09</v>
      </c>
      <c r="L4075" s="25" t="n">
        <f aca="false">C4075/K4075-1</f>
        <v>-0.467012171014309</v>
      </c>
      <c r="M4075" s="25" t="n">
        <f aca="false">IF(COUNT(G4046:G4075)&lt;20,"",_xlfn.STDEV.S(G4046:G4075)*SQRT($R$3))</f>
        <v>0.731933087625289</v>
      </c>
      <c r="N4075" s="25" t="n">
        <f aca="false">IF(A4075-7&lt;$R$2,"",C4075/INDEX(Clean_Data!$C$2:$C$4314,MATCH(A4075-7,Clean_Data!$A$2:$A$4314,1))-1)</f>
        <v>0.00355365200811009</v>
      </c>
      <c r="O4075" s="25" t="n">
        <f aca="false">IF(A4075-30&lt;$R$2,"",C4075/INDEX(Clean_Data!$C$2:$C$4314,MATCH(A4075-30,Clean_Data!$A$2:$A$4314,1))-1)</f>
        <v>-0.208507677825429</v>
      </c>
    </row>
    <row r="4076" customFormat="false" ht="15" hidden="false" customHeight="false" outlineLevel="0" collapsed="false">
      <c r="A4076" s="16" t="n">
        <v>46083</v>
      </c>
      <c r="B4076" s="23" t="n">
        <f aca="false">YEAR(A4076)</f>
        <v>2026</v>
      </c>
      <c r="C4076" s="17" t="n">
        <v>69016.92</v>
      </c>
      <c r="D4076" s="23" t="n">
        <f aca="false">A4076-A4075</f>
        <v>1</v>
      </c>
      <c r="E4076" s="24" t="n">
        <f aca="false">LN(C4076)</f>
        <v>11.1421069709098</v>
      </c>
      <c r="F4076" s="25" t="n">
        <f aca="false">LN(C4076/C4075)</f>
        <v>0.0375364355626818</v>
      </c>
      <c r="G4076" s="25" t="n">
        <f aca="false">IF(AND(D4076=1,A4076&gt;=$R$2),F4076,"")</f>
        <v>0.0375364355626818</v>
      </c>
      <c r="H4076" s="27" t="n">
        <f aca="false">IF(G4076="","",G4076^2)</f>
        <v>0.00140898399475136</v>
      </c>
      <c r="I4076" s="25" t="n">
        <f aca="false">IF(G4076="","",C4076/C4075-1)</f>
        <v>0.0382498256092694</v>
      </c>
      <c r="J4076" s="17" t="n">
        <f aca="false">AVERAGE(C3877:C4076)</f>
        <v>96748.7641</v>
      </c>
      <c r="K4076" s="17" t="n">
        <f aca="false">MAX(K4075,C4076)</f>
        <v>124720.09</v>
      </c>
      <c r="L4076" s="25" t="n">
        <f aca="false">C4076/K4076-1</f>
        <v>-0.446625479503743</v>
      </c>
      <c r="M4076" s="25" t="n">
        <f aca="false">IF(COUNT(G4047:G4076)&lt;20,"",_xlfn.STDEV.S(G4047:G4076)*SQRT($R$3))</f>
        <v>0.718684387299204</v>
      </c>
      <c r="N4076" s="25" t="n">
        <f aca="false">IF(A4076-7&lt;$R$2,"",C4076/INDEX(Clean_Data!$C$2:$C$4314,MATCH(A4076-7,Clean_Data!$A$2:$A$4314,1))-1)</f>
        <v>0.0659973226858586</v>
      </c>
      <c r="O4076" s="25" t="n">
        <f aca="false">IF(A4076-30&lt;$R$2,"",C4076/INDEX(Clean_Data!$C$2:$C$4314,MATCH(A4076-30,Clean_Data!$A$2:$A$4314,1))-1)</f>
        <v>-0.123341966509711</v>
      </c>
    </row>
    <row r="4077" customFormat="false" ht="15" hidden="false" customHeight="false" outlineLevel="0" collapsed="false">
      <c r="A4077" s="16" t="n">
        <v>46084</v>
      </c>
      <c r="B4077" s="23" t="n">
        <f aca="false">YEAR(A4077)</f>
        <v>2026</v>
      </c>
      <c r="C4077" s="17" t="n">
        <v>68222.81</v>
      </c>
      <c r="D4077" s="23" t="n">
        <f aca="false">A4077-A4076</f>
        <v>1</v>
      </c>
      <c r="E4077" s="24" t="n">
        <f aca="false">LN(C4077)</f>
        <v>11.1305342453911</v>
      </c>
      <c r="F4077" s="25" t="n">
        <f aca="false">LN(C4077/C4076)</f>
        <v>-0.0115727255187056</v>
      </c>
      <c r="G4077" s="25" t="n">
        <f aca="false">IF(AND(D4077=1,A4077&gt;=$R$2),F4077,"")</f>
        <v>-0.0115727255187056</v>
      </c>
      <c r="H4077" s="27" t="n">
        <f aca="false">IF(G4077="","",G4077^2)</f>
        <v>0.0001339279759313</v>
      </c>
      <c r="I4077" s="25" t="n">
        <f aca="false">IF(G4077="","",C4077/C4076-1)</f>
        <v>-0.0115060191037213</v>
      </c>
      <c r="J4077" s="17" t="n">
        <f aca="false">AVERAGE(C3878:C4077)</f>
        <v>96502.59975</v>
      </c>
      <c r="K4077" s="17" t="n">
        <f aca="false">MAX(K4076,C4077)</f>
        <v>124720.09</v>
      </c>
      <c r="L4077" s="25" t="n">
        <f aca="false">C4077/K4077-1</f>
        <v>-0.452992617308086</v>
      </c>
      <c r="M4077" s="25" t="n">
        <f aca="false">IF(COUNT(G4048:G4077)&lt;20,"",_xlfn.STDEV.S(G4048:G4077)*SQRT($R$3))</f>
        <v>0.718700195473879</v>
      </c>
      <c r="N4077" s="25" t="n">
        <f aca="false">IF(A4077-7&lt;$R$2,"",C4077/INDEX(Clean_Data!$C$2:$C$4314,MATCH(A4077-7,Clean_Data!$A$2:$A$4314,1))-1)</f>
        <v>0.0611728011863739</v>
      </c>
      <c r="O4077" s="25" t="n">
        <f aca="false">IF(A4077-30&lt;$R$2,"",C4077/INDEX(Clean_Data!$C$2:$C$4314,MATCH(A4077-30,Clean_Data!$A$2:$A$4314,1))-1)</f>
        <v>-0.123453113289982</v>
      </c>
    </row>
    <row r="4078" customFormat="false" ht="15" hidden="false" customHeight="false" outlineLevel="0" collapsed="false">
      <c r="A4078" s="16" t="n">
        <v>46085</v>
      </c>
      <c r="B4078" s="23" t="n">
        <f aca="false">YEAR(A4078)</f>
        <v>2026</v>
      </c>
      <c r="C4078" s="17" t="n">
        <v>72776.66</v>
      </c>
      <c r="D4078" s="23" t="n">
        <f aca="false">A4078-A4077</f>
        <v>1</v>
      </c>
      <c r="E4078" s="24" t="n">
        <f aca="false">LN(C4078)</f>
        <v>11.1951505783846</v>
      </c>
      <c r="F4078" s="25" t="n">
        <f aca="false">LN(C4078/C4077)</f>
        <v>0.0646163329934715</v>
      </c>
      <c r="G4078" s="25" t="n">
        <f aca="false">IF(AND(D4078=1,A4078&gt;=$R$2),F4078,"")</f>
        <v>0.0646163329934715</v>
      </c>
      <c r="H4078" s="27" t="n">
        <f aca="false">IF(G4078="","",G4078^2)</f>
        <v>0.00417527048952319</v>
      </c>
      <c r="I4078" s="25" t="n">
        <f aca="false">IF(G4078="","",C4078/C4077-1)</f>
        <v>0.066749669208876</v>
      </c>
      <c r="J4078" s="17" t="n">
        <f aca="false">AVERAGE(C3879:C4078)</f>
        <v>96279.04005</v>
      </c>
      <c r="K4078" s="17" t="n">
        <f aca="false">MAX(K4077,C4078)</f>
        <v>124720.09</v>
      </c>
      <c r="L4078" s="25" t="n">
        <f aca="false">C4078/K4078-1</f>
        <v>-0.416480055458587</v>
      </c>
      <c r="M4078" s="25" t="n">
        <f aca="false">IF(COUNT(G4049:G4078)&lt;20,"",_xlfn.STDEV.S(G4049:G4078)*SQRT($R$3))</f>
        <v>0.755701193445796</v>
      </c>
      <c r="N4078" s="25" t="n">
        <f aca="false">IF(A4078-7&lt;$R$2,"",C4078/INDEX(Clean_Data!$C$2:$C$4314,MATCH(A4078-7,Clean_Data!$A$2:$A$4314,1))-1)</f>
        <v>0.0632359298489209</v>
      </c>
      <c r="O4078" s="25" t="n">
        <f aca="false">IF(A4078-30&lt;$R$2,"",C4078/INDEX(Clean_Data!$C$2:$C$4314,MATCH(A4078-30,Clean_Data!$A$2:$A$4314,1))-1)</f>
        <v>-0.0780547709751532</v>
      </c>
    </row>
    <row r="4079" customFormat="false" ht="15" hidden="false" customHeight="false" outlineLevel="0" collapsed="false">
      <c r="A4079" s="16" t="n">
        <v>46086</v>
      </c>
      <c r="B4079" s="23" t="n">
        <f aca="false">YEAR(A4079)</f>
        <v>2026</v>
      </c>
      <c r="C4079" s="17" t="n">
        <v>70955.49</v>
      </c>
      <c r="D4079" s="23" t="n">
        <f aca="false">A4079-A4078</f>
        <v>1</v>
      </c>
      <c r="E4079" s="24" t="n">
        <f aca="false">LN(C4079)</f>
        <v>11.1698080580302</v>
      </c>
      <c r="F4079" s="25" t="n">
        <f aca="false">LN(C4079/C4078)</f>
        <v>-0.0253425203544464</v>
      </c>
      <c r="G4079" s="25" t="n">
        <f aca="false">IF(AND(D4079=1,A4079&gt;=$R$2),F4079,"")</f>
        <v>-0.0253425203544464</v>
      </c>
      <c r="H4079" s="27" t="n">
        <f aca="false">IF(G4079="","",G4079^2)</f>
        <v>0.000642243337915529</v>
      </c>
      <c r="I4079" s="25" t="n">
        <f aca="false">IF(G4079="","",C4079/C4078-1)</f>
        <v>-0.0250240942631882</v>
      </c>
      <c r="J4079" s="17" t="n">
        <f aca="false">AVERAGE(C3880:C4079)</f>
        <v>96052.3837</v>
      </c>
      <c r="K4079" s="17" t="n">
        <f aca="false">MAX(K4078,C4079)</f>
        <v>124720.09</v>
      </c>
      <c r="L4079" s="25" t="n">
        <f aca="false">C4079/K4079-1</f>
        <v>-0.431082113555242</v>
      </c>
      <c r="M4079" s="25" t="n">
        <f aca="false">IF(COUNT(G4050:G4079)&lt;20,"",_xlfn.STDEV.S(G4050:G4079)*SQRT($R$3))</f>
        <v>0.751883388652266</v>
      </c>
      <c r="N4079" s="25" t="n">
        <f aca="false">IF(A4079-7&lt;$R$2,"",C4079/INDEX(Clean_Data!$C$2:$C$4314,MATCH(A4079-7,Clean_Data!$A$2:$A$4314,1))-1)</f>
        <v>0.0579498443838169</v>
      </c>
      <c r="O4079" s="25" t="n">
        <f aca="false">IF(A4079-30&lt;$R$2,"",C4079/INDEX(Clean_Data!$C$2:$C$4314,MATCH(A4079-30,Clean_Data!$A$2:$A$4314,1))-1)</f>
        <v>-0.0702163614058655</v>
      </c>
    </row>
    <row r="4080" customFormat="false" ht="15" hidden="false" customHeight="false" outlineLevel="0" collapsed="false">
      <c r="A4080" s="16" t="n">
        <v>46087</v>
      </c>
      <c r="B4080" s="23" t="n">
        <f aca="false">YEAR(A4080)</f>
        <v>2026</v>
      </c>
      <c r="C4080" s="17" t="n">
        <v>68350</v>
      </c>
      <c r="D4080" s="23" t="n">
        <f aca="false">A4080-A4079</f>
        <v>1</v>
      </c>
      <c r="E4080" s="24" t="n">
        <f aca="false">LN(C4080)</f>
        <v>11.1323968421521</v>
      </c>
      <c r="F4080" s="25" t="n">
        <f aca="false">LN(C4080/C4079)</f>
        <v>-0.0374112158780544</v>
      </c>
      <c r="G4080" s="25" t="n">
        <f aca="false">IF(AND(D4080=1,A4080&gt;=$R$2),F4080,"")</f>
        <v>-0.0374112158780544</v>
      </c>
      <c r="H4080" s="27" t="n">
        <f aca="false">IF(G4080="","",G4080^2)</f>
        <v>0.00139959907347439</v>
      </c>
      <c r="I4080" s="25" t="n">
        <f aca="false">IF(G4080="","",C4080/C4079-1)</f>
        <v>-0.0367200621121777</v>
      </c>
      <c r="J4080" s="17" t="n">
        <f aca="false">AVERAGE(C3881:C4080)</f>
        <v>95829.85275</v>
      </c>
      <c r="K4080" s="17" t="n">
        <f aca="false">MAX(K4079,C4080)</f>
        <v>124720.09</v>
      </c>
      <c r="L4080" s="25" t="n">
        <f aca="false">C4080/K4080-1</f>
        <v>-0.451972813682222</v>
      </c>
      <c r="M4080" s="25" t="n">
        <f aca="false">IF(COUNT(G4051:G4080)&lt;20,"",_xlfn.STDEV.S(G4051:G4080)*SQRT($R$3))</f>
        <v>0.745895508578695</v>
      </c>
      <c r="N4080" s="25" t="n">
        <f aca="false">IF(A4080-7&lt;$R$2,"",C4080/INDEX(Clean_Data!$C$2:$C$4314,MATCH(A4080-7,Clean_Data!$A$2:$A$4314,1))-1)</f>
        <v>0.0363912054586808</v>
      </c>
      <c r="O4080" s="25" t="n">
        <f aca="false">IF(A4080-30&lt;$R$2,"",C4080/INDEX(Clean_Data!$C$2:$C$4314,MATCH(A4080-30,Clean_Data!$A$2:$A$4314,1))-1)</f>
        <v>-0.0618195704025829</v>
      </c>
    </row>
    <row r="4081" customFormat="false" ht="15" hidden="false" customHeight="false" outlineLevel="0" collapsed="false">
      <c r="A4081" s="16" t="n">
        <v>46088</v>
      </c>
      <c r="B4081" s="23" t="n">
        <f aca="false">YEAR(A4081)</f>
        <v>2026</v>
      </c>
      <c r="C4081" s="17" t="n">
        <v>67193.87</v>
      </c>
      <c r="D4081" s="23" t="n">
        <f aca="false">A4081-A4080</f>
        <v>1</v>
      </c>
      <c r="E4081" s="24" t="n">
        <f aca="false">LN(C4081)</f>
        <v>11.1153373021123</v>
      </c>
      <c r="F4081" s="25" t="n">
        <f aca="false">LN(C4081/C4080)</f>
        <v>-0.017059540039769</v>
      </c>
      <c r="G4081" s="25" t="n">
        <f aca="false">IF(AND(D4081=1,A4081&gt;=$R$2),F4081,"")</f>
        <v>-0.017059540039769</v>
      </c>
      <c r="H4081" s="27" t="n">
        <f aca="false">IF(G4081="","",G4081^2)</f>
        <v>0.000291027906368482</v>
      </c>
      <c r="I4081" s="25" t="n">
        <f aca="false">IF(G4081="","",C4081/C4080-1)</f>
        <v>-0.0169148500365766</v>
      </c>
      <c r="J4081" s="17" t="n">
        <f aca="false">AVERAGE(C3882:C4081)</f>
        <v>95594.4421</v>
      </c>
      <c r="K4081" s="17" t="n">
        <f aca="false">MAX(K4080,C4081)</f>
        <v>124720.09</v>
      </c>
      <c r="L4081" s="25" t="n">
        <f aca="false">C4081/K4081-1</f>
        <v>-0.461242611354755</v>
      </c>
      <c r="M4081" s="25" t="n">
        <f aca="false">IF(COUNT(G4052:G4081)&lt;20,"",_xlfn.STDEV.S(G4052:G4081)*SQRT($R$3))</f>
        <v>0.58429221132643</v>
      </c>
      <c r="N4081" s="25" t="n">
        <f aca="false">IF(A4081-7&lt;$R$2,"",C4081/INDEX(Clean_Data!$C$2:$C$4314,MATCH(A4081-7,Clean_Data!$A$2:$A$4314,1))-1)</f>
        <v>0.00770106820059158</v>
      </c>
      <c r="O4081" s="25" t="n">
        <f aca="false">IF(A4081-30&lt;$R$2,"",C4081/INDEX(Clean_Data!$C$2:$C$4314,MATCH(A4081-30,Clean_Data!$A$2:$A$4314,1))-1)</f>
        <v>0.0524368092655467</v>
      </c>
    </row>
    <row r="4082" customFormat="false" ht="15" hidden="false" customHeight="false" outlineLevel="0" collapsed="false">
      <c r="A4082" s="16" t="n">
        <v>46089</v>
      </c>
      <c r="B4082" s="23" t="n">
        <f aca="false">YEAR(A4082)</f>
        <v>2026</v>
      </c>
      <c r="C4082" s="17" t="n">
        <v>66055.14</v>
      </c>
      <c r="D4082" s="23" t="n">
        <f aca="false">A4082-A4081</f>
        <v>1</v>
      </c>
      <c r="E4082" s="24" t="n">
        <f aca="false">LN(C4082)</f>
        <v>11.0982451267561</v>
      </c>
      <c r="F4082" s="25" t="n">
        <f aca="false">LN(C4082/C4081)</f>
        <v>-0.017092175356202</v>
      </c>
      <c r="G4082" s="25" t="n">
        <f aca="false">IF(AND(D4082=1,A4082&gt;=$R$2),F4082,"")</f>
        <v>-0.017092175356202</v>
      </c>
      <c r="H4082" s="27" t="n">
        <f aca="false">IF(G4082="","",G4082^2)</f>
        <v>0.000292142458407159</v>
      </c>
      <c r="I4082" s="25" t="n">
        <f aca="false">IF(G4082="","",C4082/C4081-1)</f>
        <v>-0.0169469328080076</v>
      </c>
      <c r="J4082" s="17" t="n">
        <f aca="false">AVERAGE(C3883:C4082)</f>
        <v>95362.3163</v>
      </c>
      <c r="K4082" s="17" t="n">
        <f aca="false">MAX(K4081,C4082)</f>
        <v>124720.09</v>
      </c>
      <c r="L4082" s="25" t="n">
        <f aca="false">C4082/K4082-1</f>
        <v>-0.470372896619943</v>
      </c>
      <c r="M4082" s="25" t="n">
        <f aca="false">IF(COUNT(G4053:G4082)&lt;20,"",_xlfn.STDEV.S(G4053:G4082)*SQRT($R$3))</f>
        <v>0.490229551238455</v>
      </c>
      <c r="N4082" s="25" t="n">
        <f aca="false">IF(A4082-7&lt;$R$2,"",C4082/INDEX(Clean_Data!$C$2:$C$4314,MATCH(A4082-7,Clean_Data!$A$2:$A$4314,1))-1)</f>
        <v>-0.00630544530825372</v>
      </c>
      <c r="O4082" s="25" t="n">
        <f aca="false">IF(A4082-30&lt;$R$2,"",C4082/INDEX(Clean_Data!$C$2:$C$4314,MATCH(A4082-30,Clean_Data!$A$2:$A$4314,1))-1)</f>
        <v>-0.0554942933702431</v>
      </c>
    </row>
    <row r="4083" customFormat="false" ht="15" hidden="false" customHeight="false" outlineLevel="0" collapsed="false">
      <c r="A4083" s="16" t="n">
        <v>46090</v>
      </c>
      <c r="B4083" s="23" t="n">
        <f aca="false">YEAR(A4083)</f>
        <v>2026</v>
      </c>
      <c r="C4083" s="17" t="n">
        <v>68480.54</v>
      </c>
      <c r="D4083" s="23" t="n">
        <f aca="false">A4083-A4082</f>
        <v>1</v>
      </c>
      <c r="E4083" s="24" t="n">
        <f aca="false">LN(C4083)</f>
        <v>11.1343048962986</v>
      </c>
      <c r="F4083" s="25" t="n">
        <f aca="false">LN(C4083/C4082)</f>
        <v>0.0360597695424272</v>
      </c>
      <c r="G4083" s="25" t="n">
        <f aca="false">IF(AND(D4083=1,A4083&gt;=$R$2),F4083,"")</f>
        <v>0.0360597695424272</v>
      </c>
      <c r="H4083" s="27" t="n">
        <f aca="false">IF(G4083="","",G4083^2)</f>
        <v>0.00130030697945296</v>
      </c>
      <c r="I4083" s="25" t="n">
        <f aca="false">IF(G4083="","",C4083/C4082-1)</f>
        <v>0.0367178087882336</v>
      </c>
      <c r="J4083" s="17" t="n">
        <f aca="false">AVERAGE(C3884:C4083)</f>
        <v>95120.1756</v>
      </c>
      <c r="K4083" s="17" t="n">
        <f aca="false">MAX(K4082,C4083)</f>
        <v>124720.09</v>
      </c>
      <c r="L4083" s="25" t="n">
        <f aca="false">C4083/K4083-1</f>
        <v>-0.450926149908968</v>
      </c>
      <c r="M4083" s="25" t="n">
        <f aca="false">IF(COUNT(G4054:G4083)&lt;20,"",_xlfn.STDEV.S(G4054:G4083)*SQRT($R$3))</f>
        <v>0.506560082097451</v>
      </c>
      <c r="N4083" s="25" t="n">
        <f aca="false">IF(A4083-7&lt;$R$2,"",C4083/INDEX(Clean_Data!$C$2:$C$4314,MATCH(A4083-7,Clean_Data!$A$2:$A$4314,1))-1)</f>
        <v>-0.00777171742813221</v>
      </c>
      <c r="O4083" s="25" t="n">
        <f aca="false">IF(A4083-30&lt;$R$2,"",C4083/INDEX(Clean_Data!$C$2:$C$4314,MATCH(A4083-30,Clean_Data!$A$2:$A$4314,1))-1)</f>
        <v>-0.0103966778029883</v>
      </c>
    </row>
    <row r="4084" customFormat="false" ht="15" hidden="false" customHeight="false" outlineLevel="0" collapsed="false">
      <c r="A4084" s="16" t="n">
        <v>46091</v>
      </c>
      <c r="B4084" s="23" t="n">
        <f aca="false">YEAR(A4084)</f>
        <v>2026</v>
      </c>
      <c r="C4084" s="17" t="n">
        <v>69847.95</v>
      </c>
      <c r="D4084" s="23" t="n">
        <f aca="false">A4084-A4083</f>
        <v>1</v>
      </c>
      <c r="E4084" s="24" t="n">
        <f aca="false">LN(C4084)</f>
        <v>11.1540760156503</v>
      </c>
      <c r="F4084" s="25" t="n">
        <f aca="false">LN(C4084/C4083)</f>
        <v>0.0197711193517256</v>
      </c>
      <c r="G4084" s="25" t="n">
        <f aca="false">IF(AND(D4084=1,A4084&gt;=$R$2),F4084,"")</f>
        <v>0.0197711193517256</v>
      </c>
      <c r="H4084" s="27" t="n">
        <f aca="false">IF(G4084="","",G4084^2)</f>
        <v>0.000390897160420177</v>
      </c>
      <c r="I4084" s="25" t="n">
        <f aca="false">IF(G4084="","",C4084/C4083-1)</f>
        <v>0.0199678624029542</v>
      </c>
      <c r="J4084" s="17" t="n">
        <f aca="false">AVERAGE(C3885:C4084)</f>
        <v>94892.496</v>
      </c>
      <c r="K4084" s="17" t="n">
        <f aca="false">MAX(K4083,C4084)</f>
        <v>124720.09</v>
      </c>
      <c r="L4084" s="25" t="n">
        <f aca="false">C4084/K4084-1</f>
        <v>-0.43996231882129</v>
      </c>
      <c r="M4084" s="25" t="n">
        <f aca="false">IF(COUNT(G4055:G4084)&lt;20,"",_xlfn.STDEV.S(G4055:G4084)*SQRT($R$3))</f>
        <v>0.507267791112796</v>
      </c>
      <c r="N4084" s="25" t="n">
        <f aca="false">IF(A4084-7&lt;$R$2,"",C4084/INDEX(Clean_Data!$C$2:$C$4314,MATCH(A4084-7,Clean_Data!$A$2:$A$4314,1))-1)</f>
        <v>0.0238210651246995</v>
      </c>
      <c r="O4084" s="25" t="n">
        <f aca="false">IF(A4084-30&lt;$R$2,"",C4084/INDEX(Clean_Data!$C$2:$C$4314,MATCH(A4084-30,Clean_Data!$A$2:$A$4314,1))-1)</f>
        <v>-0.00893854415680828</v>
      </c>
    </row>
    <row r="4085" customFormat="false" ht="15" hidden="false" customHeight="false" outlineLevel="0" collapsed="false">
      <c r="A4085" s="16" t="n">
        <v>46092</v>
      </c>
      <c r="B4085" s="23" t="n">
        <f aca="false">YEAR(A4085)</f>
        <v>2026</v>
      </c>
      <c r="C4085" s="17" t="n">
        <v>70210.72</v>
      </c>
      <c r="D4085" s="23" t="n">
        <f aca="false">A4085-A4084</f>
        <v>1</v>
      </c>
      <c r="E4085" s="24" t="n">
        <f aca="false">LN(C4085)</f>
        <v>11.1592562849082</v>
      </c>
      <c r="F4085" s="25" t="n">
        <f aca="false">LN(C4085/C4084)</f>
        <v>0.00518026925787289</v>
      </c>
      <c r="G4085" s="25" t="n">
        <f aca="false">IF(AND(D4085=1,A4085&gt;=$R$2),F4085,"")</f>
        <v>0.00518026925787289</v>
      </c>
      <c r="H4085" s="27" t="n">
        <f aca="false">IF(G4085="","",G4085^2)</f>
        <v>2.68351895840629E-005</v>
      </c>
      <c r="I4085" s="25" t="n">
        <f aca="false">IF(G4085="","",C4085/C4084-1)</f>
        <v>0.00519371005161928</v>
      </c>
      <c r="J4085" s="17" t="n">
        <f aca="false">AVERAGE(C3886:C4085)</f>
        <v>94676.1596</v>
      </c>
      <c r="K4085" s="17" t="n">
        <f aca="false">MAX(K4084,C4085)</f>
        <v>124720.09</v>
      </c>
      <c r="L4085" s="25" t="n">
        <f aca="false">C4085/K4085-1</f>
        <v>-0.437053645487267</v>
      </c>
      <c r="M4085" s="25" t="n">
        <f aca="false">IF(COUNT(G4056:G4085)&lt;20,"",_xlfn.STDEV.S(G4056:G4085)*SQRT($R$3))</f>
        <v>0.507023123293941</v>
      </c>
      <c r="N4085" s="25" t="n">
        <f aca="false">IF(A4085-7&lt;$R$2,"",C4085/INDEX(Clean_Data!$C$2:$C$4314,MATCH(A4085-7,Clean_Data!$A$2:$A$4314,1))-1)</f>
        <v>-0.0352577323554008</v>
      </c>
      <c r="O4085" s="25" t="n">
        <f aca="false">IF(A4085-30&lt;$R$2,"",C4085/INDEX(Clean_Data!$C$2:$C$4314,MATCH(A4085-30,Clean_Data!$A$2:$A$4314,1))-1)</f>
        <v>0.00319946046968855</v>
      </c>
    </row>
    <row r="4086" customFormat="false" ht="15" hidden="false" customHeight="false" outlineLevel="0" collapsed="false">
      <c r="A4086" s="16" t="n">
        <v>46093</v>
      </c>
      <c r="B4086" s="23" t="n">
        <f aca="false">YEAR(A4086)</f>
        <v>2026</v>
      </c>
      <c r="C4086" s="17" t="n">
        <v>70500.54</v>
      </c>
      <c r="D4086" s="23" t="n">
        <f aca="false">A4086-A4085</f>
        <v>1</v>
      </c>
      <c r="E4086" s="24" t="n">
        <f aca="false">LN(C4086)</f>
        <v>11.1633756483455</v>
      </c>
      <c r="F4086" s="25" t="n">
        <f aca="false">LN(C4086/C4085)</f>
        <v>0.00411936343734325</v>
      </c>
      <c r="G4086" s="25" t="n">
        <f aca="false">IF(AND(D4086=1,A4086&gt;=$R$2),F4086,"")</f>
        <v>0.00411936343734325</v>
      </c>
      <c r="H4086" s="27" t="n">
        <f aca="false">IF(G4086="","",G4086^2)</f>
        <v>1.69691551289204E-005</v>
      </c>
      <c r="I4086" s="25" t="n">
        <f aca="false">IF(G4086="","",C4086/C4085-1)</f>
        <v>0.00412785967726848</v>
      </c>
      <c r="J4086" s="17" t="n">
        <f aca="false">AVERAGE(C3887:C4086)</f>
        <v>94478.0236</v>
      </c>
      <c r="K4086" s="17" t="n">
        <f aca="false">MAX(K4085,C4086)</f>
        <v>124720.09</v>
      </c>
      <c r="L4086" s="25" t="n">
        <f aca="false">C4086/K4086-1</f>
        <v>-0.434729881930008</v>
      </c>
      <c r="M4086" s="25" t="n">
        <f aca="false">IF(COUNT(G4057:G4086)&lt;20,"",_xlfn.STDEV.S(G4057:G4086)*SQRT($R$3))</f>
        <v>0.505586308119899</v>
      </c>
      <c r="N4086" s="25" t="n">
        <f aca="false">IF(A4086-7&lt;$R$2,"",C4086/INDEX(Clean_Data!$C$2:$C$4314,MATCH(A4086-7,Clean_Data!$A$2:$A$4314,1))-1)</f>
        <v>-0.00641176602402449</v>
      </c>
      <c r="O4086" s="25" t="n">
        <f aca="false">IF(A4086-30&lt;$R$2,"",C4086/INDEX(Clean_Data!$C$2:$C$4314,MATCH(A4086-30,Clean_Data!$A$2:$A$4314,1))-1)</f>
        <v>0.0185142807610625</v>
      </c>
    </row>
    <row r="4087" customFormat="false" ht="15" hidden="false" customHeight="false" outlineLevel="0" collapsed="false">
      <c r="A4087" s="16" t="n">
        <v>46094</v>
      </c>
      <c r="B4087" s="23" t="n">
        <f aca="false">YEAR(A4087)</f>
        <v>2026</v>
      </c>
      <c r="C4087" s="17" t="n">
        <v>70838.78</v>
      </c>
      <c r="D4087" s="23" t="n">
        <f aca="false">A4087-A4086</f>
        <v>1</v>
      </c>
      <c r="E4087" s="24" t="n">
        <f aca="false">LN(C4087)</f>
        <v>11.1681618698399</v>
      </c>
      <c r="F4087" s="25" t="n">
        <f aca="false">LN(C4087/C4086)</f>
        <v>0.00478622149445126</v>
      </c>
      <c r="G4087" s="25" t="n">
        <f aca="false">IF(AND(D4087=1,A4087&gt;=$R$2),F4087,"")</f>
        <v>0.00478622149445126</v>
      </c>
      <c r="H4087" s="27" t="n">
        <f aca="false">IF(G4087="","",G4087^2)</f>
        <v>2.29079161939473E-005</v>
      </c>
      <c r="I4087" s="25" t="n">
        <f aca="false">IF(G4087="","",C4087/C4086-1)</f>
        <v>0.00479769374816152</v>
      </c>
      <c r="J4087" s="17" t="n">
        <f aca="false">AVERAGE(C3888:C4087)</f>
        <v>94273.27745</v>
      </c>
      <c r="K4087" s="17" t="n">
        <f aca="false">MAX(K4086,C4087)</f>
        <v>124720.09</v>
      </c>
      <c r="L4087" s="25" t="n">
        <f aca="false">C4087/K4087-1</f>
        <v>-0.432017889018521</v>
      </c>
      <c r="M4087" s="25" t="n">
        <f aca="false">IF(COUNT(G4058:G4087)&lt;20,"",_xlfn.STDEV.S(G4058:G4087)*SQRT($R$3))</f>
        <v>0.496890282795199</v>
      </c>
      <c r="N4087" s="25" t="n">
        <f aca="false">IF(A4087-7&lt;$R$2,"",C4087/INDEX(Clean_Data!$C$2:$C$4314,MATCH(A4087-7,Clean_Data!$A$2:$A$4314,1))-1)</f>
        <v>0.0364122896854426</v>
      </c>
      <c r="O4087" s="25" t="n">
        <f aca="false">IF(A4087-30&lt;$R$2,"",C4087/INDEX(Clean_Data!$C$2:$C$4314,MATCH(A4087-30,Clean_Data!$A$2:$A$4314,1))-1)</f>
        <v>0.0497879863003567</v>
      </c>
    </row>
    <row r="4088" customFormat="false" ht="15" hidden="false" customHeight="false" outlineLevel="0" collapsed="false">
      <c r="A4088" s="16" t="n">
        <v>46095</v>
      </c>
      <c r="B4088" s="23" t="n">
        <f aca="false">YEAR(A4088)</f>
        <v>2026</v>
      </c>
      <c r="C4088" s="17" t="n">
        <v>71118.53</v>
      </c>
      <c r="D4088" s="23" t="n">
        <f aca="false">A4088-A4087</f>
        <v>1</v>
      </c>
      <c r="E4088" s="24" t="n">
        <f aca="false">LN(C4088)</f>
        <v>11.1721032006828</v>
      </c>
      <c r="F4088" s="25" t="n">
        <f aca="false">LN(C4088/C4087)</f>
        <v>0.00394133084288995</v>
      </c>
      <c r="G4088" s="25" t="n">
        <f aca="false">IF(AND(D4088=1,A4088&gt;=$R$2),F4088,"")</f>
        <v>0.00394133084288995</v>
      </c>
      <c r="H4088" s="27" t="n">
        <f aca="false">IF(G4088="","",G4088^2)</f>
        <v>1.55340888131156E-005</v>
      </c>
      <c r="I4088" s="25" t="n">
        <f aca="false">IF(G4088="","",C4088/C4087-1)</f>
        <v>0.00394910810152283</v>
      </c>
      <c r="J4088" s="17" t="n">
        <f aca="false">AVERAGE(C3889:C4088)</f>
        <v>94072.60405</v>
      </c>
      <c r="K4088" s="17" t="n">
        <f aca="false">MAX(K4087,C4088)</f>
        <v>124720.09</v>
      </c>
      <c r="L4088" s="25" t="n">
        <f aca="false">C4088/K4088-1</f>
        <v>-0.429774866262524</v>
      </c>
      <c r="M4088" s="25" t="n">
        <f aca="false">IF(COUNT(G4059:G4088)&lt;20,"",_xlfn.STDEV.S(G4059:G4088)*SQRT($R$3))</f>
        <v>0.489470434205882</v>
      </c>
      <c r="N4088" s="25" t="n">
        <f aca="false">IF(A4088-7&lt;$R$2,"",C4088/INDEX(Clean_Data!$C$2:$C$4314,MATCH(A4088-7,Clean_Data!$A$2:$A$4314,1))-1)</f>
        <v>0.0584080065636941</v>
      </c>
      <c r="O4088" s="25" t="n">
        <f aca="false">IF(A4088-30&lt;$R$2,"",C4088/INDEX(Clean_Data!$C$2:$C$4314,MATCH(A4088-30,Clean_Data!$A$2:$A$4314,1))-1)</f>
        <v>0.0775209959578491</v>
      </c>
    </row>
    <row r="4089" customFormat="false" ht="15" hidden="false" customHeight="false" outlineLevel="0" collapsed="false">
      <c r="A4089" s="16" t="n">
        <v>46096</v>
      </c>
      <c r="B4089" s="23" t="n">
        <f aca="false">YEAR(A4089)</f>
        <v>2026</v>
      </c>
      <c r="C4089" s="17" t="n">
        <v>72953.27</v>
      </c>
      <c r="D4089" s="23" t="n">
        <f aca="false">A4089-A4088</f>
        <v>1</v>
      </c>
      <c r="E4089" s="24" t="n">
        <f aca="false">LN(C4089)</f>
        <v>11.1975743781691</v>
      </c>
      <c r="F4089" s="25" t="n">
        <f aca="false">LN(C4089/C4088)</f>
        <v>0.0254711774862318</v>
      </c>
      <c r="G4089" s="25" t="n">
        <f aca="false">IF(AND(D4089=1,A4089&gt;=$R$2),F4089,"")</f>
        <v>0.0254711774862318</v>
      </c>
      <c r="H4089" s="27" t="n">
        <f aca="false">IF(G4089="","",G4089^2)</f>
        <v>0.000648780882535124</v>
      </c>
      <c r="I4089" s="25" t="n">
        <f aca="false">IF(G4089="","",C4089/C4088-1)</f>
        <v>0.0257983397575849</v>
      </c>
      <c r="J4089" s="17" t="n">
        <f aca="false">AVERAGE(C3890:C4089)</f>
        <v>93874.49615</v>
      </c>
      <c r="K4089" s="17" t="n">
        <f aca="false">MAX(K4088,C4089)</f>
        <v>124720.09</v>
      </c>
      <c r="L4089" s="25" t="n">
        <f aca="false">C4089/K4089-1</f>
        <v>-0.415064004524051</v>
      </c>
      <c r="M4089" s="25" t="n">
        <f aca="false">IF(COUNT(G4060:G4089)&lt;20,"",_xlfn.STDEV.S(G4060:G4089)*SQRT($R$3))</f>
        <v>0.473717386527699</v>
      </c>
      <c r="N4089" s="25" t="n">
        <f aca="false">IF(A4089-7&lt;$R$2,"",C4089/INDEX(Clean_Data!$C$2:$C$4314,MATCH(A4089-7,Clean_Data!$A$2:$A$4314,1))-1)</f>
        <v>0.104429874798539</v>
      </c>
      <c r="O4089" s="25" t="n">
        <f aca="false">IF(A4089-30&lt;$R$2,"",C4089/INDEX(Clean_Data!$C$2:$C$4314,MATCH(A4089-30,Clean_Data!$A$2:$A$4314,1))-1)</f>
        <v>0.0577509004616199</v>
      </c>
    </row>
    <row r="4090" customFormat="false" ht="15" hidden="false" customHeight="false" outlineLevel="0" collapsed="false">
      <c r="A4090" s="16" t="n">
        <v>46097</v>
      </c>
      <c r="B4090" s="23" t="n">
        <f aca="false">YEAR(A4090)</f>
        <v>2026</v>
      </c>
      <c r="C4090" s="17" t="n">
        <v>74758.54</v>
      </c>
      <c r="D4090" s="23" t="n">
        <f aca="false">A4090-A4089</f>
        <v>1</v>
      </c>
      <c r="E4090" s="24" t="n">
        <f aca="false">LN(C4090)</f>
        <v>11.2220187322188</v>
      </c>
      <c r="F4090" s="25" t="n">
        <f aca="false">LN(C4090/C4089)</f>
        <v>0.024444354049757</v>
      </c>
      <c r="G4090" s="25" t="n">
        <f aca="false">IF(AND(D4090=1,A4090&gt;=$R$2),F4090,"")</f>
        <v>0.024444354049757</v>
      </c>
      <c r="H4090" s="27" t="n">
        <f aca="false">IF(G4090="","",G4090^2)</f>
        <v>0.000597526444909874</v>
      </c>
      <c r="I4090" s="25" t="n">
        <f aca="false">IF(G4090="","",C4090/C4089-1)</f>
        <v>0.0247455665798118</v>
      </c>
      <c r="J4090" s="17" t="n">
        <f aca="false">AVERAGE(C3891:C4090)</f>
        <v>93706.39725</v>
      </c>
      <c r="K4090" s="17" t="n">
        <f aca="false">MAX(K4089,C4090)</f>
        <v>124720.09</v>
      </c>
      <c r="L4090" s="25" t="n">
        <f aca="false">C4090/K4090-1</f>
        <v>-0.400589431903072</v>
      </c>
      <c r="M4090" s="25" t="n">
        <f aca="false">IF(COUNT(G4061:G4090)&lt;20,"",_xlfn.STDEV.S(G4061:G4090)*SQRT($R$3))</f>
        <v>0.479030204449024</v>
      </c>
      <c r="N4090" s="25" t="n">
        <f aca="false">IF(A4090-7&lt;$R$2,"",C4090/INDEX(Clean_Data!$C$2:$C$4314,MATCH(A4090-7,Clean_Data!$A$2:$A$4314,1))-1)</f>
        <v>0.0916756789593072</v>
      </c>
      <c r="O4090" s="25" t="n">
        <f aca="false">IF(A4090-30&lt;$R$2,"",C4090/INDEX(Clean_Data!$C$2:$C$4314,MATCH(A4090-30,Clean_Data!$A$2:$A$4314,1))-1)</f>
        <v>0.0710173129690896</v>
      </c>
    </row>
    <row r="4091" customFormat="false" ht="15" hidden="false" customHeight="false" outlineLevel="0" collapsed="false">
      <c r="A4091" s="16" t="n">
        <v>46098</v>
      </c>
      <c r="B4091" s="23" t="n">
        <f aca="false">YEAR(A4091)</f>
        <v>2026</v>
      </c>
      <c r="C4091" s="17" t="n">
        <v>73845.35</v>
      </c>
      <c r="D4091" s="23" t="n">
        <f aca="false">A4091-A4090</f>
        <v>1</v>
      </c>
      <c r="E4091" s="24" t="n">
        <f aca="false">LN(C4091)</f>
        <v>11.2097283205066</v>
      </c>
      <c r="F4091" s="25" t="n">
        <f aca="false">LN(C4091/C4090)</f>
        <v>-0.0122904117122549</v>
      </c>
      <c r="G4091" s="25" t="n">
        <f aca="false">IF(AND(D4091=1,A4091&gt;=$R$2),F4091,"")</f>
        <v>-0.0122904117122549</v>
      </c>
      <c r="H4091" s="27" t="n">
        <f aca="false">IF(G4091="","",G4091^2)</f>
        <v>0.000151054220056732</v>
      </c>
      <c r="I4091" s="25" t="n">
        <f aca="false">IF(G4091="","",C4091/C4090-1)</f>
        <v>-0.0122151930735939</v>
      </c>
      <c r="J4091" s="17" t="n">
        <f aca="false">AVERAGE(C3892:C4091)</f>
        <v>93531.48435</v>
      </c>
      <c r="K4091" s="17" t="n">
        <f aca="false">MAX(K4090,C4091)</f>
        <v>124720.09</v>
      </c>
      <c r="L4091" s="25" t="n">
        <f aca="false">C4091/K4091-1</f>
        <v>-0.407911347722729</v>
      </c>
      <c r="M4091" s="25" t="n">
        <f aca="false">IF(COUNT(G4062:G4091)&lt;20,"",_xlfn.STDEV.S(G4062:G4091)*SQRT($R$3))</f>
        <v>0.478831773983596</v>
      </c>
      <c r="N4091" s="25" t="n">
        <f aca="false">IF(A4091-7&lt;$R$2,"",C4091/INDEX(Clean_Data!$C$2:$C$4314,MATCH(A4091-7,Clean_Data!$A$2:$A$4314,1))-1)</f>
        <v>0.057230026078074</v>
      </c>
      <c r="O4091" s="25" t="n">
        <f aca="false">IF(A4091-30&lt;$R$2,"",C4091/INDEX(Clean_Data!$C$2:$C$4314,MATCH(A4091-30,Clean_Data!$A$2:$A$4314,1))-1)</f>
        <v>0.071562382643108</v>
      </c>
    </row>
    <row r="4092" customFormat="false" ht="15" hidden="false" customHeight="false" outlineLevel="0" collapsed="false">
      <c r="A4092" s="16" t="n">
        <v>46099</v>
      </c>
      <c r="B4092" s="23" t="n">
        <f aca="false">YEAR(A4092)</f>
        <v>2026</v>
      </c>
      <c r="C4092" s="17" t="n">
        <v>71204.95</v>
      </c>
      <c r="D4092" s="23" t="n">
        <f aca="false">A4092-A4091</f>
        <v>1</v>
      </c>
      <c r="E4092" s="24" t="n">
        <f aca="false">LN(C4092)</f>
        <v>11.1733176174554</v>
      </c>
      <c r="F4092" s="25" t="n">
        <f aca="false">LN(C4092/C4091)</f>
        <v>-0.036410703051167</v>
      </c>
      <c r="G4092" s="25" t="n">
        <f aca="false">IF(AND(D4092=1,A4092&gt;=$R$2),F4092,"")</f>
        <v>-0.036410703051167</v>
      </c>
      <c r="H4092" s="27" t="n">
        <f aca="false">IF(G4092="","",G4092^2)</f>
        <v>0.00132573929668026</v>
      </c>
      <c r="I4092" s="25" t="n">
        <f aca="false">IF(G4092="","",C4092/C4091-1)</f>
        <v>-0.0357558058835121</v>
      </c>
      <c r="J4092" s="17" t="n">
        <f aca="false">AVERAGE(C3893:C4092)</f>
        <v>93346.26935</v>
      </c>
      <c r="K4092" s="17" t="n">
        <f aca="false">MAX(K4091,C4092)</f>
        <v>124720.09</v>
      </c>
      <c r="L4092" s="25" t="n">
        <f aca="false">C4092/K4092-1</f>
        <v>-0.429081954639385</v>
      </c>
      <c r="M4092" s="25" t="n">
        <f aca="false">IF(COUNT(G4063:G4092)&lt;20,"",_xlfn.STDEV.S(G4063:G4092)*SQRT($R$3))</f>
        <v>0.497444245067255</v>
      </c>
      <c r="N4092" s="25" t="n">
        <f aca="false">IF(A4092-7&lt;$R$2,"",C4092/INDEX(Clean_Data!$C$2:$C$4314,MATCH(A4092-7,Clean_Data!$A$2:$A$4314,1))-1)</f>
        <v>0.0141606580875397</v>
      </c>
      <c r="O4092" s="25" t="n">
        <f aca="false">IF(A4092-30&lt;$R$2,"",C4092/INDEX(Clean_Data!$C$2:$C$4314,MATCH(A4092-30,Clean_Data!$A$2:$A$4314,1))-1)</f>
        <v>0.0348010500756573</v>
      </c>
    </row>
    <row r="4093" customFormat="false" ht="15" hidden="false" customHeight="false" outlineLevel="0" collapsed="false">
      <c r="A4093" s="16" t="n">
        <v>46100</v>
      </c>
      <c r="B4093" s="23" t="n">
        <f aca="false">YEAR(A4093)</f>
        <v>2026</v>
      </c>
      <c r="C4093" s="17" t="n">
        <v>69858.95</v>
      </c>
      <c r="D4093" s="23" t="n">
        <f aca="false">A4093-A4092</f>
        <v>1</v>
      </c>
      <c r="E4093" s="24" t="n">
        <f aca="false">LN(C4093)</f>
        <v>11.1542334881878</v>
      </c>
      <c r="F4093" s="25" t="n">
        <f aca="false">LN(C4093/C4092)</f>
        <v>-0.019084129267652</v>
      </c>
      <c r="G4093" s="25" t="n">
        <f aca="false">IF(AND(D4093=1,A4093&gt;=$R$2),F4093,"")</f>
        <v>-0.019084129267652</v>
      </c>
      <c r="H4093" s="27" t="n">
        <f aca="false">IF(G4093="","",G4093^2)</f>
        <v>0.00036420398990445</v>
      </c>
      <c r="I4093" s="25" t="n">
        <f aca="false">IF(G4093="","",C4093/C4092-1)</f>
        <v>-0.018903180186209</v>
      </c>
      <c r="J4093" s="17" t="n">
        <f aca="false">AVERAGE(C3894:C4093)</f>
        <v>93149.36135</v>
      </c>
      <c r="K4093" s="17" t="n">
        <f aca="false">MAX(K4092,C4093)</f>
        <v>124720.09</v>
      </c>
      <c r="L4093" s="25" t="n">
        <f aca="false">C4093/K4093-1</f>
        <v>-0.439874121322395</v>
      </c>
      <c r="M4093" s="25" t="n">
        <f aca="false">IF(COUNT(G4064:G4093)&lt;20,"",_xlfn.STDEV.S(G4064:G4093)*SQRT($R$3))</f>
        <v>0.494727631786138</v>
      </c>
      <c r="N4093" s="25" t="n">
        <f aca="false">IF(A4093-7&lt;$R$2,"",C4093/INDEX(Clean_Data!$C$2:$C$4314,MATCH(A4093-7,Clean_Data!$A$2:$A$4314,1))-1)</f>
        <v>-0.00910049766994692</v>
      </c>
      <c r="O4093" s="25" t="n">
        <f aca="false">IF(A4093-30&lt;$R$2,"",C4093/INDEX(Clean_Data!$C$2:$C$4314,MATCH(A4093-30,Clean_Data!$A$2:$A$4314,1))-1)</f>
        <v>0.0397012294882513</v>
      </c>
    </row>
    <row r="4094" customFormat="false" ht="15" hidden="false" customHeight="false" outlineLevel="0" collapsed="false">
      <c r="A4094" s="16" t="n">
        <v>46101</v>
      </c>
      <c r="B4094" s="23" t="n">
        <f aca="false">YEAR(A4094)</f>
        <v>2026</v>
      </c>
      <c r="C4094" s="17" t="n">
        <v>70560.99</v>
      </c>
      <c r="D4094" s="23" t="n">
        <f aca="false">A4094-A4093</f>
        <v>1</v>
      </c>
      <c r="E4094" s="24" t="n">
        <f aca="false">LN(C4094)</f>
        <v>11.1642327211945</v>
      </c>
      <c r="F4094" s="25" t="n">
        <f aca="false">LN(C4094/C4093)</f>
        <v>0.0099992330067395</v>
      </c>
      <c r="G4094" s="25" t="n">
        <f aca="false">IF(AND(D4094=1,A4094&gt;=$R$2),F4094,"")</f>
        <v>0.0099992330067395</v>
      </c>
      <c r="H4094" s="27" t="n">
        <f aca="false">IF(G4094="","",G4094^2)</f>
        <v>9.99846607230687E-005</v>
      </c>
      <c r="I4094" s="25" t="n">
        <f aca="false">IF(G4094="","",C4094/C4093-1)</f>
        <v>0.0100493923827942</v>
      </c>
      <c r="J4094" s="17" t="n">
        <f aca="false">AVERAGE(C3895:C4094)</f>
        <v>92945.9266</v>
      </c>
      <c r="K4094" s="17" t="n">
        <f aca="false">MAX(K4093,C4094)</f>
        <v>124720.09</v>
      </c>
      <c r="L4094" s="25" t="n">
        <f aca="false">C4094/K4094-1</f>
        <v>-0.434245196583806</v>
      </c>
      <c r="M4094" s="25" t="n">
        <f aca="false">IF(COUNT(G4065:G4094)&lt;20,"",_xlfn.STDEV.S(G4065:G4094)*SQRT($R$3))</f>
        <v>0.493944885613075</v>
      </c>
      <c r="N4094" s="25" t="n">
        <f aca="false">IF(A4094-7&lt;$R$2,"",C4094/INDEX(Clean_Data!$C$2:$C$4314,MATCH(A4094-7,Clean_Data!$A$2:$A$4314,1))-1)</f>
        <v>-0.00392143964082936</v>
      </c>
      <c r="O4094" s="25" t="n">
        <f aca="false">IF(A4094-30&lt;$R$2,"",C4094/INDEX(Clean_Data!$C$2:$C$4314,MATCH(A4094-30,Clean_Data!$A$2:$A$4314,1))-1)</f>
        <v>0.0605354967793601</v>
      </c>
    </row>
    <row r="4095" customFormat="false" ht="15" hidden="false" customHeight="false" outlineLevel="0" collapsed="false">
      <c r="A4095" s="16" t="n">
        <v>46102</v>
      </c>
      <c r="B4095" s="23" t="n">
        <f aca="false">YEAR(A4095)</f>
        <v>2026</v>
      </c>
      <c r="C4095" s="17" t="n">
        <v>68398.68</v>
      </c>
      <c r="D4095" s="23" t="n">
        <f aca="false">A4095-A4094</f>
        <v>1</v>
      </c>
      <c r="E4095" s="24" t="n">
        <f aca="false">LN(C4095)</f>
        <v>11.1331088051788</v>
      </c>
      <c r="F4095" s="25" t="n">
        <f aca="false">LN(C4095/C4094)</f>
        <v>-0.0311239160156757</v>
      </c>
      <c r="G4095" s="25" t="n">
        <f aca="false">IF(AND(D4095=1,A4095&gt;=$R$2),F4095,"")</f>
        <v>-0.0311239160156757</v>
      </c>
      <c r="H4095" s="27" t="n">
        <f aca="false">IF(G4095="","",G4095^2)</f>
        <v>0.000968698148150832</v>
      </c>
      <c r="I4095" s="25" t="n">
        <f aca="false">IF(G4095="","",C4095/C4094-1)</f>
        <v>-0.0306445530313565</v>
      </c>
      <c r="J4095" s="17" t="n">
        <f aca="false">AVERAGE(C3896:C4095)</f>
        <v>92729.13795</v>
      </c>
      <c r="K4095" s="17" t="n">
        <f aca="false">MAX(K4094,C4095)</f>
        <v>124720.09</v>
      </c>
      <c r="L4095" s="25" t="n">
        <f aca="false">C4095/K4095-1</f>
        <v>-0.451582499659838</v>
      </c>
      <c r="M4095" s="25" t="n">
        <f aca="false">IF(COUNT(G4066:G4095)&lt;20,"",_xlfn.STDEV.S(G4066:G4095)*SQRT($R$3))</f>
        <v>0.506152223510545</v>
      </c>
      <c r="N4095" s="25" t="n">
        <f aca="false">IF(A4095-7&lt;$R$2,"",C4095/INDEX(Clean_Data!$C$2:$C$4314,MATCH(A4095-7,Clean_Data!$A$2:$A$4314,1))-1)</f>
        <v>-0.0382439007105463</v>
      </c>
      <c r="O4095" s="25" t="n">
        <f aca="false">IF(A4095-30&lt;$R$2,"",C4095/INDEX(Clean_Data!$C$2:$C$4314,MATCH(A4095-30,Clean_Data!$A$2:$A$4314,1))-1)</f>
        <v>0.0176211040836702</v>
      </c>
    </row>
    <row r="4096" customFormat="false" ht="15" hidden="false" customHeight="false" outlineLevel="0" collapsed="false">
      <c r="A4096" s="16" t="n">
        <v>46103</v>
      </c>
      <c r="B4096" s="23" t="n">
        <f aca="false">YEAR(A4096)</f>
        <v>2026</v>
      </c>
      <c r="C4096" s="17" t="n">
        <v>67977.71</v>
      </c>
      <c r="D4096" s="23" t="n">
        <f aca="false">A4096-A4095</f>
        <v>1</v>
      </c>
      <c r="E4096" s="24" t="n">
        <f aca="false">LN(C4096)</f>
        <v>11.1269351363044</v>
      </c>
      <c r="F4096" s="25" t="n">
        <f aca="false">LN(C4096/C4095)</f>
        <v>-0.00617366887445241</v>
      </c>
      <c r="G4096" s="25" t="n">
        <f aca="false">IF(AND(D4096=1,A4096&gt;=$R$2),F4096,"")</f>
        <v>-0.00617366887445241</v>
      </c>
      <c r="H4096" s="27" t="n">
        <f aca="false">IF(G4096="","",G4096^2)</f>
        <v>3.81141873713825E-005</v>
      </c>
      <c r="I4096" s="25" t="n">
        <f aca="false">IF(G4096="","",C4096/C4095-1)</f>
        <v>-0.00615465093770795</v>
      </c>
      <c r="J4096" s="17" t="n">
        <f aca="false">AVERAGE(C3897:C4096)</f>
        <v>92515.42255</v>
      </c>
      <c r="K4096" s="17" t="n">
        <f aca="false">MAX(K4095,C4096)</f>
        <v>124720.09</v>
      </c>
      <c r="L4096" s="25" t="n">
        <f aca="false">C4096/K4096-1</f>
        <v>-0.454957817942562</v>
      </c>
      <c r="M4096" s="25" t="n">
        <f aca="false">IF(COUNT(G4067:G4096)&lt;20,"",_xlfn.STDEV.S(G4067:G4096)*SQRT($R$3))</f>
        <v>0.505524454418546</v>
      </c>
      <c r="N4096" s="25" t="n">
        <f aca="false">IF(A4096-7&lt;$R$2,"",C4096/INDEX(Clean_Data!$C$2:$C$4314,MATCH(A4096-7,Clean_Data!$A$2:$A$4314,1))-1)</f>
        <v>-0.0682020147965951</v>
      </c>
      <c r="O4096" s="25" t="n">
        <f aca="false">IF(A4096-30&lt;$R$2,"",C4096/INDEX(Clean_Data!$C$2:$C$4314,MATCH(A4096-30,Clean_Data!$A$2:$A$4314,1))-1)</f>
        <v>0.00136097170934746</v>
      </c>
    </row>
    <row r="4097" customFormat="false" ht="15" hidden="false" customHeight="false" outlineLevel="0" collapsed="false">
      <c r="A4097" s="16" t="n">
        <v>46104</v>
      </c>
      <c r="B4097" s="23" t="n">
        <f aca="false">YEAR(A4097)</f>
        <v>2026</v>
      </c>
      <c r="C4097" s="17" t="n">
        <v>70906</v>
      </c>
      <c r="D4097" s="23" t="n">
        <f aca="false">A4097-A4096</f>
        <v>1</v>
      </c>
      <c r="E4097" s="24" t="n">
        <f aca="false">LN(C4097)</f>
        <v>11.1691103351738</v>
      </c>
      <c r="F4097" s="25" t="n">
        <f aca="false">LN(C4097/C4096)</f>
        <v>0.0421751988693919</v>
      </c>
      <c r="G4097" s="25" t="n">
        <f aca="false">IF(AND(D4097=1,A4097&gt;=$R$2),F4097,"")</f>
        <v>0.0421751988693919</v>
      </c>
      <c r="H4097" s="27" t="n">
        <f aca="false">IF(G4097="","",G4097^2)</f>
        <v>0.00177874739967276</v>
      </c>
      <c r="I4097" s="25" t="n">
        <f aca="false">IF(G4097="","",C4097/C4096-1)</f>
        <v>0.0430772086909075</v>
      </c>
      <c r="J4097" s="17" t="n">
        <f aca="false">AVERAGE(C3898:C4097)</f>
        <v>92316.60245</v>
      </c>
      <c r="K4097" s="17" t="n">
        <f aca="false">MAX(K4096,C4097)</f>
        <v>124720.09</v>
      </c>
      <c r="L4097" s="25" t="n">
        <f aca="false">C4097/K4097-1</f>
        <v>-0.431478922120726</v>
      </c>
      <c r="M4097" s="25" t="n">
        <f aca="false">IF(COUNT(G4068:G4097)&lt;20,"",_xlfn.STDEV.S(G4068:G4097)*SQRT($R$3))</f>
        <v>0.526472758536868</v>
      </c>
      <c r="N4097" s="25" t="n">
        <f aca="false">IF(A4097-7&lt;$R$2,"",C4097/INDEX(Clean_Data!$C$2:$C$4314,MATCH(A4097-7,Clean_Data!$A$2:$A$4314,1))-1)</f>
        <v>-0.0515331091270642</v>
      </c>
      <c r="O4097" s="25" t="n">
        <f aca="false">IF(A4097-30&lt;$R$2,"",C4097/INDEX(Clean_Data!$C$2:$C$4314,MATCH(A4097-30,Clean_Data!$A$2:$A$4314,1))-1)</f>
        <v>0.0432035083981812</v>
      </c>
    </row>
    <row r="4098" customFormat="false" ht="15" hidden="false" customHeight="false" outlineLevel="0" collapsed="false">
      <c r="A4098" s="16" t="n">
        <v>46105</v>
      </c>
      <c r="B4098" s="23" t="n">
        <f aca="false">YEAR(A4098)</f>
        <v>2026</v>
      </c>
      <c r="C4098" s="17" t="n">
        <v>70555.44</v>
      </c>
      <c r="D4098" s="23" t="n">
        <f aca="false">A4098-A4097</f>
        <v>1</v>
      </c>
      <c r="E4098" s="24" t="n">
        <f aca="false">LN(C4098)</f>
        <v>11.164154062742</v>
      </c>
      <c r="F4098" s="25" t="n">
        <f aca="false">LN(C4098/C4097)</f>
        <v>-0.00495627243176116</v>
      </c>
      <c r="G4098" s="25" t="n">
        <f aca="false">IF(AND(D4098=1,A4098&gt;=$R$2),F4098,"")</f>
        <v>-0.00495627243176116</v>
      </c>
      <c r="H4098" s="27" t="n">
        <f aca="false">IF(G4098="","",G4098^2)</f>
        <v>2.45646364178357E-005</v>
      </c>
      <c r="I4098" s="25" t="n">
        <f aca="false">IF(G4098="","",C4098/C4097-1)</f>
        <v>-0.00494401037993963</v>
      </c>
      <c r="J4098" s="17" t="n">
        <f aca="false">AVERAGE(C3899:C4098)</f>
        <v>92118.31665</v>
      </c>
      <c r="K4098" s="17" t="n">
        <f aca="false">MAX(K4097,C4098)</f>
        <v>124720.09</v>
      </c>
      <c r="L4098" s="25" t="n">
        <f aca="false">C4098/K4098-1</f>
        <v>-0.434289696230976</v>
      </c>
      <c r="M4098" s="25" t="n">
        <f aca="false">IF(COUNT(G4069:G4098)&lt;20,"",_xlfn.STDEV.S(G4069:G4098)*SQRT($R$3))</f>
        <v>0.517869914192072</v>
      </c>
      <c r="N4098" s="25" t="n">
        <f aca="false">IF(A4098-7&lt;$R$2,"",C4098/INDEX(Clean_Data!$C$2:$C$4314,MATCH(A4098-7,Clean_Data!$A$2:$A$4314,1))-1)</f>
        <v>-0.0445513495433362</v>
      </c>
      <c r="O4098" s="25" t="n">
        <f aca="false">IF(A4098-30&lt;$R$2,"",C4098/INDEX(Clean_Data!$C$2:$C$4314,MATCH(A4098-30,Clean_Data!$A$2:$A$4314,1))-1)</f>
        <v>0.0651662391736578</v>
      </c>
    </row>
    <row r="4099" customFormat="false" ht="15" hidden="false" customHeight="false" outlineLevel="0" collapsed="false">
      <c r="A4099" s="16" t="n">
        <v>46106</v>
      </c>
      <c r="B4099" s="23" t="n">
        <f aca="false">YEAR(A4099)</f>
        <v>2026</v>
      </c>
      <c r="C4099" s="17" t="n">
        <v>71277.56</v>
      </c>
      <c r="D4099" s="23" t="n">
        <f aca="false">A4099-A4098</f>
        <v>1</v>
      </c>
      <c r="E4099" s="24" t="n">
        <f aca="false">LN(C4099)</f>
        <v>11.1743368303579</v>
      </c>
      <c r="F4099" s="25" t="n">
        <f aca="false">LN(C4099/C4098)</f>
        <v>0.0101827676158996</v>
      </c>
      <c r="G4099" s="25" t="n">
        <f aca="false">IF(AND(D4099=1,A4099&gt;=$R$2),F4099,"")</f>
        <v>0.0101827676158996</v>
      </c>
      <c r="H4099" s="27" t="n">
        <f aca="false">IF(G4099="","",G4099^2)</f>
        <v>0.000103688756319413</v>
      </c>
      <c r="I4099" s="25" t="n">
        <f aca="false">IF(G4099="","",C4099/C4098-1)</f>
        <v>0.0102347884160314</v>
      </c>
      <c r="J4099" s="17" t="n">
        <f aca="false">AVERAGE(C3900:C4099)</f>
        <v>91919.0564</v>
      </c>
      <c r="K4099" s="17" t="n">
        <f aca="false">MAX(K4098,C4099)</f>
        <v>124720.09</v>
      </c>
      <c r="L4099" s="25" t="n">
        <f aca="false">C4099/K4099-1</f>
        <v>-0.428499770967131</v>
      </c>
      <c r="M4099" s="25" t="n">
        <f aca="false">IF(COUNT(G4070:G4099)&lt;20,"",_xlfn.STDEV.S(G4070:G4099)*SQRT($R$3))</f>
        <v>0.51061748946923</v>
      </c>
      <c r="N4099" s="25" t="n">
        <f aca="false">IF(A4099-7&lt;$R$2,"",C4099/INDEX(Clean_Data!$C$2:$C$4314,MATCH(A4099-7,Clean_Data!$A$2:$A$4314,1))-1)</f>
        <v>0.00101973247646403</v>
      </c>
      <c r="O4099" s="25" t="n">
        <f aca="false">IF(A4099-30&lt;$R$2,"",C4099/INDEX(Clean_Data!$C$2:$C$4314,MATCH(A4099-30,Clean_Data!$A$2:$A$4314,1))-1)</f>
        <v>0.100913922666799</v>
      </c>
    </row>
    <row r="4100" customFormat="false" ht="15" hidden="false" customHeight="false" outlineLevel="0" collapsed="false">
      <c r="A4100" s="16" t="n">
        <v>46107</v>
      </c>
      <c r="B4100" s="23" t="n">
        <f aca="false">YEAR(A4100)</f>
        <v>2026</v>
      </c>
      <c r="C4100" s="17" t="n">
        <v>68762.2</v>
      </c>
      <c r="D4100" s="23" t="n">
        <f aca="false">A4100-A4099</f>
        <v>1</v>
      </c>
      <c r="E4100" s="24" t="n">
        <f aca="false">LN(C4100)</f>
        <v>11.1384094543311</v>
      </c>
      <c r="F4100" s="25" t="n">
        <f aca="false">LN(C4100/C4099)</f>
        <v>-0.0359273760268153</v>
      </c>
      <c r="G4100" s="25" t="n">
        <f aca="false">IF(AND(D4100=1,A4100&gt;=$R$2),F4100,"")</f>
        <v>-0.0359273760268153</v>
      </c>
      <c r="H4100" s="27" t="n">
        <f aca="false">IF(G4100="","",G4100^2)</f>
        <v>0.00129077634817218</v>
      </c>
      <c r="I4100" s="25" t="n">
        <f aca="false">IF(G4100="","",C4100/C4099-1)</f>
        <v>-0.0352896479621356</v>
      </c>
      <c r="J4100" s="17" t="n">
        <f aca="false">AVERAGE(C3901:C4100)</f>
        <v>91702.50455</v>
      </c>
      <c r="K4100" s="17" t="n">
        <f aca="false">MAX(K4099,C4100)</f>
        <v>124720.09</v>
      </c>
      <c r="L4100" s="25" t="n">
        <f aca="false">C4100/K4100-1</f>
        <v>-0.448667812859981</v>
      </c>
      <c r="M4100" s="25" t="n">
        <f aca="false">IF(COUNT(G4071:G4100)&lt;20,"",_xlfn.STDEV.S(G4071:G4100)*SQRT($R$3))</f>
        <v>0.52757315547111</v>
      </c>
      <c r="N4100" s="25" t="n">
        <f aca="false">IF(A4100-7&lt;$R$2,"",C4100/INDEX(Clean_Data!$C$2:$C$4314,MATCH(A4100-7,Clean_Data!$A$2:$A$4314,1))-1)</f>
        <v>-0.0156994916184684</v>
      </c>
      <c r="O4100" s="25" t="n">
        <f aca="false">IF(A4100-30&lt;$R$2,"",C4100/INDEX(Clean_Data!$C$2:$C$4314,MATCH(A4100-30,Clean_Data!$A$2:$A$4314,1))-1)</f>
        <v>0.06956275166235</v>
      </c>
    </row>
    <row r="4101" customFormat="false" ht="15" hidden="false" customHeight="false" outlineLevel="0" collapsed="false">
      <c r="A4101" s="16" t="n">
        <v>46108</v>
      </c>
      <c r="B4101" s="23" t="n">
        <f aca="false">YEAR(A4101)</f>
        <v>2026</v>
      </c>
      <c r="C4101" s="17" t="n">
        <v>66390.02</v>
      </c>
      <c r="D4101" s="23" t="n">
        <f aca="false">A4101-A4100</f>
        <v>1</v>
      </c>
      <c r="E4101" s="24" t="n">
        <f aca="false">LN(C4101)</f>
        <v>11.1033020229633</v>
      </c>
      <c r="F4101" s="25" t="n">
        <f aca="false">LN(C4101/C4100)</f>
        <v>-0.0351074313677288</v>
      </c>
      <c r="G4101" s="25" t="n">
        <f aca="false">IF(AND(D4101=1,A4101&gt;=$R$2),F4101,"")</f>
        <v>-0.0351074313677288</v>
      </c>
      <c r="H4101" s="27" t="n">
        <f aca="false">IF(G4101="","",G4101^2)</f>
        <v>0.00123253173723979</v>
      </c>
      <c r="I4101" s="25" t="n">
        <f aca="false">IF(G4101="","",C4101/C4100-1)</f>
        <v>-0.0344983144809211</v>
      </c>
      <c r="J4101" s="17" t="n">
        <f aca="false">AVERAGE(C3902:C4101)</f>
        <v>91476.70805</v>
      </c>
      <c r="K4101" s="17" t="n">
        <f aca="false">MAX(K4100,C4101)</f>
        <v>124720.09</v>
      </c>
      <c r="L4101" s="25" t="n">
        <f aca="false">C4101/K4101-1</f>
        <v>-0.467687844035392</v>
      </c>
      <c r="M4101" s="25" t="n">
        <f aca="false">IF(COUNT(G4072:G4101)&lt;20,"",_xlfn.STDEV.S(G4072:G4101)*SQRT($R$3))</f>
        <v>0.495896765775725</v>
      </c>
      <c r="N4101" s="25" t="n">
        <f aca="false">IF(A4101-7&lt;$R$2,"",C4101/INDEX(Clean_Data!$C$2:$C$4314,MATCH(A4101-7,Clean_Data!$A$2:$A$4314,1))-1)</f>
        <v>-0.0591115572499762</v>
      </c>
      <c r="O4101" s="25" t="n">
        <f aca="false">IF(A4101-30&lt;$R$2,"",C4101/INDEX(Clean_Data!$C$2:$C$4314,MATCH(A4101-30,Clean_Data!$A$2:$A$4314,1))-1)</f>
        <v>-0.0300701537087789</v>
      </c>
    </row>
    <row r="4102" customFormat="false" ht="15" hidden="false" customHeight="false" outlineLevel="0" collapsed="false">
      <c r="A4102" s="16" t="n">
        <v>46109</v>
      </c>
      <c r="B4102" s="23" t="n">
        <f aca="false">YEAR(A4102)</f>
        <v>2026</v>
      </c>
      <c r="C4102" s="17" t="n">
        <v>66392.04</v>
      </c>
      <c r="D4102" s="23" t="n">
        <f aca="false">A4102-A4101</f>
        <v>1</v>
      </c>
      <c r="E4102" s="24" t="n">
        <f aca="false">LN(C4102)</f>
        <v>11.1033324487603</v>
      </c>
      <c r="F4102" s="25" t="n">
        <f aca="false">LN(C4102/C4101)</f>
        <v>3.04257969810249E-005</v>
      </c>
      <c r="G4102" s="25" t="n">
        <f aca="false">IF(AND(D4102=1,A4102&gt;=$R$2),F4102,"")</f>
        <v>3.04257969810249E-005</v>
      </c>
      <c r="H4102" s="27" t="n">
        <f aca="false">IF(G4102="","",G4102^2)</f>
        <v>9.25729121930544E-010</v>
      </c>
      <c r="I4102" s="25" t="n">
        <f aca="false">IF(G4102="","",C4102/C4101-1)</f>
        <v>3.04262598502802E-005</v>
      </c>
      <c r="J4102" s="17" t="n">
        <f aca="false">AVERAGE(C3903:C4102)</f>
        <v>91238.7484</v>
      </c>
      <c r="K4102" s="17" t="n">
        <f aca="false">MAX(K4101,C4102)</f>
        <v>124720.09</v>
      </c>
      <c r="L4102" s="25" t="n">
        <f aca="false">C4102/K4102-1</f>
        <v>-0.467671647767413</v>
      </c>
      <c r="M4102" s="25" t="n">
        <f aca="false">IF(COUNT(G4073:G4102)&lt;20,"",_xlfn.STDEV.S(G4073:G4102)*SQRT($R$3))</f>
        <v>0.490963329494932</v>
      </c>
      <c r="N4102" s="25" t="n">
        <f aca="false">IF(A4102-7&lt;$R$2,"",C4102/INDEX(Clean_Data!$C$2:$C$4314,MATCH(A4102-7,Clean_Data!$A$2:$A$4314,1))-1)</f>
        <v>-0.0293374082657736</v>
      </c>
      <c r="O4102" s="25" t="n">
        <f aca="false">IF(A4102-30&lt;$R$2,"",C4102/INDEX(Clean_Data!$C$2:$C$4314,MATCH(A4102-30,Clean_Data!$A$2:$A$4314,1))-1)</f>
        <v>-0.0100914194754467</v>
      </c>
    </row>
    <row r="4103" customFormat="false" ht="15" hidden="false" customHeight="false" outlineLevel="0" collapsed="false">
      <c r="A4103" s="16" t="n">
        <v>46110</v>
      </c>
      <c r="B4103" s="23" t="n">
        <f aca="false">YEAR(A4103)</f>
        <v>2026</v>
      </c>
      <c r="C4103" s="17" t="n">
        <v>65862.79</v>
      </c>
      <c r="D4103" s="23" t="n">
        <f aca="false">A4103-A4102</f>
        <v>1</v>
      </c>
      <c r="E4103" s="24" t="n">
        <f aca="false">LN(C4103)</f>
        <v>11.0953289176204</v>
      </c>
      <c r="F4103" s="25" t="n">
        <f aca="false">LN(C4103/C4102)</f>
        <v>-0.0080035311399366</v>
      </c>
      <c r="G4103" s="25" t="n">
        <f aca="false">IF(AND(D4103=1,A4103&gt;=$R$2),F4103,"")</f>
        <v>-0.0080035311399366</v>
      </c>
      <c r="H4103" s="27" t="n">
        <f aca="false">IF(G4103="","",G4103^2)</f>
        <v>6.40565107079348E-005</v>
      </c>
      <c r="I4103" s="25" t="n">
        <f aca="false">IF(G4103="","",C4103/C4102-1)</f>
        <v>-0.00797158816026744</v>
      </c>
      <c r="J4103" s="17" t="n">
        <f aca="false">AVERAGE(C3904:C4103)</f>
        <v>90990.36235</v>
      </c>
      <c r="K4103" s="17" t="n">
        <f aca="false">MAX(K4102,C4103)</f>
        <v>124720.09</v>
      </c>
      <c r="L4103" s="25" t="n">
        <f aca="false">C4103/K4103-1</f>
        <v>-0.471915150157445</v>
      </c>
      <c r="M4103" s="25" t="n">
        <f aca="false">IF(COUNT(G4074:G4103)&lt;20,"",_xlfn.STDEV.S(G4074:G4103)*SQRT($R$3))</f>
        <v>0.488192166513939</v>
      </c>
      <c r="N4103" s="25" t="n">
        <f aca="false">IF(A4103-7&lt;$R$2,"",C4103/INDEX(Clean_Data!$C$2:$C$4314,MATCH(A4103-7,Clean_Data!$A$2:$A$4314,1))-1)</f>
        <v>-0.0311119630243504</v>
      </c>
      <c r="O4103" s="25" t="n">
        <f aca="false">IF(A4103-30&lt;$R$2,"",C4103/INDEX(Clean_Data!$C$2:$C$4314,MATCH(A4103-30,Clean_Data!$A$2:$A$4314,1))-1)</f>
        <v>-0.00132236542835495</v>
      </c>
    </row>
    <row r="4104" customFormat="false" ht="15" hidden="false" customHeight="false" outlineLevel="0" collapsed="false">
      <c r="A4104" s="16" t="n">
        <v>46111</v>
      </c>
      <c r="B4104" s="23" t="n">
        <f aca="false">YEAR(A4104)</f>
        <v>2026</v>
      </c>
      <c r="C4104" s="17" t="n">
        <v>66683.77</v>
      </c>
      <c r="D4104" s="23" t="n">
        <f aca="false">A4104-A4103</f>
        <v>1</v>
      </c>
      <c r="E4104" s="24" t="n">
        <f aca="false">LN(C4104)</f>
        <v>11.1077168739587</v>
      </c>
      <c r="F4104" s="25" t="n">
        <f aca="false">LN(C4104/C4103)</f>
        <v>0.0123879563383477</v>
      </c>
      <c r="G4104" s="25" t="n">
        <f aca="false">IF(AND(D4104=1,A4104&gt;=$R$2),F4104,"")</f>
        <v>0.0123879563383477</v>
      </c>
      <c r="H4104" s="27" t="n">
        <f aca="false">IF(G4104="","",G4104^2)</f>
        <v>0.00015346146224081</v>
      </c>
      <c r="I4104" s="25" t="n">
        <f aca="false">IF(G4104="","",C4104/C4103-1)</f>
        <v>0.0124650048988209</v>
      </c>
      <c r="J4104" s="17" t="n">
        <f aca="false">AVERAGE(C3905:C4104)</f>
        <v>90743.25105</v>
      </c>
      <c r="K4104" s="17" t="n">
        <f aca="false">MAX(K4103,C4104)</f>
        <v>124720.09</v>
      </c>
      <c r="L4104" s="25" t="n">
        <f aca="false">C4104/K4104-1</f>
        <v>-0.465332569917164</v>
      </c>
      <c r="M4104" s="25" t="n">
        <f aca="false">IF(COUNT(G4075:G4104)&lt;20,"",_xlfn.STDEV.S(G4075:G4104)*SQRT($R$3))</f>
        <v>0.488607336939396</v>
      </c>
      <c r="N4104" s="25" t="n">
        <f aca="false">IF(A4104-7&lt;$R$2,"",C4104/INDEX(Clean_Data!$C$2:$C$4314,MATCH(A4104-7,Clean_Data!$A$2:$A$4314,1))-1)</f>
        <v>-0.0595468648633402</v>
      </c>
      <c r="O4104" s="25" t="n">
        <f aca="false">IF(A4104-30&lt;$R$2,"",C4104/INDEX(Clean_Data!$C$2:$C$4314,MATCH(A4104-30,Clean_Data!$A$2:$A$4314,1))-1)</f>
        <v>5.11394959474831E-005</v>
      </c>
    </row>
    <row r="4105" customFormat="false" ht="15" hidden="false" customHeight="false" outlineLevel="0" collapsed="false">
      <c r="A4105" s="16" t="n">
        <v>46112</v>
      </c>
      <c r="B4105" s="23" t="n">
        <f aca="false">YEAR(A4105)</f>
        <v>2026</v>
      </c>
      <c r="C4105" s="17" t="n">
        <v>68133.96</v>
      </c>
      <c r="D4105" s="23" t="n">
        <f aca="false">A4105-A4104</f>
        <v>1</v>
      </c>
      <c r="E4105" s="24" t="n">
        <f aca="false">LN(C4105)</f>
        <v>11.1292310462529</v>
      </c>
      <c r="F4105" s="25" t="n">
        <f aca="false">LN(C4105/C4104)</f>
        <v>0.0215141722942017</v>
      </c>
      <c r="G4105" s="25" t="n">
        <f aca="false">IF(AND(D4105=1,A4105&gt;=$R$2),F4105,"")</f>
        <v>0.0215141722942017</v>
      </c>
      <c r="H4105" s="27" t="n">
        <f aca="false">IF(G4105="","",G4105^2)</f>
        <v>0.000462859609504598</v>
      </c>
      <c r="I4105" s="25" t="n">
        <f aca="false">IF(G4105="","",C4105/C4104-1)</f>
        <v>0.0217472707376922</v>
      </c>
      <c r="J4105" s="17" t="n">
        <f aca="false">AVERAGE(C3906:C4105)</f>
        <v>90504.0791</v>
      </c>
      <c r="K4105" s="17" t="n">
        <f aca="false">MAX(K4104,C4105)</f>
        <v>124720.09</v>
      </c>
      <c r="L4105" s="25" t="n">
        <f aca="false">C4105/K4105-1</f>
        <v>-0.453705012560526</v>
      </c>
      <c r="M4105" s="25" t="n">
        <f aca="false">IF(COUNT(G4076:G4105)&lt;20,"",_xlfn.STDEV.S(G4076:G4105)*SQRT($R$3))</f>
        <v>0.494152869951662</v>
      </c>
      <c r="N4105" s="25" t="n">
        <f aca="false">IF(A4105-7&lt;$R$2,"",C4105/INDEX(Clean_Data!$C$2:$C$4314,MATCH(A4105-7,Clean_Data!$A$2:$A$4314,1))-1)</f>
        <v>-0.0343202451859134</v>
      </c>
      <c r="O4105" s="25" t="n">
        <f aca="false">IF(A4105-30&lt;$R$2,"",C4105/INDEX(Clean_Data!$C$2:$C$4314,MATCH(A4105-30,Clean_Data!$A$2:$A$4314,1))-1)</f>
        <v>0.0249670963014426</v>
      </c>
    </row>
    <row r="4106" customFormat="false" ht="15" hidden="false" customHeight="false" outlineLevel="0" collapsed="false">
      <c r="A4106" s="16" t="n">
        <v>46113</v>
      </c>
      <c r="B4106" s="23" t="n">
        <f aca="false">YEAR(A4106)</f>
        <v>2026</v>
      </c>
      <c r="C4106" s="17" t="n">
        <v>68100.65</v>
      </c>
      <c r="D4106" s="23" t="n">
        <f aca="false">A4106-A4105</f>
        <v>1</v>
      </c>
      <c r="E4106" s="24" t="n">
        <f aca="false">LN(C4106)</f>
        <v>11.1287420368791</v>
      </c>
      <c r="F4106" s="25" t="n">
        <f aca="false">LN(C4106/C4105)</f>
        <v>-0.000489009373811783</v>
      </c>
      <c r="G4106" s="25" t="n">
        <f aca="false">IF(AND(D4106=1,A4106&gt;=$R$2),F4106,"")</f>
        <v>-0.000489009373811783</v>
      </c>
      <c r="H4106" s="27" t="n">
        <f aca="false">IF(G4106="","",G4106^2)</f>
        <v>2.39130167675792E-007</v>
      </c>
      <c r="I4106" s="25" t="n">
        <f aca="false">IF(G4106="","",C4106/C4105-1)</f>
        <v>-0.000488889828215045</v>
      </c>
      <c r="J4106" s="17" t="n">
        <f aca="false">AVERAGE(C3907:C4106)</f>
        <v>90268.0117</v>
      </c>
      <c r="K4106" s="17" t="n">
        <f aca="false">MAX(K4105,C4106)</f>
        <v>124720.09</v>
      </c>
      <c r="L4106" s="25" t="n">
        <f aca="false">C4106/K4106-1</f>
        <v>-0.453972090623091</v>
      </c>
      <c r="M4106" s="25" t="n">
        <f aca="false">IF(COUNT(G4077:G4106)&lt;20,"",_xlfn.STDEV.S(G4077:G4106)*SQRT($R$3))</f>
        <v>0.476063551632059</v>
      </c>
      <c r="N4106" s="25" t="n">
        <f aca="false">IF(A4106-7&lt;$R$2,"",C4106/INDEX(Clean_Data!$C$2:$C$4314,MATCH(A4106-7,Clean_Data!$A$2:$A$4314,1))-1)</f>
        <v>-0.0445709701622783</v>
      </c>
      <c r="O4106" s="25" t="n">
        <f aca="false">IF(A4106-30&lt;$R$2,"",C4106/INDEX(Clean_Data!$C$2:$C$4314,MATCH(A4106-30,Clean_Data!$A$2:$A$4314,1))-1)</f>
        <v>-0.0132760198513641</v>
      </c>
    </row>
    <row r="4107" customFormat="false" ht="15" hidden="false" customHeight="false" outlineLevel="0" collapsed="false">
      <c r="A4107" s="16" t="n">
        <v>46114</v>
      </c>
      <c r="B4107" s="23" t="n">
        <f aca="false">YEAR(A4107)</f>
        <v>2026</v>
      </c>
      <c r="C4107" s="17" t="n">
        <v>66959.99</v>
      </c>
      <c r="D4107" s="23" t="n">
        <f aca="false">A4107-A4106</f>
        <v>1</v>
      </c>
      <c r="E4107" s="24" t="n">
        <f aca="false">LN(C4107)</f>
        <v>11.1118505558205</v>
      </c>
      <c r="F4107" s="25" t="n">
        <f aca="false">LN(C4107/C4106)</f>
        <v>-0.0168914810586757</v>
      </c>
      <c r="G4107" s="25" t="n">
        <f aca="false">IF(AND(D4107=1,A4107&gt;=$R$2),F4107,"")</f>
        <v>-0.0168914810586757</v>
      </c>
      <c r="H4107" s="27" t="n">
        <f aca="false">IF(G4107="","",G4107^2)</f>
        <v>0.000285322132355599</v>
      </c>
      <c r="I4107" s="25" t="n">
        <f aca="false">IF(G4107="","",C4107/C4106-1)</f>
        <v>-0.0167496198641274</v>
      </c>
      <c r="J4107" s="17" t="n">
        <f aca="false">AVERAGE(C3908:C4107)</f>
        <v>90025.90625</v>
      </c>
      <c r="K4107" s="17" t="n">
        <f aca="false">MAX(K4106,C4107)</f>
        <v>124720.09</v>
      </c>
      <c r="L4107" s="25" t="n">
        <f aca="false">C4107/K4107-1</f>
        <v>-0.463117850540358</v>
      </c>
      <c r="M4107" s="25" t="n">
        <f aca="false">IF(COUNT(G4078:G4107)&lt;20,"",_xlfn.STDEV.S(G4078:G4107)*SQRT($R$3))</f>
        <v>0.477985846073351</v>
      </c>
      <c r="N4107" s="25" t="n">
        <f aca="false">IF(A4107-7&lt;$R$2,"",C4107/INDEX(Clean_Data!$C$2:$C$4314,MATCH(A4107-7,Clean_Data!$A$2:$A$4314,1))-1)</f>
        <v>-0.0262093126746962</v>
      </c>
      <c r="O4107" s="25" t="n">
        <f aca="false">IF(A4107-30&lt;$R$2,"",C4107/INDEX(Clean_Data!$C$2:$C$4314,MATCH(A4107-30,Clean_Data!$A$2:$A$4314,1))-1)</f>
        <v>-0.0185102314020779</v>
      </c>
    </row>
    <row r="4108" customFormat="false" ht="15" hidden="false" customHeight="false" outlineLevel="0" collapsed="false">
      <c r="A4108" s="16" t="n">
        <v>46115</v>
      </c>
      <c r="B4108" s="23" t="n">
        <f aca="false">YEAR(A4108)</f>
        <v>2026</v>
      </c>
      <c r="C4108" s="17" t="n">
        <v>66911.51</v>
      </c>
      <c r="D4108" s="23" t="n">
        <f aca="false">A4108-A4107</f>
        <v>1</v>
      </c>
      <c r="E4108" s="24" t="n">
        <f aca="false">LN(C4108)</f>
        <v>11.1111262791504</v>
      </c>
      <c r="F4108" s="25" t="n">
        <f aca="false">LN(C4108/C4107)</f>
        <v>-0.000724276670079873</v>
      </c>
      <c r="G4108" s="25" t="n">
        <f aca="false">IF(AND(D4108=1,A4108&gt;=$R$2),F4108,"")</f>
        <v>-0.000724276670079873</v>
      </c>
      <c r="H4108" s="27" t="n">
        <f aca="false">IF(G4108="","",G4108^2)</f>
        <v>5.24576694821989E-007</v>
      </c>
      <c r="I4108" s="25" t="n">
        <f aca="false">IF(G4108="","",C4108/C4107-1)</f>
        <v>-0.000724014445044108</v>
      </c>
      <c r="J4108" s="17" t="n">
        <f aca="false">AVERAGE(C3909:C4108)</f>
        <v>89776.301</v>
      </c>
      <c r="K4108" s="17" t="n">
        <f aca="false">MAX(K4107,C4108)</f>
        <v>124720.09</v>
      </c>
      <c r="L4108" s="25" t="n">
        <f aca="false">C4108/K4108-1</f>
        <v>-0.463506560971853</v>
      </c>
      <c r="M4108" s="25" t="n">
        <f aca="false">IF(COUNT(G4079:G4108)&lt;20,"",_xlfn.STDEV.S(G4079:G4108)*SQRT($R$3))</f>
        <v>0.416065761233795</v>
      </c>
      <c r="N4108" s="25" t="n">
        <f aca="false">IF(A4108-7&lt;$R$2,"",C4108/INDEX(Clean_Data!$C$2:$C$4314,MATCH(A4108-7,Clean_Data!$A$2:$A$4314,1))-1)</f>
        <v>0.00785494566803857</v>
      </c>
      <c r="O4108" s="25" t="n">
        <f aca="false">IF(A4108-30&lt;$R$2,"",C4108/INDEX(Clean_Data!$C$2:$C$4314,MATCH(A4108-30,Clean_Data!$A$2:$A$4314,1))-1)</f>
        <v>-0.0805910851088798</v>
      </c>
    </row>
    <row r="4109" customFormat="false" ht="15" hidden="false" customHeight="false" outlineLevel="0" collapsed="false">
      <c r="A4109" s="16" t="n">
        <v>46116</v>
      </c>
      <c r="B4109" s="23" t="n">
        <f aca="false">YEAR(A4109)</f>
        <v>2026</v>
      </c>
      <c r="C4109" s="17" t="n">
        <v>67284.16</v>
      </c>
      <c r="D4109" s="23" t="n">
        <f aca="false">A4109-A4108</f>
        <v>1</v>
      </c>
      <c r="E4109" s="24" t="n">
        <f aca="false">LN(C4109)</f>
        <v>11.1166801238888</v>
      </c>
      <c r="F4109" s="25" t="n">
        <f aca="false">LN(C4109/C4108)</f>
        <v>0.00555384473837684</v>
      </c>
      <c r="G4109" s="25" t="n">
        <f aca="false">IF(AND(D4109=1,A4109&gt;=$R$2),F4109,"")</f>
        <v>0.00555384473837684</v>
      </c>
      <c r="H4109" s="27" t="n">
        <f aca="false">IF(G4109="","",G4109^2)</f>
        <v>3.08451913779961E-005</v>
      </c>
      <c r="I4109" s="25" t="n">
        <f aca="false">IF(G4109="","",C4109/C4108-1)</f>
        <v>0.00556929592531996</v>
      </c>
      <c r="J4109" s="17" t="n">
        <f aca="false">AVERAGE(C3910:C4109)</f>
        <v>89530.2998</v>
      </c>
      <c r="K4109" s="17" t="n">
        <f aca="false">MAX(K4108,C4109)</f>
        <v>124720.09</v>
      </c>
      <c r="L4109" s="25" t="n">
        <f aca="false">C4109/K4109-1</f>
        <v>-0.460518670247913</v>
      </c>
      <c r="M4109" s="25" t="n">
        <f aca="false">IF(COUNT(G4080:G4109)&lt;20,"",_xlfn.STDEV.S(G4080:G4109)*SQRT($R$3))</f>
        <v>0.40889281984888</v>
      </c>
      <c r="N4109" s="25" t="n">
        <f aca="false">IF(A4109-7&lt;$R$2,"",C4109/INDEX(Clean_Data!$C$2:$C$4314,MATCH(A4109-7,Clean_Data!$A$2:$A$4314,1))-1)</f>
        <v>0.0134371530081017</v>
      </c>
      <c r="O4109" s="25" t="n">
        <f aca="false">IF(A4109-30&lt;$R$2,"",C4109/INDEX(Clean_Data!$C$2:$C$4314,MATCH(A4109-30,Clean_Data!$A$2:$A$4314,1))-1)</f>
        <v>-0.0517413099395128</v>
      </c>
    </row>
    <row r="4110" customFormat="false" ht="15" hidden="false" customHeight="false" outlineLevel="0" collapsed="false">
      <c r="A4110" s="16" t="n">
        <v>46117</v>
      </c>
      <c r="B4110" s="23" t="n">
        <f aca="false">YEAR(A4110)</f>
        <v>2026</v>
      </c>
      <c r="C4110" s="17" t="n">
        <v>69279.05</v>
      </c>
      <c r="D4110" s="23" t="n">
        <f aca="false">A4110-A4109</f>
        <v>1</v>
      </c>
      <c r="E4110" s="24" t="n">
        <f aca="false">LN(C4110)</f>
        <v>11.1458978306712</v>
      </c>
      <c r="F4110" s="25" t="n">
        <f aca="false">LN(C4110/C4109)</f>
        <v>0.0292177067824168</v>
      </c>
      <c r="G4110" s="25" t="n">
        <f aca="false">IF(AND(D4110=1,A4110&gt;=$R$2),F4110,"")</f>
        <v>0.0292177067824168</v>
      </c>
      <c r="H4110" s="27" t="n">
        <f aca="false">IF(G4110="","",G4110^2)</f>
        <v>0.000853674389623283</v>
      </c>
      <c r="I4110" s="25" t="n">
        <f aca="false">IF(G4110="","",C4110/C4109-1)</f>
        <v>0.0296487315885343</v>
      </c>
      <c r="J4110" s="17" t="n">
        <f aca="false">AVERAGE(C3911:C4110)</f>
        <v>89291.1051</v>
      </c>
      <c r="K4110" s="17" t="n">
        <f aca="false">MAX(K4109,C4110)</f>
        <v>124720.09</v>
      </c>
      <c r="L4110" s="25" t="n">
        <f aca="false">C4110/K4110-1</f>
        <v>-0.444523733105067</v>
      </c>
      <c r="M4110" s="25" t="n">
        <f aca="false">IF(COUNT(G4081:G4110)&lt;20,"",_xlfn.STDEV.S(G4081:G4110)*SQRT($R$3))</f>
        <v>0.401783436024544</v>
      </c>
      <c r="N4110" s="25" t="n">
        <f aca="false">IF(A4110-7&lt;$R$2,"",C4110/INDEX(Clean_Data!$C$2:$C$4314,MATCH(A4110-7,Clean_Data!$A$2:$A$4314,1))-1)</f>
        <v>0.0518693483832071</v>
      </c>
      <c r="O4110" s="25" t="n">
        <f aca="false">IF(A4110-30&lt;$R$2,"",C4110/INDEX(Clean_Data!$C$2:$C$4314,MATCH(A4110-30,Clean_Data!$A$2:$A$4314,1))-1)</f>
        <v>0.0135925384052671</v>
      </c>
    </row>
    <row r="4111" customFormat="false" ht="15" hidden="false" customHeight="false" outlineLevel="0" collapsed="false">
      <c r="A4111" s="16" t="n">
        <v>46118</v>
      </c>
      <c r="B4111" s="23" t="n">
        <f aca="false">YEAR(A4111)</f>
        <v>2026</v>
      </c>
      <c r="C4111" s="17" t="n">
        <v>68909.06</v>
      </c>
      <c r="D4111" s="23" t="n">
        <f aca="false">A4111-A4110</f>
        <v>1</v>
      </c>
      <c r="E4111" s="24" t="n">
        <f aca="false">LN(C4111)</f>
        <v>11.1405429432772</v>
      </c>
      <c r="F4111" s="25" t="n">
        <f aca="false">LN(C4111/C4110)</f>
        <v>-0.00535488739394355</v>
      </c>
      <c r="G4111" s="25" t="n">
        <f aca="false">IF(AND(D4111=1,A4111&gt;=$R$2),F4111,"")</f>
        <v>-0.00535488739394355</v>
      </c>
      <c r="H4111" s="27" t="n">
        <f aca="false">IF(G4111="","",G4111^2)</f>
        <v>2.86748190018155E-005</v>
      </c>
      <c r="I4111" s="25" t="n">
        <f aca="false">IF(G4111="","",C4111/C4110-1)</f>
        <v>-0.00534057554195688</v>
      </c>
      <c r="J4111" s="17" t="n">
        <f aca="false">AVERAGE(C3912:C4111)</f>
        <v>89057.19765</v>
      </c>
      <c r="K4111" s="17" t="n">
        <f aca="false">MAX(K4110,C4111)</f>
        <v>124720.09</v>
      </c>
      <c r="L4111" s="25" t="n">
        <f aca="false">C4111/K4111-1</f>
        <v>-0.447490296070184</v>
      </c>
      <c r="M4111" s="25" t="n">
        <f aca="false">IF(COUNT(G4082:G4111)&lt;20,"",_xlfn.STDEV.S(G4082:G4111)*SQRT($R$3))</f>
        <v>0.397413924653614</v>
      </c>
      <c r="N4111" s="25" t="n">
        <f aca="false">IF(A4111-7&lt;$R$2,"",C4111/INDEX(Clean_Data!$C$2:$C$4314,MATCH(A4111-7,Clean_Data!$A$2:$A$4314,1))-1)</f>
        <v>0.0333707887241528</v>
      </c>
      <c r="O4111" s="25" t="n">
        <f aca="false">IF(A4111-30&lt;$R$2,"",C4111/INDEX(Clean_Data!$C$2:$C$4314,MATCH(A4111-30,Clean_Data!$A$2:$A$4314,1))-1)</f>
        <v>0.0255259892010984</v>
      </c>
    </row>
    <row r="4112" customFormat="false" ht="15" hidden="false" customHeight="false" outlineLevel="0" collapsed="false">
      <c r="A4112" s="16" t="n">
        <v>46119</v>
      </c>
      <c r="B4112" s="23" t="n">
        <f aca="false">YEAR(A4112)</f>
        <v>2026</v>
      </c>
      <c r="C4112" s="17" t="n">
        <v>71872.04</v>
      </c>
      <c r="D4112" s="23" t="n">
        <f aca="false">A4112-A4111</f>
        <v>1</v>
      </c>
      <c r="E4112" s="24" t="n">
        <f aca="false">LN(C4112)</f>
        <v>11.1826425946429</v>
      </c>
      <c r="F4112" s="25" t="n">
        <f aca="false">LN(C4112/C4111)</f>
        <v>0.042099651365704</v>
      </c>
      <c r="G4112" s="25" t="n">
        <f aca="false">IF(AND(D4112=1,A4112&gt;=$R$2),F4112,"")</f>
        <v>0.042099651365704</v>
      </c>
      <c r="H4112" s="27" t="n">
        <f aca="false">IF(G4112="","",G4112^2)</f>
        <v>0.00177238064511382</v>
      </c>
      <c r="I4112" s="25" t="n">
        <f aca="false">IF(G4112="","",C4112/C4111-1)</f>
        <v>0.0429984097882048</v>
      </c>
      <c r="J4112" s="17" t="n">
        <f aca="false">AVERAGE(C3913:C4112)</f>
        <v>88837.79585</v>
      </c>
      <c r="K4112" s="17" t="n">
        <f aca="false">MAX(K4111,C4112)</f>
        <v>124720.09</v>
      </c>
      <c r="L4112" s="25" t="n">
        <f aca="false">C4112/K4112-1</f>
        <v>-0.42373325740865</v>
      </c>
      <c r="M4112" s="25" t="n">
        <f aca="false">IF(COUNT(G4083:G4112)&lt;20,"",_xlfn.STDEV.S(G4083:G4112)*SQRT($R$3))</f>
        <v>0.416949156289576</v>
      </c>
      <c r="N4112" s="25" t="n">
        <f aca="false">IF(A4112-7&lt;$R$2,"",C4112/INDEX(Clean_Data!$C$2:$C$4314,MATCH(A4112-7,Clean_Data!$A$2:$A$4314,1))-1)</f>
        <v>0.0548636832498799</v>
      </c>
      <c r="O4112" s="25" t="n">
        <f aca="false">IF(A4112-30&lt;$R$2,"",C4112/INDEX(Clean_Data!$C$2:$C$4314,MATCH(A4112-30,Clean_Data!$A$2:$A$4314,1))-1)</f>
        <v>0.0880612772904577</v>
      </c>
    </row>
    <row r="4113" customFormat="false" ht="15" hidden="false" customHeight="false" outlineLevel="0" collapsed="false">
      <c r="A4113" s="16" t="n">
        <v>46120</v>
      </c>
      <c r="B4113" s="23" t="n">
        <f aca="false">YEAR(A4113)</f>
        <v>2026</v>
      </c>
      <c r="C4113" s="17" t="n">
        <v>71015.98</v>
      </c>
      <c r="D4113" s="23" t="n">
        <f aca="false">A4113-A4112</f>
        <v>1</v>
      </c>
      <c r="E4113" s="24" t="n">
        <f aca="false">LN(C4113)</f>
        <v>11.1706602011214</v>
      </c>
      <c r="F4113" s="25" t="n">
        <f aca="false">LN(C4113/C4112)</f>
        <v>-0.011982393521489</v>
      </c>
      <c r="G4113" s="25" t="n">
        <f aca="false">IF(AND(D4113=1,A4113&gt;=$R$2),F4113,"")</f>
        <v>-0.011982393521489</v>
      </c>
      <c r="H4113" s="27" t="n">
        <f aca="false">IF(G4113="","",G4113^2)</f>
        <v>0.000143577754503821</v>
      </c>
      <c r="I4113" s="25" t="n">
        <f aca="false">IF(G4113="","",C4113/C4112-1)</f>
        <v>-0.0119108905215435</v>
      </c>
      <c r="J4113" s="17" t="n">
        <f aca="false">AVERAGE(C3914:C4113)</f>
        <v>88616.4644</v>
      </c>
      <c r="K4113" s="17" t="n">
        <f aca="false">MAX(K4112,C4113)</f>
        <v>124720.09</v>
      </c>
      <c r="L4113" s="25" t="n">
        <f aca="false">C4113/K4113-1</f>
        <v>-0.430597107490862</v>
      </c>
      <c r="M4113" s="25" t="n">
        <f aca="false">IF(COUNT(G4084:G4113)&lt;20,"",_xlfn.STDEV.S(G4084:G4113)*SQRT($R$3))</f>
        <v>0.40214625772124</v>
      </c>
      <c r="N4113" s="25" t="n">
        <f aca="false">IF(A4113-7&lt;$R$2,"",C4113/INDEX(Clean_Data!$C$2:$C$4314,MATCH(A4113-7,Clean_Data!$A$2:$A$4314,1))-1)</f>
        <v>0.0428091361829881</v>
      </c>
      <c r="O4113" s="25" t="n">
        <f aca="false">IF(A4113-30&lt;$R$2,"",C4113/INDEX(Clean_Data!$C$2:$C$4314,MATCH(A4113-30,Clean_Data!$A$2:$A$4314,1))-1)</f>
        <v>0.0370242407551109</v>
      </c>
    </row>
    <row r="4114" customFormat="false" ht="15" hidden="false" customHeight="false" outlineLevel="0" collapsed="false">
      <c r="A4114" s="16" t="n">
        <v>46121</v>
      </c>
      <c r="B4114" s="23" t="n">
        <f aca="false">YEAR(A4114)</f>
        <v>2026</v>
      </c>
      <c r="C4114" s="17" t="n">
        <v>71798.73</v>
      </c>
      <c r="D4114" s="23" t="n">
        <f aca="false">A4114-A4113</f>
        <v>1</v>
      </c>
      <c r="E4114" s="24" t="n">
        <f aca="false">LN(C4114)</f>
        <v>11.1816220668576</v>
      </c>
      <c r="F4114" s="25" t="n">
        <f aca="false">LN(C4114/C4113)</f>
        <v>0.0109618657361566</v>
      </c>
      <c r="G4114" s="25" t="n">
        <f aca="false">IF(AND(D4114=1,A4114&gt;=$R$2),F4114,"")</f>
        <v>0.0109618657361566</v>
      </c>
      <c r="H4114" s="27" t="n">
        <f aca="false">IF(G4114="","",G4114^2)</f>
        <v>0.000120162500417524</v>
      </c>
      <c r="I4114" s="25" t="n">
        <f aca="false">IF(G4114="","",C4114/C4113-1)</f>
        <v>0.0110221671235122</v>
      </c>
      <c r="J4114" s="17" t="n">
        <f aca="false">AVERAGE(C3915:C4114)</f>
        <v>88411.7751</v>
      </c>
      <c r="K4114" s="17" t="n">
        <f aca="false">MAX(K4113,C4114)</f>
        <v>124720.09</v>
      </c>
      <c r="L4114" s="25" t="n">
        <f aca="false">C4114/K4114-1</f>
        <v>-0.424321053649015</v>
      </c>
      <c r="M4114" s="25" t="n">
        <f aca="false">IF(COUNT(G4085:G4114)&lt;20,"",_xlfn.STDEV.S(G4085:G4114)*SQRT($R$3))</f>
        <v>0.398183700199721</v>
      </c>
      <c r="N4114" s="25" t="n">
        <f aca="false">IF(A4114-7&lt;$R$2,"",C4114/INDEX(Clean_Data!$C$2:$C$4314,MATCH(A4114-7,Clean_Data!$A$2:$A$4314,1))-1)</f>
        <v>0.0722631529664206</v>
      </c>
      <c r="O4114" s="25" t="n">
        <f aca="false">IF(A4114-30&lt;$R$2,"",C4114/INDEX(Clean_Data!$C$2:$C$4314,MATCH(A4114-30,Clean_Data!$A$2:$A$4314,1))-1)</f>
        <v>0.0279289513865475</v>
      </c>
    </row>
    <row r="4115" customFormat="false" ht="15" hidden="false" customHeight="false" outlineLevel="0" collapsed="false">
      <c r="A4115" s="16" t="n">
        <v>46122</v>
      </c>
      <c r="B4115" s="23" t="n">
        <f aca="false">YEAR(A4115)</f>
        <v>2026</v>
      </c>
      <c r="C4115" s="17" t="n">
        <v>72905.26</v>
      </c>
      <c r="D4115" s="23" t="n">
        <f aca="false">A4115-A4114</f>
        <v>1</v>
      </c>
      <c r="E4115" s="24" t="n">
        <f aca="false">LN(C4115)</f>
        <v>11.1969160690289</v>
      </c>
      <c r="F4115" s="25" t="n">
        <f aca="false">LN(C4115/C4114)</f>
        <v>0.0152940021713213</v>
      </c>
      <c r="G4115" s="25" t="n">
        <f aca="false">IF(AND(D4115=1,A4115&gt;=$R$2),F4115,"")</f>
        <v>0.0152940021713213</v>
      </c>
      <c r="H4115" s="27" t="n">
        <f aca="false">IF(G4115="","",G4115^2)</f>
        <v>0.00023390650241638</v>
      </c>
      <c r="I4115" s="25" t="n">
        <f aca="false">IF(G4115="","",C4115/C4114-1)</f>
        <v>0.0154115539369568</v>
      </c>
      <c r="J4115" s="17" t="n">
        <f aca="false">AVERAGE(C3916:C4115)</f>
        <v>88216.21535</v>
      </c>
      <c r="K4115" s="17" t="n">
        <f aca="false">MAX(K4114,C4115)</f>
        <v>124720.09</v>
      </c>
      <c r="L4115" s="25" t="n">
        <f aca="false">C4115/K4115-1</f>
        <v>-0.415448946516957</v>
      </c>
      <c r="M4115" s="25" t="n">
        <f aca="false">IF(COUNT(G4086:G4115)&lt;20,"",_xlfn.STDEV.S(G4086:G4115)*SQRT($R$3))</f>
        <v>0.401098274052371</v>
      </c>
      <c r="N4115" s="25" t="n">
        <f aca="false">IF(A4115-7&lt;$R$2,"",C4115/INDEX(Clean_Data!$C$2:$C$4314,MATCH(A4115-7,Clean_Data!$A$2:$A$4314,1))-1)</f>
        <v>0.0895772640611459</v>
      </c>
      <c r="O4115" s="25" t="n">
        <f aca="false">IF(A4115-30&lt;$R$2,"",C4115/INDEX(Clean_Data!$C$2:$C$4314,MATCH(A4115-30,Clean_Data!$A$2:$A$4314,1))-1)</f>
        <v>0.038377900126932</v>
      </c>
    </row>
    <row r="4116" customFormat="false" ht="15" hidden="false" customHeight="false" outlineLevel="0" collapsed="false">
      <c r="A4116" s="16" t="n">
        <v>46123</v>
      </c>
      <c r="B4116" s="23" t="n">
        <f aca="false">YEAR(A4116)</f>
        <v>2026</v>
      </c>
      <c r="C4116" s="17" t="n">
        <v>72997.99</v>
      </c>
      <c r="D4116" s="23" t="n">
        <f aca="false">A4116-A4115</f>
        <v>1</v>
      </c>
      <c r="E4116" s="24" t="n">
        <f aca="false">LN(C4116)</f>
        <v>11.1981871855049</v>
      </c>
      <c r="F4116" s="25" t="n">
        <f aca="false">LN(C4116/C4115)</f>
        <v>0.00127111647596085</v>
      </c>
      <c r="G4116" s="25" t="n">
        <f aca="false">IF(AND(D4116=1,A4116&gt;=$R$2),F4116,"")</f>
        <v>0.00127111647596085</v>
      </c>
      <c r="H4116" s="27" t="n">
        <f aca="false">IF(G4116="","",G4116^2)</f>
        <v>1.61573709545914E-006</v>
      </c>
      <c r="I4116" s="25" t="n">
        <f aca="false">IF(G4116="","",C4116/C4115-1)</f>
        <v>0.00127192468691573</v>
      </c>
      <c r="J4116" s="17" t="n">
        <f aca="false">AVERAGE(C3917:C4116)</f>
        <v>88014.46445</v>
      </c>
      <c r="K4116" s="17" t="n">
        <f aca="false">MAX(K4115,C4116)</f>
        <v>124720.09</v>
      </c>
      <c r="L4116" s="25" t="n">
        <f aca="false">C4116/K4116-1</f>
        <v>-0.414705441601269</v>
      </c>
      <c r="M4116" s="25" t="n">
        <f aca="false">IF(COUNT(G4087:G4116)&lt;20,"",_xlfn.STDEV.S(G4087:G4116)*SQRT($R$3))</f>
        <v>0.400965315283635</v>
      </c>
      <c r="N4116" s="25" t="n">
        <f aca="false">IF(A4116-7&lt;$R$2,"",C4116/INDEX(Clean_Data!$C$2:$C$4314,MATCH(A4116-7,Clean_Data!$A$2:$A$4314,1))-1)</f>
        <v>0.0849208788517237</v>
      </c>
      <c r="O4116" s="25" t="n">
        <f aca="false">IF(A4116-30&lt;$R$2,"",C4116/INDEX(Clean_Data!$C$2:$C$4314,MATCH(A4116-30,Clean_Data!$A$2:$A$4314,1))-1)</f>
        <v>0.0354245513580465</v>
      </c>
    </row>
    <row r="4117" customFormat="false" ht="15" hidden="false" customHeight="false" outlineLevel="0" collapsed="false">
      <c r="A4117" s="16" t="n">
        <v>46124</v>
      </c>
      <c r="B4117" s="23" t="n">
        <f aca="false">YEAR(A4117)</f>
        <v>2026</v>
      </c>
      <c r="C4117" s="17" t="n">
        <v>70661.26</v>
      </c>
      <c r="D4117" s="23" t="n">
        <f aca="false">A4117-A4116</f>
        <v>1</v>
      </c>
      <c r="E4117" s="24" t="n">
        <f aca="false">LN(C4117)</f>
        <v>11.1656527526251</v>
      </c>
      <c r="F4117" s="25" t="n">
        <f aca="false">LN(C4117/C4116)</f>
        <v>-0.0325344328797971</v>
      </c>
      <c r="G4117" s="25" t="n">
        <f aca="false">IF(AND(D4117=1,A4117&gt;=$R$2),F4117,"")</f>
        <v>-0.0325344328797971</v>
      </c>
      <c r="H4117" s="27" t="n">
        <f aca="false">IF(G4117="","",G4117^2)</f>
        <v>0.00105848932281002</v>
      </c>
      <c r="I4117" s="25" t="n">
        <f aca="false">IF(G4117="","",C4117/C4116-1)</f>
        <v>-0.0320108813955016</v>
      </c>
      <c r="J4117" s="17" t="n">
        <f aca="false">AVERAGE(C3918:C4117)</f>
        <v>87822.59215</v>
      </c>
      <c r="K4117" s="17" t="n">
        <f aca="false">MAX(K4116,C4117)</f>
        <v>124720.09</v>
      </c>
      <c r="L4117" s="25" t="n">
        <f aca="false">C4117/K4117-1</f>
        <v>-0.433441236291603</v>
      </c>
      <c r="M4117" s="25" t="n">
        <f aca="false">IF(COUNT(G4088:G4117)&lt;20,"",_xlfn.STDEV.S(G4088:G4117)*SQRT($R$3))</f>
        <v>0.417508085618461</v>
      </c>
      <c r="N4117" s="25" t="n">
        <f aca="false">IF(A4117-7&lt;$R$2,"",C4117/INDEX(Clean_Data!$C$2:$C$4314,MATCH(A4117-7,Clean_Data!$A$2:$A$4314,1))-1)</f>
        <v>0.0199513417115274</v>
      </c>
      <c r="O4117" s="25" t="n">
        <f aca="false">IF(A4117-30&lt;$R$2,"",C4117/INDEX(Clean_Data!$C$2:$C$4314,MATCH(A4117-30,Clean_Data!$A$2:$A$4314,1))-1)</f>
        <v>-0.0025059720113757</v>
      </c>
    </row>
    <row r="4118" customFormat="false" ht="15" hidden="false" customHeight="false" outlineLevel="0" collapsed="false">
      <c r="A4118" s="16" t="n">
        <v>46125</v>
      </c>
      <c r="B4118" s="23" t="n">
        <f aca="false">YEAR(A4118)</f>
        <v>2026</v>
      </c>
      <c r="C4118" s="17" t="n">
        <v>74505.1</v>
      </c>
      <c r="D4118" s="23" t="n">
        <f aca="false">A4118-A4117</f>
        <v>1</v>
      </c>
      <c r="E4118" s="24" t="n">
        <f aca="false">LN(C4118)</f>
        <v>11.2186228584005</v>
      </c>
      <c r="F4118" s="25" t="n">
        <f aca="false">LN(C4118/C4117)</f>
        <v>0.0529701057753778</v>
      </c>
      <c r="G4118" s="25" t="n">
        <f aca="false">IF(AND(D4118=1,A4118&gt;=$R$2),F4118,"")</f>
        <v>0.0529701057753778</v>
      </c>
      <c r="H4118" s="27" t="n">
        <f aca="false">IF(G4118="","",G4118^2)</f>
        <v>0.00280583210585471</v>
      </c>
      <c r="I4118" s="25" t="n">
        <f aca="false">IF(G4118="","",C4118/C4117-1)</f>
        <v>0.0543981242338449</v>
      </c>
      <c r="J4118" s="17" t="n">
        <f aca="false">AVERAGE(C3919:C4118)</f>
        <v>87646.6312</v>
      </c>
      <c r="K4118" s="17" t="n">
        <f aca="false">MAX(K4117,C4118)</f>
        <v>124720.09</v>
      </c>
      <c r="L4118" s="25" t="n">
        <f aca="false">C4118/K4118-1</f>
        <v>-0.40262150227762</v>
      </c>
      <c r="M4118" s="25" t="n">
        <f aca="false">IF(COUNT(G4089:G4118)&lt;20,"",_xlfn.STDEV.S(G4089:G4118)*SQRT($R$3))</f>
        <v>0.456647558818302</v>
      </c>
      <c r="N4118" s="25" t="n">
        <f aca="false">IF(A4118-7&lt;$R$2,"",C4118/INDEX(Clean_Data!$C$2:$C$4314,MATCH(A4118-7,Clean_Data!$A$2:$A$4314,1))-1)</f>
        <v>0.0812090601729294</v>
      </c>
      <c r="O4118" s="25" t="n">
        <f aca="false">IF(A4118-30&lt;$R$2,"",C4118/INDEX(Clean_Data!$C$2:$C$4314,MATCH(A4118-30,Clean_Data!$A$2:$A$4314,1))-1)</f>
        <v>0.0476186726581667</v>
      </c>
    </row>
    <row r="4119" customFormat="false" ht="15" hidden="false" customHeight="false" outlineLevel="0" collapsed="false">
      <c r="A4119" s="16" t="n">
        <v>46126</v>
      </c>
      <c r="B4119" s="23" t="n">
        <f aca="false">YEAR(A4119)</f>
        <v>2026</v>
      </c>
      <c r="C4119" s="17" t="n">
        <v>74386.01</v>
      </c>
      <c r="D4119" s="23" t="n">
        <f aca="false">A4119-A4118</f>
        <v>1</v>
      </c>
      <c r="E4119" s="24" t="n">
        <f aca="false">LN(C4119)</f>
        <v>11.2170231655055</v>
      </c>
      <c r="F4119" s="25" t="n">
        <f aca="false">LN(C4119/C4118)</f>
        <v>-0.0015996928949771</v>
      </c>
      <c r="G4119" s="25" t="n">
        <f aca="false">IF(AND(D4119=1,A4119&gt;=$R$2),F4119,"")</f>
        <v>-0.0015996928949771</v>
      </c>
      <c r="H4119" s="27" t="n">
        <f aca="false">IF(G4119="","",G4119^2)</f>
        <v>2.55901735824022E-006</v>
      </c>
      <c r="I4119" s="25" t="n">
        <f aca="false">IF(G4119="","",C4119/C4118-1)</f>
        <v>-0.00159841406829886</v>
      </c>
      <c r="J4119" s="17" t="n">
        <f aca="false">AVERAGE(C3920:C4119)</f>
        <v>87470.15545</v>
      </c>
      <c r="K4119" s="17" t="n">
        <f aca="false">MAX(K4118,C4119)</f>
        <v>124720.09</v>
      </c>
      <c r="L4119" s="25" t="n">
        <f aca="false">C4119/K4119-1</f>
        <v>-0.403576360472479</v>
      </c>
      <c r="M4119" s="25" t="n">
        <f aca="false">IF(COUNT(G4090:G4119)&lt;20,"",_xlfn.STDEV.S(G4090:G4119)*SQRT($R$3))</f>
        <v>0.448489392923625</v>
      </c>
      <c r="N4119" s="25" t="n">
        <f aca="false">IF(A4119-7&lt;$R$2,"",C4119/INDEX(Clean_Data!$C$2:$C$4314,MATCH(A4119-7,Clean_Data!$A$2:$A$4314,1))-1)</f>
        <v>0.0349784144153971</v>
      </c>
      <c r="O4119" s="25" t="n">
        <f aca="false">IF(A4119-30&lt;$R$2,"",C4119/INDEX(Clean_Data!$C$2:$C$4314,MATCH(A4119-30,Clean_Data!$A$2:$A$4314,1))-1)</f>
        <v>0.0196391470868953</v>
      </c>
    </row>
    <row r="4120" customFormat="false" ht="15" hidden="false" customHeight="false" outlineLevel="0" collapsed="false">
      <c r="A4120" s="16" t="n">
        <v>46127</v>
      </c>
      <c r="B4120" s="23" t="n">
        <f aca="false">YEAR(A4120)</f>
        <v>2026</v>
      </c>
      <c r="C4120" s="17" t="n">
        <v>74725.02</v>
      </c>
      <c r="D4120" s="23" t="n">
        <f aca="false">A4120-A4119</f>
        <v>1</v>
      </c>
      <c r="E4120" s="24" t="n">
        <f aca="false">LN(C4120)</f>
        <v>11.2215702548001</v>
      </c>
      <c r="F4120" s="25" t="n">
        <f aca="false">LN(C4120/C4119)</f>
        <v>0.00454708929466365</v>
      </c>
      <c r="G4120" s="25" t="n">
        <f aca="false">IF(AND(D4120=1,A4120&gt;=$R$2),F4120,"")</f>
        <v>0.00454708929466365</v>
      </c>
      <c r="H4120" s="27" t="n">
        <f aca="false">IF(G4120="","",G4120^2)</f>
        <v>2.06760210536448E-005</v>
      </c>
      <c r="I4120" s="25" t="n">
        <f aca="false">IF(G4120="","",C4120/C4119-1)</f>
        <v>0.00455744299230476</v>
      </c>
      <c r="J4120" s="17" t="n">
        <f aca="false">AVERAGE(C3921:C4120)</f>
        <v>87282.7922</v>
      </c>
      <c r="K4120" s="17" t="n">
        <f aca="false">MAX(K4119,C4120)</f>
        <v>124720.09</v>
      </c>
      <c r="L4120" s="25" t="n">
        <f aca="false">C4120/K4120-1</f>
        <v>-0.400858193736069</v>
      </c>
      <c r="M4120" s="25" t="n">
        <f aca="false">IF(COUNT(G4091:G4120)&lt;20,"",_xlfn.STDEV.S(G4091:G4120)*SQRT($R$3))</f>
        <v>0.440500835103232</v>
      </c>
      <c r="N4120" s="25" t="n">
        <f aca="false">IF(A4120-7&lt;$R$2,"",C4120/INDEX(Clean_Data!$C$2:$C$4314,MATCH(A4120-7,Clean_Data!$A$2:$A$4314,1))-1)</f>
        <v>0.0522282449668372</v>
      </c>
      <c r="O4120" s="25" t="n">
        <f aca="false">IF(A4120-30&lt;$R$2,"",C4120/INDEX(Clean_Data!$C$2:$C$4314,MATCH(A4120-30,Clean_Data!$A$2:$A$4314,1))-1)</f>
        <v>-0.00044837686771293</v>
      </c>
    </row>
    <row r="4121" customFormat="false" ht="15" hidden="false" customHeight="false" outlineLevel="0" collapsed="false">
      <c r="A4121" s="16" t="n">
        <v>46128</v>
      </c>
      <c r="B4121" s="23" t="n">
        <f aca="false">YEAR(A4121)</f>
        <v>2026</v>
      </c>
      <c r="C4121" s="17" t="n">
        <v>75124.72</v>
      </c>
      <c r="D4121" s="23" t="n">
        <f aca="false">A4121-A4120</f>
        <v>1</v>
      </c>
      <c r="E4121" s="24" t="n">
        <f aca="false">LN(C4121)</f>
        <v>11.2269049447091</v>
      </c>
      <c r="F4121" s="25" t="n">
        <f aca="false">LN(C4121/C4120)</f>
        <v>0.00533468990895311</v>
      </c>
      <c r="G4121" s="25" t="n">
        <f aca="false">IF(AND(D4121=1,A4121&gt;=$R$2),F4121,"")</f>
        <v>0.00533468990895311</v>
      </c>
      <c r="H4121" s="27" t="n">
        <f aca="false">IF(G4121="","",G4121^2)</f>
        <v>2.84589164246861E-005</v>
      </c>
      <c r="I4121" s="25" t="n">
        <f aca="false">IF(G4121="","",C4121/C4120-1)</f>
        <v>0.00534894470419678</v>
      </c>
      <c r="J4121" s="17" t="n">
        <f aca="false">AVERAGE(C3922:C4121)</f>
        <v>87086.59045</v>
      </c>
      <c r="K4121" s="17" t="n">
        <f aca="false">MAX(K4120,C4121)</f>
        <v>124720.09</v>
      </c>
      <c r="L4121" s="25" t="n">
        <f aca="false">C4121/K4121-1</f>
        <v>-0.397653417344391</v>
      </c>
      <c r="M4121" s="25" t="n">
        <f aca="false">IF(COUNT(G4092:G4121)&lt;20,"",_xlfn.STDEV.S(G4092:G4121)*SQRT($R$3))</f>
        <v>0.43860492542435</v>
      </c>
      <c r="N4121" s="25" t="n">
        <f aca="false">IF(A4121-7&lt;$R$2,"",C4121/INDEX(Clean_Data!$C$2:$C$4314,MATCH(A4121-7,Clean_Data!$A$2:$A$4314,1))-1)</f>
        <v>0.0463237998777974</v>
      </c>
      <c r="O4121" s="25" t="n">
        <f aca="false">IF(A4121-30&lt;$R$2,"",C4121/INDEX(Clean_Data!$C$2:$C$4314,MATCH(A4121-30,Clean_Data!$A$2:$A$4314,1))-1)</f>
        <v>0.0173249906730755</v>
      </c>
    </row>
    <row r="4122" customFormat="false" ht="15" hidden="false" customHeight="false" outlineLevel="0" collapsed="false">
      <c r="A4122" s="16" t="n">
        <v>46129</v>
      </c>
      <c r="B4122" s="23" t="n">
        <f aca="false">YEAR(A4122)</f>
        <v>2026</v>
      </c>
      <c r="C4122" s="17" t="n">
        <v>75736.82</v>
      </c>
      <c r="D4122" s="23" t="n">
        <f aca="false">A4122-A4121</f>
        <v>1</v>
      </c>
      <c r="E4122" s="24" t="n">
        <f aca="false">LN(C4122)</f>
        <v>11.2350197148337</v>
      </c>
      <c r="F4122" s="25" t="n">
        <f aca="false">LN(C4122/C4121)</f>
        <v>0.00811477012456951</v>
      </c>
      <c r="G4122" s="25" t="n">
        <f aca="false">IF(AND(D4122=1,A4122&gt;=$R$2),F4122,"")</f>
        <v>0.00811477012456951</v>
      </c>
      <c r="H4122" s="27" t="n">
        <f aca="false">IF(G4122="","",G4122^2)</f>
        <v>6.58494941746058E-005</v>
      </c>
      <c r="I4122" s="25" t="n">
        <f aca="false">IF(G4122="","",C4122/C4121-1)</f>
        <v>0.0081477841115416</v>
      </c>
      <c r="J4122" s="17" t="n">
        <f aca="false">AVERAGE(C3923:C4122)</f>
        <v>86894.936</v>
      </c>
      <c r="K4122" s="17" t="n">
        <f aca="false">MAX(K4121,C4122)</f>
        <v>124720.09</v>
      </c>
      <c r="L4122" s="25" t="n">
        <f aca="false">C4122/K4122-1</f>
        <v>-0.392745627428588</v>
      </c>
      <c r="M4122" s="25" t="n">
        <f aca="false">IF(COUNT(G4093:G4122)&lt;20,"",_xlfn.STDEV.S(G4093:G4122)*SQRT($R$3))</f>
        <v>0.418382091443743</v>
      </c>
      <c r="N4122" s="25" t="n">
        <f aca="false">IF(A4122-7&lt;$R$2,"",C4122/INDEX(Clean_Data!$C$2:$C$4314,MATCH(A4122-7,Clean_Data!$A$2:$A$4314,1))-1)</f>
        <v>0.0388388985925023</v>
      </c>
      <c r="O4122" s="25" t="n">
        <f aca="false">IF(A4122-30&lt;$R$2,"",C4122/INDEX(Clean_Data!$C$2:$C$4314,MATCH(A4122-30,Clean_Data!$A$2:$A$4314,1))-1)</f>
        <v>0.0636454347626114</v>
      </c>
    </row>
    <row r="4123" customFormat="false" ht="15" hidden="false" customHeight="false" outlineLevel="0" collapsed="false">
      <c r="A4123" s="16" t="n">
        <v>46130</v>
      </c>
      <c r="B4123" s="23" t="n">
        <f aca="false">YEAR(A4123)</f>
        <v>2026</v>
      </c>
      <c r="C4123" s="17" t="n">
        <v>73823.14</v>
      </c>
      <c r="D4123" s="23" t="n">
        <f aca="false">A4123-A4122</f>
        <v>1</v>
      </c>
      <c r="E4123" s="24" t="n">
        <f aca="false">LN(C4123)</f>
        <v>11.2094275115775</v>
      </c>
      <c r="F4123" s="25" t="n">
        <f aca="false">LN(C4123/C4122)</f>
        <v>-0.0255922032561737</v>
      </c>
      <c r="G4123" s="25" t="n">
        <f aca="false">IF(AND(D4123=1,A4123&gt;=$R$2),F4123,"")</f>
        <v>-0.0255922032561737</v>
      </c>
      <c r="H4123" s="27" t="n">
        <f aca="false">IF(G4123="","",G4123^2)</f>
        <v>0.000654960867505305</v>
      </c>
      <c r="I4123" s="25" t="n">
        <f aca="false">IF(G4123="","",C4123/C4122-1)</f>
        <v>-0.0252674986882206</v>
      </c>
      <c r="J4123" s="17" t="n">
        <f aca="false">AVERAGE(C3924:C4123)</f>
        <v>86670.75185</v>
      </c>
      <c r="K4123" s="17" t="n">
        <f aca="false">MAX(K4122,C4123)</f>
        <v>124720.09</v>
      </c>
      <c r="L4123" s="25" t="n">
        <f aca="false">C4123/K4123-1</f>
        <v>-0.408089426490953</v>
      </c>
      <c r="M4123" s="25" t="n">
        <f aca="false">IF(COUNT(G4094:G4123)&lt;20,"",_xlfn.STDEV.S(G4094:G4123)*SQRT($R$3))</f>
        <v>0.423110238228151</v>
      </c>
      <c r="N4123" s="25" t="n">
        <f aca="false">IF(A4123-7&lt;$R$2,"",C4123/INDEX(Clean_Data!$C$2:$C$4314,MATCH(A4123-7,Clean_Data!$A$2:$A$4314,1))-1)</f>
        <v>0.0113037358973855</v>
      </c>
      <c r="O4123" s="25" t="n">
        <f aca="false">IF(A4123-30&lt;$R$2,"",C4123/INDEX(Clean_Data!$C$2:$C$4314,MATCH(A4123-30,Clean_Data!$A$2:$A$4314,1))-1)</f>
        <v>0.056745628155018</v>
      </c>
    </row>
    <row r="4124" customFormat="false" ht="15" hidden="false" customHeight="false" outlineLevel="0" collapsed="false">
      <c r="A4124" s="16" t="n">
        <v>46131</v>
      </c>
      <c r="B4124" s="23" t="n">
        <f aca="false">YEAR(A4124)</f>
        <v>2026</v>
      </c>
      <c r="C4124" s="17" t="n">
        <v>74201.44</v>
      </c>
      <c r="D4124" s="23" t="n">
        <f aca="false">A4124-A4123</f>
        <v>1</v>
      </c>
      <c r="E4124" s="24" t="n">
        <f aca="false">LN(C4124)</f>
        <v>11.2145388359752</v>
      </c>
      <c r="F4124" s="25" t="n">
        <f aca="false">LN(C4124/C4123)</f>
        <v>0.00511132439775014</v>
      </c>
      <c r="G4124" s="25" t="n">
        <f aca="false">IF(AND(D4124=1,A4124&gt;=$R$2),F4124,"")</f>
        <v>0.00511132439775014</v>
      </c>
      <c r="H4124" s="27" t="n">
        <f aca="false">IF(G4124="","",G4124^2)</f>
        <v>2.61256370990358E-005</v>
      </c>
      <c r="I4124" s="25" t="n">
        <f aca="false">IF(G4124="","",C4124/C4123-1)</f>
        <v>0.00512440950086934</v>
      </c>
      <c r="J4124" s="17" t="n">
        <f aca="false">AVERAGE(C3925:C4124)</f>
        <v>86438.65245</v>
      </c>
      <c r="K4124" s="17" t="n">
        <f aca="false">MAX(K4123,C4124)</f>
        <v>124720.09</v>
      </c>
      <c r="L4124" s="25" t="n">
        <f aca="false">C4124/K4124-1</f>
        <v>-0.405056234324398</v>
      </c>
      <c r="M4124" s="25" t="n">
        <f aca="false">IF(COUNT(G4095:G4124)&lt;20,"",_xlfn.STDEV.S(G4095:G4124)*SQRT($R$3))</f>
        <v>0.422266521480357</v>
      </c>
      <c r="N4124" s="25" t="n">
        <f aca="false">IF(A4124-7&lt;$R$2,"",C4124/INDEX(Clean_Data!$C$2:$C$4314,MATCH(A4124-7,Clean_Data!$A$2:$A$4314,1))-1)</f>
        <v>0.0501007199701791</v>
      </c>
      <c r="O4124" s="25" t="n">
        <f aca="false">IF(A4124-30&lt;$R$2,"",C4124/INDEX(Clean_Data!$C$2:$C$4314,MATCH(A4124-30,Clean_Data!$A$2:$A$4314,1))-1)</f>
        <v>0.0515929552575722</v>
      </c>
    </row>
    <row r="4125" customFormat="false" ht="15" hidden="false" customHeight="false" outlineLevel="0" collapsed="false">
      <c r="A4125" s="16" t="n">
        <v>46132</v>
      </c>
      <c r="B4125" s="23" t="n">
        <f aca="false">YEAR(A4125)</f>
        <v>2026</v>
      </c>
      <c r="C4125" s="17" t="n">
        <v>75854.66</v>
      </c>
      <c r="D4125" s="23" t="n">
        <f aca="false">A4125-A4124</f>
        <v>1</v>
      </c>
      <c r="E4125" s="24" t="n">
        <f aca="false">LN(C4125)</f>
        <v>11.2365744199363</v>
      </c>
      <c r="F4125" s="25" t="n">
        <f aca="false">LN(C4125/C4124)</f>
        <v>0.0220355839610587</v>
      </c>
      <c r="G4125" s="25" t="n">
        <f aca="false">IF(AND(D4125=1,A4125&gt;=$R$2),F4125,"")</f>
        <v>0.0220355839610587</v>
      </c>
      <c r="H4125" s="27" t="n">
        <f aca="false">IF(G4125="","",G4125^2)</f>
        <v>0.000485566960504866</v>
      </c>
      <c r="I4125" s="25" t="n">
        <f aca="false">IF(G4125="","",C4125/C4124-1)</f>
        <v>0.0222801606006569</v>
      </c>
      <c r="J4125" s="17" t="n">
        <f aca="false">AVERAGE(C3926:C4125)</f>
        <v>86206.33375</v>
      </c>
      <c r="K4125" s="17" t="n">
        <f aca="false">MAX(K4124,C4125)</f>
        <v>124720.09</v>
      </c>
      <c r="L4125" s="25" t="n">
        <f aca="false">C4125/K4125-1</f>
        <v>-0.391800791676786</v>
      </c>
      <c r="M4125" s="25" t="n">
        <f aca="false">IF(COUNT(G4096:G4125)&lt;20,"",_xlfn.STDEV.S(G4096:G4125)*SQRT($R$3))</f>
        <v>0.41085121950515</v>
      </c>
      <c r="N4125" s="25" t="n">
        <f aca="false">IF(A4125-7&lt;$R$2,"",C4125/INDEX(Clean_Data!$C$2:$C$4314,MATCH(A4125-7,Clean_Data!$A$2:$A$4314,1))-1)</f>
        <v>0.0181136593333879</v>
      </c>
      <c r="O4125" s="25" t="n">
        <f aca="false">IF(A4125-30&lt;$R$2,"",C4125/INDEX(Clean_Data!$C$2:$C$4314,MATCH(A4125-30,Clean_Data!$A$2:$A$4314,1))-1)</f>
        <v>0.109007659212137</v>
      </c>
    </row>
    <row r="4126" customFormat="false" ht="15" hidden="false" customHeight="false" outlineLevel="0" collapsed="false">
      <c r="A4126" s="16" t="n">
        <v>46133</v>
      </c>
      <c r="B4126" s="23" t="n">
        <f aca="false">YEAR(A4126)</f>
        <v>2026</v>
      </c>
      <c r="C4126" s="17" t="n">
        <v>76434.02</v>
      </c>
      <c r="D4126" s="23" t="n">
        <f aca="false">A4126-A4125</f>
        <v>1</v>
      </c>
      <c r="E4126" s="24" t="n">
        <f aca="false">LN(C4126)</f>
        <v>11.2441831640015</v>
      </c>
      <c r="F4126" s="25" t="n">
        <f aca="false">LN(C4126/C4125)</f>
        <v>0.00760874406516196</v>
      </c>
      <c r="G4126" s="25" t="n">
        <f aca="false">IF(AND(D4126=1,A4126&gt;=$R$2),F4126,"")</f>
        <v>0.00760874406516196</v>
      </c>
      <c r="H4126" s="27" t="n">
        <f aca="false">IF(G4126="","",G4126^2)</f>
        <v>5.78929862491374E-005</v>
      </c>
      <c r="I4126" s="25" t="n">
        <f aca="false">IF(G4126="","",C4126/C4125-1)</f>
        <v>0.00763776411363515</v>
      </c>
      <c r="J4126" s="17" t="n">
        <f aca="false">AVERAGE(C3927:C4126)</f>
        <v>85976.21105</v>
      </c>
      <c r="K4126" s="17" t="n">
        <f aca="false">MAX(K4125,C4126)</f>
        <v>124720.09</v>
      </c>
      <c r="L4126" s="25" t="n">
        <f aca="false">C4126/K4126-1</f>
        <v>-0.387155509589514</v>
      </c>
      <c r="M4126" s="25" t="n">
        <f aca="false">IF(COUNT(G4097:G4126)&lt;20,"",_xlfn.STDEV.S(G4097:G4126)*SQRT($R$3))</f>
        <v>0.409599117764071</v>
      </c>
      <c r="N4126" s="25" t="n">
        <f aca="false">IF(A4126-7&lt;$R$2,"",C4126/INDEX(Clean_Data!$C$2:$C$4314,MATCH(A4126-7,Clean_Data!$A$2:$A$4314,1))-1)</f>
        <v>0.027532193217515</v>
      </c>
      <c r="O4126" s="25" t="n">
        <f aca="false">IF(A4126-30&lt;$R$2,"",C4126/INDEX(Clean_Data!$C$2:$C$4314,MATCH(A4126-30,Clean_Data!$A$2:$A$4314,1))-1)</f>
        <v>0.124398277023454</v>
      </c>
    </row>
    <row r="4127" customFormat="false" ht="15" hidden="false" customHeight="false" outlineLevel="0" collapsed="false">
      <c r="A4127" s="16" t="n">
        <v>46134</v>
      </c>
      <c r="B4127" s="23" t="n">
        <f aca="false">YEAR(A4127)</f>
        <v>2026</v>
      </c>
      <c r="C4127" s="17" t="n">
        <v>78416.36</v>
      </c>
      <c r="D4127" s="23" t="n">
        <f aca="false">A4127-A4126</f>
        <v>1</v>
      </c>
      <c r="E4127" s="24" t="n">
        <f aca="false">LN(C4127)</f>
        <v>11.2697878580386</v>
      </c>
      <c r="F4127" s="25" t="n">
        <f aca="false">LN(C4127/C4126)</f>
        <v>0.0256046940371416</v>
      </c>
      <c r="G4127" s="25" t="n">
        <f aca="false">IF(AND(D4127=1,A4127&gt;=$R$2),F4127,"")</f>
        <v>0.0256046940371416</v>
      </c>
      <c r="H4127" s="27" t="n">
        <f aca="false">IF(G4127="","",G4127^2)</f>
        <v>0.000655600356735637</v>
      </c>
      <c r="I4127" s="25" t="n">
        <f aca="false">IF(G4127="","",C4127/C4126-1)</f>
        <v>0.0259353099575292</v>
      </c>
      <c r="J4127" s="17" t="n">
        <f aca="false">AVERAGE(C3928:C4127)</f>
        <v>85750.6889</v>
      </c>
      <c r="K4127" s="17" t="n">
        <f aca="false">MAX(K4126,C4127)</f>
        <v>124720.09</v>
      </c>
      <c r="L4127" s="25" t="n">
        <f aca="false">C4127/K4127-1</f>
        <v>-0.371261197774954</v>
      </c>
      <c r="M4127" s="25" t="n">
        <f aca="false">IF(COUNT(G4098:G4127)&lt;20,"",_xlfn.STDEV.S(G4098:G4127)*SQRT($R$3))</f>
        <v>0.393891220016506</v>
      </c>
      <c r="N4127" s="25" t="n">
        <f aca="false">IF(A4127-7&lt;$R$2,"",C4127/INDEX(Clean_Data!$C$2:$C$4314,MATCH(A4127-7,Clean_Data!$A$2:$A$4314,1))-1)</f>
        <v>0.0493989830982982</v>
      </c>
      <c r="O4127" s="25" t="n">
        <f aca="false">IF(A4127-30&lt;$R$2,"",C4127/INDEX(Clean_Data!$C$2:$C$4314,MATCH(A4127-30,Clean_Data!$A$2:$A$4314,1))-1)</f>
        <v>0.10591995035681</v>
      </c>
    </row>
    <row r="4128" customFormat="false" ht="15" hidden="false" customHeight="false" outlineLevel="0" collapsed="false">
      <c r="A4128" s="16" t="n">
        <v>46135</v>
      </c>
      <c r="B4128" s="23" t="n">
        <f aca="false">YEAR(A4128)</f>
        <v>2026</v>
      </c>
      <c r="C4128" s="17" t="n">
        <v>78281.09</v>
      </c>
      <c r="D4128" s="23" t="n">
        <f aca="false">A4128-A4127</f>
        <v>1</v>
      </c>
      <c r="E4128" s="24" t="n">
        <f aca="false">LN(C4128)</f>
        <v>11.2680613457871</v>
      </c>
      <c r="F4128" s="25" t="n">
        <f aca="false">LN(C4128/C4127)</f>
        <v>-0.00172651225149574</v>
      </c>
      <c r="G4128" s="25" t="n">
        <f aca="false">IF(AND(D4128=1,A4128&gt;=$R$2),F4128,"")</f>
        <v>-0.00172651225149574</v>
      </c>
      <c r="H4128" s="27" t="n">
        <f aca="false">IF(G4128="","",G4128^2)</f>
        <v>2.9808445545649E-006</v>
      </c>
      <c r="I4128" s="25" t="n">
        <f aca="false">IF(G4128="","",C4128/C4127-1)</f>
        <v>-0.00172502268659247</v>
      </c>
      <c r="J4128" s="17" t="n">
        <f aca="false">AVERAGE(C3929:C4128)</f>
        <v>85518.4939</v>
      </c>
      <c r="K4128" s="17" t="n">
        <f aca="false">MAX(K4127,C4128)</f>
        <v>124720.09</v>
      </c>
      <c r="L4128" s="25" t="n">
        <f aca="false">C4128/K4128-1</f>
        <v>-0.372345786472733</v>
      </c>
      <c r="M4128" s="25" t="n">
        <f aca="false">IF(COUNT(G4099:G4128)&lt;20,"",_xlfn.STDEV.S(G4099:G4128)*SQRT($R$3))</f>
        <v>0.393193870492263</v>
      </c>
      <c r="N4128" s="25" t="n">
        <f aca="false">IF(A4128-7&lt;$R$2,"",C4128/INDEX(Clean_Data!$C$2:$C$4314,MATCH(A4128-7,Clean_Data!$A$2:$A$4314,1))-1)</f>
        <v>0.0420150650811078</v>
      </c>
      <c r="O4128" s="25" t="n">
        <f aca="false">IF(A4128-30&lt;$R$2,"",C4128/INDEX(Clean_Data!$C$2:$C$4314,MATCH(A4128-30,Clean_Data!$A$2:$A$4314,1))-1)</f>
        <v>0.109497580909424</v>
      </c>
    </row>
    <row r="4129" customFormat="false" ht="15" hidden="false" customHeight="false" outlineLevel="0" collapsed="false">
      <c r="A4129" s="16" t="n">
        <v>46136</v>
      </c>
      <c r="B4129" s="23" t="n">
        <f aca="false">YEAR(A4129)</f>
        <v>2026</v>
      </c>
      <c r="C4129" s="17" t="n">
        <v>77490.01</v>
      </c>
      <c r="D4129" s="23" t="n">
        <f aca="false">A4129-A4128</f>
        <v>1</v>
      </c>
      <c r="E4129" s="24" t="n">
        <f aca="false">LN(C4129)</f>
        <v>11.2579043038069</v>
      </c>
      <c r="F4129" s="25" t="n">
        <f aca="false">LN(C4129/C4128)</f>
        <v>-0.0101570419802142</v>
      </c>
      <c r="G4129" s="25" t="n">
        <f aca="false">IF(AND(D4129=1,A4129&gt;=$R$2),F4129,"")</f>
        <v>-0.0101570419802142</v>
      </c>
      <c r="H4129" s="27" t="n">
        <f aca="false">IF(G4129="","",G4129^2)</f>
        <v>0.000103165501787834</v>
      </c>
      <c r="I4129" s="25" t="n">
        <f aca="false">IF(G4129="","",C4129/C4128-1)</f>
        <v>-0.0101056334294783</v>
      </c>
      <c r="J4129" s="17" t="n">
        <f aca="false">AVERAGE(C3930:C4129)</f>
        <v>85298.9742</v>
      </c>
      <c r="K4129" s="17" t="n">
        <f aca="false">MAX(K4128,C4129)</f>
        <v>124720.09</v>
      </c>
      <c r="L4129" s="25" t="n">
        <f aca="false">C4129/K4129-1</f>
        <v>-0.378688629875107</v>
      </c>
      <c r="M4129" s="25" t="n">
        <f aca="false">IF(COUNT(G4100:G4129)&lt;20,"",_xlfn.STDEV.S(G4100:G4129)*SQRT($R$3))</f>
        <v>0.395214657072065</v>
      </c>
      <c r="N4129" s="25" t="n">
        <f aca="false">IF(A4129-7&lt;$R$2,"",C4129/INDEX(Clean_Data!$C$2:$C$4314,MATCH(A4129-7,Clean_Data!$A$2:$A$4314,1))-1)</f>
        <v>0.0231484501197698</v>
      </c>
      <c r="O4129" s="25" t="n">
        <f aca="false">IF(A4129-30&lt;$R$2,"",C4129/INDEX(Clean_Data!$C$2:$C$4314,MATCH(A4129-30,Clean_Data!$A$2:$A$4314,1))-1)</f>
        <v>0.0871585671563393</v>
      </c>
    </row>
    <row r="4130" customFormat="false" ht="15" hidden="false" customHeight="false" outlineLevel="0" collapsed="false">
      <c r="A4130" s="16" t="n">
        <v>46137</v>
      </c>
      <c r="B4130" s="23" t="n">
        <f aca="false">YEAR(A4130)</f>
        <v>2026</v>
      </c>
      <c r="C4130" s="17" t="n">
        <v>77650.51</v>
      </c>
      <c r="D4130" s="23" t="n">
        <f aca="false">A4130-A4129</f>
        <v>1</v>
      </c>
      <c r="E4130" s="24" t="n">
        <f aca="false">LN(C4130)</f>
        <v>11.2599733964883</v>
      </c>
      <c r="F4130" s="25" t="n">
        <f aca="false">LN(C4130/C4129)</f>
        <v>0.00206909268140007</v>
      </c>
      <c r="G4130" s="25" t="n">
        <f aca="false">IF(AND(D4130=1,A4130&gt;=$R$2),F4130,"")</f>
        <v>0.00206909268140007</v>
      </c>
      <c r="H4130" s="27" t="n">
        <f aca="false">IF(G4130="","",G4130^2)</f>
        <v>4.28114452422334E-006</v>
      </c>
      <c r="I4130" s="25" t="n">
        <f aca="false">IF(G4130="","",C4130/C4129-1)</f>
        <v>0.00207123473077364</v>
      </c>
      <c r="J4130" s="17" t="n">
        <f aca="false">AVERAGE(C3931:C4130)</f>
        <v>85070.5105</v>
      </c>
      <c r="K4130" s="17" t="n">
        <f aca="false">MAX(K4129,C4130)</f>
        <v>124720.09</v>
      </c>
      <c r="L4130" s="25" t="n">
        <f aca="false">C4130/K4130-1</f>
        <v>-0.37740174818668</v>
      </c>
      <c r="M4130" s="25" t="n">
        <f aca="false">IF(COUNT(G4101:G4130)&lt;20,"",_xlfn.STDEV.S(G4101:G4130)*SQRT($R$3))</f>
        <v>0.369773607465778</v>
      </c>
      <c r="N4130" s="25" t="n">
        <f aca="false">IF(A4130-7&lt;$R$2,"",C4130/INDEX(Clean_Data!$C$2:$C$4314,MATCH(A4130-7,Clean_Data!$A$2:$A$4314,1))-1)</f>
        <v>0.0518451260675175</v>
      </c>
      <c r="O4130" s="25" t="n">
        <f aca="false">IF(A4130-30&lt;$R$2,"",C4130/INDEX(Clean_Data!$C$2:$C$4314,MATCH(A4130-30,Clean_Data!$A$2:$A$4314,1))-1)</f>
        <v>0.129261571037576</v>
      </c>
    </row>
    <row r="4131" customFormat="false" ht="15" hidden="false" customHeight="false" outlineLevel="0" collapsed="false">
      <c r="A4131" s="16" t="n">
        <v>46138</v>
      </c>
      <c r="B4131" s="23" t="n">
        <f aca="false">YEAR(A4131)</f>
        <v>2026</v>
      </c>
      <c r="C4131" s="17" t="n">
        <v>78818.4</v>
      </c>
      <c r="D4131" s="23" t="n">
        <f aca="false">A4131-A4130</f>
        <v>1</v>
      </c>
      <c r="E4131" s="24" t="n">
        <f aca="false">LN(C4131)</f>
        <v>11.2749017511266</v>
      </c>
      <c r="F4131" s="25" t="n">
        <f aca="false">LN(C4131/C4130)</f>
        <v>0.0149283546382697</v>
      </c>
      <c r="G4131" s="25" t="n">
        <f aca="false">IF(AND(D4131=1,A4131&gt;=$R$2),F4131,"")</f>
        <v>0.0149283546382697</v>
      </c>
      <c r="H4131" s="27" t="n">
        <f aca="false">IF(G4131="","",G4131^2)</f>
        <v>0.00022285577220595</v>
      </c>
      <c r="I4131" s="25" t="n">
        <f aca="false">IF(G4131="","",C4131/C4130-1)</f>
        <v>0.0150403390782623</v>
      </c>
      <c r="J4131" s="17" t="n">
        <f aca="false">AVERAGE(C3932:C4131)</f>
        <v>84856.02995</v>
      </c>
      <c r="K4131" s="17" t="n">
        <f aca="false">MAX(K4130,C4131)</f>
        <v>124720.09</v>
      </c>
      <c r="L4131" s="25" t="n">
        <f aca="false">C4131/K4131-1</f>
        <v>-0.368037659369874</v>
      </c>
      <c r="M4131" s="25" t="n">
        <f aca="false">IF(COUNT(G4102:G4131)&lt;20,"",_xlfn.STDEV.S(G4102:G4131)*SQRT($R$3))</f>
        <v>0.343322634033196</v>
      </c>
      <c r="N4131" s="25" t="n">
        <f aca="false">IF(A4131-7&lt;$R$2,"",C4131/INDEX(Clean_Data!$C$2:$C$4314,MATCH(A4131-7,Clean_Data!$A$2:$A$4314,1))-1)</f>
        <v>0.0622219730506577</v>
      </c>
      <c r="O4131" s="25" t="n">
        <f aca="false">IF(A4131-30&lt;$R$2,"",C4131/INDEX(Clean_Data!$C$2:$C$4314,MATCH(A4131-30,Clean_Data!$A$2:$A$4314,1))-1)</f>
        <v>0.18720253435682</v>
      </c>
    </row>
    <row r="4132" customFormat="false" ht="15" hidden="false" customHeight="false" outlineLevel="0" collapsed="false">
      <c r="A4132" s="16" t="n">
        <v>46139</v>
      </c>
      <c r="B4132" s="23" t="n">
        <f aca="false">YEAR(A4132)</f>
        <v>2026</v>
      </c>
      <c r="C4132" s="17" t="n">
        <v>77302.47</v>
      </c>
      <c r="D4132" s="23" t="n">
        <f aca="false">A4132-A4131</f>
        <v>1</v>
      </c>
      <c r="E4132" s="24" t="n">
        <f aca="false">LN(C4132)</f>
        <v>11.2554811874932</v>
      </c>
      <c r="F4132" s="25" t="n">
        <f aca="false">LN(C4132/C4131)</f>
        <v>-0.0194205636333516</v>
      </c>
      <c r="G4132" s="25" t="n">
        <f aca="false">IF(AND(D4132=1,A4132&gt;=$R$2),F4132,"")</f>
        <v>-0.0194205636333516</v>
      </c>
      <c r="H4132" s="27" t="n">
        <f aca="false">IF(G4132="","",G4132^2)</f>
        <v>0.000377158291837059</v>
      </c>
      <c r="I4132" s="25" t="n">
        <f aca="false">IF(G4132="","",C4132/C4131-1)</f>
        <v>-0.0192331993544653</v>
      </c>
      <c r="J4132" s="17" t="n">
        <f aca="false">AVERAGE(C3933:C4132)</f>
        <v>84677.6409</v>
      </c>
      <c r="K4132" s="17" t="n">
        <f aca="false">MAX(K4131,C4132)</f>
        <v>124720.09</v>
      </c>
      <c r="L4132" s="25" t="n">
        <f aca="false">C4132/K4132-1</f>
        <v>-0.380192317051728</v>
      </c>
      <c r="M4132" s="25" t="n">
        <f aca="false">IF(COUNT(G4103:G4132)&lt;20,"",_xlfn.STDEV.S(G4103:G4132)*SQRT($R$3))</f>
        <v>0.353919979893572</v>
      </c>
      <c r="N4132" s="25" t="n">
        <f aca="false">IF(A4132-7&lt;$R$2,"",C4132/INDEX(Clean_Data!$C$2:$C$4314,MATCH(A4132-7,Clean_Data!$A$2:$A$4314,1))-1)</f>
        <v>0.0190866322517298</v>
      </c>
      <c r="O4132" s="25" t="n">
        <f aca="false">IF(A4132-30&lt;$R$2,"",C4132/INDEX(Clean_Data!$C$2:$C$4314,MATCH(A4132-30,Clean_Data!$A$2:$A$4314,1))-1)</f>
        <v>0.164333405028675</v>
      </c>
    </row>
    <row r="4133" customFormat="false" ht="15" hidden="false" customHeight="false" outlineLevel="0" collapsed="false">
      <c r="A4133" s="16" t="n">
        <v>46140</v>
      </c>
      <c r="B4133" s="23" t="n">
        <f aca="false">YEAR(A4133)</f>
        <v>2026</v>
      </c>
      <c r="C4133" s="17" t="n">
        <v>76361.99</v>
      </c>
      <c r="D4133" s="23" t="n">
        <f aca="false">A4133-A4132</f>
        <v>1</v>
      </c>
      <c r="E4133" s="24" t="n">
        <f aca="false">LN(C4133)</f>
        <v>11.2432403382649</v>
      </c>
      <c r="F4133" s="25" t="n">
        <f aca="false">LN(C4133/C4132)</f>
        <v>-0.0122408492283087</v>
      </c>
      <c r="G4133" s="25" t="n">
        <f aca="false">IF(AND(D4133=1,A4133&gt;=$R$2),F4133,"")</f>
        <v>-0.0122408492283087</v>
      </c>
      <c r="H4133" s="27" t="n">
        <f aca="false">IF(G4133="","",G4133^2)</f>
        <v>0.000149838389830186</v>
      </c>
      <c r="I4133" s="25" t="n">
        <f aca="false">IF(G4133="","",C4133/C4132-1)</f>
        <v>-0.0121662347917213</v>
      </c>
      <c r="J4133" s="17" t="n">
        <f aca="false">AVERAGE(C3934:C4133)</f>
        <v>84505.6064</v>
      </c>
      <c r="K4133" s="17" t="n">
        <f aca="false">MAX(K4132,C4133)</f>
        <v>124720.09</v>
      </c>
      <c r="L4133" s="25" t="n">
        <f aca="false">C4133/K4133-1</f>
        <v>-0.387733042848189</v>
      </c>
      <c r="M4133" s="25" t="n">
        <f aca="false">IF(COUNT(G4104:G4133)&lt;20,"",_xlfn.STDEV.S(G4104:G4133)*SQRT($R$3))</f>
        <v>0.356191584985938</v>
      </c>
      <c r="N4133" s="25" t="n">
        <f aca="false">IF(A4133-7&lt;$R$2,"",C4133/INDEX(Clean_Data!$C$2:$C$4314,MATCH(A4133-7,Clean_Data!$A$2:$A$4314,1))-1)</f>
        <v>-0.000942381416023874</v>
      </c>
      <c r="O4133" s="25" t="n">
        <f aca="false">IF(A4133-30&lt;$R$2,"",C4133/INDEX(Clean_Data!$C$2:$C$4314,MATCH(A4133-30,Clean_Data!$A$2:$A$4314,1))-1)</f>
        <v>0.159410192006746</v>
      </c>
    </row>
    <row r="4134" customFormat="false" ht="15" hidden="false" customHeight="false" outlineLevel="0" collapsed="false">
      <c r="A4134" s="16" t="n">
        <v>46141</v>
      </c>
      <c r="B4134" s="23" t="n">
        <f aca="false">YEAR(A4134)</f>
        <v>2026</v>
      </c>
      <c r="C4134" s="17" t="n">
        <v>75794.4</v>
      </c>
      <c r="D4134" s="23" t="n">
        <f aca="false">A4134-A4133</f>
        <v>1</v>
      </c>
      <c r="E4134" s="24" t="n">
        <f aca="false">LN(C4134)</f>
        <v>11.2357796902733</v>
      </c>
      <c r="F4134" s="25" t="n">
        <f aca="false">LN(C4134/C4133)</f>
        <v>-0.00746064799157214</v>
      </c>
      <c r="G4134" s="25" t="n">
        <f aca="false">IF(AND(D4134=1,A4134&gt;=$R$2),F4134,"")</f>
        <v>-0.00746064799157214</v>
      </c>
      <c r="H4134" s="27" t="n">
        <f aca="false">IF(G4134="","",G4134^2)</f>
        <v>5.56612684541495E-005</v>
      </c>
      <c r="I4134" s="25" t="n">
        <f aca="false">IF(G4134="","",C4134/C4133-1)</f>
        <v>-0.00743288643996853</v>
      </c>
      <c r="J4134" s="17" t="n">
        <f aca="false">AVERAGE(C3935:C4134)</f>
        <v>84309.2385</v>
      </c>
      <c r="K4134" s="17" t="n">
        <f aca="false">MAX(K4133,C4134)</f>
        <v>124720.09</v>
      </c>
      <c r="L4134" s="25" t="n">
        <f aca="false">C4134/K4134-1</f>
        <v>-0.392283953611644</v>
      </c>
      <c r="M4134" s="25" t="n">
        <f aca="false">IF(COUNT(G4105:G4134)&lt;20,"",_xlfn.STDEV.S(G4105:G4134)*SQRT($R$3))</f>
        <v>0.357686494991759</v>
      </c>
      <c r="N4134" s="25" t="n">
        <f aca="false">IF(A4134-7&lt;$R$2,"",C4134/INDEX(Clean_Data!$C$2:$C$4314,MATCH(A4134-7,Clean_Data!$A$2:$A$4314,1))-1)</f>
        <v>-0.0334363900594213</v>
      </c>
      <c r="O4134" s="25" t="n">
        <f aca="false">IF(A4134-30&lt;$R$2,"",C4134/INDEX(Clean_Data!$C$2:$C$4314,MATCH(A4134-30,Clean_Data!$A$2:$A$4314,1))-1)</f>
        <v>0.136624399010434</v>
      </c>
    </row>
    <row r="4135" customFormat="false" ht="15" hidden="false" customHeight="false" outlineLevel="0" collapsed="false">
      <c r="A4135" s="16" t="n">
        <v>46142</v>
      </c>
      <c r="B4135" s="23" t="n">
        <f aca="false">YEAR(A4135)</f>
        <v>2026</v>
      </c>
      <c r="C4135" s="17" t="n">
        <v>76442.08</v>
      </c>
      <c r="D4135" s="23" t="n">
        <f aca="false">A4135-A4134</f>
        <v>1</v>
      </c>
      <c r="E4135" s="24" t="n">
        <f aca="false">LN(C4135)</f>
        <v>11.2442886088684</v>
      </c>
      <c r="F4135" s="25" t="n">
        <f aca="false">LN(C4135/C4134)</f>
        <v>0.00850891859501946</v>
      </c>
      <c r="G4135" s="25" t="n">
        <f aca="false">IF(AND(D4135=1,A4135&gt;=$R$2),F4135,"")</f>
        <v>0.00850891859501946</v>
      </c>
      <c r="H4135" s="27" t="n">
        <f aca="false">IF(G4135="","",G4135^2)</f>
        <v>7.24016956566679E-005</v>
      </c>
      <c r="I4135" s="25" t="n">
        <f aca="false">IF(G4135="","",C4135/C4134-1)</f>
        <v>0.008545222338326</v>
      </c>
      <c r="J4135" s="17" t="n">
        <f aca="false">AVERAGE(C3936:C4135)</f>
        <v>84115.07875</v>
      </c>
      <c r="K4135" s="17" t="n">
        <f aca="false">MAX(K4134,C4135)</f>
        <v>124720.09</v>
      </c>
      <c r="L4135" s="25" t="n">
        <f aca="false">C4135/K4135-1</f>
        <v>-0.387090884876687</v>
      </c>
      <c r="M4135" s="25" t="n">
        <f aca="false">IF(COUNT(G4106:G4135)&lt;20,"",_xlfn.STDEV.S(G4106:G4135)*SQRT($R$3))</f>
        <v>0.352635455701731</v>
      </c>
      <c r="N4135" s="25" t="n">
        <f aca="false">IF(A4135-7&lt;$R$2,"",C4135/INDEX(Clean_Data!$C$2:$C$4314,MATCH(A4135-7,Clean_Data!$A$2:$A$4314,1))-1)</f>
        <v>-0.0234923913297579</v>
      </c>
      <c r="O4135" s="25" t="n">
        <f aca="false">IF(A4135-30&lt;$R$2,"",C4135/INDEX(Clean_Data!$C$2:$C$4314,MATCH(A4135-30,Clean_Data!$A$2:$A$4314,1))-1)</f>
        <v>0.12193801739984</v>
      </c>
    </row>
    <row r="4136" customFormat="false" ht="15" hidden="false" customHeight="false" outlineLevel="0" collapsed="false">
      <c r="A4136" s="16" t="n">
        <v>46143</v>
      </c>
      <c r="B4136" s="23" t="n">
        <f aca="false">YEAR(A4136)</f>
        <v>2026</v>
      </c>
      <c r="C4136" s="17" t="n">
        <v>78285.16</v>
      </c>
      <c r="D4136" s="23" t="n">
        <f aca="false">A4136-A4135</f>
        <v>1</v>
      </c>
      <c r="E4136" s="24" t="n">
        <f aca="false">LN(C4136)</f>
        <v>11.2681133365578</v>
      </c>
      <c r="F4136" s="25" t="n">
        <f aca="false">LN(C4136/C4135)</f>
        <v>0.0238247276894493</v>
      </c>
      <c r="G4136" s="25" t="n">
        <f aca="false">IF(AND(D4136=1,A4136&gt;=$R$2),F4136,"")</f>
        <v>0.0238247276894493</v>
      </c>
      <c r="H4136" s="27" t="n">
        <f aca="false">IF(G4136="","",G4136^2)</f>
        <v>0.000567617649476414</v>
      </c>
      <c r="I4136" s="25" t="n">
        <f aca="false">IF(G4136="","",C4136/C4135-1)</f>
        <v>0.0241108038923064</v>
      </c>
      <c r="J4136" s="17" t="n">
        <f aca="false">AVERAGE(C3937:C4136)</f>
        <v>83941.16455</v>
      </c>
      <c r="K4136" s="17" t="n">
        <f aca="false">MAX(K4135,C4136)</f>
        <v>124720.09</v>
      </c>
      <c r="L4136" s="25" t="n">
        <f aca="false">C4136/K4136-1</f>
        <v>-0.372313153398141</v>
      </c>
      <c r="M4136" s="25" t="n">
        <f aca="false">IF(COUNT(G4107:G4136)&lt;20,"",_xlfn.STDEV.S(G4107:G4136)*SQRT($R$3))</f>
        <v>0.35902309581598</v>
      </c>
      <c r="N4136" s="25" t="n">
        <f aca="false">IF(A4136-7&lt;$R$2,"",C4136/INDEX(Clean_Data!$C$2:$C$4314,MATCH(A4136-7,Clean_Data!$A$2:$A$4314,1))-1)</f>
        <v>0.0102613227175994</v>
      </c>
      <c r="O4136" s="25" t="n">
        <f aca="false">IF(A4136-30&lt;$R$2,"",C4136/INDEX(Clean_Data!$C$2:$C$4314,MATCH(A4136-30,Clean_Data!$A$2:$A$4314,1))-1)</f>
        <v>0.149550848633603</v>
      </c>
    </row>
    <row r="4137" customFormat="false" ht="15" hidden="false" customHeight="false" outlineLevel="0" collapsed="false">
      <c r="A4137" s="16" t="n">
        <v>46144</v>
      </c>
      <c r="B4137" s="23" t="n">
        <f aca="false">YEAR(A4137)</f>
        <v>2026</v>
      </c>
      <c r="C4137" s="17" t="n">
        <v>78705.06</v>
      </c>
      <c r="D4137" s="23" t="n">
        <f aca="false">A4137-A4136</f>
        <v>1</v>
      </c>
      <c r="E4137" s="24" t="n">
        <f aca="false">LN(C4137)</f>
        <v>11.273462727129</v>
      </c>
      <c r="F4137" s="25" t="n">
        <f aca="false">LN(C4137/C4136)</f>
        <v>0.00534939057121301</v>
      </c>
      <c r="G4137" s="25" t="n">
        <f aca="false">IF(AND(D4137=1,A4137&gt;=$R$2),F4137,"")</f>
        <v>0.00534939057121301</v>
      </c>
      <c r="H4137" s="27" t="n">
        <f aca="false">IF(G4137="","",G4137^2)</f>
        <v>2.86159794833827E-005</v>
      </c>
      <c r="I4137" s="25" t="n">
        <f aca="false">IF(G4137="","",C4137/C4136-1)</f>
        <v>0.00536372410811947</v>
      </c>
      <c r="J4137" s="17" t="n">
        <f aca="false">AVERAGE(C3938:C4137)</f>
        <v>83780.66925</v>
      </c>
      <c r="K4137" s="17" t="n">
        <f aca="false">MAX(K4136,C4137)</f>
        <v>124720.09</v>
      </c>
      <c r="L4137" s="25" t="n">
        <f aca="false">C4137/K4137-1</f>
        <v>-0.368946414326673</v>
      </c>
      <c r="M4137" s="25" t="n">
        <f aca="false">IF(COUNT(G4108:G4137)&lt;20,"",_xlfn.STDEV.S(G4108:G4137)*SQRT($R$3))</f>
        <v>0.350511294753143</v>
      </c>
      <c r="N4137" s="25" t="n">
        <f aca="false">IF(A4137-7&lt;$R$2,"",C4137/INDEX(Clean_Data!$C$2:$C$4314,MATCH(A4137-7,Clean_Data!$A$2:$A$4314,1))-1)</f>
        <v>0.0135807221356306</v>
      </c>
      <c r="O4137" s="25" t="n">
        <f aca="false">IF(A4137-30&lt;$R$2,"",C4137/INDEX(Clean_Data!$C$2:$C$4314,MATCH(A4137-30,Clean_Data!$A$2:$A$4314,1))-1)</f>
        <v>0.175404297402075</v>
      </c>
    </row>
    <row r="4138" customFormat="false" ht="15" hidden="false" customHeight="false" outlineLevel="0" collapsed="false">
      <c r="A4138" s="16" t="n">
        <v>46145</v>
      </c>
      <c r="B4138" s="23" t="n">
        <f aca="false">YEAR(A4138)</f>
        <v>2026</v>
      </c>
      <c r="C4138" s="17" t="n">
        <v>78496.31</v>
      </c>
      <c r="D4138" s="23" t="n">
        <f aca="false">A4138-A4137</f>
        <v>1</v>
      </c>
      <c r="E4138" s="24" t="n">
        <f aca="false">LN(C4138)</f>
        <v>11.2708068962962</v>
      </c>
      <c r="F4138" s="25" t="n">
        <f aca="false">LN(C4138/C4137)</f>
        <v>-0.00265583083277717</v>
      </c>
      <c r="G4138" s="25" t="n">
        <f aca="false">IF(AND(D4138=1,A4138&gt;=$R$2),F4138,"")</f>
        <v>-0.00265583083277717</v>
      </c>
      <c r="H4138" s="27" t="n">
        <f aca="false">IF(G4138="","",G4138^2)</f>
        <v>7.05343741232988E-006</v>
      </c>
      <c r="I4138" s="25" t="n">
        <f aca="false">IF(G4138="","",C4138/C4137-1)</f>
        <v>-0.00265230723412191</v>
      </c>
      <c r="J4138" s="17" t="n">
        <f aca="false">AVERAGE(C3939:C4138)</f>
        <v>83632.1608</v>
      </c>
      <c r="K4138" s="17" t="n">
        <f aca="false">MAX(K4137,C4138)</f>
        <v>124720.09</v>
      </c>
      <c r="L4138" s="25" t="n">
        <f aca="false">C4138/K4138-1</f>
        <v>-0.370620162317073</v>
      </c>
      <c r="M4138" s="25" t="n">
        <f aca="false">IF(COUNT(G4109:G4138)&lt;20,"",_xlfn.STDEV.S(G4109:G4138)*SQRT($R$3))</f>
        <v>0.350999580723679</v>
      </c>
      <c r="N4138" s="25" t="n">
        <f aca="false">IF(A4138-7&lt;$R$2,"",C4138/INDEX(Clean_Data!$C$2:$C$4314,MATCH(A4138-7,Clean_Data!$A$2:$A$4314,1))-1)</f>
        <v>-0.00408648234422415</v>
      </c>
      <c r="O4138" s="25" t="n">
        <f aca="false">IF(A4138-30&lt;$R$2,"",C4138/INDEX(Clean_Data!$C$2:$C$4314,MATCH(A4138-30,Clean_Data!$A$2:$A$4314,1))-1)</f>
        <v>0.17313613158633</v>
      </c>
    </row>
    <row r="4139" customFormat="false" ht="15" hidden="false" customHeight="false" outlineLevel="0" collapsed="false">
      <c r="A4139" s="16" t="n">
        <v>46146</v>
      </c>
      <c r="B4139" s="23" t="n">
        <f aca="false">YEAR(A4139)</f>
        <v>2026</v>
      </c>
      <c r="C4139" s="17" t="n">
        <v>79926.19</v>
      </c>
      <c r="D4139" s="23" t="n">
        <f aca="false">A4139-A4138</f>
        <v>1</v>
      </c>
      <c r="E4139" s="24" t="n">
        <f aca="false">LN(C4139)</f>
        <v>11.2888588627756</v>
      </c>
      <c r="F4139" s="25" t="n">
        <f aca="false">LN(C4139/C4138)</f>
        <v>0.0180519664793622</v>
      </c>
      <c r="G4139" s="25" t="n">
        <f aca="false">IF(AND(D4139=1,A4139&gt;=$R$2),F4139,"")</f>
        <v>0.0180519664793622</v>
      </c>
      <c r="H4139" s="27" t="n">
        <f aca="false">IF(G4139="","",G4139^2)</f>
        <v>0.000325873493772018</v>
      </c>
      <c r="I4139" s="25" t="n">
        <f aca="false">IF(G4139="","",C4139/C4138-1)</f>
        <v>0.0182158881098997</v>
      </c>
      <c r="J4139" s="17" t="n">
        <f aca="false">AVERAGE(C3940:C4139)</f>
        <v>83499.47525</v>
      </c>
      <c r="K4139" s="17" t="n">
        <f aca="false">MAX(K4138,C4139)</f>
        <v>124720.09</v>
      </c>
      <c r="L4139" s="25" t="n">
        <f aca="false">C4139/K4139-1</f>
        <v>-0.359155449615214</v>
      </c>
      <c r="M4139" s="25" t="n">
        <f aca="false">IF(COUNT(G4110:G4139)&lt;20,"",_xlfn.STDEV.S(G4110:G4139)*SQRT($R$3))</f>
        <v>0.353799236923822</v>
      </c>
      <c r="N4139" s="25" t="n">
        <f aca="false">IF(A4139-7&lt;$R$2,"",C4139/INDEX(Clean_Data!$C$2:$C$4314,MATCH(A4139-7,Clean_Data!$A$2:$A$4314,1))-1)</f>
        <v>0.0339409594544651</v>
      </c>
      <c r="O4139" s="25" t="n">
        <f aca="false">IF(A4139-30&lt;$R$2,"",C4139/INDEX(Clean_Data!$C$2:$C$4314,MATCH(A4139-30,Clean_Data!$A$2:$A$4314,1))-1)</f>
        <v>0.187890136400603</v>
      </c>
    </row>
    <row r="4140" customFormat="false" ht="15" hidden="false" customHeight="false" outlineLevel="0" collapsed="false">
      <c r="A4140" s="16" t="n">
        <v>46147</v>
      </c>
      <c r="B4140" s="23" t="n">
        <f aca="false">YEAR(A4140)</f>
        <v>2026</v>
      </c>
      <c r="C4140" s="17" t="n">
        <v>81028.26</v>
      </c>
      <c r="D4140" s="23" t="n">
        <f aca="false">A4140-A4139</f>
        <v>1</v>
      </c>
      <c r="E4140" s="24" t="n">
        <f aca="false">LN(C4140)</f>
        <v>11.3025532616959</v>
      </c>
      <c r="F4140" s="25" t="n">
        <f aca="false">LN(C4140/C4139)</f>
        <v>0.0136943989202872</v>
      </c>
      <c r="G4140" s="25" t="n">
        <f aca="false">IF(AND(D4140=1,A4140&gt;=$R$2),F4140,"")</f>
        <v>0.0136943989202872</v>
      </c>
      <c r="H4140" s="27" t="n">
        <f aca="false">IF(G4140="","",G4140^2)</f>
        <v>0.000187536561787962</v>
      </c>
      <c r="I4140" s="25" t="n">
        <f aca="false">IF(G4140="","",C4140/C4139-1)</f>
        <v>0.0137885967040339</v>
      </c>
      <c r="J4140" s="17" t="n">
        <f aca="false">AVERAGE(C3941:C4140)</f>
        <v>83368.572</v>
      </c>
      <c r="K4140" s="17" t="n">
        <f aca="false">MAX(K4139,C4140)</f>
        <v>124720.09</v>
      </c>
      <c r="L4140" s="25" t="n">
        <f aca="false">C4140/K4140-1</f>
        <v>-0.350319102559981</v>
      </c>
      <c r="M4140" s="25" t="n">
        <f aca="false">IF(COUNT(G4111:G4140)&lt;20,"",_xlfn.STDEV.S(G4111:G4140)*SQRT($R$3))</f>
        <v>0.344864225585202</v>
      </c>
      <c r="N4140" s="25" t="n">
        <f aca="false">IF(A4140-7&lt;$R$2,"",C4140/INDEX(Clean_Data!$C$2:$C$4314,MATCH(A4140-7,Clean_Data!$A$2:$A$4314,1))-1)</f>
        <v>0.0611072341095353</v>
      </c>
      <c r="O4140" s="25" t="n">
        <f aca="false">IF(A4140-30&lt;$R$2,"",C4140/INDEX(Clean_Data!$C$2:$C$4314,MATCH(A4140-30,Clean_Data!$A$2:$A$4314,1))-1)</f>
        <v>0.169592539158663</v>
      </c>
    </row>
    <row r="4141" customFormat="false" ht="15" hidden="false" customHeight="false" outlineLevel="0" collapsed="false">
      <c r="A4141" s="16" t="n">
        <v>46148</v>
      </c>
      <c r="B4141" s="23" t="n">
        <f aca="false">YEAR(A4141)</f>
        <v>2026</v>
      </c>
      <c r="C4141" s="17" t="n">
        <v>81476.51</v>
      </c>
      <c r="D4141" s="23" t="n">
        <f aca="false">A4141-A4140</f>
        <v>1</v>
      </c>
      <c r="E4141" s="24" t="n">
        <f aca="false">LN(C4141)</f>
        <v>11.3080700368264</v>
      </c>
      <c r="F4141" s="25" t="n">
        <f aca="false">LN(C4141/C4140)</f>
        <v>0.00551677513055535</v>
      </c>
      <c r="G4141" s="25" t="n">
        <f aca="false">IF(AND(D4141=1,A4141&gt;=$R$2),F4141,"")</f>
        <v>0.00551677513055535</v>
      </c>
      <c r="H4141" s="27" t="n">
        <f aca="false">IF(G4141="","",G4141^2)</f>
        <v>3.0434807841114E-005</v>
      </c>
      <c r="I4141" s="25" t="n">
        <f aca="false">IF(G4141="","",C4141/C4140-1)</f>
        <v>0.00553202055677859</v>
      </c>
      <c r="J4141" s="17" t="n">
        <f aca="false">AVERAGE(C3942:C4141)</f>
        <v>83232.57065</v>
      </c>
      <c r="K4141" s="17" t="n">
        <f aca="false">MAX(K4140,C4141)</f>
        <v>124720.09</v>
      </c>
      <c r="L4141" s="25" t="n">
        <f aca="false">C4141/K4141-1</f>
        <v>-0.346725054479996</v>
      </c>
      <c r="M4141" s="25" t="n">
        <f aca="false">IF(COUNT(G4112:G4141)&lt;20,"",_xlfn.STDEV.S(G4112:G4141)*SQRT($R$3))</f>
        <v>0.342746052969029</v>
      </c>
      <c r="N4141" s="25" t="n">
        <f aca="false">IF(A4141-7&lt;$R$2,"",C4141/INDEX(Clean_Data!$C$2:$C$4314,MATCH(A4141-7,Clean_Data!$A$2:$A$4314,1))-1)</f>
        <v>0.0749674118404526</v>
      </c>
      <c r="O4141" s="25" t="n">
        <f aca="false">IF(A4141-30&lt;$R$2,"",C4141/INDEX(Clean_Data!$C$2:$C$4314,MATCH(A4141-30,Clean_Data!$A$2:$A$4314,1))-1)</f>
        <v>0.182377324549196</v>
      </c>
    </row>
    <row r="4142" customFormat="false" ht="15" hidden="false" customHeight="false" outlineLevel="0" collapsed="false">
      <c r="A4142" s="16" t="n">
        <v>46149</v>
      </c>
      <c r="B4142" s="23" t="n">
        <f aca="false">YEAR(A4142)</f>
        <v>2026</v>
      </c>
      <c r="C4142" s="17" t="n">
        <v>80047.2</v>
      </c>
      <c r="D4142" s="23" t="n">
        <f aca="false">A4142-A4141</f>
        <v>1</v>
      </c>
      <c r="E4142" s="24" t="n">
        <f aca="false">LN(C4142)</f>
        <v>11.2903717396744</v>
      </c>
      <c r="F4142" s="25" t="n">
        <f aca="false">LN(C4142/C4141)</f>
        <v>-0.0176982971519958</v>
      </c>
      <c r="G4142" s="25" t="n">
        <f aca="false">IF(AND(D4142=1,A4142&gt;=$R$2),F4142,"")</f>
        <v>-0.0176982971519958</v>
      </c>
      <c r="H4142" s="27" t="n">
        <f aca="false">IF(G4142="","",G4142^2)</f>
        <v>0.000313229722080343</v>
      </c>
      <c r="I4142" s="25" t="n">
        <f aca="false">IF(G4142="","",C4142/C4141-1)</f>
        <v>-0.0175426021561306</v>
      </c>
      <c r="J4142" s="17" t="n">
        <f aca="false">AVERAGE(C3943:C4142)</f>
        <v>83079.96635</v>
      </c>
      <c r="K4142" s="17" t="n">
        <f aca="false">MAX(K4141,C4142)</f>
        <v>124720.09</v>
      </c>
      <c r="L4142" s="25" t="n">
        <f aca="false">C4142/K4142-1</f>
        <v>-0.358185196947821</v>
      </c>
      <c r="M4142" s="25" t="n">
        <f aca="false">IF(COUNT(G4113:G4142)&lt;20,"",_xlfn.STDEV.S(G4113:G4142)*SQRT($R$3))</f>
        <v>0.325599773082627</v>
      </c>
      <c r="N4142" s="25" t="n">
        <f aca="false">IF(A4142-7&lt;$R$2,"",C4142/INDEX(Clean_Data!$C$2:$C$4314,MATCH(A4142-7,Clean_Data!$A$2:$A$4314,1))-1)</f>
        <v>0.0471614587148859</v>
      </c>
      <c r="O4142" s="25" t="n">
        <f aca="false">IF(A4142-30&lt;$R$2,"",C4142/INDEX(Clean_Data!$C$2:$C$4314,MATCH(A4142-30,Clean_Data!$A$2:$A$4314,1))-1)</f>
        <v>0.113746040880431</v>
      </c>
    </row>
    <row r="4143" customFormat="false" ht="15" hidden="false" customHeight="false" outlineLevel="0" collapsed="false">
      <c r="A4143" s="16" t="n">
        <v>46150</v>
      </c>
      <c r="B4143" s="23" t="n">
        <f aca="false">YEAR(A4143)</f>
        <v>2026</v>
      </c>
      <c r="C4143" s="17" t="n">
        <v>80150.27</v>
      </c>
      <c r="D4143" s="23" t="n">
        <f aca="false">A4143-A4142</f>
        <v>1</v>
      </c>
      <c r="E4143" s="24" t="n">
        <f aca="false">LN(C4143)</f>
        <v>11.2916585267157</v>
      </c>
      <c r="F4143" s="25" t="n">
        <f aca="false">LN(C4143/C4142)</f>
        <v>0.00128678704129507</v>
      </c>
      <c r="G4143" s="25" t="n">
        <f aca="false">IF(AND(D4143=1,A4143&gt;=$R$2),F4143,"")</f>
        <v>0.00128678704129507</v>
      </c>
      <c r="H4143" s="27" t="n">
        <f aca="false">IF(G4143="","",G4143^2)</f>
        <v>1.65582088964492E-006</v>
      </c>
      <c r="I4143" s="25" t="n">
        <f aca="false">IF(G4143="","",C4143/C4142-1)</f>
        <v>0.00128761530696897</v>
      </c>
      <c r="J4143" s="17" t="n">
        <f aca="false">AVERAGE(C3944:C4143)</f>
        <v>82938.90635</v>
      </c>
      <c r="K4143" s="17" t="n">
        <f aca="false">MAX(K4142,C4143)</f>
        <v>124720.09</v>
      </c>
      <c r="L4143" s="25" t="n">
        <f aca="false">C4143/K4143-1</f>
        <v>-0.357358786383172</v>
      </c>
      <c r="M4143" s="25" t="n">
        <f aca="false">IF(COUNT(G4114:G4143)&lt;20,"",_xlfn.STDEV.S(G4114:G4143)*SQRT($R$3))</f>
        <v>0.32086700961773</v>
      </c>
      <c r="N4143" s="25" t="n">
        <f aca="false">IF(A4143-7&lt;$R$2,"",C4143/INDEX(Clean_Data!$C$2:$C$4314,MATCH(A4143-7,Clean_Data!$A$2:$A$4314,1))-1)</f>
        <v>0.0238245664951058</v>
      </c>
      <c r="O4143" s="25" t="n">
        <f aca="false">IF(A4143-30&lt;$R$2,"",C4143/INDEX(Clean_Data!$C$2:$C$4314,MATCH(A4143-30,Clean_Data!$A$2:$A$4314,1))-1)</f>
        <v>0.128623022592943</v>
      </c>
    </row>
    <row r="4144" customFormat="false" ht="15" hidden="false" customHeight="false" outlineLevel="0" collapsed="false">
      <c r="A4144" s="16" t="n">
        <v>46151</v>
      </c>
      <c r="B4144" s="23" t="n">
        <f aca="false">YEAR(A4144)</f>
        <v>2026</v>
      </c>
      <c r="C4144" s="17" t="n">
        <v>80645.62</v>
      </c>
      <c r="D4144" s="23" t="n">
        <f aca="false">A4144-A4143</f>
        <v>1</v>
      </c>
      <c r="E4144" s="24" t="n">
        <f aca="false">LN(C4144)</f>
        <v>11.2978197733371</v>
      </c>
      <c r="F4144" s="25" t="n">
        <f aca="false">LN(C4144/C4143)</f>
        <v>0.00616124662136312</v>
      </c>
      <c r="G4144" s="25" t="n">
        <f aca="false">IF(AND(D4144=1,A4144&gt;=$R$2),F4144,"")</f>
        <v>0.00616124662136312</v>
      </c>
      <c r="H4144" s="27" t="n">
        <f aca="false">IF(G4144="","",G4144^2)</f>
        <v>3.79609599292585E-005</v>
      </c>
      <c r="I4144" s="25" t="n">
        <f aca="false">IF(G4144="","",C4144/C4143-1)</f>
        <v>0.00618026614258427</v>
      </c>
      <c r="J4144" s="17" t="n">
        <f aca="false">AVERAGE(C3945:C4144)</f>
        <v>82804.20455</v>
      </c>
      <c r="K4144" s="17" t="n">
        <f aca="false">MAX(K4143,C4144)</f>
        <v>124720.09</v>
      </c>
      <c r="L4144" s="25" t="n">
        <f aca="false">C4144/K4144-1</f>
        <v>-0.353387092648827</v>
      </c>
      <c r="M4144" s="25" t="n">
        <f aca="false">IF(COUNT(G4115:G4144)&lt;20,"",_xlfn.STDEV.S(G4115:G4144)*SQRT($R$3))</f>
        <v>0.319998058758052</v>
      </c>
      <c r="N4144" s="25" t="n">
        <f aca="false">IF(A4144-7&lt;$R$2,"",C4144/INDEX(Clean_Data!$C$2:$C$4314,MATCH(A4144-7,Clean_Data!$A$2:$A$4314,1))-1)</f>
        <v>0.0246561021616654</v>
      </c>
      <c r="O4144" s="25" t="n">
        <f aca="false">IF(A4144-30&lt;$R$2,"",C4144/INDEX(Clean_Data!$C$2:$C$4314,MATCH(A4144-30,Clean_Data!$A$2:$A$4314,1))-1)</f>
        <v>0.123217917642833</v>
      </c>
    </row>
    <row r="4145" customFormat="false" ht="15" hidden="false" customHeight="false" outlineLevel="0" collapsed="false">
      <c r="A4145" s="16" t="n">
        <v>46152</v>
      </c>
      <c r="B4145" s="23" t="n">
        <f aca="false">YEAR(A4145)</f>
        <v>2026</v>
      </c>
      <c r="C4145" s="17" t="n">
        <v>82103.78</v>
      </c>
      <c r="D4145" s="23" t="n">
        <f aca="false">A4145-A4144</f>
        <v>1</v>
      </c>
      <c r="E4145" s="24" t="n">
        <f aca="false">LN(C4145)</f>
        <v>11.3157393357936</v>
      </c>
      <c r="F4145" s="25" t="n">
        <f aca="false">LN(C4145/C4144)</f>
        <v>0.0179195624564511</v>
      </c>
      <c r="G4145" s="25" t="n">
        <f aca="false">IF(AND(D4145=1,A4145&gt;=$R$2),F4145,"")</f>
        <v>0.0179195624564511</v>
      </c>
      <c r="H4145" s="27" t="n">
        <f aca="false">IF(G4145="","",G4145^2)</f>
        <v>0.000321110718630651</v>
      </c>
      <c r="I4145" s="25" t="n">
        <f aca="false">IF(G4145="","",C4145/C4144-1)</f>
        <v>0.0180810811548104</v>
      </c>
      <c r="J4145" s="17" t="n">
        <f aca="false">AVERAGE(C3946:C4145)</f>
        <v>82664.1433</v>
      </c>
      <c r="K4145" s="17" t="n">
        <f aca="false">MAX(K4144,C4145)</f>
        <v>124720.09</v>
      </c>
      <c r="L4145" s="25" t="n">
        <f aca="false">C4145/K4145-1</f>
        <v>-0.341695632195262</v>
      </c>
      <c r="M4145" s="25" t="n">
        <f aca="false">IF(COUNT(G4116:G4145)&lt;20,"",_xlfn.STDEV.S(G4116:G4145)*SQRT($R$3))</f>
        <v>0.32130584447674</v>
      </c>
      <c r="N4145" s="25" t="n">
        <f aca="false">IF(A4145-7&lt;$R$2,"",C4145/INDEX(Clean_Data!$C$2:$C$4314,MATCH(A4145-7,Clean_Data!$A$2:$A$4314,1))-1)</f>
        <v>0.0459571921278847</v>
      </c>
      <c r="O4145" s="25" t="n">
        <f aca="false">IF(A4145-30&lt;$R$2,"",C4145/INDEX(Clean_Data!$C$2:$C$4314,MATCH(A4145-30,Clean_Data!$A$2:$A$4314,1))-1)</f>
        <v>0.126170868878323</v>
      </c>
    </row>
    <row r="4146" customFormat="false" ht="15" hidden="false" customHeight="false" outlineLevel="0" collapsed="false">
      <c r="A4146" s="16" t="n">
        <v>46153</v>
      </c>
      <c r="B4146" s="23" t="n">
        <f aca="false">YEAR(A4146)</f>
        <v>2026</v>
      </c>
      <c r="C4146" s="17" t="n">
        <v>81734.25</v>
      </c>
      <c r="D4146" s="23" t="n">
        <f aca="false">A4146-A4145</f>
        <v>1</v>
      </c>
      <c r="E4146" s="24" t="n">
        <f aca="false">LN(C4146)</f>
        <v>11.3112284096476</v>
      </c>
      <c r="F4146" s="25" t="n">
        <f aca="false">LN(C4146/C4145)</f>
        <v>-0.00451092614594419</v>
      </c>
      <c r="G4146" s="25" t="n">
        <f aca="false">IF(AND(D4146=1,A4146&gt;=$R$2),F4146,"")</f>
        <v>-0.00451092614594419</v>
      </c>
      <c r="H4146" s="27" t="n">
        <f aca="false">IF(G4146="","",G4146^2)</f>
        <v>2.03484546941629E-005</v>
      </c>
      <c r="I4146" s="25" t="n">
        <f aca="false">IF(G4146="","",C4146/C4145-1)</f>
        <v>-0.00450076719975623</v>
      </c>
      <c r="J4146" s="17" t="n">
        <f aca="false">AVERAGE(C3947:C4146)</f>
        <v>82517.6039</v>
      </c>
      <c r="K4146" s="17" t="n">
        <f aca="false">MAX(K4145,C4146)</f>
        <v>124720.09</v>
      </c>
      <c r="L4146" s="25" t="n">
        <f aca="false">C4146/K4146-1</f>
        <v>-0.344658506901334</v>
      </c>
      <c r="M4146" s="25" t="n">
        <f aca="false">IF(COUNT(G4117:G4146)&lt;20,"",_xlfn.STDEV.S(G4117:G4146)*SQRT($R$3))</f>
        <v>0.322545618972449</v>
      </c>
      <c r="N4146" s="25" t="n">
        <f aca="false">IF(A4146-7&lt;$R$2,"",C4146/INDEX(Clean_Data!$C$2:$C$4314,MATCH(A4146-7,Clean_Data!$A$2:$A$4314,1))-1)</f>
        <v>0.0226216212733272</v>
      </c>
      <c r="O4146" s="25" t="n">
        <f aca="false">IF(A4146-30&lt;$R$2,"",C4146/INDEX(Clean_Data!$C$2:$C$4314,MATCH(A4146-30,Clean_Data!$A$2:$A$4314,1))-1)</f>
        <v>0.119678089766581</v>
      </c>
    </row>
    <row r="4147" customFormat="false" ht="15" hidden="false" customHeight="false" outlineLevel="0" collapsed="false">
      <c r="A4147" s="16" t="n">
        <v>46154</v>
      </c>
      <c r="B4147" s="23" t="n">
        <f aca="false">YEAR(A4147)</f>
        <v>2026</v>
      </c>
      <c r="C4147" s="17" t="n">
        <v>80414.77</v>
      </c>
      <c r="D4147" s="23" t="n">
        <f aca="false">A4147-A4146</f>
        <v>1</v>
      </c>
      <c r="E4147" s="24" t="n">
        <f aca="false">LN(C4147)</f>
        <v>11.2949531447628</v>
      </c>
      <c r="F4147" s="25" t="n">
        <f aca="false">LN(C4147/C4146)</f>
        <v>-0.0162752648848605</v>
      </c>
      <c r="G4147" s="25" t="n">
        <f aca="false">IF(AND(D4147=1,A4147&gt;=$R$2),F4147,"")</f>
        <v>-0.0162752648848605</v>
      </c>
      <c r="H4147" s="27" t="n">
        <f aca="false">IF(G4147="","",G4147^2)</f>
        <v>0.000264884247072373</v>
      </c>
      <c r="I4147" s="25" t="n">
        <f aca="false">IF(G4147="","",C4147/C4146-1)</f>
        <v>-0.0161435383575428</v>
      </c>
      <c r="J4147" s="17" t="n">
        <f aca="false">AVERAGE(C3948:C4147)</f>
        <v>82361.3467</v>
      </c>
      <c r="K4147" s="17" t="n">
        <f aca="false">MAX(K4146,C4147)</f>
        <v>124720.09</v>
      </c>
      <c r="L4147" s="25" t="n">
        <f aca="false">C4147/K4147-1</f>
        <v>-0.355238037432462</v>
      </c>
      <c r="M4147" s="25" t="n">
        <f aca="false">IF(COUNT(G4118:G4147)&lt;20,"",_xlfn.STDEV.S(G4118:G4147)*SQRT($R$3))</f>
        <v>0.303963970857064</v>
      </c>
      <c r="N4147" s="25" t="n">
        <f aca="false">IF(A4147-7&lt;$R$2,"",C4147/INDEX(Clean_Data!$C$2:$C$4314,MATCH(A4147-7,Clean_Data!$A$2:$A$4314,1))-1)</f>
        <v>-0.00757130907167436</v>
      </c>
      <c r="O4147" s="25" t="n">
        <f aca="false">IF(A4147-30&lt;$R$2,"",C4147/INDEX(Clean_Data!$C$2:$C$4314,MATCH(A4147-30,Clean_Data!$A$2:$A$4314,1))-1)</f>
        <v>0.13803192866926</v>
      </c>
    </row>
    <row r="4148" customFormat="false" ht="15" hidden="false" customHeight="false" outlineLevel="0" collapsed="false">
      <c r="A4148" s="16" t="n">
        <v>46155</v>
      </c>
      <c r="B4148" s="23" t="n">
        <f aca="false">YEAR(A4148)</f>
        <v>2026</v>
      </c>
      <c r="C4148" s="17" t="n">
        <v>79371.63</v>
      </c>
      <c r="D4148" s="23" t="n">
        <f aca="false">A4148-A4147</f>
        <v>1</v>
      </c>
      <c r="E4148" s="24" t="n">
        <f aca="false">LN(C4148)</f>
        <v>11.2818962786008</v>
      </c>
      <c r="F4148" s="25" t="n">
        <f aca="false">LN(C4148/C4147)</f>
        <v>-0.0130568661619841</v>
      </c>
      <c r="G4148" s="25" t="n">
        <f aca="false">IF(AND(D4148=1,A4148&gt;=$R$2),F4148,"")</f>
        <v>-0.0130568661619841</v>
      </c>
      <c r="H4148" s="27" t="n">
        <f aca="false">IF(G4148="","",G4148^2)</f>
        <v>0.000170481753971965</v>
      </c>
      <c r="I4148" s="25" t="n">
        <f aca="false">IF(G4148="","",C4148/C4147-1)</f>
        <v>-0.0129719950700599</v>
      </c>
      <c r="J4148" s="17" t="n">
        <f aca="false">AVERAGE(C3949:C4148)</f>
        <v>82185.4644</v>
      </c>
      <c r="K4148" s="17" t="n">
        <f aca="false">MAX(K4147,C4148)</f>
        <v>124720.09</v>
      </c>
      <c r="L4148" s="25" t="n">
        <f aca="false">C4148/K4148-1</f>
        <v>-0.36360188643225</v>
      </c>
      <c r="M4148" s="25" t="n">
        <f aca="false">IF(COUNT(G4119:G4148)&lt;20,"",_xlfn.STDEV.S(G4119:G4148)*SQRT($R$3))</f>
        <v>0.254085639880699</v>
      </c>
      <c r="N4148" s="25" t="n">
        <f aca="false">IF(A4148-7&lt;$R$2,"",C4148/INDEX(Clean_Data!$C$2:$C$4314,MATCH(A4148-7,Clean_Data!$A$2:$A$4314,1))-1)</f>
        <v>-0.0258341944199622</v>
      </c>
      <c r="O4148" s="25" t="n">
        <f aca="false">IF(A4148-30&lt;$R$2,"",C4148/INDEX(Clean_Data!$C$2:$C$4314,MATCH(A4148-30,Clean_Data!$A$2:$A$4314,1))-1)</f>
        <v>0.0653180788966123</v>
      </c>
    </row>
    <row r="4149" customFormat="false" ht="15" hidden="false" customHeight="false" outlineLevel="0" collapsed="false">
      <c r="A4149" s="16" t="n">
        <v>46156</v>
      </c>
      <c r="B4149" s="23" t="n">
        <f aca="false">YEAR(A4149)</f>
        <v>2026</v>
      </c>
      <c r="C4149" s="17" t="n">
        <v>79142.38</v>
      </c>
      <c r="D4149" s="23" t="n">
        <f aca="false">A4149-A4148</f>
        <v>1</v>
      </c>
      <c r="E4149" s="24" t="n">
        <f aca="false">LN(C4149)</f>
        <v>11.2790037877751</v>
      </c>
      <c r="F4149" s="25" t="n">
        <f aca="false">LN(C4149/C4148)</f>
        <v>-0.00289249082570108</v>
      </c>
      <c r="G4149" s="25" t="n">
        <f aca="false">IF(AND(D4149=1,A4149&gt;=$R$2),F4149,"")</f>
        <v>-0.00289249082570108</v>
      </c>
      <c r="H4149" s="27" t="n">
        <f aca="false">IF(G4149="","",G4149^2)</f>
        <v>8.36650317676491E-006</v>
      </c>
      <c r="I4149" s="25" t="n">
        <f aca="false">IF(G4149="","",C4149/C4148-1)</f>
        <v>-0.00288831160453673</v>
      </c>
      <c r="J4149" s="17" t="n">
        <f aca="false">AVERAGE(C3950:C4149)</f>
        <v>82010.741</v>
      </c>
      <c r="K4149" s="17" t="n">
        <f aca="false">MAX(K4148,C4149)</f>
        <v>124720.09</v>
      </c>
      <c r="L4149" s="25" t="n">
        <f aca="false">C4149/K4149-1</f>
        <v>-0.365440002488773</v>
      </c>
      <c r="M4149" s="25" t="n">
        <f aca="false">IF(COUNT(G4120:G4149)&lt;20,"",_xlfn.STDEV.S(G4120:G4149)*SQRT($R$3))</f>
        <v>0.254363012232556</v>
      </c>
      <c r="N4149" s="25" t="n">
        <f aca="false">IF(A4149-7&lt;$R$2,"",C4149/INDEX(Clean_Data!$C$2:$C$4314,MATCH(A4149-7,Clean_Data!$A$2:$A$4314,1))-1)</f>
        <v>-0.0113035808872765</v>
      </c>
      <c r="O4149" s="25" t="n">
        <f aca="false">IF(A4149-30&lt;$R$2,"",C4149/INDEX(Clean_Data!$C$2:$C$4314,MATCH(A4149-30,Clean_Data!$A$2:$A$4314,1))-1)</f>
        <v>0.063941727752302</v>
      </c>
    </row>
    <row r="4150" customFormat="false" ht="15" hidden="false" customHeight="false" outlineLevel="0" collapsed="false">
      <c r="A4150" s="16" t="n">
        <v>46157</v>
      </c>
      <c r="B4150" s="23" t="n">
        <f aca="false">YEAR(A4150)</f>
        <v>2026</v>
      </c>
      <c r="C4150" s="17" t="n">
        <v>79026</v>
      </c>
      <c r="D4150" s="23" t="n">
        <f aca="false">A4150-A4149</f>
        <v>1</v>
      </c>
      <c r="E4150" s="24" t="n">
        <f aca="false">LN(C4150)</f>
        <v>11.2775321912271</v>
      </c>
      <c r="F4150" s="25" t="n">
        <f aca="false">LN(C4150/C4149)</f>
        <v>-0.00147159654796585</v>
      </c>
      <c r="G4150" s="25" t="n">
        <f aca="false">IF(AND(D4150=1,A4150&gt;=$R$2),F4150,"")</f>
        <v>-0.00147159654796585</v>
      </c>
      <c r="H4150" s="27" t="n">
        <f aca="false">IF(G4150="","",G4150^2)</f>
        <v>2.16559639998501E-006</v>
      </c>
      <c r="I4150" s="25" t="n">
        <f aca="false">IF(G4150="","",C4150/C4149-1)</f>
        <v>-0.00147051428071787</v>
      </c>
      <c r="J4150" s="17" t="n">
        <f aca="false">AVERAGE(C3951:C4150)</f>
        <v>81841.33725</v>
      </c>
      <c r="K4150" s="17" t="n">
        <f aca="false">MAX(K4149,C4150)</f>
        <v>124720.09</v>
      </c>
      <c r="L4150" s="25" t="n">
        <f aca="false">C4150/K4150-1</f>
        <v>-0.366373132027086</v>
      </c>
      <c r="M4150" s="25" t="n">
        <f aca="false">IF(COUNT(G4121:G4150)&lt;20,"",_xlfn.STDEV.S(G4121:G4150)*SQRT($R$3))</f>
        <v>0.254490432930217</v>
      </c>
      <c r="N4150" s="25" t="n">
        <f aca="false">IF(A4150-7&lt;$R$2,"",C4150/INDEX(Clean_Data!$C$2:$C$4314,MATCH(A4150-7,Clean_Data!$A$2:$A$4314,1))-1)</f>
        <v>-0.0140270269831905</v>
      </c>
      <c r="O4150" s="25" t="n">
        <f aca="false">IF(A4150-30&lt;$R$2,"",C4150/INDEX(Clean_Data!$C$2:$C$4314,MATCH(A4150-30,Clean_Data!$A$2:$A$4314,1))-1)</f>
        <v>0.0575574285560578</v>
      </c>
    </row>
    <row r="4151" customFormat="false" ht="15" hidden="false" customHeight="false" outlineLevel="0" collapsed="false">
      <c r="A4151" s="16" t="n">
        <v>46158</v>
      </c>
      <c r="B4151" s="23" t="n">
        <f aca="false">YEAR(A4151)</f>
        <v>2026</v>
      </c>
      <c r="C4151" s="17" t="n">
        <v>78183.58</v>
      </c>
      <c r="D4151" s="23" t="n">
        <f aca="false">A4151-A4150</f>
        <v>1</v>
      </c>
      <c r="E4151" s="24" t="n">
        <f aca="false">LN(C4151)</f>
        <v>11.2668149300611</v>
      </c>
      <c r="F4151" s="25" t="n">
        <f aca="false">LN(C4151/C4150)</f>
        <v>-0.0107172611659673</v>
      </c>
      <c r="G4151" s="25" t="n">
        <f aca="false">IF(AND(D4151=1,A4151&gt;=$R$2),F4151,"")</f>
        <v>-0.0107172611659673</v>
      </c>
      <c r="H4151" s="27" t="n">
        <f aca="false">IF(G4151="","",G4151^2)</f>
        <v>0.000114859686899551</v>
      </c>
      <c r="I4151" s="25" t="n">
        <f aca="false">IF(G4151="","",C4151/C4150-1)</f>
        <v>-0.0106600359375395</v>
      </c>
      <c r="J4151" s="17" t="n">
        <f aca="false">AVERAGE(C3952:C4151)</f>
        <v>81682.0945</v>
      </c>
      <c r="K4151" s="17" t="n">
        <f aca="false">MAX(K4150,C4151)</f>
        <v>124720.09</v>
      </c>
      <c r="L4151" s="25" t="n">
        <f aca="false">C4151/K4151-1</f>
        <v>-0.373127617210667</v>
      </c>
      <c r="M4151" s="25" t="n">
        <f aca="false">IF(COUNT(G4122:G4151)&lt;20,"",_xlfn.STDEV.S(G4122:G4151)*SQRT($R$3))</f>
        <v>0.257872995985738</v>
      </c>
      <c r="N4151" s="25" t="n">
        <f aca="false">IF(A4151-7&lt;$R$2,"",C4151/INDEX(Clean_Data!$C$2:$C$4314,MATCH(A4151-7,Clean_Data!$A$2:$A$4314,1))-1)</f>
        <v>-0.030529122350352</v>
      </c>
      <c r="O4151" s="25" t="n">
        <f aca="false">IF(A4151-30&lt;$R$2,"",C4151/INDEX(Clean_Data!$C$2:$C$4314,MATCH(A4151-30,Clean_Data!$A$2:$A$4314,1))-1)</f>
        <v>0.040717090193481</v>
      </c>
    </row>
    <row r="4152" customFormat="false" ht="15" hidden="false" customHeight="false" outlineLevel="0" collapsed="false">
      <c r="A4152" s="16" t="n">
        <v>46159</v>
      </c>
      <c r="B4152" s="23" t="n">
        <f aca="false">YEAR(A4152)</f>
        <v>2026</v>
      </c>
      <c r="C4152" s="17" t="n">
        <v>77269.08</v>
      </c>
      <c r="D4152" s="23" t="n">
        <f aca="false">A4152-A4151</f>
        <v>1</v>
      </c>
      <c r="E4152" s="24" t="n">
        <f aca="false">LN(C4152)</f>
        <v>11.2550491545542</v>
      </c>
      <c r="F4152" s="25" t="n">
        <f aca="false">LN(C4152/C4151)</f>
        <v>-0.0117657755069606</v>
      </c>
      <c r="G4152" s="25" t="n">
        <f aca="false">IF(AND(D4152=1,A4152&gt;=$R$2),F4152,"")</f>
        <v>-0.0117657755069606</v>
      </c>
      <c r="H4152" s="27" t="n">
        <f aca="false">IF(G4152="","",G4152^2)</f>
        <v>0.000138433473280194</v>
      </c>
      <c r="I4152" s="25" t="n">
        <f aca="false">IF(G4152="","",C4152/C4151-1)</f>
        <v>-0.0116968294365646</v>
      </c>
      <c r="J4152" s="17" t="n">
        <f aca="false">AVERAGE(C3953:C4152)</f>
        <v>81526.899</v>
      </c>
      <c r="K4152" s="17" t="n">
        <f aca="false">MAX(K4151,C4152)</f>
        <v>124720.09</v>
      </c>
      <c r="L4152" s="25" t="n">
        <f aca="false">C4152/K4152-1</f>
        <v>-0.380460036550647</v>
      </c>
      <c r="M4152" s="25" t="n">
        <f aca="false">IF(COUNT(G4123:G4152)&lt;20,"",_xlfn.STDEV.S(G4123:G4152)*SQRT($R$3))</f>
        <v>0.260599261552131</v>
      </c>
      <c r="N4152" s="25" t="n">
        <f aca="false">IF(A4152-7&lt;$R$2,"",C4152/INDEX(Clean_Data!$C$2:$C$4314,MATCH(A4152-7,Clean_Data!$A$2:$A$4314,1))-1)</f>
        <v>-0.0588852303755076</v>
      </c>
      <c r="O4152" s="25" t="n">
        <f aca="false">IF(A4152-30&lt;$R$2,"",C4152/INDEX(Clean_Data!$C$2:$C$4314,MATCH(A4152-30,Clean_Data!$A$2:$A$4314,1))-1)</f>
        <v>0.0202313749111727</v>
      </c>
    </row>
    <row r="4153" customFormat="false" ht="15" hidden="false" customHeight="false" outlineLevel="0" collapsed="false">
      <c r="A4153" s="16" t="n">
        <v>46160</v>
      </c>
      <c r="B4153" s="23" t="n">
        <f aca="false">YEAR(A4153)</f>
        <v>2026</v>
      </c>
      <c r="C4153" s="17" t="n">
        <v>76952.14</v>
      </c>
      <c r="D4153" s="23" t="n">
        <f aca="false">A4153-A4152</f>
        <v>1</v>
      </c>
      <c r="E4153" s="24" t="n">
        <f aca="false">LN(C4153)</f>
        <v>11.2509389491467</v>
      </c>
      <c r="F4153" s="25" t="n">
        <f aca="false">LN(C4153/C4152)</f>
        <v>-0.00411020540743992</v>
      </c>
      <c r="G4153" s="25" t="n">
        <f aca="false">IF(AND(D4153=1,A4153&gt;=$R$2),F4153,"")</f>
        <v>-0.00411020540743992</v>
      </c>
      <c r="H4153" s="27" t="n">
        <f aca="false">IF(G4153="","",G4153^2)</f>
        <v>1.68937884913484E-005</v>
      </c>
      <c r="I4153" s="25" t="n">
        <f aca="false">IF(G4153="","",C4153/C4152-1)</f>
        <v>-0.00410177007413581</v>
      </c>
      <c r="J4153" s="17" t="n">
        <f aca="false">AVERAGE(C3954:C4153)</f>
        <v>81363.88335</v>
      </c>
      <c r="K4153" s="17" t="n">
        <f aca="false">MAX(K4152,C4153)</f>
        <v>124720.09</v>
      </c>
      <c r="L4153" s="25" t="n">
        <f aca="false">C4153/K4153-1</f>
        <v>-0.383001247032455</v>
      </c>
      <c r="M4153" s="25" t="n">
        <f aca="false">IF(COUNT(G4124:G4153)&lt;20,"",_xlfn.STDEV.S(G4124:G4153)*SQRT($R$3))</f>
        <v>0.243570297572636</v>
      </c>
      <c r="N4153" s="25" t="n">
        <f aca="false">IF(A4153-7&lt;$R$2,"",C4153/INDEX(Clean_Data!$C$2:$C$4314,MATCH(A4153-7,Clean_Data!$A$2:$A$4314,1))-1)</f>
        <v>-0.0585080305991674</v>
      </c>
      <c r="O4153" s="25" t="n">
        <f aca="false">IF(A4153-30&lt;$R$2,"",C4153/INDEX(Clean_Data!$C$2:$C$4314,MATCH(A4153-30,Clean_Data!$A$2:$A$4314,1))-1)</f>
        <v>0.0423850841348661</v>
      </c>
    </row>
    <row r="4154" customFormat="false" ht="15" hidden="false" customHeight="false" outlineLevel="0" collapsed="false">
      <c r="A4154" s="16" t="n">
        <v>46161</v>
      </c>
      <c r="B4154" s="23" t="n">
        <f aca="false">YEAR(A4154)</f>
        <v>2026</v>
      </c>
      <c r="C4154" s="17" t="n">
        <v>76799.23</v>
      </c>
      <c r="D4154" s="23" t="n">
        <f aca="false">A4154-A4153</f>
        <v>1</v>
      </c>
      <c r="E4154" s="24" t="n">
        <f aca="false">LN(C4154)</f>
        <v>11.2489498930438</v>
      </c>
      <c r="F4154" s="25" t="n">
        <f aca="false">LN(C4154/C4153)</f>
        <v>-0.00198905610289801</v>
      </c>
      <c r="G4154" s="25" t="n">
        <f aca="false">IF(AND(D4154=1,A4154&gt;=$R$2),F4154,"")</f>
        <v>-0.00198905610289801</v>
      </c>
      <c r="H4154" s="27" t="n">
        <f aca="false">IF(G4154="","",G4154^2)</f>
        <v>3.95634418047581E-006</v>
      </c>
      <c r="I4154" s="25" t="n">
        <f aca="false">IF(G4154="","",C4154/C4153-1)</f>
        <v>-0.00198707924172092</v>
      </c>
      <c r="J4154" s="17" t="n">
        <f aca="false">AVERAGE(C3955:C4154)</f>
        <v>81197.61825</v>
      </c>
      <c r="K4154" s="17" t="n">
        <f aca="false">MAX(K4153,C4154)</f>
        <v>124720.09</v>
      </c>
      <c r="L4154" s="25" t="n">
        <f aca="false">C4154/K4154-1</f>
        <v>-0.384227272446644</v>
      </c>
      <c r="M4154" s="25" t="n">
        <f aca="false">IF(COUNT(G4125:G4154)&lt;20,"",_xlfn.STDEV.S(G4125:G4154)*SQRT($R$3))</f>
        <v>0.243461758213017</v>
      </c>
      <c r="N4154" s="25" t="n">
        <f aca="false">IF(A4154-7&lt;$R$2,"",C4154/INDEX(Clean_Data!$C$2:$C$4314,MATCH(A4154-7,Clean_Data!$A$2:$A$4314,1))-1)</f>
        <v>-0.0449611433322511</v>
      </c>
      <c r="O4154" s="25" t="n">
        <f aca="false">IF(A4154-30&lt;$R$2,"",C4154/INDEX(Clean_Data!$C$2:$C$4314,MATCH(A4154-30,Clean_Data!$A$2:$A$4314,1))-1)</f>
        <v>0.0350099674615478</v>
      </c>
    </row>
    <row r="4155" customFormat="false" ht="15" hidden="false" customHeight="false" outlineLevel="0" collapsed="false">
      <c r="A4155" s="16" t="n">
        <v>46162</v>
      </c>
      <c r="B4155" s="23" t="n">
        <f aca="false">YEAR(A4155)</f>
        <v>2026</v>
      </c>
      <c r="C4155" s="17" t="n">
        <v>77494.61</v>
      </c>
      <c r="D4155" s="23" t="n">
        <f aca="false">A4155-A4154</f>
        <v>1</v>
      </c>
      <c r="E4155" s="24" t="n">
        <f aca="false">LN(C4155)</f>
        <v>11.2579636645357</v>
      </c>
      <c r="F4155" s="25" t="n">
        <f aca="false">LN(C4155/C4154)</f>
        <v>0.00901377149190455</v>
      </c>
      <c r="G4155" s="25" t="n">
        <f aca="false">IF(AND(D4155=1,A4155&gt;=$R$2),F4155,"")</f>
        <v>0.00901377149190455</v>
      </c>
      <c r="H4155" s="27" t="n">
        <f aca="false">IF(G4155="","",G4155^2)</f>
        <v>8.12480765082712E-005</v>
      </c>
      <c r="I4155" s="25" t="n">
        <f aca="false">IF(G4155="","",C4155/C4154-1)</f>
        <v>0.00905451786430667</v>
      </c>
      <c r="J4155" s="17" t="n">
        <f aca="false">AVERAGE(C3956:C4155)</f>
        <v>81032.41125</v>
      </c>
      <c r="K4155" s="17" t="n">
        <f aca="false">MAX(K4154,C4155)</f>
        <v>124720.09</v>
      </c>
      <c r="L4155" s="25" t="n">
        <f aca="false">C4155/K4155-1</f>
        <v>-0.37865174728466</v>
      </c>
      <c r="M4155" s="25" t="n">
        <f aca="false">IF(COUNT(G4126:G4155)&lt;20,"",_xlfn.STDEV.S(G4126:G4155)*SQRT($R$3))</f>
        <v>0.233430146626903</v>
      </c>
      <c r="N4155" s="25" t="n">
        <f aca="false">IF(A4155-7&lt;$R$2,"",C4155/INDEX(Clean_Data!$C$2:$C$4314,MATCH(A4155-7,Clean_Data!$A$2:$A$4314,1))-1)</f>
        <v>-0.0236485001000988</v>
      </c>
      <c r="O4155" s="25" t="n">
        <f aca="false">IF(A4155-30&lt;$R$2,"",C4155/INDEX(Clean_Data!$C$2:$C$4314,MATCH(A4155-30,Clean_Data!$A$2:$A$4314,1))-1)</f>
        <v>0.0216196341793635</v>
      </c>
    </row>
    <row r="4156" customFormat="false" ht="15" hidden="false" customHeight="false" outlineLevel="0" collapsed="false">
      <c r="A4156" s="16" t="n">
        <v>46163</v>
      </c>
      <c r="B4156" s="23" t="n">
        <f aca="false">YEAR(A4156)</f>
        <v>2026</v>
      </c>
      <c r="C4156" s="17" t="n">
        <v>77451.06</v>
      </c>
      <c r="D4156" s="23" t="n">
        <f aca="false">A4156-A4155</f>
        <v>1</v>
      </c>
      <c r="E4156" s="24" t="n">
        <f aca="false">LN(C4156)</f>
        <v>11.2574015320006</v>
      </c>
      <c r="F4156" s="25" t="n">
        <f aca="false">LN(C4156/C4155)</f>
        <v>-0.000562132535188493</v>
      </c>
      <c r="G4156" s="25" t="n">
        <f aca="false">IF(AND(D4156=1,A4156&gt;=$R$2),F4156,"")</f>
        <v>-0.000562132535188493</v>
      </c>
      <c r="H4156" s="27" t="n">
        <f aca="false">IF(G4156="","",G4156^2)</f>
        <v>3.15992987117443E-007</v>
      </c>
      <c r="I4156" s="25" t="n">
        <f aca="false">IF(G4156="","",C4156/C4155-1)</f>
        <v>-0.000561974568295764</v>
      </c>
      <c r="J4156" s="17" t="n">
        <f aca="false">AVERAGE(C3957:C4156)</f>
        <v>80886.87665</v>
      </c>
      <c r="K4156" s="17" t="n">
        <f aca="false">MAX(K4155,C4156)</f>
        <v>124720.09</v>
      </c>
      <c r="L4156" s="25" t="n">
        <f aca="false">C4156/K4156-1</f>
        <v>-0.379000929200741</v>
      </c>
      <c r="M4156" s="25" t="n">
        <f aca="false">IF(COUNT(G4127:G4156)&lt;20,"",_xlfn.STDEV.S(G4127:G4156)*SQRT($R$3))</f>
        <v>0.232128397006335</v>
      </c>
      <c r="N4156" s="25" t="n">
        <f aca="false">IF(A4156-7&lt;$R$2,"",C4156/INDEX(Clean_Data!$C$2:$C$4314,MATCH(A4156-7,Clean_Data!$A$2:$A$4314,1))-1)</f>
        <v>-0.0213705981548699</v>
      </c>
      <c r="O4156" s="25" t="n">
        <f aca="false">IF(A4156-30&lt;$R$2,"",C4156/INDEX(Clean_Data!$C$2:$C$4314,MATCH(A4156-30,Clean_Data!$A$2:$A$4314,1))-1)</f>
        <v>0.0133061168312225</v>
      </c>
    </row>
    <row r="4157" customFormat="false" ht="15" hidden="false" customHeight="false" outlineLevel="0" collapsed="false">
      <c r="A4157" s="16" t="n">
        <v>46164</v>
      </c>
      <c r="B4157" s="23" t="n">
        <f aca="false">YEAR(A4157)</f>
        <v>2026</v>
      </c>
      <c r="C4157" s="17" t="n">
        <v>75478.44</v>
      </c>
      <c r="D4157" s="23" t="n">
        <f aca="false">A4157-A4156</f>
        <v>1</v>
      </c>
      <c r="E4157" s="24" t="n">
        <f aca="false">LN(C4157)</f>
        <v>11.2316023315424</v>
      </c>
      <c r="F4157" s="25" t="n">
        <f aca="false">LN(C4157/C4156)</f>
        <v>-0.0257992004581958</v>
      </c>
      <c r="G4157" s="25" t="n">
        <f aca="false">IF(AND(D4157=1,A4157&gt;=$R$2),F4157,"")</f>
        <v>-0.0257992004581958</v>
      </c>
      <c r="H4157" s="27" t="n">
        <f aca="false">IF(G4157="","",G4157^2)</f>
        <v>0.000665598744282168</v>
      </c>
      <c r="I4157" s="25" t="n">
        <f aca="false">IF(G4157="","",C4157/C4156-1)</f>
        <v>-0.0254692447075611</v>
      </c>
      <c r="J4157" s="17" t="n">
        <f aca="false">AVERAGE(C3958:C4157)</f>
        <v>80756.9281</v>
      </c>
      <c r="K4157" s="17" t="n">
        <f aca="false">MAX(K4156,C4157)</f>
        <v>124720.09</v>
      </c>
      <c r="L4157" s="25" t="n">
        <f aca="false">C4157/K4157-1</f>
        <v>-0.394817306498095</v>
      </c>
      <c r="M4157" s="25" t="n">
        <f aca="false">IF(COUNT(G4128:G4157)&lt;20,"",_xlfn.STDEV.S(G4128:G4157)*SQRT($R$3))</f>
        <v>0.231237956849845</v>
      </c>
      <c r="N4157" s="25" t="n">
        <f aca="false">IF(A4157-7&lt;$R$2,"",C4157/INDEX(Clean_Data!$C$2:$C$4314,MATCH(A4157-7,Clean_Data!$A$2:$A$4314,1))-1)</f>
        <v>-0.0448910485156784</v>
      </c>
      <c r="O4157" s="25" t="n">
        <f aca="false">IF(A4157-30&lt;$R$2,"",C4157/INDEX(Clean_Data!$C$2:$C$4314,MATCH(A4157-30,Clean_Data!$A$2:$A$4314,1))-1)</f>
        <v>-0.0374656513003153</v>
      </c>
    </row>
    <row r="4158" customFormat="false" ht="15" hidden="false" customHeight="false" outlineLevel="0" collapsed="false">
      <c r="A4158" s="16" t="n">
        <v>46165</v>
      </c>
      <c r="B4158" s="23" t="n">
        <f aca="false">YEAR(A4158)</f>
        <v>2026</v>
      </c>
      <c r="C4158" s="17" t="n">
        <v>76627.99</v>
      </c>
      <c r="D4158" s="23" t="n">
        <f aca="false">A4158-A4157</f>
        <v>1</v>
      </c>
      <c r="E4158" s="24" t="n">
        <f aca="false">LN(C4158)</f>
        <v>11.2467176936844</v>
      </c>
      <c r="F4158" s="25" t="n">
        <f aca="false">LN(C4158/C4157)</f>
        <v>0.0151153621420268</v>
      </c>
      <c r="G4158" s="25" t="n">
        <f aca="false">IF(AND(D4158=1,A4158&gt;=$R$2),F4158,"")</f>
        <v>0.0151153621420268</v>
      </c>
      <c r="H4158" s="27" t="n">
        <f aca="false">IF(G4158="","",G4158^2)</f>
        <v>0.000228474172684618</v>
      </c>
      <c r="I4158" s="25" t="n">
        <f aca="false">IF(G4158="","",C4158/C4157-1)</f>
        <v>0.0152301769882897</v>
      </c>
      <c r="J4158" s="17" t="n">
        <f aca="false">AVERAGE(C3959:C4158)</f>
        <v>80638.6088</v>
      </c>
      <c r="K4158" s="17" t="n">
        <f aca="false">MAX(K4157,C4158)</f>
        <v>124720.09</v>
      </c>
      <c r="L4158" s="25" t="n">
        <f aca="false">C4158/K4158-1</f>
        <v>-0.385600266965811</v>
      </c>
      <c r="M4158" s="25" t="n">
        <f aca="false">IF(COUNT(G4129:G4158)&lt;20,"",_xlfn.STDEV.S(G4129:G4158)*SQRT($R$3))</f>
        <v>0.238180020678708</v>
      </c>
      <c r="N4158" s="25" t="n">
        <f aca="false">IF(A4158-7&lt;$R$2,"",C4158/INDEX(Clean_Data!$C$2:$C$4314,MATCH(A4158-7,Clean_Data!$A$2:$A$4314,1))-1)</f>
        <v>-0.019896633027037</v>
      </c>
      <c r="O4158" s="25" t="n">
        <f aca="false">IF(A4158-30&lt;$R$2,"",C4158/INDEX(Clean_Data!$C$2:$C$4314,MATCH(A4158-30,Clean_Data!$A$2:$A$4314,1))-1)</f>
        <v>-0.0211174882720717</v>
      </c>
    </row>
    <row r="4159" customFormat="false" ht="15" hidden="false" customHeight="false" outlineLevel="0" collapsed="false">
      <c r="A4159" s="16" t="n">
        <v>46166</v>
      </c>
      <c r="B4159" s="23" t="n">
        <f aca="false">YEAR(A4159)</f>
        <v>2026</v>
      </c>
      <c r="C4159" s="17" t="n">
        <v>77078.18</v>
      </c>
      <c r="D4159" s="23" t="n">
        <f aca="false">A4159-A4158</f>
        <v>1</v>
      </c>
      <c r="E4159" s="24" t="n">
        <f aca="false">LN(C4159)</f>
        <v>11.2525755104177</v>
      </c>
      <c r="F4159" s="25" t="n">
        <f aca="false">LN(C4159/C4158)</f>
        <v>0.00585781673329292</v>
      </c>
      <c r="G4159" s="25" t="n">
        <f aca="false">IF(AND(D4159=1,A4159&gt;=$R$2),F4159,"")</f>
        <v>0.00585781673329292</v>
      </c>
      <c r="H4159" s="27" t="n">
        <f aca="false">IF(G4159="","",G4159^2)</f>
        <v>3.43140168808465E-005</v>
      </c>
      <c r="I4159" s="25" t="n">
        <f aca="false">IF(G4159="","",C4159/C4158-1)</f>
        <v>0.00587500729172175</v>
      </c>
      <c r="J4159" s="17" t="n">
        <f aca="false">AVERAGE(C3960:C4159)</f>
        <v>80506.6397</v>
      </c>
      <c r="K4159" s="17" t="n">
        <f aca="false">MAX(K4158,C4159)</f>
        <v>124720.09</v>
      </c>
      <c r="L4159" s="25" t="n">
        <f aca="false">C4159/K4159-1</f>
        <v>-0.381990664054203</v>
      </c>
      <c r="M4159" s="25" t="n">
        <f aca="false">IF(COUNT(G4130:G4159)&lt;20,"",_xlfn.STDEV.S(G4130:G4159)*SQRT($R$3))</f>
        <v>0.236732659576975</v>
      </c>
      <c r="N4159" s="25" t="n">
        <f aca="false">IF(A4159-7&lt;$R$2,"",C4159/INDEX(Clean_Data!$C$2:$C$4314,MATCH(A4159-7,Clean_Data!$A$2:$A$4314,1))-1)</f>
        <v>-0.00247058719995119</v>
      </c>
      <c r="O4159" s="25" t="n">
        <f aca="false">IF(A4159-30&lt;$R$2,"",C4159/INDEX(Clean_Data!$C$2:$C$4314,MATCH(A4159-30,Clean_Data!$A$2:$A$4314,1))-1)</f>
        <v>-0.0053146205556045</v>
      </c>
    </row>
    <row r="4160" customFormat="false" ht="15" hidden="false" customHeight="false" outlineLevel="0" collapsed="false">
      <c r="A4160" s="16" t="n">
        <v>46167</v>
      </c>
      <c r="B4160" s="23" t="n">
        <f aca="false">YEAR(A4160)</f>
        <v>2026</v>
      </c>
      <c r="C4160" s="17" t="n">
        <v>77196.83</v>
      </c>
      <c r="D4160" s="23" t="n">
        <f aca="false">A4160-A4159</f>
        <v>1</v>
      </c>
      <c r="E4160" s="24" t="n">
        <f aca="false">LN(C4160)</f>
        <v>11.2541136729936</v>
      </c>
      <c r="F4160" s="25" t="n">
        <f aca="false">LN(C4160/C4159)</f>
        <v>0.00153816257595157</v>
      </c>
      <c r="G4160" s="25" t="n">
        <f aca="false">IF(AND(D4160=1,A4160&gt;=$R$2),F4160,"")</f>
        <v>0.00153816257595157</v>
      </c>
      <c r="H4160" s="27" t="n">
        <f aca="false">IF(G4160="","",G4160^2)</f>
        <v>2.36594411005797E-006</v>
      </c>
      <c r="I4160" s="25" t="n">
        <f aca="false">IF(G4160="","",C4160/C4159-1)</f>
        <v>0.00153934615477436</v>
      </c>
      <c r="J4160" s="17" t="n">
        <f aca="false">AVERAGE(C3961:C4160)</f>
        <v>80385.3842</v>
      </c>
      <c r="K4160" s="17" t="n">
        <f aca="false">MAX(K4159,C4160)</f>
        <v>124720.09</v>
      </c>
      <c r="L4160" s="25" t="n">
        <f aca="false">C4160/K4160-1</f>
        <v>-0.381039333759301</v>
      </c>
      <c r="M4160" s="25" t="n">
        <f aca="false">IF(COUNT(G4131:G4160)&lt;20,"",_xlfn.STDEV.S(G4131:G4160)*SQRT($R$3))</f>
        <v>0.236676477070114</v>
      </c>
      <c r="N4160" s="25" t="n">
        <f aca="false">IF(A4160-7&lt;$R$2,"",C4160/INDEX(Clean_Data!$C$2:$C$4314,MATCH(A4160-7,Clean_Data!$A$2:$A$4314,1))-1)</f>
        <v>0.00317976861982006</v>
      </c>
      <c r="O4160" s="25" t="n">
        <f aca="false">IF(A4160-30&lt;$R$2,"",C4160/INDEX(Clean_Data!$C$2:$C$4314,MATCH(A4160-30,Clean_Data!$A$2:$A$4314,1))-1)</f>
        <v>-0.00584258879948107</v>
      </c>
    </row>
    <row r="4161" customFormat="false" ht="15" hidden="false" customHeight="false" outlineLevel="0" collapsed="false">
      <c r="A4161" s="16" t="n">
        <v>46168</v>
      </c>
      <c r="B4161" s="23" t="n">
        <f aca="false">YEAR(A4161)</f>
        <v>2026</v>
      </c>
      <c r="C4161" s="17" t="n">
        <v>75834.53</v>
      </c>
      <c r="D4161" s="23" t="n">
        <f aca="false">A4161-A4160</f>
        <v>1</v>
      </c>
      <c r="E4161" s="24" t="n">
        <f aca="false">LN(C4161)</f>
        <v>11.2363090088003</v>
      </c>
      <c r="F4161" s="25" t="n">
        <f aca="false">LN(C4161/C4160)</f>
        <v>-0.0178046641933213</v>
      </c>
      <c r="G4161" s="25" t="n">
        <f aca="false">IF(AND(D4161=1,A4161&gt;=$R$2),F4161,"")</f>
        <v>-0.0178046641933213</v>
      </c>
      <c r="H4161" s="27" t="n">
        <f aca="false">IF(G4161="","",G4161^2)</f>
        <v>0.000317006067036936</v>
      </c>
      <c r="I4161" s="25" t="n">
        <f aca="false">IF(G4161="","",C4161/C4160-1)</f>
        <v>-0.0176470976852289</v>
      </c>
      <c r="J4161" s="17" t="n">
        <f aca="false">AVERAGE(C3962:C4161)</f>
        <v>80250.1461</v>
      </c>
      <c r="K4161" s="17" t="n">
        <f aca="false">MAX(K4160,C4161)</f>
        <v>124720.09</v>
      </c>
      <c r="L4161" s="25" t="n">
        <f aca="false">C4161/K4161-1</f>
        <v>-0.391962193099764</v>
      </c>
      <c r="M4161" s="25" t="n">
        <f aca="false">IF(COUNT(G4132:G4161)&lt;20,"",_xlfn.STDEV.S(G4132:G4161)*SQRT($R$3))</f>
        <v>0.237887141844098</v>
      </c>
      <c r="N4161" s="25" t="n">
        <f aca="false">IF(A4161-7&lt;$R$2,"",C4161/INDEX(Clean_Data!$C$2:$C$4314,MATCH(A4161-7,Clean_Data!$A$2:$A$4314,1))-1)</f>
        <v>-0.012561323857023</v>
      </c>
      <c r="O4161" s="25" t="n">
        <f aca="false">IF(A4161-30&lt;$R$2,"",C4161/INDEX(Clean_Data!$C$2:$C$4314,MATCH(A4161-30,Clean_Data!$A$2:$A$4314,1))-1)</f>
        <v>-0.0378575307288653</v>
      </c>
    </row>
    <row r="4162" customFormat="false" ht="15" hidden="false" customHeight="false" outlineLevel="0" collapsed="false">
      <c r="A4162" s="16" t="n">
        <v>46169</v>
      </c>
      <c r="B4162" s="23" t="n">
        <f aca="false">YEAR(A4162)</f>
        <v>2026</v>
      </c>
      <c r="C4162" s="17" t="n">
        <v>74422.7</v>
      </c>
      <c r="D4162" s="23" t="n">
        <f aca="false">A4162-A4161</f>
        <v>1</v>
      </c>
      <c r="E4162" s="24" t="n">
        <f aca="false">LN(C4162)</f>
        <v>11.2175162818122</v>
      </c>
      <c r="F4162" s="25" t="n">
        <f aca="false">LN(C4162/C4161)</f>
        <v>-0.0187927269880775</v>
      </c>
      <c r="G4162" s="25" t="n">
        <f aca="false">IF(AND(D4162=1,A4162&gt;=$R$2),F4162,"")</f>
        <v>-0.0187927269880775</v>
      </c>
      <c r="H4162" s="27" t="n">
        <f aca="false">IF(G4162="","",G4162^2)</f>
        <v>0.000353166587648415</v>
      </c>
      <c r="I4162" s="25" t="n">
        <f aca="false">IF(G4162="","",C4162/C4161-1)</f>
        <v>-0.0186172446773257</v>
      </c>
      <c r="J4162" s="17" t="n">
        <f aca="false">AVERAGE(C3963:C4162)</f>
        <v>80113.06745</v>
      </c>
      <c r="K4162" s="17" t="n">
        <f aca="false">MAX(K4161,C4162)</f>
        <v>124720.09</v>
      </c>
      <c r="L4162" s="25" t="n">
        <f aca="false">C4162/K4162-1</f>
        <v>-0.403282181723891</v>
      </c>
      <c r="M4162" s="25" t="n">
        <f aca="false">IF(COUNT(G4133:G4162)&lt;20,"",_xlfn.STDEV.S(G4133:G4162)*SQRT($R$3))</f>
        <v>0.237294106954976</v>
      </c>
      <c r="N4162" s="25" t="n">
        <f aca="false">IF(A4162-7&lt;$R$2,"",C4162/INDEX(Clean_Data!$C$2:$C$4314,MATCH(A4162-7,Clean_Data!$A$2:$A$4314,1))-1)</f>
        <v>-0.039640305306395</v>
      </c>
      <c r="O4162" s="25" t="n">
        <f aca="false">IF(A4162-30&lt;$R$2,"",C4162/INDEX(Clean_Data!$C$2:$C$4314,MATCH(A4162-30,Clean_Data!$A$2:$A$4314,1))-1)</f>
        <v>-0.0372532727608834</v>
      </c>
    </row>
    <row r="4163" customFormat="false" ht="15" hidden="false" customHeight="false" outlineLevel="0" collapsed="false">
      <c r="A4163" s="16" t="n">
        <v>46170</v>
      </c>
      <c r="B4163" s="23" t="n">
        <f aca="false">YEAR(A4163)</f>
        <v>2026</v>
      </c>
      <c r="C4163" s="17" t="n">
        <v>74025.1</v>
      </c>
      <c r="D4163" s="23" t="n">
        <f aca="false">A4163-A4162</f>
        <v>1</v>
      </c>
      <c r="E4163" s="24" t="n">
        <f aca="false">LN(C4163)</f>
        <v>11.2121595038638</v>
      </c>
      <c r="F4163" s="25" t="n">
        <f aca="false">LN(C4163/C4162)</f>
        <v>-0.00535677794838124</v>
      </c>
      <c r="G4163" s="25" t="n">
        <f aca="false">IF(AND(D4163=1,A4163&gt;=$R$2),F4163,"")</f>
        <v>-0.00535677794838124</v>
      </c>
      <c r="H4163" s="27" t="n">
        <f aca="false">IF(G4163="","",G4163^2)</f>
        <v>2.86950699882636E-005</v>
      </c>
      <c r="I4163" s="25" t="n">
        <f aca="false">IF(G4163="","",C4163/C4162-1)</f>
        <v>-0.00534245599796823</v>
      </c>
      <c r="J4163" s="17" t="n">
        <f aca="false">AVERAGE(C3964:C4163)</f>
        <v>79950.7105</v>
      </c>
      <c r="K4163" s="17" t="n">
        <f aca="false">MAX(K4162,C4163)</f>
        <v>124720.09</v>
      </c>
      <c r="L4163" s="25" t="n">
        <f aca="false">C4163/K4163-1</f>
        <v>-0.406470120411234</v>
      </c>
      <c r="M4163" s="25" t="n">
        <f aca="false">IF(COUNT(G4134:G4163)&lt;20,"",_xlfn.STDEV.S(G4134:G4163)*SQRT($R$3))</f>
        <v>0.234484908696363</v>
      </c>
      <c r="N4163" s="25" t="n">
        <f aca="false">IF(A4163-7&lt;$R$2,"",C4163/INDEX(Clean_Data!$C$2:$C$4314,MATCH(A4163-7,Clean_Data!$A$2:$A$4314,1))-1)</f>
        <v>-0.0442338684583529</v>
      </c>
      <c r="O4163" s="25" t="n">
        <f aca="false">IF(A4163-30&lt;$R$2,"",C4163/INDEX(Clean_Data!$C$2:$C$4314,MATCH(A4163-30,Clean_Data!$A$2:$A$4314,1))-1)</f>
        <v>-0.0306027907339764</v>
      </c>
    </row>
    <row r="4164" customFormat="false" ht="15" hidden="false" customHeight="false" outlineLevel="0" collapsed="false">
      <c r="A4164" s="16" t="n">
        <v>46171</v>
      </c>
      <c r="B4164" s="23" t="n">
        <f aca="false">YEAR(A4164)</f>
        <v>2026</v>
      </c>
      <c r="C4164" s="17" t="n">
        <v>73897.41</v>
      </c>
      <c r="D4164" s="23" t="n">
        <f aca="false">A4164-A4163</f>
        <v>1</v>
      </c>
      <c r="E4164" s="24" t="n">
        <f aca="false">LN(C4164)</f>
        <v>11.2104330589608</v>
      </c>
      <c r="F4164" s="25" t="n">
        <f aca="false">LN(C4164/C4163)</f>
        <v>-0.00172644490302653</v>
      </c>
      <c r="G4164" s="25" t="n">
        <f aca="false">IF(AND(D4164=1,A4164&gt;=$R$2),F4164,"")</f>
        <v>-0.00172644490302653</v>
      </c>
      <c r="H4164" s="27" t="n">
        <f aca="false">IF(G4164="","",G4164^2)</f>
        <v>2.98061200318627E-006</v>
      </c>
      <c r="I4164" s="25" t="n">
        <f aca="false">IF(G4164="","",C4164/C4163-1)</f>
        <v>-0.00172495545429863</v>
      </c>
      <c r="J4164" s="17" t="n">
        <f aca="false">AVERAGE(C3965:C4164)</f>
        <v>79789.8425</v>
      </c>
      <c r="K4164" s="17" t="n">
        <f aca="false">MAX(K4163,C4164)</f>
        <v>124720.09</v>
      </c>
      <c r="L4164" s="25" t="n">
        <f aca="false">C4164/K4164-1</f>
        <v>-0.40749393301432</v>
      </c>
      <c r="M4164" s="25" t="n">
        <f aca="false">IF(COUNT(G4135:G4164)&lt;20,"",_xlfn.STDEV.S(G4135:G4164)*SQRT($R$3))</f>
        <v>0.233357819557879</v>
      </c>
      <c r="N4164" s="25" t="n">
        <f aca="false">IF(A4164-7&lt;$R$2,"",C4164/INDEX(Clean_Data!$C$2:$C$4314,MATCH(A4164-7,Clean_Data!$A$2:$A$4314,1))-1)</f>
        <v>-0.020946776324471</v>
      </c>
      <c r="O4164" s="25" t="n">
        <f aca="false">IF(A4164-30&lt;$R$2,"",C4164/INDEX(Clean_Data!$C$2:$C$4314,MATCH(A4164-30,Clean_Data!$A$2:$A$4314,1))-1)</f>
        <v>-0.0250281023400144</v>
      </c>
    </row>
    <row r="4165" customFormat="false" ht="15" hidden="false" customHeight="false" outlineLevel="0" collapsed="false">
      <c r="A4165" s="16" t="n">
        <v>46172</v>
      </c>
      <c r="B4165" s="23" t="n">
        <f aca="false">YEAR(A4165)</f>
        <v>2026</v>
      </c>
      <c r="C4165" s="17" t="n">
        <v>73758.31</v>
      </c>
      <c r="D4165" s="23" t="n">
        <f aca="false">A4165-A4164</f>
        <v>1</v>
      </c>
      <c r="E4165" s="24" t="n">
        <f aca="false">LN(C4165)</f>
        <v>11.2085489458205</v>
      </c>
      <c r="F4165" s="25" t="n">
        <f aca="false">LN(C4165/C4164)</f>
        <v>-0.00188411314033835</v>
      </c>
      <c r="G4165" s="25" t="n">
        <f aca="false">IF(AND(D4165=1,A4165&gt;=$R$2),F4165,"")</f>
        <v>-0.00188411314033835</v>
      </c>
      <c r="H4165" s="27" t="n">
        <f aca="false">IF(G4165="","",G4165^2)</f>
        <v>3.54988232559562E-006</v>
      </c>
      <c r="I4165" s="25" t="n">
        <f aca="false">IF(G4165="","",C4165/C4164-1)</f>
        <v>-0.00188233931338067</v>
      </c>
      <c r="J4165" s="17" t="n">
        <f aca="false">AVERAGE(C3966:C4165)</f>
        <v>79644.9594</v>
      </c>
      <c r="K4165" s="17" t="n">
        <f aca="false">MAX(K4164,C4165)</f>
        <v>124720.09</v>
      </c>
      <c r="L4165" s="25" t="n">
        <f aca="false">C4165/K4165-1</f>
        <v>-0.408609230477624</v>
      </c>
      <c r="M4165" s="25" t="n">
        <f aca="false">IF(COUNT(G4136:G4165)&lt;20,"",_xlfn.STDEV.S(G4136:G4165)*SQRT($R$3))</f>
        <v>0.230917592490975</v>
      </c>
      <c r="N4165" s="25" t="n">
        <f aca="false">IF(A4165-7&lt;$R$2,"",C4165/INDEX(Clean_Data!$C$2:$C$4314,MATCH(A4165-7,Clean_Data!$A$2:$A$4314,1))-1)</f>
        <v>-0.0374495011548653</v>
      </c>
      <c r="O4165" s="25" t="n">
        <f aca="false">IF(A4165-30&lt;$R$2,"",C4165/INDEX(Clean_Data!$C$2:$C$4314,MATCH(A4165-30,Clean_Data!$A$2:$A$4314,1))-1)</f>
        <v>-0.0351085423107274</v>
      </c>
    </row>
    <row r="4166" customFormat="false" ht="15" hidden="false" customHeight="false" outlineLevel="0" collapsed="false">
      <c r="A4166" s="16" t="n">
        <v>46173</v>
      </c>
      <c r="B4166" s="23" t="n">
        <f aca="false">YEAR(A4166)</f>
        <v>2026</v>
      </c>
      <c r="C4166" s="17" t="n">
        <v>73688.35</v>
      </c>
      <c r="D4166" s="23" t="n">
        <f aca="false">A4166-A4165</f>
        <v>1</v>
      </c>
      <c r="E4166" s="24" t="n">
        <f aca="false">LN(C4166)</f>
        <v>11.2075999924125</v>
      </c>
      <c r="F4166" s="25" t="n">
        <f aca="false">LN(C4166/C4165)</f>
        <v>-0.000948953407964316</v>
      </c>
      <c r="G4166" s="25" t="n">
        <f aca="false">IF(AND(D4166=1,A4166&gt;=$R$2),F4166,"")</f>
        <v>-0.000948953407964316</v>
      </c>
      <c r="H4166" s="27" t="n">
        <f aca="false">IF(G4166="","",G4166^2)</f>
        <v>9.0051257048709E-007</v>
      </c>
      <c r="I4166" s="25" t="n">
        <f aca="false">IF(G4166="","",C4166/C4165-1)</f>
        <v>-0.000948503294069369</v>
      </c>
      <c r="J4166" s="17" t="n">
        <f aca="false">AVERAGE(C3967:C4166)</f>
        <v>79503.67395</v>
      </c>
      <c r="K4166" s="17" t="n">
        <f aca="false">MAX(K4165,C4166)</f>
        <v>124720.09</v>
      </c>
      <c r="L4166" s="25" t="n">
        <f aca="false">C4166/K4166-1</f>
        <v>-0.409170166570598</v>
      </c>
      <c r="M4166" s="25" t="n">
        <f aca="false">IF(COUNT(G4137:G4166)&lt;20,"",_xlfn.STDEV.S(G4137:G4166)*SQRT($R$3))</f>
        <v>0.212578701608822</v>
      </c>
      <c r="N4166" s="25" t="n">
        <f aca="false">IF(A4166-7&lt;$R$2,"",C4166/INDEX(Clean_Data!$C$2:$C$4314,MATCH(A4166-7,Clean_Data!$A$2:$A$4314,1))-1)</f>
        <v>-0.0439791131549809</v>
      </c>
      <c r="O4166" s="25" t="n">
        <f aca="false">IF(A4166-30&lt;$R$2,"",C4166/INDEX(Clean_Data!$C$2:$C$4314,MATCH(A4166-30,Clean_Data!$A$2:$A$4314,1))-1)</f>
        <v>-0.0587187916585978</v>
      </c>
    </row>
    <row r="4167" customFormat="false" ht="15" hidden="false" customHeight="false" outlineLevel="0" collapsed="false">
      <c r="A4167" s="16" t="n">
        <v>46174</v>
      </c>
      <c r="B4167" s="23" t="n">
        <f aca="false">YEAR(A4167)</f>
        <v>2026</v>
      </c>
      <c r="C4167" s="17" t="n">
        <v>71263.63</v>
      </c>
      <c r="D4167" s="23" t="n">
        <f aca="false">A4167-A4166</f>
        <v>1</v>
      </c>
      <c r="E4167" s="24" t="n">
        <f aca="false">LN(C4167)</f>
        <v>11.1741413780813</v>
      </c>
      <c r="F4167" s="25" t="n">
        <f aca="false">LN(C4167/C4166)</f>
        <v>-0.0334586143311835</v>
      </c>
      <c r="G4167" s="25" t="n">
        <f aca="false">IF(AND(D4167=1,A4167&gt;=$R$2),F4167,"")</f>
        <v>-0.0334586143311835</v>
      </c>
      <c r="H4167" s="27" t="n">
        <f aca="false">IF(G4167="","",G4167^2)</f>
        <v>0.00111947887296288</v>
      </c>
      <c r="I4167" s="25" t="n">
        <f aca="false">IF(G4167="","",C4167/C4166-1)</f>
        <v>-0.0329050657261291</v>
      </c>
      <c r="J4167" s="17" t="n">
        <f aca="false">AVERAGE(C3968:C4167)</f>
        <v>79365.46015</v>
      </c>
      <c r="K4167" s="17" t="n">
        <f aca="false">MAX(K4166,C4167)</f>
        <v>124720.09</v>
      </c>
      <c r="L4167" s="25" t="n">
        <f aca="false">C4167/K4167-1</f>
        <v>-0.42861146107255</v>
      </c>
      <c r="M4167" s="25" t="n">
        <f aca="false">IF(COUNT(G4138:G4167)&lt;20,"",_xlfn.STDEV.S(G4138:G4167)*SQRT($R$3))</f>
        <v>0.237312407617184</v>
      </c>
      <c r="N4167" s="25" t="n">
        <f aca="false">IF(A4167-7&lt;$R$2,"",C4167/INDEX(Clean_Data!$C$2:$C$4314,MATCH(A4167-7,Clean_Data!$A$2:$A$4314,1))-1)</f>
        <v>-0.0768580782397411</v>
      </c>
      <c r="O4167" s="25" t="n">
        <f aca="false">IF(A4167-30&lt;$R$2,"",C4167/INDEX(Clean_Data!$C$2:$C$4314,MATCH(A4167-30,Clean_Data!$A$2:$A$4314,1))-1)</f>
        <v>-0.0945483047722725</v>
      </c>
    </row>
    <row r="4168" customFormat="false" ht="15" hidden="false" customHeight="false" outlineLevel="0" collapsed="false">
      <c r="A4168" s="16" t="n">
        <v>46175</v>
      </c>
      <c r="B4168" s="23" t="n">
        <f aca="false">YEAR(A4168)</f>
        <v>2026</v>
      </c>
      <c r="C4168" s="17" t="n">
        <v>66661.02</v>
      </c>
      <c r="D4168" s="23" t="n">
        <f aca="false">A4168-A4167</f>
        <v>1</v>
      </c>
      <c r="E4168" s="24" t="n">
        <f aca="false">LN(C4168)</f>
        <v>11.1073756532748</v>
      </c>
      <c r="F4168" s="25" t="n">
        <f aca="false">LN(C4168/C4167)</f>
        <v>-0.0667657248065183</v>
      </c>
      <c r="G4168" s="25" t="n">
        <f aca="false">IF(AND(D4168=1,A4168&gt;=$R$2),F4168,"")</f>
        <v>-0.0667657248065183</v>
      </c>
      <c r="H4168" s="27" t="n">
        <f aca="false">IF(G4168="","",G4168^2)</f>
        <v>0.00445766200893973</v>
      </c>
      <c r="I4168" s="25" t="n">
        <f aca="false">IF(G4168="","",C4168/C4167-1)</f>
        <v>-0.0645856799604511</v>
      </c>
      <c r="J4168" s="17" t="n">
        <f aca="false">AVERAGE(C3969:C4168)</f>
        <v>79224.6191</v>
      </c>
      <c r="K4168" s="17" t="n">
        <f aca="false">MAX(K4167,C4168)</f>
        <v>124720.09</v>
      </c>
      <c r="L4168" s="25" t="n">
        <f aca="false">C4168/K4168-1</f>
        <v>-0.465514978380789</v>
      </c>
      <c r="M4168" s="25" t="n">
        <f aca="false">IF(COUNT(G4139:G4168)&lt;20,"",_xlfn.STDEV.S(G4139:G4168)*SQRT($R$3))</f>
        <v>0.324447664205339</v>
      </c>
      <c r="N4168" s="25" t="n">
        <f aca="false">IF(A4168-7&lt;$R$2,"",C4168/INDEX(Clean_Data!$C$2:$C$4314,MATCH(A4168-7,Clean_Data!$A$2:$A$4314,1))-1)</f>
        <v>-0.120967453744356</v>
      </c>
      <c r="O4168" s="25" t="n">
        <f aca="false">IF(A4168-30&lt;$R$2,"",C4168/INDEX(Clean_Data!$C$2:$C$4314,MATCH(A4168-30,Clean_Data!$A$2:$A$4314,1))-1)</f>
        <v>-0.150775112868363</v>
      </c>
    </row>
    <row r="4169" customFormat="false" ht="15" hidden="false" customHeight="false" outlineLevel="0" collapsed="false">
      <c r="A4169" s="16" t="n">
        <v>46176</v>
      </c>
      <c r="B4169" s="23" t="n">
        <f aca="false">YEAR(A4169)</f>
        <v>2026</v>
      </c>
      <c r="C4169" s="17" t="n">
        <v>64257.19</v>
      </c>
      <c r="D4169" s="23" t="n">
        <f aca="false">A4169-A4168</f>
        <v>1</v>
      </c>
      <c r="E4169" s="24" t="n">
        <f aca="false">LN(C4169)</f>
        <v>11.0706489031112</v>
      </c>
      <c r="F4169" s="25" t="n">
        <f aca="false">LN(C4169/C4168)</f>
        <v>-0.0367267501636424</v>
      </c>
      <c r="G4169" s="25" t="n">
        <f aca="false">IF(AND(D4169=1,A4169&gt;=$R$2),F4169,"")</f>
        <v>-0.0367267501636424</v>
      </c>
      <c r="H4169" s="27" t="n">
        <f aca="false">IF(G4169="","",G4169^2)</f>
        <v>0.0013488541775826</v>
      </c>
      <c r="I4169" s="25" t="n">
        <f aca="false">IF(G4169="","",C4169/C4168-1)</f>
        <v>-0.0360605043247163</v>
      </c>
      <c r="J4169" s="17" t="n">
        <f aca="false">AVERAGE(C3970:C4169)</f>
        <v>79070.42825</v>
      </c>
      <c r="K4169" s="17" t="n">
        <f aca="false">MAX(K4168,C4169)</f>
        <v>124720.09</v>
      </c>
      <c r="L4169" s="25" t="n">
        <f aca="false">C4169/K4169-1</f>
        <v>-0.484788777814384</v>
      </c>
      <c r="M4169" s="25" t="n">
        <f aca="false">IF(COUNT(G4140:G4169)&lt;20,"",_xlfn.STDEV.S(G4140:G4169)*SQRT($R$3))</f>
        <v>0.33071271942353</v>
      </c>
      <c r="N4169" s="25" t="n">
        <f aca="false">IF(A4169-7&lt;$R$2,"",C4169/INDEX(Clean_Data!$C$2:$C$4314,MATCH(A4169-7,Clean_Data!$A$2:$A$4314,1))-1)</f>
        <v>-0.136591523822705</v>
      </c>
      <c r="O4169" s="25" t="n">
        <f aca="false">IF(A4169-30&lt;$R$2,"",C4169/INDEX(Clean_Data!$C$2:$C$4314,MATCH(A4169-30,Clean_Data!$A$2:$A$4314,1))-1)</f>
        <v>-0.196043374518415</v>
      </c>
    </row>
    <row r="4170" customFormat="false" ht="15" hidden="false" customHeight="false" outlineLevel="0" collapsed="false">
      <c r="A4170" s="16" t="n">
        <v>46177</v>
      </c>
      <c r="B4170" s="23" t="n">
        <f aca="false">YEAR(A4170)</f>
        <v>2026</v>
      </c>
      <c r="C4170" s="17" t="n">
        <v>63742.66</v>
      </c>
      <c r="D4170" s="23" t="n">
        <f aca="false">A4170-A4169</f>
        <v>1</v>
      </c>
      <c r="E4170" s="24" t="n">
        <f aca="false">LN(C4170)</f>
        <v>11.062609319137</v>
      </c>
      <c r="F4170" s="25" t="n">
        <f aca="false">LN(C4170/C4169)</f>
        <v>-0.00803958397420603</v>
      </c>
      <c r="G4170" s="25" t="n">
        <f aca="false">IF(AND(D4170=1,A4170&gt;=$R$2),F4170,"")</f>
        <v>-0.00803958397420603</v>
      </c>
      <c r="H4170" s="27" t="n">
        <f aca="false">IF(G4170="","",G4170^2)</f>
        <v>6.46349104783104E-005</v>
      </c>
      <c r="I4170" s="25" t="n">
        <f aca="false">IF(G4170="","",C4170/C4169-1)</f>
        <v>-0.00800735295147514</v>
      </c>
      <c r="J4170" s="17" t="n">
        <f aca="false">AVERAGE(C3971:C4170)</f>
        <v>78913.15175</v>
      </c>
      <c r="K4170" s="17" t="n">
        <f aca="false">MAX(K4169,C4170)</f>
        <v>124720.09</v>
      </c>
      <c r="L4170" s="25" t="n">
        <f aca="false">C4170/K4170-1</f>
        <v>-0.488914255914985</v>
      </c>
      <c r="M4170" s="25" t="n">
        <f aca="false">IF(COUNT(G4141:G4170)&lt;20,"",_xlfn.STDEV.S(G4141:G4170)*SQRT($R$3))</f>
        <v>0.321941705175363</v>
      </c>
      <c r="N4170" s="25" t="n">
        <f aca="false">IF(A4170-7&lt;$R$2,"",C4170/INDEX(Clean_Data!$C$2:$C$4314,MATCH(A4170-7,Clean_Data!$A$2:$A$4314,1))-1)</f>
        <v>-0.138904776893243</v>
      </c>
      <c r="O4170" s="25" t="n">
        <f aca="false">IF(A4170-30&lt;$R$2,"",C4170/INDEX(Clean_Data!$C$2:$C$4314,MATCH(A4170-30,Clean_Data!$A$2:$A$4314,1))-1)</f>
        <v>-0.213328041352486</v>
      </c>
    </row>
    <row r="4171" customFormat="false" ht="15" hidden="false" customHeight="false" outlineLevel="0" collapsed="false">
      <c r="A4171" s="16" t="n">
        <v>46178</v>
      </c>
      <c r="B4171" s="23" t="n">
        <f aca="false">YEAR(A4171)</f>
        <v>2026</v>
      </c>
      <c r="C4171" s="17" t="n">
        <v>61272.32</v>
      </c>
      <c r="D4171" s="23" t="n">
        <f aca="false">A4171-A4170</f>
        <v>1</v>
      </c>
      <c r="E4171" s="24" t="n">
        <f aca="false">LN(C4171)</f>
        <v>11.0230834701897</v>
      </c>
      <c r="F4171" s="25" t="n">
        <f aca="false">LN(C4171/C4170)</f>
        <v>-0.0395258489472583</v>
      </c>
      <c r="G4171" s="25" t="n">
        <f aca="false">IF(AND(D4171=1,A4171&gt;=$R$2),F4171,"")</f>
        <v>-0.0395258489472583</v>
      </c>
      <c r="H4171" s="27" t="n">
        <f aca="false">IF(G4171="","",G4171^2)</f>
        <v>0.00156229273500148</v>
      </c>
      <c r="I4171" s="25" t="n">
        <f aca="false">IF(G4171="","",C4171/C4170-1)</f>
        <v>-0.0387548935046013</v>
      </c>
      <c r="J4171" s="17" t="n">
        <f aca="false">AVERAGE(C3972:C4171)</f>
        <v>78760.23485</v>
      </c>
      <c r="K4171" s="17" t="n">
        <f aca="false">MAX(K4170,C4171)</f>
        <v>124720.09</v>
      </c>
      <c r="L4171" s="25" t="n">
        <f aca="false">C4171/K4171-1</f>
        <v>-0.50872132949872</v>
      </c>
      <c r="M4171" s="25" t="n">
        <f aca="false">IF(COUNT(G4142:G4171)&lt;20,"",_xlfn.STDEV.S(G4142:G4171)*SQRT($R$3))</f>
        <v>0.336165181522557</v>
      </c>
      <c r="N4171" s="25" t="n">
        <f aca="false">IF(A4171-7&lt;$R$2,"",C4171/INDEX(Clean_Data!$C$2:$C$4314,MATCH(A4171-7,Clean_Data!$A$2:$A$4314,1))-1)</f>
        <v>-0.170846177152894</v>
      </c>
      <c r="O4171" s="25" t="n">
        <f aca="false">IF(A4171-30&lt;$R$2,"",C4171/INDEX(Clean_Data!$C$2:$C$4314,MATCH(A4171-30,Clean_Data!$A$2:$A$4314,1))-1)</f>
        <v>-0.247975643532105</v>
      </c>
    </row>
    <row r="4172" customFormat="false" ht="15" hidden="false" customHeight="false" outlineLevel="0" collapsed="false">
      <c r="A4172" s="16" t="n">
        <v>46179</v>
      </c>
      <c r="B4172" s="23" t="n">
        <f aca="false">YEAR(A4172)</f>
        <v>2026</v>
      </c>
      <c r="C4172" s="17" t="n">
        <v>60881.64</v>
      </c>
      <c r="D4172" s="23" t="n">
        <f aca="false">A4172-A4171</f>
        <v>1</v>
      </c>
      <c r="E4172" s="24" t="n">
        <f aca="false">LN(C4172)</f>
        <v>11.0166869304119</v>
      </c>
      <c r="F4172" s="25" t="n">
        <f aca="false">LN(C4172/C4171)</f>
        <v>-0.00639653977781131</v>
      </c>
      <c r="G4172" s="25" t="n">
        <f aca="false">IF(AND(D4172=1,A4172&gt;=$R$2),F4172,"")</f>
        <v>-0.00639653977781131</v>
      </c>
      <c r="H4172" s="27" t="n">
        <f aca="false">IF(G4172="","",G4172^2)</f>
        <v>4.09157211291223E-005</v>
      </c>
      <c r="I4172" s="25" t="n">
        <f aca="false">IF(G4172="","",C4172/C4171-1)</f>
        <v>-0.0063761254674215</v>
      </c>
      <c r="J4172" s="17" t="n">
        <f aca="false">AVERAGE(C3973:C4172)</f>
        <v>78603.7205</v>
      </c>
      <c r="K4172" s="17" t="n">
        <f aca="false">MAX(K4171,C4172)</f>
        <v>124720.09</v>
      </c>
      <c r="L4172" s="25" t="n">
        <f aca="false">C4172/K4172-1</f>
        <v>-0.511853783941304</v>
      </c>
      <c r="M4172" s="25" t="n">
        <f aca="false">IF(COUNT(G4143:G4172)&lt;20,"",_xlfn.STDEV.S(G4143:G4172)*SQRT($R$3))</f>
        <v>0.335005362108005</v>
      </c>
      <c r="N4172" s="25" t="n">
        <f aca="false">IF(A4172-7&lt;$R$2,"",C4172/INDEX(Clean_Data!$C$2:$C$4314,MATCH(A4172-7,Clean_Data!$A$2:$A$4314,1))-1)</f>
        <v>-0.174579244020098</v>
      </c>
      <c r="O4172" s="25" t="n">
        <f aca="false">IF(A4172-30&lt;$R$2,"",C4172/INDEX(Clean_Data!$C$2:$C$4314,MATCH(A4172-30,Clean_Data!$A$2:$A$4314,1))-1)</f>
        <v>-0.239428237339969</v>
      </c>
    </row>
    <row r="4173" customFormat="false" ht="15" hidden="false" customHeight="false" outlineLevel="0" collapsed="false">
      <c r="A4173" s="16" t="n">
        <v>46180</v>
      </c>
      <c r="B4173" s="23" t="n">
        <f aca="false">YEAR(A4173)</f>
        <v>2026</v>
      </c>
      <c r="C4173" s="17" t="n">
        <v>63216.78</v>
      </c>
      <c r="D4173" s="23" t="n">
        <f aca="false">A4173-A4172</f>
        <v>1</v>
      </c>
      <c r="E4173" s="24" t="n">
        <f aca="false">LN(C4173)</f>
        <v>11.0543250512235</v>
      </c>
      <c r="F4173" s="25" t="n">
        <f aca="false">LN(C4173/C4172)</f>
        <v>0.0376381208115963</v>
      </c>
      <c r="G4173" s="25" t="n">
        <f aca="false">IF(AND(D4173=1,A4173&gt;=$R$2),F4173,"")</f>
        <v>0.0376381208115963</v>
      </c>
      <c r="H4173" s="27" t="n">
        <f aca="false">IF(G4173="","",G4173^2)</f>
        <v>0.00141662813822832</v>
      </c>
      <c r="I4173" s="25" t="n">
        <f aca="false">IF(G4173="","",C4173/C4172-1)</f>
        <v>0.0383554056690982</v>
      </c>
      <c r="J4173" s="17" t="n">
        <f aca="false">AVERAGE(C3974:C4173)</f>
        <v>78460.8861</v>
      </c>
      <c r="K4173" s="17" t="n">
        <f aca="false">MAX(K4172,C4173)</f>
        <v>124720.09</v>
      </c>
      <c r="L4173" s="25" t="n">
        <f aca="false">C4173/K4173-1</f>
        <v>-0.493130737798538</v>
      </c>
      <c r="M4173" s="25" t="n">
        <f aca="false">IF(COUNT(G4144:G4173)&lt;20,"",_xlfn.STDEV.S(G4144:G4173)*SQRT($R$3))</f>
        <v>0.371256230409044</v>
      </c>
      <c r="N4173" s="25" t="n">
        <f aca="false">IF(A4173-7&lt;$R$2,"",C4173/INDEX(Clean_Data!$C$2:$C$4314,MATCH(A4173-7,Clean_Data!$A$2:$A$4314,1))-1)</f>
        <v>-0.142106180963477</v>
      </c>
      <c r="O4173" s="25" t="n">
        <f aca="false">IF(A4173-30&lt;$R$2,"",C4173/INDEX(Clean_Data!$C$2:$C$4314,MATCH(A4173-30,Clean_Data!$A$2:$A$4314,1))-1)</f>
        <v>-0.211271777375173</v>
      </c>
    </row>
    <row r="4174" customFormat="false" ht="15" hidden="false" customHeight="false" outlineLevel="0" collapsed="false">
      <c r="A4174" s="16" t="n">
        <v>46181</v>
      </c>
      <c r="B4174" s="23" t="n">
        <f aca="false">YEAR(A4174)</f>
        <v>2026</v>
      </c>
      <c r="C4174" s="17" t="n">
        <v>63049.86</v>
      </c>
      <c r="D4174" s="23" t="n">
        <f aca="false">A4174-A4173</f>
        <v>1</v>
      </c>
      <c r="E4174" s="24" t="n">
        <f aca="false">LN(C4174)</f>
        <v>11.0516811209306</v>
      </c>
      <c r="F4174" s="25" t="n">
        <f aca="false">LN(C4174/C4173)</f>
        <v>-0.00264393029284686</v>
      </c>
      <c r="G4174" s="25" t="n">
        <f aca="false">IF(AND(D4174=1,A4174&gt;=$R$2),F4174,"")</f>
        <v>-0.00264393029284686</v>
      </c>
      <c r="H4174" s="27" t="n">
        <f aca="false">IF(G4174="","",G4174^2)</f>
        <v>6.99036739343327E-006</v>
      </c>
      <c r="I4174" s="25" t="n">
        <f aca="false">IF(G4174="","",C4174/C4173-1)</f>
        <v>-0.00264043818745585</v>
      </c>
      <c r="J4174" s="17" t="n">
        <f aca="false">AVERAGE(C3975:C4174)</f>
        <v>78340.0654</v>
      </c>
      <c r="K4174" s="17" t="n">
        <f aca="false">MAX(K4173,C4174)</f>
        <v>124720.09</v>
      </c>
      <c r="L4174" s="25" t="n">
        <f aca="false">C4174/K4174-1</f>
        <v>-0.494469094754502</v>
      </c>
      <c r="M4174" s="25" t="n">
        <f aca="false">IF(COUNT(G4145:G4174)&lt;20,"",_xlfn.STDEV.S(G4145:G4174)*SQRT($R$3))</f>
        <v>0.368314240017895</v>
      </c>
      <c r="N4174" s="25" t="n">
        <f aca="false">IF(A4174-7&lt;$R$2,"",C4174/INDEX(Clean_Data!$C$2:$C$4314,MATCH(A4174-7,Clean_Data!$A$2:$A$4314,1))-1)</f>
        <v>-0.115258933624347</v>
      </c>
      <c r="O4174" s="25" t="n">
        <f aca="false">IF(A4174-30&lt;$R$2,"",C4174/INDEX(Clean_Data!$C$2:$C$4314,MATCH(A4174-30,Clean_Data!$A$2:$A$4314,1))-1)</f>
        <v>-0.218186182956991</v>
      </c>
    </row>
    <row r="4175" customFormat="false" ht="15" hidden="false" customHeight="false" outlineLevel="0" collapsed="false">
      <c r="A4175" s="16" t="n">
        <v>46182</v>
      </c>
      <c r="B4175" s="23" t="n">
        <f aca="false">YEAR(A4175)</f>
        <v>2026</v>
      </c>
      <c r="C4175" s="17" t="n">
        <v>61751.94</v>
      </c>
      <c r="D4175" s="23" t="n">
        <f aca="false">A4175-A4174</f>
        <v>1</v>
      </c>
      <c r="E4175" s="24" t="n">
        <f aca="false">LN(C4175)</f>
        <v>11.0308806710008</v>
      </c>
      <c r="F4175" s="25" t="n">
        <f aca="false">LN(C4175/C4174)</f>
        <v>-0.0208004499298795</v>
      </c>
      <c r="G4175" s="25" t="n">
        <f aca="false">IF(AND(D4175=1,A4175&gt;=$R$2),F4175,"")</f>
        <v>-0.0208004499298795</v>
      </c>
      <c r="H4175" s="27" t="n">
        <f aca="false">IF(G4175="","",G4175^2)</f>
        <v>0.000432658717285425</v>
      </c>
      <c r="I4175" s="25" t="n">
        <f aca="false">IF(G4175="","",C4175/C4174-1)</f>
        <v>-0.0205856127198379</v>
      </c>
      <c r="J4175" s="17" t="n">
        <f aca="false">AVERAGE(C3976:C4175)</f>
        <v>78224.6951</v>
      </c>
      <c r="K4175" s="17" t="n">
        <f aca="false">MAX(K4174,C4175)</f>
        <v>124720.09</v>
      </c>
      <c r="L4175" s="25" t="n">
        <f aca="false">C4175/K4175-1</f>
        <v>-0.504875758187795</v>
      </c>
      <c r="M4175" s="25" t="n">
        <f aca="false">IF(COUNT(G4146:G4175)&lt;20,"",_xlfn.STDEV.S(G4146:G4175)*SQRT($R$3))</f>
        <v>0.358376206007419</v>
      </c>
      <c r="N4175" s="25" t="n">
        <f aca="false">IF(A4175-7&lt;$R$2,"",C4175/INDEX(Clean_Data!$C$2:$C$4314,MATCH(A4175-7,Clean_Data!$A$2:$A$4314,1))-1)</f>
        <v>-0.0736424375144575</v>
      </c>
      <c r="O4175" s="25" t="n">
        <f aca="false">IF(A4175-30&lt;$R$2,"",C4175/INDEX(Clean_Data!$C$2:$C$4314,MATCH(A4175-30,Clean_Data!$A$2:$A$4314,1))-1)</f>
        <v>-0.24787945207882</v>
      </c>
    </row>
    <row r="4176" customFormat="false" ht="15" hidden="false" customHeight="false" outlineLevel="0" collapsed="false">
      <c r="A4176" s="16" t="n">
        <v>46183</v>
      </c>
      <c r="B4176" s="23" t="n">
        <f aca="false">YEAR(A4176)</f>
        <v>2026</v>
      </c>
      <c r="C4176" s="17" t="n">
        <v>61570.02</v>
      </c>
      <c r="D4176" s="23" t="n">
        <f aca="false">A4176-A4175</f>
        <v>1</v>
      </c>
      <c r="E4176" s="24" t="n">
        <f aca="false">LN(C4176)</f>
        <v>11.0279303427387</v>
      </c>
      <c r="F4176" s="25" t="n">
        <f aca="false">LN(C4176/C4175)</f>
        <v>-0.00295032826204266</v>
      </c>
      <c r="G4176" s="25" t="n">
        <f aca="false">IF(AND(D4176=1,A4176&gt;=$R$2),F4176,"")</f>
        <v>-0.00295032826204266</v>
      </c>
      <c r="H4176" s="27" t="n">
        <f aca="false">IF(G4176="","",G4176^2)</f>
        <v>8.70443685380765E-006</v>
      </c>
      <c r="I4176" s="25" t="n">
        <f aca="false">IF(G4176="","",C4176/C4175-1)</f>
        <v>-0.00294598032061832</v>
      </c>
      <c r="J4176" s="17" t="n">
        <f aca="false">AVERAGE(C3977:C4176)</f>
        <v>78106.8756</v>
      </c>
      <c r="K4176" s="17" t="n">
        <f aca="false">MAX(K4175,C4176)</f>
        <v>124720.09</v>
      </c>
      <c r="L4176" s="25" t="n">
        <f aca="false">C4176/K4176-1</f>
        <v>-0.506334384460435</v>
      </c>
      <c r="M4176" s="25" t="n">
        <f aca="false">IF(COUNT(G4147:G4176)&lt;20,"",_xlfn.STDEV.S(G4147:G4176)*SQRT($R$3))</f>
        <v>0.358690594125466</v>
      </c>
      <c r="N4176" s="25" t="n">
        <f aca="false">IF(A4176-7&lt;$R$2,"",C4176/INDEX(Clean_Data!$C$2:$C$4314,MATCH(A4176-7,Clean_Data!$A$2:$A$4314,1))-1)</f>
        <v>-0.041818977767313</v>
      </c>
      <c r="O4176" s="25" t="n">
        <f aca="false">IF(A4176-30&lt;$R$2,"",C4176/INDEX(Clean_Data!$C$2:$C$4314,MATCH(A4176-30,Clean_Data!$A$2:$A$4314,1))-1)</f>
        <v>-0.246704777984749</v>
      </c>
    </row>
    <row r="4177" customFormat="false" ht="15" hidden="false" customHeight="false" outlineLevel="0" collapsed="false">
      <c r="A4177" s="16" t="n">
        <v>46184</v>
      </c>
      <c r="B4177" s="23" t="n">
        <f aca="false">YEAR(A4177)</f>
        <v>2026</v>
      </c>
      <c r="C4177" s="17" t="n">
        <v>63482.72</v>
      </c>
      <c r="D4177" s="23" t="n">
        <f aca="false">A4177-A4176</f>
        <v>1</v>
      </c>
      <c r="E4177" s="24" t="n">
        <f aca="false">LN(C4177)</f>
        <v>11.0585230218635</v>
      </c>
      <c r="F4177" s="25" t="n">
        <f aca="false">LN(C4177/C4176)</f>
        <v>0.0305926791248109</v>
      </c>
      <c r="G4177" s="25" t="n">
        <f aca="false">IF(AND(D4177=1,A4177&gt;=$R$2),F4177,"")</f>
        <v>0.0305926791248109</v>
      </c>
      <c r="H4177" s="27" t="n">
        <f aca="false">IF(G4177="","",G4177^2)</f>
        <v>0.000935912016033641</v>
      </c>
      <c r="I4177" s="25" t="n">
        <f aca="false">IF(G4177="","",C4177/C4176-1)</f>
        <v>0.0310654438637505</v>
      </c>
      <c r="J4177" s="17" t="n">
        <f aca="false">AVERAGE(C3978:C4177)</f>
        <v>77991.79295</v>
      </c>
      <c r="K4177" s="17" t="n">
        <f aca="false">MAX(K4176,C4177)</f>
        <v>124720.09</v>
      </c>
      <c r="L4177" s="25" t="n">
        <f aca="false">C4177/K4177-1</f>
        <v>-0.490998442993426</v>
      </c>
      <c r="M4177" s="25" t="n">
        <f aca="false">IF(COUNT(G4148:G4177)&lt;20,"",_xlfn.STDEV.S(G4148:G4177)*SQRT($R$3))</f>
        <v>0.383828146191919</v>
      </c>
      <c r="N4177" s="25" t="n">
        <f aca="false">IF(A4177-7&lt;$R$2,"",C4177/INDEX(Clean_Data!$C$2:$C$4314,MATCH(A4177-7,Clean_Data!$A$2:$A$4314,1))-1)</f>
        <v>-0.00407795972116631</v>
      </c>
      <c r="O4177" s="25" t="n">
        <f aca="false">IF(A4177-30&lt;$R$2,"",C4177/INDEX(Clean_Data!$C$2:$C$4314,MATCH(A4177-30,Clean_Data!$A$2:$A$4314,1))-1)</f>
        <v>-0.210558955773921</v>
      </c>
    </row>
    <row r="4178" customFormat="false" ht="15" hidden="false" customHeight="false" outlineLevel="0" collapsed="false">
      <c r="A4178" s="16" t="n">
        <v>46185</v>
      </c>
      <c r="B4178" s="23" t="n">
        <f aca="false">YEAR(A4178)</f>
        <v>2026</v>
      </c>
      <c r="C4178" s="17" t="n">
        <v>63554.96</v>
      </c>
      <c r="D4178" s="23" t="n">
        <f aca="false">A4178-A4177</f>
        <v>1</v>
      </c>
      <c r="E4178" s="24" t="n">
        <f aca="false">LN(C4178)</f>
        <v>11.0596603223524</v>
      </c>
      <c r="F4178" s="25" t="n">
        <f aca="false">LN(C4178/C4177)</f>
        <v>0.00113730048890358</v>
      </c>
      <c r="G4178" s="25" t="n">
        <f aca="false">IF(AND(D4178=1,A4178&gt;=$R$2),F4178,"")</f>
        <v>0.00113730048890358</v>
      </c>
      <c r="H4178" s="27" t="n">
        <f aca="false">IF(G4178="","",G4178^2)</f>
        <v>1.29345240206032E-006</v>
      </c>
      <c r="I4178" s="25" t="n">
        <f aca="false">IF(G4178="","",C4178/C4177-1)</f>
        <v>0.00113794746034834</v>
      </c>
      <c r="J4178" s="17" t="n">
        <f aca="false">AVERAGE(C3979:C4178)</f>
        <v>77869.66215</v>
      </c>
      <c r="K4178" s="17" t="n">
        <f aca="false">MAX(K4177,C4178)</f>
        <v>124720.09</v>
      </c>
      <c r="L4178" s="25" t="n">
        <f aca="false">C4178/K4178-1</f>
        <v>-0.490419225964317</v>
      </c>
      <c r="M4178" s="25" t="n">
        <f aca="false">IF(COUNT(G4149:G4178)&lt;20,"",_xlfn.STDEV.S(G4149:G4178)*SQRT($R$3))</f>
        <v>0.384611458907246</v>
      </c>
      <c r="N4178" s="25" t="n">
        <f aca="false">IF(A4178-7&lt;$R$2,"",C4178/INDEX(Clean_Data!$C$2:$C$4314,MATCH(A4178-7,Clean_Data!$A$2:$A$4314,1))-1)</f>
        <v>0.0372540161691282</v>
      </c>
      <c r="O4178" s="25" t="n">
        <f aca="false">IF(A4178-30&lt;$R$2,"",C4178/INDEX(Clean_Data!$C$2:$C$4314,MATCH(A4178-30,Clean_Data!$A$2:$A$4314,1))-1)</f>
        <v>-0.199273594356069</v>
      </c>
    </row>
    <row r="4179" customFormat="false" ht="15" hidden="false" customHeight="false" outlineLevel="0" collapsed="false">
      <c r="A4179" s="16" t="n">
        <v>46186</v>
      </c>
      <c r="B4179" s="23" t="n">
        <f aca="false">YEAR(A4179)</f>
        <v>2026</v>
      </c>
      <c r="C4179" s="17" t="n">
        <v>64374.02</v>
      </c>
      <c r="D4179" s="23" t="n">
        <f aca="false">A4179-A4178</f>
        <v>1</v>
      </c>
      <c r="E4179" s="24" t="n">
        <f aca="false">LN(C4179)</f>
        <v>11.0724654145492</v>
      </c>
      <c r="F4179" s="25" t="n">
        <f aca="false">LN(C4179/C4178)</f>
        <v>0.0128050921967505</v>
      </c>
      <c r="G4179" s="25" t="n">
        <f aca="false">IF(AND(D4179=1,A4179&gt;=$R$2),F4179,"")</f>
        <v>0.0128050921967505</v>
      </c>
      <c r="H4179" s="27" t="n">
        <f aca="false">IF(G4179="","",G4179^2)</f>
        <v>0.00016397038616728</v>
      </c>
      <c r="I4179" s="25" t="n">
        <f aca="false">IF(G4179="","",C4179/C4178-1)</f>
        <v>0.0128874284556233</v>
      </c>
      <c r="J4179" s="17" t="n">
        <f aca="false">AVERAGE(C3980:C4179)</f>
        <v>77754.70165</v>
      </c>
      <c r="K4179" s="17" t="n">
        <f aca="false">MAX(K4178,C4179)</f>
        <v>124720.09</v>
      </c>
      <c r="L4179" s="25" t="n">
        <f aca="false">C4179/K4179-1</f>
        <v>-0.483852040196571</v>
      </c>
      <c r="M4179" s="25" t="n">
        <f aca="false">IF(COUNT(G4150:G4179)&lt;20,"",_xlfn.STDEV.S(G4150:G4179)*SQRT($R$3))</f>
        <v>0.390779023324448</v>
      </c>
      <c r="N4179" s="25" t="n">
        <f aca="false">IF(A4179-7&lt;$R$2,"",C4179/INDEX(Clean_Data!$C$2:$C$4314,MATCH(A4179-7,Clean_Data!$A$2:$A$4314,1))-1)</f>
        <v>0.0573634350191616</v>
      </c>
      <c r="O4179" s="25" t="n">
        <f aca="false">IF(A4179-30&lt;$R$2,"",C4179/INDEX(Clean_Data!$C$2:$C$4314,MATCH(A4179-30,Clean_Data!$A$2:$A$4314,1))-1)</f>
        <v>-0.186604951733825</v>
      </c>
    </row>
    <row r="4180" customFormat="false" ht="15" hidden="false" customHeight="false" outlineLevel="0" collapsed="false">
      <c r="A4180" s="16" t="n">
        <v>46187</v>
      </c>
      <c r="B4180" s="23" t="n">
        <f aca="false">YEAR(A4180)</f>
        <v>2026</v>
      </c>
      <c r="C4180" s="17" t="n">
        <v>65605.04</v>
      </c>
      <c r="D4180" s="23" t="n">
        <f aca="false">A4180-A4179</f>
        <v>1</v>
      </c>
      <c r="E4180" s="24" t="n">
        <f aca="false">LN(C4180)</f>
        <v>11.0914078012493</v>
      </c>
      <c r="F4180" s="25" t="n">
        <f aca="false">LN(C4180/C4179)</f>
        <v>0.0189423867000652</v>
      </c>
      <c r="G4180" s="25" t="n">
        <f aca="false">IF(AND(D4180=1,A4180&gt;=$R$2),F4180,"")</f>
        <v>0.0189423867000652</v>
      </c>
      <c r="H4180" s="27" t="n">
        <f aca="false">IF(G4180="","",G4180^2)</f>
        <v>0.000358814013894806</v>
      </c>
      <c r="I4180" s="25" t="n">
        <f aca="false">IF(G4180="","",C4180/C4179-1)</f>
        <v>0.0191229318908466</v>
      </c>
      <c r="J4180" s="17" t="n">
        <f aca="false">AVERAGE(C3981:C4180)</f>
        <v>77629.5492</v>
      </c>
      <c r="K4180" s="17" t="n">
        <f aca="false">MAX(K4179,C4180)</f>
        <v>124720.09</v>
      </c>
      <c r="L4180" s="25" t="n">
        <f aca="false">C4180/K4180-1</f>
        <v>-0.473981777915651</v>
      </c>
      <c r="M4180" s="25" t="n">
        <f aca="false">IF(COUNT(G4151:G4180)&lt;20,"",_xlfn.STDEV.S(G4151:G4180)*SQRT($R$3))</f>
        <v>0.400699452284901</v>
      </c>
      <c r="N4180" s="25" t="n">
        <f aca="false">IF(A4180-7&lt;$R$2,"",C4180/INDEX(Clean_Data!$C$2:$C$4314,MATCH(A4180-7,Clean_Data!$A$2:$A$4314,1))-1)</f>
        <v>0.0377788935152976</v>
      </c>
      <c r="O4180" s="25" t="n">
        <f aca="false">IF(A4180-30&lt;$R$2,"",C4180/INDEX(Clean_Data!$C$2:$C$4314,MATCH(A4180-30,Clean_Data!$A$2:$A$4314,1))-1)</f>
        <v>-0.169829676309063</v>
      </c>
    </row>
    <row r="4181" customFormat="false" ht="15" hidden="false" customHeight="false" outlineLevel="0" collapsed="false">
      <c r="A4181" s="16" t="n">
        <v>46188</v>
      </c>
      <c r="B4181" s="23" t="n">
        <f aca="false">YEAR(A4181)</f>
        <v>2026</v>
      </c>
      <c r="C4181" s="17" t="n">
        <v>66231.94</v>
      </c>
      <c r="D4181" s="23" t="n">
        <f aca="false">A4181-A4180</f>
        <v>1</v>
      </c>
      <c r="E4181" s="24" t="n">
        <f aca="false">LN(C4181)</f>
        <v>11.1009181029117</v>
      </c>
      <c r="F4181" s="25" t="n">
        <f aca="false">LN(C4181/C4180)</f>
        <v>0.00951030166246524</v>
      </c>
      <c r="G4181" s="25" t="n">
        <f aca="false">IF(AND(D4181=1,A4181&gt;=$R$2),F4181,"")</f>
        <v>0.00951030166246524</v>
      </c>
      <c r="H4181" s="27" t="n">
        <f aca="false">IF(G4181="","",G4181^2)</f>
        <v>9.04458377110891E-005</v>
      </c>
      <c r="I4181" s="25" t="n">
        <f aca="false">IF(G4181="","",C4181/C4180-1)</f>
        <v>0.00955566828402232</v>
      </c>
      <c r="J4181" s="17" t="n">
        <f aca="false">AVERAGE(C3982:C4181)</f>
        <v>77505.2389</v>
      </c>
      <c r="K4181" s="17" t="n">
        <f aca="false">MAX(K4180,C4181)</f>
        <v>124720.09</v>
      </c>
      <c r="L4181" s="25" t="n">
        <f aca="false">C4181/K4181-1</f>
        <v>-0.468955322274062</v>
      </c>
      <c r="M4181" s="25" t="n">
        <f aca="false">IF(COUNT(G4152:G4181)&lt;20,"",_xlfn.STDEV.S(G4152:G4181)*SQRT($R$3))</f>
        <v>0.404029853645971</v>
      </c>
      <c r="N4181" s="25" t="n">
        <f aca="false">IF(A4181-7&lt;$R$2,"",C4181/INDEX(Clean_Data!$C$2:$C$4314,MATCH(A4181-7,Clean_Data!$A$2:$A$4314,1))-1)</f>
        <v>0.050469263532068</v>
      </c>
      <c r="O4181" s="25" t="n">
        <f aca="false">IF(A4181-30&lt;$R$2,"",C4181/INDEX(Clean_Data!$C$2:$C$4314,MATCH(A4181-30,Clean_Data!$A$2:$A$4314,1))-1)</f>
        <v>-0.152866369127635</v>
      </c>
    </row>
    <row r="4182" customFormat="false" ht="15" hidden="false" customHeight="false" outlineLevel="0" collapsed="false">
      <c r="A4182" s="16" t="n">
        <v>46189</v>
      </c>
      <c r="B4182" s="23" t="n">
        <f aca="false">YEAR(A4182)</f>
        <v>2026</v>
      </c>
      <c r="C4182" s="17" t="n">
        <v>65679.13</v>
      </c>
      <c r="D4182" s="23" t="n">
        <f aca="false">A4182-A4181</f>
        <v>1</v>
      </c>
      <c r="E4182" s="24" t="n">
        <f aca="false">LN(C4182)</f>
        <v>11.0925364979972</v>
      </c>
      <c r="F4182" s="25" t="n">
        <f aca="false">LN(C4182/C4181)</f>
        <v>-0.00838160491455364</v>
      </c>
      <c r="G4182" s="25" t="n">
        <f aca="false">IF(AND(D4182=1,A4182&gt;=$R$2),F4182,"")</f>
        <v>-0.00838160491455364</v>
      </c>
      <c r="H4182" s="27" t="n">
        <f aca="false">IF(G4182="","",G4182^2)</f>
        <v>7.02513009436697E-005</v>
      </c>
      <c r="I4182" s="25" t="n">
        <f aca="false">IF(G4182="","",C4182/C4181-1)</f>
        <v>-0.00834657719523235</v>
      </c>
      <c r="J4182" s="17" t="n">
        <f aca="false">AVERAGE(C3983:C4182)</f>
        <v>77379.03565</v>
      </c>
      <c r="K4182" s="17" t="n">
        <f aca="false">MAX(K4181,C4182)</f>
        <v>124720.09</v>
      </c>
      <c r="L4182" s="25" t="n">
        <f aca="false">C4182/K4182-1</f>
        <v>-0.473387727670819</v>
      </c>
      <c r="M4182" s="25" t="n">
        <f aca="false">IF(COUNT(G4153:G4182)&lt;20,"",_xlfn.STDEV.S(G4153:G4182)*SQRT($R$3))</f>
        <v>0.403544597392947</v>
      </c>
      <c r="N4182" s="25" t="n">
        <f aca="false">IF(A4182-7&lt;$R$2,"",C4182/INDEX(Clean_Data!$C$2:$C$4314,MATCH(A4182-7,Clean_Data!$A$2:$A$4314,1))-1)</f>
        <v>0.0635962206207612</v>
      </c>
      <c r="O4182" s="25" t="n">
        <f aca="false">IF(A4182-30&lt;$R$2,"",C4182/INDEX(Clean_Data!$C$2:$C$4314,MATCH(A4182-30,Clean_Data!$A$2:$A$4314,1))-1)</f>
        <v>-0.149994667983623</v>
      </c>
    </row>
    <row r="4183" customFormat="false" ht="15" hidden="false" customHeight="false" outlineLevel="0" collapsed="false">
      <c r="A4183" s="16" t="n">
        <v>46190</v>
      </c>
      <c r="B4183" s="23" t="n">
        <f aca="false">YEAR(A4183)</f>
        <v>2026</v>
      </c>
      <c r="C4183" s="17" t="n">
        <v>64529.96</v>
      </c>
      <c r="D4183" s="23" t="n">
        <f aca="false">A4183-A4182</f>
        <v>1</v>
      </c>
      <c r="E4183" s="24" t="n">
        <f aca="false">LN(C4183)</f>
        <v>11.074884891063</v>
      </c>
      <c r="F4183" s="25" t="n">
        <f aca="false">LN(C4183/C4182)</f>
        <v>-0.0176516069342028</v>
      </c>
      <c r="G4183" s="25" t="n">
        <f aca="false">IF(AND(D4183=1,A4183&gt;=$R$2),F4183,"")</f>
        <v>-0.0176516069342028</v>
      </c>
      <c r="H4183" s="27" t="n">
        <f aca="false">IF(G4183="","",G4183^2)</f>
        <v>0.000311579227359596</v>
      </c>
      <c r="I4183" s="25" t="n">
        <f aca="false">IF(G4183="","",C4183/C4182-1)</f>
        <v>-0.0174967299353692</v>
      </c>
      <c r="J4183" s="17" t="n">
        <f aca="false">AVERAGE(C3984:C4183)</f>
        <v>77246.9517</v>
      </c>
      <c r="K4183" s="17" t="n">
        <f aca="false">MAX(K4182,C4183)</f>
        <v>124720.09</v>
      </c>
      <c r="L4183" s="25" t="n">
        <f aca="false">C4183/K4183-1</f>
        <v>-0.482601720380414</v>
      </c>
      <c r="M4183" s="25" t="n">
        <f aca="false">IF(COUNT(G4154:G4183)&lt;20,"",_xlfn.STDEV.S(G4154:G4183)*SQRT($R$3))</f>
        <v>0.405750861236469</v>
      </c>
      <c r="N4183" s="25" t="n">
        <f aca="false">IF(A4183-7&lt;$R$2,"",C4183/INDEX(Clean_Data!$C$2:$C$4314,MATCH(A4183-7,Clean_Data!$A$2:$A$4314,1))-1)</f>
        <v>0.0480743712605582</v>
      </c>
      <c r="O4183" s="25" t="n">
        <f aca="false">IF(A4183-30&lt;$R$2,"",C4183/INDEX(Clean_Data!$C$2:$C$4314,MATCH(A4183-30,Clean_Data!$A$2:$A$4314,1))-1)</f>
        <v>-0.161427349518805</v>
      </c>
    </row>
    <row r="4184" customFormat="false" ht="15" hidden="false" customHeight="false" outlineLevel="0" collapsed="false">
      <c r="A4184" s="16" t="n">
        <v>46191</v>
      </c>
      <c r="B4184" s="23" t="n">
        <f aca="false">YEAR(A4184)</f>
        <v>2026</v>
      </c>
      <c r="C4184" s="17" t="n">
        <v>62852.71</v>
      </c>
      <c r="D4184" s="23" t="n">
        <f aca="false">A4184-A4183</f>
        <v>1</v>
      </c>
      <c r="E4184" s="24" t="n">
        <f aca="false">LN(C4184)</f>
        <v>11.048549331625</v>
      </c>
      <c r="F4184" s="25" t="n">
        <f aca="false">LN(C4184/C4183)</f>
        <v>-0.0263355594379513</v>
      </c>
      <c r="G4184" s="25" t="n">
        <f aca="false">IF(AND(D4184=1,A4184&gt;=$R$2),F4184,"")</f>
        <v>-0.0263355594379513</v>
      </c>
      <c r="H4184" s="27" t="n">
        <f aca="false">IF(G4184="","",G4184^2)</f>
        <v>0.000693561690909864</v>
      </c>
      <c r="I4184" s="25" t="n">
        <f aca="false">IF(G4184="","",C4184/C4183-1)</f>
        <v>-0.0259918028772992</v>
      </c>
      <c r="J4184" s="17" t="n">
        <f aca="false">AVERAGE(C3985:C4184)</f>
        <v>77123.9808</v>
      </c>
      <c r="K4184" s="17" t="n">
        <f aca="false">MAX(K4183,C4184)</f>
        <v>124720.09</v>
      </c>
      <c r="L4184" s="25" t="n">
        <f aca="false">C4184/K4184-1</f>
        <v>-0.49604983447334</v>
      </c>
      <c r="M4184" s="25" t="n">
        <f aca="false">IF(COUNT(G4155:G4184)&lt;20,"",_xlfn.STDEV.S(G4155:G4184)*SQRT($R$3))</f>
        <v>0.411664963760666</v>
      </c>
      <c r="N4184" s="25" t="n">
        <f aca="false">IF(A4184-7&lt;$R$2,"",C4184/INDEX(Clean_Data!$C$2:$C$4314,MATCH(A4184-7,Clean_Data!$A$2:$A$4314,1))-1)</f>
        <v>-0.00992411793319503</v>
      </c>
      <c r="O4184" s="25" t="n">
        <f aca="false">IF(A4184-30&lt;$R$2,"",C4184/INDEX(Clean_Data!$C$2:$C$4314,MATCH(A4184-30,Clean_Data!$A$2:$A$4314,1))-1)</f>
        <v>-0.181597133200424</v>
      </c>
    </row>
    <row r="4185" customFormat="false" ht="15" hidden="false" customHeight="false" outlineLevel="0" collapsed="false">
      <c r="A4185" s="16" t="n">
        <v>46192</v>
      </c>
      <c r="B4185" s="23" t="n">
        <f aca="false">YEAR(A4185)</f>
        <v>2026</v>
      </c>
      <c r="C4185" s="17" t="n">
        <v>63522.76</v>
      </c>
      <c r="D4185" s="23" t="n">
        <f aca="false">A4185-A4184</f>
        <v>1</v>
      </c>
      <c r="E4185" s="24" t="n">
        <f aca="false">LN(C4185)</f>
        <v>11.0591535458587</v>
      </c>
      <c r="F4185" s="25" t="n">
        <f aca="false">LN(C4185/C4184)</f>
        <v>0.0106042142336538</v>
      </c>
      <c r="G4185" s="25" t="n">
        <f aca="false">IF(AND(D4185=1,A4185&gt;=$R$2),F4185,"")</f>
        <v>0.0106042142336538</v>
      </c>
      <c r="H4185" s="27" t="n">
        <f aca="false">IF(G4185="","",G4185^2)</f>
        <v>0.000112449359513226</v>
      </c>
      <c r="I4185" s="25" t="n">
        <f aca="false">IF(G4185="","",C4185/C4184-1)</f>
        <v>0.0106606381809153</v>
      </c>
      <c r="J4185" s="17" t="n">
        <f aca="false">AVERAGE(C3986:C4185)</f>
        <v>77008.45335</v>
      </c>
      <c r="K4185" s="17" t="n">
        <f aca="false">MAX(K4184,C4185)</f>
        <v>124720.09</v>
      </c>
      <c r="L4185" s="25" t="n">
        <f aca="false">C4185/K4185-1</f>
        <v>-0.490677404097447</v>
      </c>
      <c r="M4185" s="25" t="n">
        <f aca="false">IF(COUNT(G4156:G4185)&lt;20,"",_xlfn.STDEV.S(G4156:G4185)*SQRT($R$3))</f>
        <v>0.412464693518584</v>
      </c>
      <c r="N4185" s="25" t="n">
        <f aca="false">IF(A4185-7&lt;$R$2,"",C4185/INDEX(Clean_Data!$C$2:$C$4314,MATCH(A4185-7,Clean_Data!$A$2:$A$4314,1))-1)</f>
        <v>-0.000506648104254936</v>
      </c>
      <c r="O4185" s="25" t="n">
        <f aca="false">IF(A4185-30&lt;$R$2,"",C4185/INDEX(Clean_Data!$C$2:$C$4314,MATCH(A4185-30,Clean_Data!$A$2:$A$4314,1))-1)</f>
        <v>-0.180294474673787</v>
      </c>
    </row>
    <row r="4186" customFormat="false" ht="15" hidden="false" customHeight="false" outlineLevel="0" collapsed="false">
      <c r="A4186" s="16" t="n">
        <v>46193</v>
      </c>
      <c r="B4186" s="23" t="n">
        <f aca="false">YEAR(A4186)</f>
        <v>2026</v>
      </c>
      <c r="C4186" s="17" t="n">
        <v>64180</v>
      </c>
      <c r="D4186" s="23" t="n">
        <f aca="false">A4186-A4185</f>
        <v>1</v>
      </c>
      <c r="E4186" s="24" t="n">
        <f aca="false">LN(C4186)</f>
        <v>11.0694469146638</v>
      </c>
      <c r="F4186" s="25" t="n">
        <f aca="false">LN(C4186/C4185)</f>
        <v>0.0102933688051807</v>
      </c>
      <c r="G4186" s="25" t="n">
        <f aca="false">IF(AND(D4186=1,A4186&gt;=$R$2),F4186,"")</f>
        <v>0.0102933688051807</v>
      </c>
      <c r="H4186" s="27" t="n">
        <f aca="false">IF(G4186="","",G4186^2)</f>
        <v>0.000105953441359466</v>
      </c>
      <c r="I4186" s="25" t="n">
        <f aca="false">IF(G4186="","",C4186/C4185-1)</f>
        <v>0.0103465277642218</v>
      </c>
      <c r="J4186" s="17" t="n">
        <f aca="false">AVERAGE(C3987:C4186)</f>
        <v>76871.6896</v>
      </c>
      <c r="K4186" s="17" t="n">
        <f aca="false">MAX(K4185,C4186)</f>
        <v>124720.09</v>
      </c>
      <c r="L4186" s="25" t="n">
        <f aca="false">C4186/K4186-1</f>
        <v>-0.485407683717996</v>
      </c>
      <c r="M4186" s="25" t="n">
        <f aca="false">IF(COUNT(G4157:G4186)&lt;20,"",_xlfn.STDEV.S(G4157:G4186)*SQRT($R$3))</f>
        <v>0.416194844238286</v>
      </c>
      <c r="N4186" s="25" t="n">
        <f aca="false">IF(A4186-7&lt;$R$2,"",C4186/INDEX(Clean_Data!$C$2:$C$4314,MATCH(A4186-7,Clean_Data!$A$2:$A$4314,1))-1)</f>
        <v>-0.00301394879487094</v>
      </c>
      <c r="O4186" s="25" t="n">
        <f aca="false">IF(A4186-30&lt;$R$2,"",C4186/INDEX(Clean_Data!$C$2:$C$4314,MATCH(A4186-30,Clean_Data!$A$2:$A$4314,1))-1)</f>
        <v>-0.171347687171744</v>
      </c>
    </row>
    <row r="4187" customFormat="false" ht="15" hidden="false" customHeight="false" outlineLevel="0" collapsed="false">
      <c r="A4187" s="16" t="n">
        <v>46194</v>
      </c>
      <c r="B4187" s="23" t="n">
        <f aca="false">YEAR(A4187)</f>
        <v>2026</v>
      </c>
      <c r="C4187" s="17" t="n">
        <v>63321.17</v>
      </c>
      <c r="D4187" s="23" t="n">
        <f aca="false">A4187-A4186</f>
        <v>1</v>
      </c>
      <c r="E4187" s="24" t="n">
        <f aca="false">LN(C4187)</f>
        <v>11.0559749913985</v>
      </c>
      <c r="F4187" s="25" t="n">
        <f aca="false">LN(C4187/C4186)</f>
        <v>-0.0134719232653816</v>
      </c>
      <c r="G4187" s="25" t="n">
        <f aca="false">IF(AND(D4187=1,A4187&gt;=$R$2),F4187,"")</f>
        <v>-0.0134719232653816</v>
      </c>
      <c r="H4187" s="27" t="n">
        <f aca="false">IF(G4187="","",G4187^2)</f>
        <v>0.000181492716468329</v>
      </c>
      <c r="I4187" s="25" t="n">
        <f aca="false">IF(G4187="","",C4187/C4186-1)</f>
        <v>-0.0133815830476784</v>
      </c>
      <c r="J4187" s="17" t="n">
        <f aca="false">AVERAGE(C3988:C4187)</f>
        <v>76722.5453</v>
      </c>
      <c r="K4187" s="17" t="n">
        <f aca="false">MAX(K4186,C4187)</f>
        <v>124720.09</v>
      </c>
      <c r="L4187" s="25" t="n">
        <f aca="false">C4187/K4187-1</f>
        <v>-0.492293743534021</v>
      </c>
      <c r="M4187" s="25" t="n">
        <f aca="false">IF(COUNT(G4158:G4187)&lt;20,"",_xlfn.STDEV.S(G4158:G4187)*SQRT($R$3))</f>
        <v>0.411102735099738</v>
      </c>
      <c r="N4187" s="25" t="n">
        <f aca="false">IF(A4187-7&lt;$R$2,"",C4187/INDEX(Clean_Data!$C$2:$C$4314,MATCH(A4187-7,Clean_Data!$A$2:$A$4314,1))-1)</f>
        <v>-0.0348124168509004</v>
      </c>
      <c r="O4187" s="25" t="n">
        <f aca="false">IF(A4187-30&lt;$R$2,"",C4187/INDEX(Clean_Data!$C$2:$C$4314,MATCH(A4187-30,Clean_Data!$A$2:$A$4314,1))-1)</f>
        <v>-0.161069439166999</v>
      </c>
    </row>
    <row r="4188" customFormat="false" ht="15" hidden="false" customHeight="false" outlineLevel="0" collapsed="false">
      <c r="A4188" s="16" t="n">
        <v>46195</v>
      </c>
      <c r="B4188" s="23" t="n">
        <f aca="false">YEAR(A4188)</f>
        <v>2026</v>
      </c>
      <c r="C4188" s="17" t="n">
        <v>63932.91</v>
      </c>
      <c r="D4188" s="23" t="n">
        <f aca="false">A4188-A4187</f>
        <v>1</v>
      </c>
      <c r="E4188" s="24" t="n">
        <f aca="false">LN(C4188)</f>
        <v>11.0655895312607</v>
      </c>
      <c r="F4188" s="25" t="n">
        <f aca="false">LN(C4188/C4187)</f>
        <v>0.00961453986226788</v>
      </c>
      <c r="G4188" s="25" t="n">
        <f aca="false">IF(AND(D4188=1,A4188&gt;=$R$2),F4188,"")</f>
        <v>0.00961453986226788</v>
      </c>
      <c r="H4188" s="27" t="n">
        <f aca="false">IF(G4188="","",G4188^2)</f>
        <v>9.2439376763138E-005</v>
      </c>
      <c r="I4188" s="25" t="n">
        <f aca="false">IF(G4188="","",C4188/C4187-1)</f>
        <v>0.00966090803439057</v>
      </c>
      <c r="J4188" s="17" t="n">
        <f aca="false">AVERAGE(C3989:C4188)</f>
        <v>76580.4433</v>
      </c>
      <c r="K4188" s="17" t="n">
        <f aca="false">MAX(K4187,C4188)</f>
        <v>124720.09</v>
      </c>
      <c r="L4188" s="25" t="n">
        <f aca="false">C4188/K4188-1</f>
        <v>-0.487388840081818</v>
      </c>
      <c r="M4188" s="25" t="n">
        <f aca="false">IF(COUNT(G4159:G4188)&lt;20,"",_xlfn.STDEV.S(G4159:G4188)*SQRT($R$3))</f>
        <v>0.408007316816739</v>
      </c>
      <c r="N4188" s="25" t="n">
        <f aca="false">IF(A4188-7&lt;$R$2,"",C4188/INDEX(Clean_Data!$C$2:$C$4314,MATCH(A4188-7,Clean_Data!$A$2:$A$4314,1))-1)</f>
        <v>-0.0347118021909066</v>
      </c>
      <c r="O4188" s="25" t="n">
        <f aca="false">IF(A4188-30&lt;$R$2,"",C4188/INDEX(Clean_Data!$C$2:$C$4314,MATCH(A4188-30,Clean_Data!$A$2:$A$4314,1))-1)</f>
        <v>-0.165671577709398</v>
      </c>
    </row>
    <row r="4189" customFormat="false" ht="15" hidden="false" customHeight="false" outlineLevel="0" collapsed="false">
      <c r="A4189" s="16" t="n">
        <v>46196</v>
      </c>
      <c r="B4189" s="23" t="n">
        <f aca="false">YEAR(A4189)</f>
        <v>2026</v>
      </c>
      <c r="C4189" s="17" t="n">
        <v>62689.99</v>
      </c>
      <c r="D4189" s="23" t="n">
        <f aca="false">A4189-A4188</f>
        <v>1</v>
      </c>
      <c r="E4189" s="24" t="n">
        <f aca="false">LN(C4189)</f>
        <v>11.0459570647529</v>
      </c>
      <c r="F4189" s="25" t="n">
        <f aca="false">LN(C4189/C4188)</f>
        <v>-0.0196324665078068</v>
      </c>
      <c r="G4189" s="25" t="n">
        <f aca="false">IF(AND(D4189=1,A4189&gt;=$R$2),F4189,"")</f>
        <v>-0.0196324665078068</v>
      </c>
      <c r="H4189" s="27" t="n">
        <f aca="false">IF(G4189="","",G4189^2)</f>
        <v>0.000385433741180156</v>
      </c>
      <c r="I4189" s="25" t="n">
        <f aca="false">IF(G4189="","",C4189/C4188-1)</f>
        <v>-0.019441004640646</v>
      </c>
      <c r="J4189" s="17" t="n">
        <f aca="false">AVERAGE(C3990:C4189)</f>
        <v>76447.15735</v>
      </c>
      <c r="K4189" s="17" t="n">
        <f aca="false">MAX(K4188,C4189)</f>
        <v>124720.09</v>
      </c>
      <c r="L4189" s="25" t="n">
        <f aca="false">C4189/K4189-1</f>
        <v>-0.497354516020635</v>
      </c>
      <c r="M4189" s="25" t="n">
        <f aca="false">IF(COUNT(G4160:G4189)&lt;20,"",_xlfn.STDEV.S(G4160:G4189)*SQRT($R$3))</f>
        <v>0.408341274634654</v>
      </c>
      <c r="N4189" s="25" t="n">
        <f aca="false">IF(A4189-7&lt;$R$2,"",C4189/INDEX(Clean_Data!$C$2:$C$4314,MATCH(A4189-7,Clean_Data!$A$2:$A$4314,1))-1)</f>
        <v>-0.0455112605785126</v>
      </c>
      <c r="O4189" s="25" t="n">
        <f aca="false">IF(A4189-30&lt;$R$2,"",C4189/INDEX(Clean_Data!$C$2:$C$4314,MATCH(A4189-30,Clean_Data!$A$2:$A$4314,1))-1)</f>
        <v>-0.186670079651595</v>
      </c>
    </row>
    <row r="4190" customFormat="false" ht="15" hidden="false" customHeight="false" outlineLevel="0" collapsed="false">
      <c r="A4190" s="16" t="n">
        <v>46197</v>
      </c>
      <c r="B4190" s="23" t="n">
        <f aca="false">YEAR(A4190)</f>
        <v>2026</v>
      </c>
      <c r="C4190" s="17" t="n">
        <v>60950</v>
      </c>
      <c r="D4190" s="23" t="n">
        <f aca="false">A4190-A4189</f>
        <v>1</v>
      </c>
      <c r="E4190" s="24" t="n">
        <f aca="false">LN(C4190)</f>
        <v>11.0178091349094</v>
      </c>
      <c r="F4190" s="25" t="n">
        <f aca="false">LN(C4190/C4189)</f>
        <v>-0.0281479298435097</v>
      </c>
      <c r="G4190" s="25" t="n">
        <f aca="false">IF(AND(D4190=1,A4190&gt;=$R$2),F4190,"")</f>
        <v>-0.0281479298435097</v>
      </c>
      <c r="H4190" s="27" t="n">
        <f aca="false">IF(G4190="","",G4190^2)</f>
        <v>0.000792305954475145</v>
      </c>
      <c r="I4190" s="25" t="n">
        <f aca="false">IF(G4190="","",C4190/C4189-1)</f>
        <v>-0.027755467818706</v>
      </c>
      <c r="J4190" s="17" t="n">
        <f aca="false">AVERAGE(C3991:C4190)</f>
        <v>76304.50505</v>
      </c>
      <c r="K4190" s="17" t="n">
        <f aca="false">MAX(K4189,C4190)</f>
        <v>124720.09</v>
      </c>
      <c r="L4190" s="25" t="n">
        <f aca="false">C4190/K4190-1</f>
        <v>-0.511305676575442</v>
      </c>
      <c r="M4190" s="25" t="n">
        <f aca="false">IF(COUNT(G4161:G4190)&lt;20,"",_xlfn.STDEV.S(G4161:G4190)*SQRT($R$3))</f>
        <v>0.413725218266169</v>
      </c>
      <c r="N4190" s="25" t="n">
        <f aca="false">IF(A4190-7&lt;$R$2,"",C4190/INDEX(Clean_Data!$C$2:$C$4314,MATCH(A4190-7,Clean_Data!$A$2:$A$4314,1))-1)</f>
        <v>-0.0554774867363934</v>
      </c>
      <c r="O4190" s="25" t="n">
        <f aca="false">IF(A4190-30&lt;$R$2,"",C4190/INDEX(Clean_Data!$C$2:$C$4314,MATCH(A4190-30,Clean_Data!$A$2:$A$4314,1))-1)</f>
        <v>-0.21045980774081</v>
      </c>
    </row>
    <row r="4191" customFormat="false" ht="15" hidden="false" customHeight="false" outlineLevel="0" collapsed="false">
      <c r="A4191" s="16" t="n">
        <v>46198</v>
      </c>
      <c r="B4191" s="23" t="n">
        <f aca="false">YEAR(A4191)</f>
        <v>2026</v>
      </c>
      <c r="C4191" s="17" t="n">
        <v>59778.75</v>
      </c>
      <c r="D4191" s="23" t="n">
        <f aca="false">A4191-A4190</f>
        <v>1</v>
      </c>
      <c r="E4191" s="24" t="n">
        <f aca="false">LN(C4191)</f>
        <v>10.998405525616</v>
      </c>
      <c r="F4191" s="25" t="n">
        <f aca="false">LN(C4191/C4190)</f>
        <v>-0.0194036092934515</v>
      </c>
      <c r="G4191" s="25" t="n">
        <f aca="false">IF(AND(D4191=1,A4191&gt;=$R$2),F4191,"")</f>
        <v>-0.0194036092934515</v>
      </c>
      <c r="H4191" s="27" t="n">
        <f aca="false">IF(G4191="","",G4191^2)</f>
        <v>0.000376500053612917</v>
      </c>
      <c r="I4191" s="25" t="n">
        <f aca="false">IF(G4191="","",C4191/C4190-1)</f>
        <v>-0.0192165709598031</v>
      </c>
      <c r="J4191" s="17" t="n">
        <f aca="false">AVERAGE(C3992:C4191)</f>
        <v>76151.2217</v>
      </c>
      <c r="K4191" s="17" t="n">
        <f aca="false">MAX(K4190,C4191)</f>
        <v>124720.09</v>
      </c>
      <c r="L4191" s="25" t="n">
        <f aca="false">C4191/K4191-1</f>
        <v>-0.520696705719183</v>
      </c>
      <c r="M4191" s="25" t="n">
        <f aca="false">IF(COUNT(G4162:G4191)&lt;20,"",_xlfn.STDEV.S(G4162:G4191)*SQRT($R$3))</f>
        <v>0.414245399223166</v>
      </c>
      <c r="N4191" s="25" t="n">
        <f aca="false">IF(A4191-7&lt;$R$2,"",C4191/INDEX(Clean_Data!$C$2:$C$4314,MATCH(A4191-7,Clean_Data!$A$2:$A$4314,1))-1)</f>
        <v>-0.048907358171191</v>
      </c>
      <c r="O4191" s="25" t="n">
        <f aca="false">IF(A4191-30&lt;$R$2,"",C4191/INDEX(Clean_Data!$C$2:$C$4314,MATCH(A4191-30,Clean_Data!$A$2:$A$4314,1))-1)</f>
        <v>-0.211721230421023</v>
      </c>
    </row>
    <row r="4192" customFormat="false" ht="15" hidden="false" customHeight="false" outlineLevel="0" collapsed="false">
      <c r="A4192" s="16" t="n">
        <v>46199</v>
      </c>
      <c r="B4192" s="23" t="n">
        <f aca="false">YEAR(A4192)</f>
        <v>2026</v>
      </c>
      <c r="C4192" s="17" t="n">
        <v>59995.84</v>
      </c>
      <c r="D4192" s="23" t="n">
        <f aca="false">A4192-A4191</f>
        <v>1</v>
      </c>
      <c r="E4192" s="24" t="n">
        <f aca="false">LN(C4192)</f>
        <v>11.0020305054672</v>
      </c>
      <c r="F4192" s="25" t="n">
        <f aca="false">LN(C4192/C4191)</f>
        <v>0.00362497985127154</v>
      </c>
      <c r="G4192" s="25" t="n">
        <f aca="false">IF(AND(D4192=1,A4192&gt;=$R$2),F4192,"")</f>
        <v>0.00362497985127154</v>
      </c>
      <c r="H4192" s="27" t="n">
        <f aca="false">IF(G4192="","",G4192^2)</f>
        <v>1.31404789221246E-005</v>
      </c>
      <c r="I4192" s="25" t="n">
        <f aca="false">IF(G4192="","",C4192/C4191-1)</f>
        <v>0.00363155803692772</v>
      </c>
      <c r="J4192" s="17" t="n">
        <f aca="false">AVERAGE(C3993:C4192)</f>
        <v>75999.50905</v>
      </c>
      <c r="K4192" s="17" t="n">
        <f aca="false">MAX(K4191,C4192)</f>
        <v>124720.09</v>
      </c>
      <c r="L4192" s="25" t="n">
        <f aca="false">C4192/K4192-1</f>
        <v>-0.518956087988711</v>
      </c>
      <c r="M4192" s="25" t="n">
        <f aca="false">IF(COUNT(G4163:G4192)&lt;20,"",_xlfn.STDEV.S(G4163:G4192)*SQRT($R$3))</f>
        <v>0.414226745509473</v>
      </c>
      <c r="N4192" s="25" t="n">
        <f aca="false">IF(A4192-7&lt;$R$2,"",C4192/INDEX(Clean_Data!$C$2:$C$4314,MATCH(A4192-7,Clean_Data!$A$2:$A$4314,1))-1)</f>
        <v>-0.0555221467077313</v>
      </c>
      <c r="O4192" s="25" t="n">
        <f aca="false">IF(A4192-30&lt;$R$2,"",C4192/INDEX(Clean_Data!$C$2:$C$4314,MATCH(A4192-30,Clean_Data!$A$2:$A$4314,1))-1)</f>
        <v>-0.193850263427691</v>
      </c>
    </row>
    <row r="4193" customFormat="false" ht="15" hidden="false" customHeight="false" outlineLevel="0" collapsed="false">
      <c r="A4193" s="16" t="n">
        <v>46200</v>
      </c>
      <c r="B4193" s="23" t="n">
        <f aca="false">YEAR(A4193)</f>
        <v>2026</v>
      </c>
      <c r="C4193" s="17" t="n">
        <v>59964.66</v>
      </c>
      <c r="D4193" s="23" t="n">
        <f aca="false">A4193-A4192</f>
        <v>1</v>
      </c>
      <c r="E4193" s="24" t="n">
        <f aca="false">LN(C4193)</f>
        <v>11.0015106676756</v>
      </c>
      <c r="F4193" s="25" t="n">
        <f aca="false">LN(C4193/C4192)</f>
        <v>-0.000519837791642168</v>
      </c>
      <c r="G4193" s="25" t="n">
        <f aca="false">IF(AND(D4193=1,A4193&gt;=$R$2),F4193,"")</f>
        <v>-0.000519837791642168</v>
      </c>
      <c r="H4193" s="27" t="n">
        <f aca="false">IF(G4193="","",G4193^2)</f>
        <v>2.70231329619406E-007</v>
      </c>
      <c r="I4193" s="25" t="n">
        <f aca="false">IF(G4193="","",C4193/C4192-1)</f>
        <v>-0.000519702699387059</v>
      </c>
      <c r="J4193" s="17" t="n">
        <f aca="false">AVERAGE(C3994:C4193)</f>
        <v>75838.1145</v>
      </c>
      <c r="K4193" s="17" t="n">
        <f aca="false">MAX(K4192,C4193)</f>
        <v>124720.09</v>
      </c>
      <c r="L4193" s="25" t="n">
        <f aca="false">C4193/K4193-1</f>
        <v>-0.519206087808307</v>
      </c>
      <c r="M4193" s="25" t="n">
        <f aca="false">IF(COUNT(G4164:G4193)&lt;20,"",_xlfn.STDEV.S(G4164:G4193)*SQRT($R$3))</f>
        <v>0.414838265981753</v>
      </c>
      <c r="N4193" s="25" t="n">
        <f aca="false">IF(A4193-7&lt;$R$2,"",C4193/INDEX(Clean_Data!$C$2:$C$4314,MATCH(A4193-7,Clean_Data!$A$2:$A$4314,1))-1)</f>
        <v>-0.065679962605173</v>
      </c>
      <c r="O4193" s="25" t="n">
        <f aca="false">IF(A4193-30&lt;$R$2,"",C4193/INDEX(Clean_Data!$C$2:$C$4314,MATCH(A4193-30,Clean_Data!$A$2:$A$4314,1))-1)</f>
        <v>-0.18994151983584</v>
      </c>
    </row>
    <row r="4194" customFormat="false" ht="15" hidden="false" customHeight="false" outlineLevel="0" collapsed="false">
      <c r="A4194" s="16" t="n">
        <v>46201</v>
      </c>
      <c r="B4194" s="23" t="n">
        <f aca="false">YEAR(A4194)</f>
        <v>2026</v>
      </c>
      <c r="C4194" s="17" t="n">
        <v>59367.05</v>
      </c>
      <c r="D4194" s="23" t="n">
        <f aca="false">A4194-A4193</f>
        <v>1</v>
      </c>
      <c r="E4194" s="24" t="n">
        <f aca="false">LN(C4194)</f>
        <v>10.9914946376354</v>
      </c>
      <c r="F4194" s="25" t="n">
        <f aca="false">LN(C4194/C4193)</f>
        <v>-0.0100160300401957</v>
      </c>
      <c r="G4194" s="25" t="n">
        <f aca="false">IF(AND(D4194=1,A4194&gt;=$R$2),F4194,"")</f>
        <v>-0.0100160300401957</v>
      </c>
      <c r="H4194" s="27" t="n">
        <f aca="false">IF(G4194="","",G4194^2)</f>
        <v>0.000100320857766103</v>
      </c>
      <c r="I4194" s="25" t="n">
        <f aca="false">IF(G4194="","",C4194/C4193-1)</f>
        <v>-0.0099660366622607</v>
      </c>
      <c r="J4194" s="17" t="n">
        <f aca="false">AVERAGE(C3995:C4194)</f>
        <v>75678.9749</v>
      </c>
      <c r="K4194" s="17" t="n">
        <f aca="false">MAX(K4193,C4194)</f>
        <v>124720.09</v>
      </c>
      <c r="L4194" s="25" t="n">
        <f aca="false">C4194/K4194-1</f>
        <v>-0.523997697564202</v>
      </c>
      <c r="M4194" s="25" t="n">
        <f aca="false">IF(COUNT(G4165:G4194)&lt;20,"",_xlfn.STDEV.S(G4165:G4194)*SQRT($R$3))</f>
        <v>0.414514060825207</v>
      </c>
      <c r="N4194" s="25" t="n">
        <f aca="false">IF(A4194-7&lt;$R$2,"",C4194/INDEX(Clean_Data!$C$2:$C$4314,MATCH(A4194-7,Clean_Data!$A$2:$A$4314,1))-1)</f>
        <v>-0.0624454665003821</v>
      </c>
      <c r="O4194" s="25" t="n">
        <f aca="false">IF(A4194-30&lt;$R$2,"",C4194/INDEX(Clean_Data!$C$2:$C$4314,MATCH(A4194-30,Clean_Data!$A$2:$A$4314,1))-1)</f>
        <v>-0.196628812836607</v>
      </c>
    </row>
    <row r="4195" customFormat="false" ht="15" hidden="false" customHeight="false" outlineLevel="0" collapsed="false">
      <c r="A4195" s="16" t="n">
        <v>46202</v>
      </c>
      <c r="B4195" s="23" t="n">
        <f aca="false">YEAR(A4195)</f>
        <v>2026</v>
      </c>
      <c r="C4195" s="17" t="n">
        <v>60128.09</v>
      </c>
      <c r="D4195" s="23" t="n">
        <f aca="false">A4195-A4194</f>
        <v>1</v>
      </c>
      <c r="E4195" s="24" t="n">
        <f aca="false">LN(C4195)</f>
        <v>11.0042323990189</v>
      </c>
      <c r="F4195" s="25" t="n">
        <f aca="false">LN(C4195/C4194)</f>
        <v>0.012737761383484</v>
      </c>
      <c r="G4195" s="25" t="n">
        <f aca="false">IF(AND(D4195=1,A4195&gt;=$R$2),F4195,"")</f>
        <v>0.012737761383484</v>
      </c>
      <c r="H4195" s="27" t="n">
        <f aca="false">IF(G4195="","",G4195^2)</f>
        <v>0.000162250565062575</v>
      </c>
      <c r="I4195" s="25" t="n">
        <f aca="false">IF(G4195="","",C4195/C4194-1)</f>
        <v>0.0128192322171978</v>
      </c>
      <c r="J4195" s="17" t="n">
        <f aca="false">AVERAGE(C3996:C4195)</f>
        <v>75520.6924</v>
      </c>
      <c r="K4195" s="17" t="n">
        <f aca="false">MAX(K4194,C4195)</f>
        <v>124720.09</v>
      </c>
      <c r="L4195" s="25" t="n">
        <f aca="false">C4195/K4195-1</f>
        <v>-0.517895713513356</v>
      </c>
      <c r="M4195" s="25" t="n">
        <f aca="false">IF(COUNT(G4166:G4195)&lt;20,"",_xlfn.STDEV.S(G4166:G4195)*SQRT($R$3))</f>
        <v>0.42001879585051</v>
      </c>
      <c r="N4195" s="25" t="n">
        <f aca="false">IF(A4195-7&lt;$R$2,"",C4195/INDEX(Clean_Data!$C$2:$C$4314,MATCH(A4195-7,Clean_Data!$A$2:$A$4314,1))-1)</f>
        <v>-0.0595126985460228</v>
      </c>
      <c r="O4195" s="25" t="n">
        <f aca="false">IF(A4195-30&lt;$R$2,"",C4195/INDEX(Clean_Data!$C$2:$C$4314,MATCH(A4195-30,Clean_Data!$A$2:$A$4314,1))-1)</f>
        <v>-0.184795719967011</v>
      </c>
    </row>
    <row r="4196" customFormat="false" ht="15" hidden="false" customHeight="false" outlineLevel="0" collapsed="false">
      <c r="A4196" s="16" t="n">
        <v>46203</v>
      </c>
      <c r="B4196" s="23" t="n">
        <f aca="false">YEAR(A4196)</f>
        <v>2026</v>
      </c>
      <c r="C4196" s="17" t="n">
        <v>58585.96</v>
      </c>
      <c r="D4196" s="23" t="n">
        <f aca="false">A4196-A4195</f>
        <v>1</v>
      </c>
      <c r="E4196" s="24" t="n">
        <f aca="false">LN(C4196)</f>
        <v>10.978250356415</v>
      </c>
      <c r="F4196" s="25" t="n">
        <f aca="false">LN(C4196/C4195)</f>
        <v>-0.0259820426038414</v>
      </c>
      <c r="G4196" s="25" t="n">
        <f aca="false">IF(AND(D4196=1,A4196&gt;=$R$2),F4196,"")</f>
        <v>-0.0259820426038414</v>
      </c>
      <c r="H4196" s="27" t="n">
        <f aca="false">IF(G4196="","",G4196^2)</f>
        <v>0.00067506653786783</v>
      </c>
      <c r="I4196" s="25" t="n">
        <f aca="false">IF(G4196="","",C4196/C4195-1)</f>
        <v>-0.0256474137129584</v>
      </c>
      <c r="J4196" s="17" t="n">
        <f aca="false">AVERAGE(C3997:C4196)</f>
        <v>75361.8722</v>
      </c>
      <c r="K4196" s="17" t="n">
        <f aca="false">MAX(K4195,C4196)</f>
        <v>124720.09</v>
      </c>
      <c r="L4196" s="25" t="n">
        <f aca="false">C4196/K4196-1</f>
        <v>-0.53026044160167</v>
      </c>
      <c r="M4196" s="25" t="n">
        <f aca="false">IF(COUNT(G4167:G4196)&lt;20,"",_xlfn.STDEV.S(G4167:G4196)*SQRT($R$3))</f>
        <v>0.424672169363902</v>
      </c>
      <c r="N4196" s="25" t="n">
        <f aca="false">IF(A4196-7&lt;$R$2,"",C4196/INDEX(Clean_Data!$C$2:$C$4314,MATCH(A4196-7,Clean_Data!$A$2:$A$4314,1))-1)</f>
        <v>-0.0654654754291714</v>
      </c>
      <c r="O4196" s="25" t="n">
        <f aca="false">IF(A4196-30&lt;$R$2,"",C4196/INDEX(Clean_Data!$C$2:$C$4314,MATCH(A4196-30,Clean_Data!$A$2:$A$4314,1))-1)</f>
        <v>-0.204949493373105</v>
      </c>
    </row>
    <row r="4197" customFormat="false" ht="15" hidden="false" customHeight="false" outlineLevel="0" collapsed="false">
      <c r="A4197" s="16" t="n">
        <v>46204</v>
      </c>
      <c r="B4197" s="23" t="n">
        <f aca="false">YEAR(A4197)</f>
        <v>2026</v>
      </c>
      <c r="C4197" s="17" t="n">
        <v>59881.98</v>
      </c>
      <c r="D4197" s="23" t="n">
        <f aca="false">A4197-A4196</f>
        <v>1</v>
      </c>
      <c r="E4197" s="24" t="n">
        <f aca="false">LN(C4197)</f>
        <v>11.0001309041192</v>
      </c>
      <c r="F4197" s="25" t="n">
        <f aca="false">LN(C4197/C4196)</f>
        <v>0.0218805477041144</v>
      </c>
      <c r="G4197" s="25" t="n">
        <f aca="false">IF(AND(D4197=1,A4197&gt;=$R$2),F4197,"")</f>
        <v>0.0218805477041144</v>
      </c>
      <c r="H4197" s="27" t="n">
        <f aca="false">IF(G4197="","",G4197^2)</f>
        <v>0.000478758367832027</v>
      </c>
      <c r="I4197" s="25" t="n">
        <f aca="false">IF(G4197="","",C4197/C4196-1)</f>
        <v>0.0221216823962602</v>
      </c>
      <c r="J4197" s="17" t="n">
        <f aca="false">AVERAGE(C3998:C4197)</f>
        <v>75209.65205</v>
      </c>
      <c r="K4197" s="17" t="n">
        <f aca="false">MAX(K4196,C4197)</f>
        <v>124720.09</v>
      </c>
      <c r="L4197" s="25" t="n">
        <f aca="false">C4197/K4197-1</f>
        <v>-0.519869012281822</v>
      </c>
      <c r="M4197" s="25" t="n">
        <f aca="false">IF(COUNT(G4168:G4197)&lt;20,"",_xlfn.STDEV.S(G4168:G4197)*SQRT($R$3))</f>
        <v>0.426200685341438</v>
      </c>
      <c r="N4197" s="25" t="n">
        <f aca="false">IF(A4197-7&lt;$R$2,"",C4197/INDEX(Clean_Data!$C$2:$C$4314,MATCH(A4197-7,Clean_Data!$A$2:$A$4314,1))-1)</f>
        <v>-0.0175228876127973</v>
      </c>
      <c r="O4197" s="25" t="n">
        <f aca="false">IF(A4197-30&lt;$R$2,"",C4197/INDEX(Clean_Data!$C$2:$C$4314,MATCH(A4197-30,Clean_Data!$A$2:$A$4314,1))-1)</f>
        <v>-0.159711903533401</v>
      </c>
    </row>
    <row r="4198" customFormat="false" ht="15" hidden="false" customHeight="false" outlineLevel="0" collapsed="false">
      <c r="A4198" s="16" t="n">
        <v>46205</v>
      </c>
      <c r="B4198" s="23" t="n">
        <f aca="false">YEAR(A4198)</f>
        <v>2026</v>
      </c>
      <c r="C4198" s="17" t="n">
        <v>61422.31</v>
      </c>
      <c r="D4198" s="23" t="n">
        <f aca="false">A4198-A4197</f>
        <v>1</v>
      </c>
      <c r="E4198" s="24" t="n">
        <f aca="false">LN(C4198)</f>
        <v>11.0255284031866</v>
      </c>
      <c r="F4198" s="25" t="n">
        <f aca="false">LN(C4198/C4197)</f>
        <v>0.0253974990674778</v>
      </c>
      <c r="G4198" s="25" t="n">
        <f aca="false">IF(AND(D4198=1,A4198&gt;=$R$2),F4198,"")</f>
        <v>0.0253974990674778</v>
      </c>
      <c r="H4198" s="27" t="n">
        <f aca="false">IF(G4198="","",G4198^2)</f>
        <v>0.000645032958882534</v>
      </c>
      <c r="I4198" s="25" t="n">
        <f aca="false">IF(G4198="","",C4198/C4197-1)</f>
        <v>0.0257227633421606</v>
      </c>
      <c r="J4198" s="17" t="n">
        <f aca="false">AVERAGE(C3999:C4198)</f>
        <v>75074.46355</v>
      </c>
      <c r="K4198" s="17" t="n">
        <f aca="false">MAX(K4197,C4198)</f>
        <v>124720.09</v>
      </c>
      <c r="L4198" s="25" t="n">
        <f aca="false">C4198/K4198-1</f>
        <v>-0.50751871651151</v>
      </c>
      <c r="M4198" s="25" t="n">
        <f aca="false">IF(COUNT(G4169:G4198)&lt;20,"",_xlfn.STDEV.S(G4169:G4198)*SQRT($R$3))</f>
        <v>0.378884582673587</v>
      </c>
      <c r="N4198" s="25" t="n">
        <f aca="false">IF(A4198-7&lt;$R$2,"",C4198/INDEX(Clean_Data!$C$2:$C$4314,MATCH(A4198-7,Clean_Data!$A$2:$A$4314,1))-1)</f>
        <v>0.0274940509796542</v>
      </c>
      <c r="O4198" s="25" t="n">
        <f aca="false">IF(A4198-30&lt;$R$2,"",C4198/INDEX(Clean_Data!$C$2:$C$4314,MATCH(A4198-30,Clean_Data!$A$2:$A$4314,1))-1)</f>
        <v>-0.0785873063448475</v>
      </c>
    </row>
    <row r="4199" customFormat="false" ht="15" hidden="false" customHeight="false" outlineLevel="0" collapsed="false">
      <c r="A4199" s="16" t="n">
        <v>46206</v>
      </c>
      <c r="B4199" s="23" t="n">
        <f aca="false">YEAR(A4199)</f>
        <v>2026</v>
      </c>
      <c r="C4199" s="17" t="n">
        <v>62537.99</v>
      </c>
      <c r="D4199" s="23" t="n">
        <f aca="false">A4199-A4198</f>
        <v>1</v>
      </c>
      <c r="E4199" s="24" t="n">
        <f aca="false">LN(C4199)</f>
        <v>11.0435294910646</v>
      </c>
      <c r="F4199" s="25" t="n">
        <f aca="false">LN(C4199/C4198)</f>
        <v>0.0180010878779508</v>
      </c>
      <c r="G4199" s="25" t="n">
        <f aca="false">IF(AND(D4199=1,A4199&gt;=$R$2),F4199,"")</f>
        <v>0.0180010878779508</v>
      </c>
      <c r="H4199" s="27" t="n">
        <f aca="false">IF(G4199="","",G4199^2)</f>
        <v>0.000324039164789709</v>
      </c>
      <c r="I4199" s="25" t="n">
        <f aca="false">IF(G4199="","",C4199/C4198-1)</f>
        <v>0.0181640840274486</v>
      </c>
      <c r="J4199" s="17" t="n">
        <f aca="false">AVERAGE(C4000:C4199)</f>
        <v>74957.4035</v>
      </c>
      <c r="K4199" s="17" t="n">
        <f aca="false">MAX(K4198,C4199)</f>
        <v>124720.09</v>
      </c>
      <c r="L4199" s="25" t="n">
        <f aca="false">C4199/K4199-1</f>
        <v>-0.498573245096279</v>
      </c>
      <c r="M4199" s="25" t="n">
        <f aca="false">IF(COUNT(G4170:G4199)&lt;20,"",_xlfn.STDEV.S(G4170:G4199)*SQRT($R$3))</f>
        <v>0.36490673533668</v>
      </c>
      <c r="N4199" s="25" t="n">
        <f aca="false">IF(A4199-7&lt;$R$2,"",C4199/INDEX(Clean_Data!$C$2:$C$4314,MATCH(A4199-7,Clean_Data!$A$2:$A$4314,1))-1)</f>
        <v>0.0423721044659096</v>
      </c>
      <c r="O4199" s="25" t="n">
        <f aca="false">IF(A4199-30&lt;$R$2,"",C4199/INDEX(Clean_Data!$C$2:$C$4314,MATCH(A4199-30,Clean_Data!$A$2:$A$4314,1))-1)</f>
        <v>-0.0267549825941658</v>
      </c>
    </row>
    <row r="4200" customFormat="false" ht="15" hidden="false" customHeight="false" outlineLevel="0" collapsed="false">
      <c r="A4200" s="16" t="n">
        <v>46207</v>
      </c>
      <c r="B4200" s="23" t="n">
        <f aca="false">YEAR(A4200)</f>
        <v>2026</v>
      </c>
      <c r="C4200" s="17" t="n">
        <v>63027.09</v>
      </c>
      <c r="D4200" s="23" t="n">
        <f aca="false">A4200-A4199</f>
        <v>1</v>
      </c>
      <c r="E4200" s="24" t="n">
        <f aca="false">LN(C4200)</f>
        <v>11.0513199129502</v>
      </c>
      <c r="F4200" s="25" t="n">
        <f aca="false">LN(C4200/C4199)</f>
        <v>0.00779042188557813</v>
      </c>
      <c r="G4200" s="25" t="n">
        <f aca="false">IF(AND(D4200=1,A4200&gt;=$R$2),F4200,"")</f>
        <v>0.00779042188557813</v>
      </c>
      <c r="H4200" s="27" t="n">
        <f aca="false">IF(G4200="","",G4200^2)</f>
        <v>6.06906731552947E-005</v>
      </c>
      <c r="I4200" s="25" t="n">
        <f aca="false">IF(G4200="","",C4200/C4199-1)</f>
        <v>0.00782084617685985</v>
      </c>
      <c r="J4200" s="17" t="n">
        <f aca="false">AVERAGE(C4001:C4200)</f>
        <v>74834.5396</v>
      </c>
      <c r="K4200" s="17" t="n">
        <f aca="false">MAX(K4199,C4200)</f>
        <v>124720.09</v>
      </c>
      <c r="L4200" s="25" t="n">
        <f aca="false">C4200/K4200-1</f>
        <v>-0.494651663577215</v>
      </c>
      <c r="M4200" s="25" t="n">
        <f aca="false">IF(COUNT(G4171:G4200)&lt;20,"",_xlfn.STDEV.S(G4171:G4200)*SQRT($R$3))</f>
        <v>0.365188126757769</v>
      </c>
      <c r="N4200" s="25" t="n">
        <f aca="false">IF(A4200-7&lt;$R$2,"",C4200/INDEX(Clean_Data!$C$2:$C$4314,MATCH(A4200-7,Clean_Data!$A$2:$A$4314,1))-1)</f>
        <v>0.0510705805719567</v>
      </c>
      <c r="O4200" s="25" t="n">
        <f aca="false">IF(A4200-30&lt;$R$2,"",C4200/INDEX(Clean_Data!$C$2:$C$4314,MATCH(A4200-30,Clean_Data!$A$2:$A$4314,1))-1)</f>
        <v>-0.0112259199725899</v>
      </c>
    </row>
    <row r="4201" customFormat="false" ht="15" hidden="false" customHeight="false" outlineLevel="0" collapsed="false">
      <c r="A4201" s="16" t="n">
        <v>46208</v>
      </c>
      <c r="B4201" s="23" t="n">
        <f aca="false">YEAR(A4201)</f>
        <v>2026</v>
      </c>
      <c r="C4201" s="17" t="n">
        <v>63577.07</v>
      </c>
      <c r="D4201" s="23" t="n">
        <f aca="false">A4201-A4200</f>
        <v>1</v>
      </c>
      <c r="E4201" s="24" t="n">
        <f aca="false">LN(C4201)</f>
        <v>11.0600081497288</v>
      </c>
      <c r="F4201" s="25" t="n">
        <f aca="false">LN(C4201/C4200)</f>
        <v>0.00868823677863383</v>
      </c>
      <c r="G4201" s="25" t="n">
        <f aca="false">IF(AND(D4201=1,A4201&gt;=$R$2),F4201,"")</f>
        <v>0.00868823677863383</v>
      </c>
      <c r="H4201" s="27" t="n">
        <f aca="false">IF(G4201="","",G4201^2)</f>
        <v>7.54854583216056E-005</v>
      </c>
      <c r="I4201" s="25" t="n">
        <f aca="false">IF(G4201="","",C4201/C4200-1)</f>
        <v>0.00872608905154926</v>
      </c>
      <c r="J4201" s="17" t="n">
        <f aca="false">AVERAGE(C4002:C4201)</f>
        <v>74722.10325</v>
      </c>
      <c r="K4201" s="17" t="n">
        <f aca="false">MAX(K4200,C4201)</f>
        <v>124720.09</v>
      </c>
      <c r="L4201" s="25" t="n">
        <f aca="false">C4201/K4201-1</f>
        <v>-0.490241948991538</v>
      </c>
      <c r="M4201" s="25" t="n">
        <f aca="false">IF(COUNT(G4172:G4201)&lt;20,"",_xlfn.STDEV.S(G4172:G4201)*SQRT($R$3))</f>
        <v>0.337832147760335</v>
      </c>
      <c r="N4201" s="25" t="n">
        <f aca="false">IF(A4201-7&lt;$R$2,"",C4201/INDEX(Clean_Data!$C$2:$C$4314,MATCH(A4201-7,Clean_Data!$A$2:$A$4314,1))-1)</f>
        <v>0.0709150951580042</v>
      </c>
      <c r="O4201" s="25" t="n">
        <f aca="false">IF(A4201-30&lt;$R$2,"",C4201/INDEX(Clean_Data!$C$2:$C$4314,MATCH(A4201-30,Clean_Data!$A$2:$A$4314,1))-1)</f>
        <v>0.0376148642649732</v>
      </c>
    </row>
    <row r="4202" customFormat="false" ht="15" hidden="false" customHeight="false" outlineLevel="0" collapsed="false">
      <c r="A4202" s="16" t="n">
        <v>46209</v>
      </c>
      <c r="B4202" s="23" t="n">
        <f aca="false">YEAR(A4202)</f>
        <v>2026</v>
      </c>
      <c r="C4202" s="17" t="n">
        <v>63980.01</v>
      </c>
      <c r="D4202" s="23" t="n">
        <f aca="false">A4202-A4201</f>
        <v>1</v>
      </c>
      <c r="E4202" s="24" t="n">
        <f aca="false">LN(C4202)</f>
        <v>11.0663259698023</v>
      </c>
      <c r="F4202" s="25" t="n">
        <f aca="false">LN(C4202/C4201)</f>
        <v>0.00631782007354297</v>
      </c>
      <c r="G4202" s="25" t="n">
        <f aca="false">IF(AND(D4202=1,A4202&gt;=$R$2),F4202,"")</f>
        <v>0.00631782007354297</v>
      </c>
      <c r="H4202" s="27" t="n">
        <f aca="false">IF(G4202="","",G4202^2)</f>
        <v>3.99148504816625E-005</v>
      </c>
      <c r="I4202" s="25" t="n">
        <f aca="false">IF(G4202="","",C4202/C4201-1)</f>
        <v>0.0063378195943915</v>
      </c>
      <c r="J4202" s="17" t="n">
        <f aca="false">AVERAGE(C4003:C4202)</f>
        <v>74615.24205</v>
      </c>
      <c r="K4202" s="17" t="n">
        <f aca="false">MAX(K4201,C4202)</f>
        <v>124720.09</v>
      </c>
      <c r="L4202" s="25" t="n">
        <f aca="false">C4202/K4202-1</f>
        <v>-0.487011194427457</v>
      </c>
      <c r="M4202" s="25" t="n">
        <f aca="false">IF(COUNT(G4173:G4202)&lt;20,"",_xlfn.STDEV.S(G4173:G4202)*SQRT($R$3))</f>
        <v>0.337129375707429</v>
      </c>
      <c r="N4202" s="25" t="n">
        <f aca="false">IF(A4202-7&lt;$R$2,"",C4202/INDEX(Clean_Data!$C$2:$C$4314,MATCH(A4202-7,Clean_Data!$A$2:$A$4314,1))-1)</f>
        <v>0.0640619051761</v>
      </c>
      <c r="O4202" s="25" t="n">
        <f aca="false">IF(A4202-30&lt;$R$2,"",C4202/INDEX(Clean_Data!$C$2:$C$4314,MATCH(A4202-30,Clean_Data!$A$2:$A$4314,1))-1)</f>
        <v>0.0508916973984275</v>
      </c>
    </row>
    <row r="4203" customFormat="false" ht="15" hidden="false" customHeight="false" outlineLevel="0" collapsed="false">
      <c r="A4203" s="16" t="n">
        <v>46210</v>
      </c>
      <c r="B4203" s="23" t="n">
        <f aca="false">YEAR(A4203)</f>
        <v>2026</v>
      </c>
      <c r="C4203" s="17" t="n">
        <v>63367.99</v>
      </c>
      <c r="D4203" s="23" t="n">
        <f aca="false">A4203-A4202</f>
        <v>1</v>
      </c>
      <c r="E4203" s="24" t="n">
        <f aca="false">LN(C4203)</f>
        <v>11.0567141233357</v>
      </c>
      <c r="F4203" s="25" t="n">
        <f aca="false">LN(C4203/C4202)</f>
        <v>-0.00961184646659457</v>
      </c>
      <c r="G4203" s="25" t="n">
        <f aca="false">IF(AND(D4203=1,A4203&gt;=$R$2),F4203,"")</f>
        <v>-0.00961184646659457</v>
      </c>
      <c r="H4203" s="27" t="n">
        <f aca="false">IF(G4203="","",G4203^2)</f>
        <v>9.23875924973864E-005</v>
      </c>
      <c r="I4203" s="25" t="n">
        <f aca="false">IF(G4203="","",C4203/C4202-1)</f>
        <v>-0.00956580031794307</v>
      </c>
      <c r="J4203" s="17" t="n">
        <f aca="false">AVERAGE(C4004:C4203)</f>
        <v>74492.00155</v>
      </c>
      <c r="K4203" s="17" t="n">
        <f aca="false">MAX(K4202,C4203)</f>
        <v>124720.09</v>
      </c>
      <c r="L4203" s="25" t="n">
        <f aca="false">C4203/K4203-1</f>
        <v>-0.491918342906905</v>
      </c>
      <c r="M4203" s="25" t="n">
        <f aca="false">IF(COUNT(G4174:G4203)&lt;20,"",_xlfn.STDEV.S(G4174:G4203)*SQRT($R$3))</f>
        <v>0.313082125596722</v>
      </c>
      <c r="N4203" s="25" t="n">
        <f aca="false">IF(A4203-7&lt;$R$2,"",C4203/INDEX(Clean_Data!$C$2:$C$4314,MATCH(A4203-7,Clean_Data!$A$2:$A$4314,1))-1)</f>
        <v>0.0816241638781714</v>
      </c>
      <c r="O4203" s="25" t="n">
        <f aca="false">IF(A4203-30&lt;$R$2,"",C4203/INDEX(Clean_Data!$C$2:$C$4314,MATCH(A4203-30,Clean_Data!$A$2:$A$4314,1))-1)</f>
        <v>0.00239192821905831</v>
      </c>
    </row>
    <row r="4204" customFormat="false" ht="15" hidden="false" customHeight="false" outlineLevel="0" collapsed="false">
      <c r="A4204" s="16" t="n">
        <v>46211</v>
      </c>
      <c r="B4204" s="23" t="n">
        <f aca="false">YEAR(A4204)</f>
        <v>2026</v>
      </c>
      <c r="C4204" s="17" t="n">
        <v>62168.43</v>
      </c>
      <c r="D4204" s="23" t="n">
        <f aca="false">A4204-A4203</f>
        <v>1</v>
      </c>
      <c r="E4204" s="24" t="n">
        <f aca="false">LN(C4204)</f>
        <v>11.0376025936069</v>
      </c>
      <c r="F4204" s="25" t="n">
        <f aca="false">LN(C4204/C4203)</f>
        <v>-0.0191115297288559</v>
      </c>
      <c r="G4204" s="25" t="n">
        <f aca="false">IF(AND(D4204=1,A4204&gt;=$R$2),F4204,"")</f>
        <v>-0.0191115297288559</v>
      </c>
      <c r="H4204" s="27" t="n">
        <f aca="false">IF(G4204="","",G4204^2)</f>
        <v>0.000365250568576944</v>
      </c>
      <c r="I4204" s="25" t="n">
        <f aca="false">IF(G4204="","",C4204/C4203-1)</f>
        <v>-0.0189300623232644</v>
      </c>
      <c r="J4204" s="17" t="n">
        <f aca="false">AVERAGE(C4005:C4204)</f>
        <v>74361.23175</v>
      </c>
      <c r="K4204" s="17" t="n">
        <f aca="false">MAX(K4203,C4204)</f>
        <v>124720.09</v>
      </c>
      <c r="L4204" s="25" t="n">
        <f aca="false">C4204/K4204-1</f>
        <v>-0.501536360340984</v>
      </c>
      <c r="M4204" s="25" t="n">
        <f aca="false">IF(COUNT(G4175:G4204)&lt;20,"",_xlfn.STDEV.S(G4175:G4204)*SQRT($R$3))</f>
        <v>0.32007623160086</v>
      </c>
      <c r="N4204" s="25" t="n">
        <f aca="false">IF(A4204-7&lt;$R$2,"",C4204/INDEX(Clean_Data!$C$2:$C$4314,MATCH(A4204-7,Clean_Data!$A$2:$A$4314,1))-1)</f>
        <v>0.0381826051843976</v>
      </c>
      <c r="O4204" s="25" t="n">
        <f aca="false">IF(A4204-30&lt;$R$2,"",C4204/INDEX(Clean_Data!$C$2:$C$4314,MATCH(A4204-30,Clean_Data!$A$2:$A$4314,1))-1)</f>
        <v>-0.0139798882979281</v>
      </c>
    </row>
    <row r="4205" customFormat="false" ht="15" hidden="false" customHeight="false" outlineLevel="0" collapsed="false">
      <c r="A4205" s="16" t="n">
        <v>46212</v>
      </c>
      <c r="B4205" s="23" t="n">
        <f aca="false">YEAR(A4205)</f>
        <v>2026</v>
      </c>
      <c r="C4205" s="17" t="n">
        <v>63156.18</v>
      </c>
      <c r="D4205" s="23" t="n">
        <f aca="false">A4205-A4204</f>
        <v>1</v>
      </c>
      <c r="E4205" s="24" t="n">
        <f aca="false">LN(C4205)</f>
        <v>11.0533659852232</v>
      </c>
      <c r="F4205" s="25" t="n">
        <f aca="false">LN(C4205/C4204)</f>
        <v>0.0157633916163306</v>
      </c>
      <c r="G4205" s="25" t="n">
        <f aca="false">IF(AND(D4205=1,A4205&gt;=$R$2),F4205,"")</f>
        <v>0.0157633916163306</v>
      </c>
      <c r="H4205" s="27" t="n">
        <f aca="false">IF(G4205="","",G4205^2)</f>
        <v>0.000248484515249801</v>
      </c>
      <c r="I4205" s="25" t="n">
        <f aca="false">IF(G4205="","",C4205/C4204-1)</f>
        <v>0.0158882892812315</v>
      </c>
      <c r="J4205" s="17" t="n">
        <f aca="false">AVERAGE(C4006:C4205)</f>
        <v>74233.43265</v>
      </c>
      <c r="K4205" s="17" t="n">
        <f aca="false">MAX(K4204,C4205)</f>
        <v>124720.09</v>
      </c>
      <c r="L4205" s="25" t="n">
        <f aca="false">C4205/K4205-1</f>
        <v>-0.493616625837906</v>
      </c>
      <c r="M4205" s="25" t="n">
        <f aca="false">IF(COUNT(G4176:G4205)&lt;20,"",_xlfn.STDEV.S(G4176:G4205)*SQRT($R$3))</f>
        <v>0.316230579312057</v>
      </c>
      <c r="N4205" s="25" t="n">
        <f aca="false">IF(A4205-7&lt;$R$2,"",C4205/INDEX(Clean_Data!$C$2:$C$4314,MATCH(A4205-7,Clean_Data!$A$2:$A$4314,1))-1)</f>
        <v>0.0282286680523738</v>
      </c>
      <c r="O4205" s="25" t="n">
        <f aca="false">IF(A4205-30&lt;$R$2,"",C4205/INDEX(Clean_Data!$C$2:$C$4314,MATCH(A4205-30,Clean_Data!$A$2:$A$4314,1))-1)</f>
        <v>0.0227400143218173</v>
      </c>
    </row>
    <row r="4206" customFormat="false" ht="15" hidden="false" customHeight="false" outlineLevel="0" collapsed="false">
      <c r="A4206" s="16" t="n">
        <v>46213</v>
      </c>
      <c r="B4206" s="23" t="n">
        <f aca="false">YEAR(A4206)</f>
        <v>2026</v>
      </c>
      <c r="C4206" s="17" t="n">
        <v>64057.01</v>
      </c>
      <c r="D4206" s="23" t="n">
        <f aca="false">A4206-A4205</f>
        <v>1</v>
      </c>
      <c r="E4206" s="24" t="n">
        <f aca="false">LN(C4206)</f>
        <v>11.0675287470816</v>
      </c>
      <c r="F4206" s="25" t="n">
        <f aca="false">LN(C4206/C4205)</f>
        <v>0.0141627618584227</v>
      </c>
      <c r="G4206" s="25" t="n">
        <f aca="false">IF(AND(D4206=1,A4206&gt;=$R$2),F4206,"")</f>
        <v>0.0141627618584227</v>
      </c>
      <c r="H4206" s="27" t="n">
        <f aca="false">IF(G4206="","",G4206^2)</f>
        <v>0.000200583823458393</v>
      </c>
      <c r="I4206" s="25" t="n">
        <f aca="false">IF(G4206="","",C4206/C4205-1)</f>
        <v>0.014263528921477</v>
      </c>
      <c r="J4206" s="17" t="n">
        <f aca="false">AVERAGE(C4007:C4206)</f>
        <v>74109.52785</v>
      </c>
      <c r="K4206" s="17" t="n">
        <f aca="false">MAX(K4205,C4206)</f>
        <v>124720.09</v>
      </c>
      <c r="L4206" s="25" t="n">
        <f aca="false">C4206/K4206-1</f>
        <v>-0.48639381193519</v>
      </c>
      <c r="M4206" s="25" t="n">
        <f aca="false">IF(COUNT(G4177:G4206)&lt;20,"",_xlfn.STDEV.S(G4177:G4206)*SQRT($R$3))</f>
        <v>0.319329101143956</v>
      </c>
      <c r="N4206" s="25" t="n">
        <f aca="false">IF(A4206-7&lt;$R$2,"",C4206/INDEX(Clean_Data!$C$2:$C$4314,MATCH(A4206-7,Clean_Data!$A$2:$A$4314,1))-1)</f>
        <v>0.0242895558363805</v>
      </c>
      <c r="O4206" s="25" t="n">
        <f aca="false">IF(A4206-30&lt;$R$2,"",C4206/INDEX(Clean_Data!$C$2:$C$4314,MATCH(A4206-30,Clean_Data!$A$2:$A$4314,1))-1)</f>
        <v>0.040392873024891</v>
      </c>
    </row>
    <row r="4207" customFormat="false" ht="15" hidden="false" customHeight="false" outlineLevel="0" collapsed="false">
      <c r="A4207" s="16" t="n">
        <v>46214</v>
      </c>
      <c r="B4207" s="23" t="n">
        <f aca="false">YEAR(A4207)</f>
        <v>2026</v>
      </c>
      <c r="C4207" s="17" t="n">
        <v>63831.03</v>
      </c>
      <c r="D4207" s="23" t="n">
        <f aca="false">A4207-A4206</f>
        <v>1</v>
      </c>
      <c r="E4207" s="24" t="n">
        <f aca="false">LN(C4207)</f>
        <v>11.0639947147328</v>
      </c>
      <c r="F4207" s="25" t="n">
        <f aca="false">LN(C4207/C4206)</f>
        <v>-0.00353403234885585</v>
      </c>
      <c r="G4207" s="25" t="n">
        <f aca="false">IF(AND(D4207=1,A4207&gt;=$R$2),F4207,"")</f>
        <v>-0.00353403234885585</v>
      </c>
      <c r="H4207" s="27" t="n">
        <f aca="false">IF(G4207="","",G4207^2)</f>
        <v>1.24893846427596E-005</v>
      </c>
      <c r="I4207" s="25" t="n">
        <f aca="false">IF(G4207="","",C4207/C4206-1)</f>
        <v>-0.00352779500635458</v>
      </c>
      <c r="J4207" s="17" t="n">
        <f aca="false">AVERAGE(C4008:C4207)</f>
        <v>73990.7093</v>
      </c>
      <c r="K4207" s="17" t="n">
        <f aca="false">MAX(K4206,C4207)</f>
        <v>124720.09</v>
      </c>
      <c r="L4207" s="25" t="n">
        <f aca="false">C4207/K4207-1</f>
        <v>-0.488205709280678</v>
      </c>
      <c r="M4207" s="25" t="n">
        <f aca="false">IF(COUNT(G4178:G4207)&lt;20,"",_xlfn.STDEV.S(G4178:G4207)*SQRT($R$3))</f>
        <v>0.301652082607674</v>
      </c>
      <c r="N4207" s="25" t="n">
        <f aca="false">IF(A4207-7&lt;$R$2,"",C4207/INDEX(Clean_Data!$C$2:$C$4314,MATCH(A4207-7,Clean_Data!$A$2:$A$4314,1))-1)</f>
        <v>0.0127554675299146</v>
      </c>
      <c r="O4207" s="25" t="n">
        <f aca="false">IF(A4207-30&lt;$R$2,"",C4207/INDEX(Clean_Data!$C$2:$C$4314,MATCH(A4207-30,Clean_Data!$A$2:$A$4314,1))-1)</f>
        <v>0.00548668992128887</v>
      </c>
    </row>
    <row r="4208" customFormat="false" ht="15" hidden="false" customHeight="false" outlineLevel="0" collapsed="false">
      <c r="A4208" s="16" t="n">
        <v>46215</v>
      </c>
      <c r="B4208" s="23" t="n">
        <f aca="false">YEAR(A4208)</f>
        <v>2026</v>
      </c>
      <c r="C4208" s="17" t="n">
        <v>63809.21</v>
      </c>
      <c r="D4208" s="23" t="n">
        <f aca="false">A4208-A4207</f>
        <v>1</v>
      </c>
      <c r="E4208" s="24" t="n">
        <f aca="false">LN(C4208)</f>
        <v>11.0636528162811</v>
      </c>
      <c r="F4208" s="25" t="n">
        <f aca="false">LN(C4208/C4207)</f>
        <v>-0.000341898451656831</v>
      </c>
      <c r="G4208" s="25" t="n">
        <f aca="false">IF(AND(D4208=1,A4208&gt;=$R$2),F4208,"")</f>
        <v>-0.000341898451656831</v>
      </c>
      <c r="H4208" s="27" t="n">
        <f aca="false">IF(G4208="","",G4208^2)</f>
        <v>1.16894551245338E-007</v>
      </c>
      <c r="I4208" s="25" t="n">
        <f aca="false">IF(G4208="","",C4208/C4207-1)</f>
        <v>-0.00034184001104165</v>
      </c>
      <c r="J4208" s="17" t="n">
        <f aca="false">AVERAGE(C4009:C4208)</f>
        <v>73872.17535</v>
      </c>
      <c r="K4208" s="17" t="n">
        <f aca="false">MAX(K4207,C4208)</f>
        <v>124720.09</v>
      </c>
      <c r="L4208" s="25" t="n">
        <f aca="false">C4208/K4208-1</f>
        <v>-0.488380661046669</v>
      </c>
      <c r="M4208" s="25" t="n">
        <f aca="false">IF(COUNT(G4179:G4208)&lt;20,"",_xlfn.STDEV.S(G4179:G4208)*SQRT($R$3))</f>
        <v>0.301637271998727</v>
      </c>
      <c r="N4208" s="25" t="n">
        <f aca="false">IF(A4208-7&lt;$R$2,"",C4208/INDEX(Clean_Data!$C$2:$C$4314,MATCH(A4208-7,Clean_Data!$A$2:$A$4314,1))-1)</f>
        <v>0.00365131642587491</v>
      </c>
      <c r="O4208" s="25" t="n">
        <f aca="false">IF(A4208-30&lt;$R$2,"",C4208/INDEX(Clean_Data!$C$2:$C$4314,MATCH(A4208-30,Clean_Data!$A$2:$A$4314,1))-1)</f>
        <v>0.00400047454990138</v>
      </c>
    </row>
    <row r="4209" customFormat="false" ht="15" hidden="false" customHeight="false" outlineLevel="0" collapsed="false">
      <c r="A4209" s="16" t="n">
        <v>46216</v>
      </c>
      <c r="B4209" s="23" t="n">
        <f aca="false">YEAR(A4209)</f>
        <v>2026</v>
      </c>
      <c r="C4209" s="17" t="n">
        <v>62233.29</v>
      </c>
      <c r="D4209" s="23" t="n">
        <f aca="false">A4209-A4208</f>
        <v>1</v>
      </c>
      <c r="E4209" s="24" t="n">
        <f aca="false">LN(C4209)</f>
        <v>11.0386453445572</v>
      </c>
      <c r="F4209" s="25" t="n">
        <f aca="false">LN(C4209/C4208)</f>
        <v>-0.0250074717238998</v>
      </c>
      <c r="G4209" s="25" t="n">
        <f aca="false">IF(AND(D4209=1,A4209&gt;=$R$2),F4209,"")</f>
        <v>-0.0250074717238998</v>
      </c>
      <c r="H4209" s="27" t="n">
        <f aca="false">IF(G4209="","",G4209^2)</f>
        <v>0.00062537364202165</v>
      </c>
      <c r="I4209" s="25" t="n">
        <f aca="false">IF(G4209="","",C4209/C4208-1)</f>
        <v>-0.0246973751908227</v>
      </c>
      <c r="J4209" s="17" t="n">
        <f aca="false">AVERAGE(C4010:C4209)</f>
        <v>73747.54505</v>
      </c>
      <c r="K4209" s="17" t="n">
        <f aca="false">MAX(K4208,C4209)</f>
        <v>124720.09</v>
      </c>
      <c r="L4209" s="25" t="n">
        <f aca="false">C4209/K4209-1</f>
        <v>-0.50101631581568</v>
      </c>
      <c r="M4209" s="25" t="n">
        <f aca="false">IF(COUNT(G4180:G4209)&lt;20,"",_xlfn.STDEV.S(G4180:G4209)*SQRT($R$3))</f>
        <v>0.310353313598606</v>
      </c>
      <c r="N4209" s="25" t="n">
        <f aca="false">IF(A4209-7&lt;$R$2,"",C4209/INDEX(Clean_Data!$C$2:$C$4314,MATCH(A4209-7,Clean_Data!$A$2:$A$4314,1))-1)</f>
        <v>-0.0273010273052474</v>
      </c>
      <c r="O4209" s="25" t="n">
        <f aca="false">IF(A4209-30&lt;$R$2,"",C4209/INDEX(Clean_Data!$C$2:$C$4314,MATCH(A4209-30,Clean_Data!$A$2:$A$4314,1))-1)</f>
        <v>-0.0332545644966711</v>
      </c>
    </row>
    <row r="4210" customFormat="false" ht="15" hidden="false" customHeight="false" outlineLevel="0" collapsed="false">
      <c r="A4210" s="16" t="n">
        <v>46217</v>
      </c>
      <c r="B4210" s="23" t="n">
        <f aca="false">YEAR(A4210)</f>
        <v>2026</v>
      </c>
      <c r="C4210" s="17" t="n">
        <v>64967.74</v>
      </c>
      <c r="D4210" s="23" t="n">
        <f aca="false">A4210-A4209</f>
        <v>1</v>
      </c>
      <c r="E4210" s="24" t="n">
        <f aca="false">LN(C4210)</f>
        <v>11.081646117984</v>
      </c>
      <c r="F4210" s="25" t="n">
        <f aca="false">LN(C4210/C4209)</f>
        <v>0.0430007734268077</v>
      </c>
      <c r="G4210" s="25" t="n">
        <f aca="false">IF(AND(D4210=1,A4210&gt;=$R$2),F4210,"")</f>
        <v>0.0430007734268077</v>
      </c>
      <c r="H4210" s="27" t="n">
        <f aca="false">IF(G4210="","",G4210^2)</f>
        <v>0.00184906651530365</v>
      </c>
      <c r="I4210" s="25" t="n">
        <f aca="false">IF(G4210="","",C4210/C4209-1)</f>
        <v>0.0439387022604782</v>
      </c>
      <c r="J4210" s="17" t="n">
        <f aca="false">AVERAGE(C4011:C4210)</f>
        <v>73635.9805</v>
      </c>
      <c r="K4210" s="17" t="n">
        <f aca="false">MAX(K4209,C4210)</f>
        <v>124720.09</v>
      </c>
      <c r="L4210" s="25" t="n">
        <f aca="false">C4210/K4210-1</f>
        <v>-0.479091620283468</v>
      </c>
      <c r="M4210" s="25" t="n">
        <f aca="false">IF(COUNT(G4181:G4210)&lt;20,"",_xlfn.STDEV.S(G4181:G4210)*SQRT($R$3))</f>
        <v>0.339876001364548</v>
      </c>
      <c r="N4210" s="25" t="n">
        <f aca="false">IF(A4210-7&lt;$R$2,"",C4210/INDEX(Clean_Data!$C$2:$C$4314,MATCH(A4210-7,Clean_Data!$A$2:$A$4314,1))-1)</f>
        <v>0.0252453959798946</v>
      </c>
      <c r="O4210" s="25" t="n">
        <f aca="false">IF(A4210-30&lt;$R$2,"",C4210/INDEX(Clean_Data!$C$2:$C$4314,MATCH(A4210-30,Clean_Data!$A$2:$A$4314,1))-1)</f>
        <v>-0.00971419269007379</v>
      </c>
    </row>
    <row r="4211" customFormat="false" ht="15" hidden="false" customHeight="false" outlineLevel="0" collapsed="false">
      <c r="A4211" s="16" t="n">
        <v>46218</v>
      </c>
      <c r="B4211" s="23" t="n">
        <f aca="false">YEAR(A4211)</f>
        <v>2026</v>
      </c>
      <c r="C4211" s="17" t="n">
        <v>64755.57</v>
      </c>
      <c r="D4211" s="23" t="n">
        <f aca="false">A4211-A4210</f>
        <v>1</v>
      </c>
      <c r="E4211" s="24" t="n">
        <f aca="false">LN(C4211)</f>
        <v>11.078374999028</v>
      </c>
      <c r="F4211" s="25" t="n">
        <f aca="false">LN(C4211/C4210)</f>
        <v>-0.00327111895601116</v>
      </c>
      <c r="G4211" s="25" t="n">
        <f aca="false">IF(AND(D4211=1,A4211&gt;=$R$2),F4211,"")</f>
        <v>-0.00327111895601116</v>
      </c>
      <c r="H4211" s="27" t="n">
        <f aca="false">IF(G4211="","",G4211^2)</f>
        <v>1.07002192243755E-005</v>
      </c>
      <c r="I4211" s="25" t="n">
        <f aca="false">IF(G4211="","",C4211/C4210-1)</f>
        <v>-0.00326577467524647</v>
      </c>
      <c r="J4211" s="17" t="n">
        <f aca="false">AVERAGE(C4012:C4211)</f>
        <v>73520.53505</v>
      </c>
      <c r="K4211" s="17" t="n">
        <f aca="false">MAX(K4210,C4211)</f>
        <v>124720.09</v>
      </c>
      <c r="L4211" s="25" t="n">
        <f aca="false">C4211/K4211-1</f>
        <v>-0.48079278967807</v>
      </c>
      <c r="M4211" s="25" t="n">
        <f aca="false">IF(COUNT(G4182:G4211)&lt;20,"",_xlfn.STDEV.S(G4182:G4211)*SQRT($R$3))</f>
        <v>0.33814016744435</v>
      </c>
      <c r="N4211" s="25" t="n">
        <f aca="false">IF(A4211-7&lt;$R$2,"",C4211/INDEX(Clean_Data!$C$2:$C$4314,MATCH(A4211-7,Clean_Data!$A$2:$A$4314,1))-1)</f>
        <v>0.0416150126358346</v>
      </c>
      <c r="O4211" s="25" t="n">
        <f aca="false">IF(A4211-30&lt;$R$2,"",C4211/INDEX(Clean_Data!$C$2:$C$4314,MATCH(A4211-30,Clean_Data!$A$2:$A$4314,1))-1)</f>
        <v>-0.0222909067739825</v>
      </c>
    </row>
    <row r="4212" customFormat="false" ht="15" hidden="false" customHeight="false" outlineLevel="0" collapsed="false">
      <c r="A4212" s="16" t="n">
        <v>46219</v>
      </c>
      <c r="B4212" s="23" t="n">
        <f aca="false">YEAR(A4212)</f>
        <v>2026</v>
      </c>
      <c r="C4212" s="17" t="n">
        <v>63746.78</v>
      </c>
      <c r="D4212" s="23" t="n">
        <f aca="false">A4212-A4211</f>
        <v>1</v>
      </c>
      <c r="E4212" s="24" t="n">
        <f aca="false">LN(C4212)</f>
        <v>11.0626739519411</v>
      </c>
      <c r="F4212" s="25" t="n">
        <f aca="false">LN(C4212/C4211)</f>
        <v>-0.0157010470869391</v>
      </c>
      <c r="G4212" s="25" t="n">
        <f aca="false">IF(AND(D4212=1,A4212&gt;=$R$2),F4212,"")</f>
        <v>-0.0157010470869391</v>
      </c>
      <c r="H4212" s="27" t="n">
        <f aca="false">IF(G4212="","",G4212^2)</f>
        <v>0.000246522879626278</v>
      </c>
      <c r="I4212" s="25" t="n">
        <f aca="false">IF(G4212="","",C4212/C4211-1)</f>
        <v>-0.01557842823405</v>
      </c>
      <c r="J4212" s="17" t="n">
        <f aca="false">AVERAGE(C4013:C4212)</f>
        <v>73399.12155</v>
      </c>
      <c r="K4212" s="17" t="n">
        <f aca="false">MAX(K4211,C4212)</f>
        <v>124720.09</v>
      </c>
      <c r="L4212" s="25" t="n">
        <f aca="false">C4212/K4212-1</f>
        <v>-0.488881221942672</v>
      </c>
      <c r="M4212" s="25" t="n">
        <f aca="false">IF(COUNT(G4183:G4212)&lt;20,"",_xlfn.STDEV.S(G4183:G4212)*SQRT($R$3))</f>
        <v>0.341169219164143</v>
      </c>
      <c r="N4212" s="25" t="n">
        <f aca="false">IF(A4212-7&lt;$R$2,"",C4212/INDEX(Clean_Data!$C$2:$C$4314,MATCH(A4212-7,Clean_Data!$A$2:$A$4314,1))-1)</f>
        <v>0.00935142055773475</v>
      </c>
      <c r="O4212" s="25" t="n">
        <f aca="false">IF(A4212-30&lt;$R$2,"",C4212/INDEX(Clean_Data!$C$2:$C$4314,MATCH(A4212-30,Clean_Data!$A$2:$A$4314,1))-1)</f>
        <v>-0.0294210657175271</v>
      </c>
    </row>
    <row r="4213" customFormat="false" ht="15" hidden="false" customHeight="false" outlineLevel="0" collapsed="false">
      <c r="A4213" s="16" t="n">
        <v>46220</v>
      </c>
      <c r="B4213" s="23" t="n">
        <f aca="false">YEAR(A4213)</f>
        <v>2026</v>
      </c>
      <c r="C4213" s="17" t="n">
        <v>63900.18</v>
      </c>
      <c r="D4213" s="23" t="n">
        <f aca="false">A4213-A4212</f>
        <v>1</v>
      </c>
      <c r="E4213" s="24" t="n">
        <f aca="false">LN(C4213)</f>
        <v>11.0650774572631</v>
      </c>
      <c r="F4213" s="25" t="n">
        <f aca="false">LN(C4213/C4212)</f>
        <v>0.00240350532197929</v>
      </c>
      <c r="G4213" s="25" t="n">
        <f aca="false">IF(AND(D4213=1,A4213&gt;=$R$2),F4213,"")</f>
        <v>0.00240350532197929</v>
      </c>
      <c r="H4213" s="27" t="n">
        <f aca="false">IF(G4213="","",G4213^2)</f>
        <v>5.77683783278276E-006</v>
      </c>
      <c r="I4213" s="25" t="n">
        <f aca="false">IF(G4213="","",C4213/C4212-1)</f>
        <v>0.00240639605639692</v>
      </c>
      <c r="J4213" s="17" t="n">
        <f aca="false">AVERAGE(C4014:C4213)</f>
        <v>73283.3463</v>
      </c>
      <c r="K4213" s="17" t="n">
        <f aca="false">MAX(K4212,C4213)</f>
        <v>124720.09</v>
      </c>
      <c r="L4213" s="25" t="n">
        <f aca="false">C4213/K4213-1</f>
        <v>-0.487651267730804</v>
      </c>
      <c r="M4213" s="25" t="n">
        <f aca="false">IF(COUNT(G4184:G4213)&lt;20,"",_xlfn.STDEV.S(G4184:G4213)*SQRT($R$3))</f>
        <v>0.335978160379623</v>
      </c>
      <c r="N4213" s="25" t="n">
        <f aca="false">IF(A4213-7&lt;$R$2,"",C4213/INDEX(Clean_Data!$C$2:$C$4314,MATCH(A4213-7,Clean_Data!$A$2:$A$4314,1))-1)</f>
        <v>-0.00244828786107876</v>
      </c>
      <c r="O4213" s="25" t="n">
        <f aca="false">IF(A4213-30&lt;$R$2,"",C4213/INDEX(Clean_Data!$C$2:$C$4314,MATCH(A4213-30,Clean_Data!$A$2:$A$4314,1))-1)</f>
        <v>-0.00975949775887042</v>
      </c>
    </row>
    <row r="4214" customFormat="false" ht="15" hidden="false" customHeight="false" outlineLevel="0" collapsed="false">
      <c r="A4214" s="16" t="n">
        <v>46221</v>
      </c>
      <c r="B4214" s="23" t="n">
        <f aca="false">YEAR(A4214)</f>
        <v>2026</v>
      </c>
      <c r="C4214" s="17" t="n">
        <v>64793.76</v>
      </c>
      <c r="D4214" s="23" t="n">
        <f aca="false">A4214-A4213</f>
        <v>1</v>
      </c>
      <c r="E4214" s="24" t="n">
        <f aca="false">LN(C4214)</f>
        <v>11.0789645814073</v>
      </c>
      <c r="F4214" s="25" t="n">
        <f aca="false">LN(C4214/C4213)</f>
        <v>0.0138871241442165</v>
      </c>
      <c r="G4214" s="25" t="n">
        <f aca="false">IF(AND(D4214=1,A4214&gt;=$R$2),F4214,"")</f>
        <v>0.0138871241442165</v>
      </c>
      <c r="H4214" s="27" t="n">
        <f aca="false">IF(G4214="","",G4214^2)</f>
        <v>0.000192852216996881</v>
      </c>
      <c r="I4214" s="25" t="n">
        <f aca="false">IF(G4214="","",C4214/C4213-1)</f>
        <v>0.0139839981671412</v>
      </c>
      <c r="J4214" s="17" t="n">
        <f aca="false">AVERAGE(C4015:C4214)</f>
        <v>73166.3888</v>
      </c>
      <c r="K4214" s="17" t="n">
        <f aca="false">MAX(K4213,C4214)</f>
        <v>124720.09</v>
      </c>
      <c r="L4214" s="25" t="n">
        <f aca="false">C4214/K4214-1</f>
        <v>-0.480486583997815</v>
      </c>
      <c r="M4214" s="25" t="n">
        <f aca="false">IF(COUNT(G4185:G4214)&lt;20,"",_xlfn.STDEV.S(G4185:G4214)*SQRT($R$3))</f>
        <v>0.325931792902583</v>
      </c>
      <c r="N4214" s="25" t="n">
        <f aca="false">IF(A4214-7&lt;$R$2,"",C4214/INDEX(Clean_Data!$C$2:$C$4314,MATCH(A4214-7,Clean_Data!$A$2:$A$4314,1))-1)</f>
        <v>0.0150824763441857</v>
      </c>
      <c r="O4214" s="25" t="n">
        <f aca="false">IF(A4214-30&lt;$R$2,"",C4214/INDEX(Clean_Data!$C$2:$C$4314,MATCH(A4214-30,Clean_Data!$A$2:$A$4314,1))-1)</f>
        <v>0.0308825188285438</v>
      </c>
    </row>
    <row r="4215" customFormat="false" ht="15" hidden="false" customHeight="false" outlineLevel="0" collapsed="false">
      <c r="A4215" s="16" t="n">
        <v>46222</v>
      </c>
      <c r="B4215" s="23" t="n">
        <f aca="false">YEAR(A4215)</f>
        <v>2026</v>
      </c>
      <c r="C4215" s="17" t="n">
        <v>64571.18</v>
      </c>
      <c r="D4215" s="23" t="n">
        <f aca="false">A4215-A4214</f>
        <v>1</v>
      </c>
      <c r="E4215" s="24" t="n">
        <f aca="false">LN(C4215)</f>
        <v>11.0755234601941</v>
      </c>
      <c r="F4215" s="25" t="n">
        <f aca="false">LN(C4215/C4214)</f>
        <v>-0.0034411212131605</v>
      </c>
      <c r="G4215" s="25" t="n">
        <f aca="false">IF(AND(D4215=1,A4215&gt;=$R$2),F4215,"")</f>
        <v>-0.0034411212131605</v>
      </c>
      <c r="H4215" s="27" t="n">
        <f aca="false">IF(G4215="","",G4215^2)</f>
        <v>1.18413152036632E-005</v>
      </c>
      <c r="I4215" s="25" t="n">
        <f aca="false">IF(G4215="","",C4215/C4214-1)</f>
        <v>-0.00343520734095382</v>
      </c>
      <c r="J4215" s="17" t="n">
        <f aca="false">AVERAGE(C4016:C4215)</f>
        <v>73050.7647</v>
      </c>
      <c r="K4215" s="17" t="n">
        <f aca="false">MAX(K4214,C4215)</f>
        <v>124720.09</v>
      </c>
      <c r="L4215" s="25" t="n">
        <f aca="false">C4215/K4215-1</f>
        <v>-0.482271220298189</v>
      </c>
      <c r="M4215" s="25" t="n">
        <f aca="false">IF(COUNT(G4186:G4215)&lt;20,"",_xlfn.STDEV.S(G4186:G4215)*SQRT($R$3))</f>
        <v>0.32440860876147</v>
      </c>
      <c r="N4215" s="25" t="n">
        <f aca="false">IF(A4215-7&lt;$R$2,"",C4215/INDEX(Clean_Data!$C$2:$C$4314,MATCH(A4215-7,Clean_Data!$A$2:$A$4314,1))-1)</f>
        <v>0.0119413796221579</v>
      </c>
      <c r="O4215" s="25" t="n">
        <f aca="false">IF(A4215-30&lt;$R$2,"",C4215/INDEX(Clean_Data!$C$2:$C$4314,MATCH(A4215-30,Clean_Data!$A$2:$A$4314,1))-1)</f>
        <v>0.0165046355038729</v>
      </c>
    </row>
    <row r="4216" customFormat="false" ht="15" hidden="false" customHeight="false" outlineLevel="0" collapsed="false">
      <c r="A4216" s="16" t="n">
        <v>46223</v>
      </c>
      <c r="B4216" s="23" t="n">
        <f aca="false">YEAR(A4216)</f>
        <v>2026</v>
      </c>
      <c r="C4216" s="17" t="n">
        <v>65151.3</v>
      </c>
      <c r="D4216" s="23" t="n">
        <f aca="false">A4216-A4215</f>
        <v>1</v>
      </c>
      <c r="E4216" s="24" t="n">
        <f aca="false">LN(C4216)</f>
        <v>11.0844675363063</v>
      </c>
      <c r="F4216" s="25" t="n">
        <f aca="false">LN(C4216/C4215)</f>
        <v>0.00894407611220806</v>
      </c>
      <c r="G4216" s="25" t="n">
        <f aca="false">IF(AND(D4216=1,A4216&gt;=$R$2),F4216,"")</f>
        <v>0.00894407611220806</v>
      </c>
      <c r="H4216" s="27" t="n">
        <f aca="false">IF(G4216="","",G4216^2)</f>
        <v>7.99964975009709E-005</v>
      </c>
      <c r="I4216" s="25" t="n">
        <f aca="false">IF(G4216="","",C4216/C4215-1)</f>
        <v>0.00898419387720661</v>
      </c>
      <c r="J4216" s="17" t="n">
        <f aca="false">AVERAGE(C4017:C4216)</f>
        <v>72933.3068</v>
      </c>
      <c r="K4216" s="17" t="n">
        <f aca="false">MAX(K4215,C4216)</f>
        <v>124720.09</v>
      </c>
      <c r="L4216" s="25" t="n">
        <f aca="false">C4216/K4216-1</f>
        <v>-0.477619844565539</v>
      </c>
      <c r="M4216" s="25" t="n">
        <f aca="false">IF(COUNT(G4187:G4216)&lt;20,"",_xlfn.STDEV.S(G4187:G4216)*SQRT($R$3))</f>
        <v>0.323932115740197</v>
      </c>
      <c r="N4216" s="25" t="n">
        <f aca="false">IF(A4216-7&lt;$R$2,"",C4216/INDEX(Clean_Data!$C$2:$C$4314,MATCH(A4216-7,Clean_Data!$A$2:$A$4314,1))-1)</f>
        <v>0.0468882490384166</v>
      </c>
      <c r="O4216" s="25" t="n">
        <f aca="false">IF(A4216-30&lt;$R$2,"",C4216/INDEX(Clean_Data!$C$2:$C$4314,MATCH(A4216-30,Clean_Data!$A$2:$A$4314,1))-1)</f>
        <v>0.0151339981302587</v>
      </c>
    </row>
    <row r="4217" customFormat="false" ht="15" hidden="false" customHeight="false" outlineLevel="0" collapsed="false">
      <c r="A4217" s="16" t="n">
        <v>46224</v>
      </c>
      <c r="B4217" s="23" t="n">
        <f aca="false">YEAR(A4217)</f>
        <v>2026</v>
      </c>
      <c r="C4217" s="17" t="n">
        <v>66553.73</v>
      </c>
      <c r="D4217" s="23" t="n">
        <f aca="false">A4217-A4216</f>
        <v>1</v>
      </c>
      <c r="E4217" s="24" t="n">
        <f aca="false">LN(C4217)</f>
        <v>11.1057648703368</v>
      </c>
      <c r="F4217" s="25" t="n">
        <f aca="false">LN(C4217/C4216)</f>
        <v>0.0212973340304385</v>
      </c>
      <c r="G4217" s="25" t="n">
        <f aca="false">IF(AND(D4217=1,A4217&gt;=$R$2),F4217,"")</f>
        <v>0.0212973340304385</v>
      </c>
      <c r="H4217" s="27" t="n">
        <f aca="false">IF(G4217="","",G4217^2)</f>
        <v>0.000453576436804075</v>
      </c>
      <c r="I4217" s="25" t="n">
        <f aca="false">IF(G4217="","",C4217/C4216-1)</f>
        <v>0.0215257408524465</v>
      </c>
      <c r="J4217" s="17" t="n">
        <f aca="false">AVERAGE(C4018:C4217)</f>
        <v>72815.5154</v>
      </c>
      <c r="K4217" s="17" t="n">
        <f aca="false">MAX(K4216,C4217)</f>
        <v>124720.09</v>
      </c>
      <c r="L4217" s="25" t="n">
        <f aca="false">C4217/K4217-1</f>
        <v>-0.466375224713196</v>
      </c>
      <c r="M4217" s="25" t="n">
        <f aca="false">IF(COUNT(G4188:G4217)&lt;20,"",_xlfn.STDEV.S(G4188:G4217)*SQRT($R$3))</f>
        <v>0.327736357778201</v>
      </c>
      <c r="N4217" s="25" t="n">
        <f aca="false">IF(A4217-7&lt;$R$2,"",C4217/INDEX(Clean_Data!$C$2:$C$4314,MATCH(A4217-7,Clean_Data!$A$2:$A$4314,1))-1)</f>
        <v>0.0244119619983703</v>
      </c>
      <c r="O4217" s="25" t="n">
        <f aca="false">IF(A4217-30&lt;$R$2,"",C4217/INDEX(Clean_Data!$C$2:$C$4314,MATCH(A4217-30,Clean_Data!$A$2:$A$4314,1))-1)</f>
        <v>0.0510502253827589</v>
      </c>
    </row>
    <row r="4218" customFormat="false" ht="15" hidden="false" customHeight="false" outlineLevel="0" collapsed="false">
      <c r="A4218" s="16" t="n">
        <v>46225</v>
      </c>
      <c r="B4218" s="23" t="n">
        <f aca="false">YEAR(A4218)</f>
        <v>2026</v>
      </c>
      <c r="C4218" s="17" t="n">
        <v>66063.67</v>
      </c>
      <c r="D4218" s="23" t="n">
        <f aca="false">A4218-A4217</f>
        <v>1</v>
      </c>
      <c r="E4218" s="24" t="n">
        <f aca="false">LN(C4218)</f>
        <v>11.0983742529572</v>
      </c>
      <c r="F4218" s="25" t="n">
        <f aca="false">LN(C4218/C4217)</f>
        <v>-0.00739061737958623</v>
      </c>
      <c r="G4218" s="25" t="n">
        <f aca="false">IF(AND(D4218=1,A4218&gt;=$R$2),F4218,"")</f>
        <v>-0.00739061737958623</v>
      </c>
      <c r="H4218" s="27" t="n">
        <f aca="false">IF(G4218="","",G4218^2)</f>
        <v>5.4621225251442E-005</v>
      </c>
      <c r="I4218" s="25" t="n">
        <f aca="false">IF(G4218="","",C4218/C4217-1)</f>
        <v>-0.00736337392359521</v>
      </c>
      <c r="J4218" s="17" t="n">
        <f aca="false">AVERAGE(C4019:C4218)</f>
        <v>72689.07385</v>
      </c>
      <c r="K4218" s="17" t="n">
        <f aca="false">MAX(K4217,C4218)</f>
        <v>124720.09</v>
      </c>
      <c r="L4218" s="25" t="n">
        <f aca="false">C4218/K4218-1</f>
        <v>-0.470304503468527</v>
      </c>
      <c r="M4218" s="25" t="n">
        <f aca="false">IF(COUNT(G4189:G4218)&lt;20,"",_xlfn.STDEV.S(G4189:G4218)*SQRT($R$3))</f>
        <v>0.327908903557729</v>
      </c>
      <c r="N4218" s="25" t="n">
        <f aca="false">IF(A4218-7&lt;$R$2,"",C4218/INDEX(Clean_Data!$C$2:$C$4314,MATCH(A4218-7,Clean_Data!$A$2:$A$4314,1))-1)</f>
        <v>0.0202005788845654</v>
      </c>
      <c r="O4218" s="25" t="n">
        <f aca="false">IF(A4218-30&lt;$R$2,"",C4218/INDEX(Clean_Data!$C$2:$C$4314,MATCH(A4218-30,Clean_Data!$A$2:$A$4314,1))-1)</f>
        <v>0.0333280621826848</v>
      </c>
    </row>
    <row r="4219" customFormat="false" ht="15" hidden="false" customHeight="false" outlineLevel="0" collapsed="false">
      <c r="A4219" s="16" t="n">
        <v>46226</v>
      </c>
      <c r="B4219" s="23" t="n">
        <f aca="false">YEAR(A4219)</f>
        <v>2026</v>
      </c>
      <c r="C4219" s="17" t="n">
        <v>65000.99</v>
      </c>
      <c r="D4219" s="23" t="n">
        <f aca="false">A4219-A4218</f>
        <v>1</v>
      </c>
      <c r="E4219" s="24" t="n">
        <f aca="false">LN(C4219)</f>
        <v>11.082157779531</v>
      </c>
      <c r="F4219" s="25" t="n">
        <f aca="false">LN(C4219/C4218)</f>
        <v>-0.0162164734261655</v>
      </c>
      <c r="G4219" s="25" t="n">
        <f aca="false">IF(AND(D4219=1,A4219&gt;=$R$2),F4219,"")</f>
        <v>-0.0162164734261655</v>
      </c>
      <c r="H4219" s="27" t="n">
        <f aca="false">IF(G4219="","",G4219^2)</f>
        <v>0.000262974010381532</v>
      </c>
      <c r="I4219" s="25" t="n">
        <f aca="false">IF(G4219="","",C4219/C4218-1)</f>
        <v>-0.0160856943006648</v>
      </c>
      <c r="J4219" s="17" t="n">
        <f aca="false">AVERAGE(C4020:C4219)</f>
        <v>72552.1169</v>
      </c>
      <c r="K4219" s="17" t="n">
        <f aca="false">MAX(K4218,C4219)</f>
        <v>124720.09</v>
      </c>
      <c r="L4219" s="25" t="n">
        <f aca="false">C4219/K4219-1</f>
        <v>-0.478825023298171</v>
      </c>
      <c r="M4219" s="25" t="n">
        <f aca="false">IF(COUNT(G4190:G4219)&lt;20,"",_xlfn.STDEV.S(G4190:G4219)*SQRT($R$3))</f>
        <v>0.325398339402186</v>
      </c>
      <c r="N4219" s="25" t="n">
        <f aca="false">IF(A4219-7&lt;$R$2,"",C4219/INDEX(Clean_Data!$C$2:$C$4314,MATCH(A4219-7,Clean_Data!$A$2:$A$4314,1))-1)</f>
        <v>0.0196748761270764</v>
      </c>
      <c r="O4219" s="25" t="n">
        <f aca="false">IF(A4219-30&lt;$R$2,"",C4219/INDEX(Clean_Data!$C$2:$C$4314,MATCH(A4219-30,Clean_Data!$A$2:$A$4314,1))-1)</f>
        <v>0.0368639395220831</v>
      </c>
    </row>
    <row r="4220" customFormat="false" ht="15" hidden="false" customHeight="false" outlineLevel="0" collapsed="false">
      <c r="A4220" s="16" t="n">
        <v>46227</v>
      </c>
      <c r="B4220" s="23" t="n">
        <f aca="false">YEAR(A4220)</f>
        <v>2026</v>
      </c>
      <c r="C4220" s="17" t="n">
        <v>64108.38</v>
      </c>
      <c r="D4220" s="23" t="n">
        <f aca="false">A4220-A4219</f>
        <v>1</v>
      </c>
      <c r="E4220" s="24" t="n">
        <f aca="false">LN(C4220)</f>
        <v>11.0683303675932</v>
      </c>
      <c r="F4220" s="25" t="n">
        <f aca="false">LN(C4220/C4219)</f>
        <v>-0.0138274119377713</v>
      </c>
      <c r="G4220" s="25" t="n">
        <f aca="false">IF(AND(D4220=1,A4220&gt;=$R$2),F4220,"")</f>
        <v>-0.0138274119377713</v>
      </c>
      <c r="H4220" s="27" t="n">
        <f aca="false">IF(G4220="","",G4220^2)</f>
        <v>0.000191197320896819</v>
      </c>
      <c r="I4220" s="25" t="n">
        <f aca="false">IF(G4220="","",C4220/C4219-1)</f>
        <v>-0.0137322523856944</v>
      </c>
      <c r="J4220" s="17" t="n">
        <f aca="false">AVERAGE(C4021:C4220)</f>
        <v>72403.1991</v>
      </c>
      <c r="K4220" s="17" t="n">
        <f aca="false">MAX(K4219,C4220)</f>
        <v>124720.09</v>
      </c>
      <c r="L4220" s="25" t="n">
        <f aca="false">C4220/K4220-1</f>
        <v>-0.485981929615349</v>
      </c>
      <c r="M4220" s="25" t="n">
        <f aca="false">IF(COUNT(G4191:G4220)&lt;20,"",_xlfn.STDEV.S(G4191:G4220)*SQRT($R$3))</f>
        <v>0.312725715766307</v>
      </c>
      <c r="N4220" s="25" t="n">
        <f aca="false">IF(A4220-7&lt;$R$2,"",C4220/INDEX(Clean_Data!$C$2:$C$4314,MATCH(A4220-7,Clean_Data!$A$2:$A$4314,1))-1)</f>
        <v>0.00325820678439404</v>
      </c>
      <c r="O4220" s="25" t="n">
        <f aca="false">IF(A4220-30&lt;$R$2,"",C4220/INDEX(Clean_Data!$C$2:$C$4314,MATCH(A4220-30,Clean_Data!$A$2:$A$4314,1))-1)</f>
        <v>0.0518191960623462</v>
      </c>
    </row>
    <row r="4221" customFormat="false" ht="15" hidden="false" customHeight="false" outlineLevel="0" collapsed="false">
      <c r="A4221" s="16" t="n">
        <v>46228</v>
      </c>
      <c r="B4221" s="23" t="n">
        <f aca="false">YEAR(A4221)</f>
        <v>2026</v>
      </c>
      <c r="C4221" s="17" t="n">
        <v>64319.9</v>
      </c>
      <c r="D4221" s="23" t="n">
        <f aca="false">A4221-A4220</f>
        <v>1</v>
      </c>
      <c r="E4221" s="24" t="n">
        <f aca="false">LN(C4221)</f>
        <v>11.0716243491253</v>
      </c>
      <c r="F4221" s="25" t="n">
        <f aca="false">LN(C4221/C4220)</f>
        <v>0.00329398153202472</v>
      </c>
      <c r="G4221" s="25" t="n">
        <f aca="false">IF(AND(D4221=1,A4221&gt;=$R$2),F4221,"")</f>
        <v>0.00329398153202472</v>
      </c>
      <c r="H4221" s="27" t="n">
        <f aca="false">IF(G4221="","",G4221^2)</f>
        <v>1.08503143333199E-005</v>
      </c>
      <c r="I4221" s="25" t="n">
        <f aca="false">IF(G4221="","",C4221/C4220-1)</f>
        <v>0.00329941265088918</v>
      </c>
      <c r="J4221" s="17" t="n">
        <f aca="false">AVERAGE(C4022:C4221)</f>
        <v>72260.93865</v>
      </c>
      <c r="K4221" s="17" t="n">
        <f aca="false">MAX(K4220,C4221)</f>
        <v>124720.09</v>
      </c>
      <c r="L4221" s="25" t="n">
        <f aca="false">C4221/K4221-1</f>
        <v>-0.484285971891136</v>
      </c>
      <c r="M4221" s="25" t="n">
        <f aca="false">IF(COUNT(G4192:G4221)&lt;20,"",_xlfn.STDEV.S(G4192:G4221)*SQRT($R$3))</f>
        <v>0.303342889900563</v>
      </c>
      <c r="N4221" s="25" t="n">
        <f aca="false">IF(A4221-7&lt;$R$2,"",C4221/INDEX(Clean_Data!$C$2:$C$4314,MATCH(A4221-7,Clean_Data!$A$2:$A$4314,1))-1)</f>
        <v>-0.00731335857033144</v>
      </c>
      <c r="O4221" s="25" t="n">
        <f aca="false">IF(A4221-30&lt;$R$2,"",C4221/INDEX(Clean_Data!$C$2:$C$4314,MATCH(A4221-30,Clean_Data!$A$2:$A$4314,1))-1)</f>
        <v>0.075965957802731</v>
      </c>
    </row>
    <row r="4222" customFormat="false" ht="15" hidden="false" customHeight="false" outlineLevel="0" collapsed="false">
      <c r="A4222" s="16" t="n">
        <v>46229</v>
      </c>
      <c r="B4222" s="23" t="n">
        <f aca="false">YEAR(A4222)</f>
        <v>2026</v>
      </c>
      <c r="C4222" s="17" t="n">
        <v>65243.31</v>
      </c>
      <c r="D4222" s="23" t="n">
        <f aca="false">A4222-A4221</f>
        <v>1</v>
      </c>
      <c r="E4222" s="24" t="n">
        <f aca="false">LN(C4222)</f>
        <v>11.0858787911929</v>
      </c>
      <c r="F4222" s="25" t="n">
        <f aca="false">LN(C4222/C4221)</f>
        <v>0.0142544420676063</v>
      </c>
      <c r="G4222" s="25" t="n">
        <f aca="false">IF(AND(D4222=1,A4222&gt;=$R$2),F4222,"")</f>
        <v>0.0142544420676063</v>
      </c>
      <c r="H4222" s="27" t="n">
        <f aca="false">IF(G4222="","",G4222^2)</f>
        <v>0.000203189118658743</v>
      </c>
      <c r="I4222" s="25" t="n">
        <f aca="false">IF(G4222="","",C4222/C4221-1)</f>
        <v>0.0143565210766807</v>
      </c>
      <c r="J4222" s="17" t="n">
        <f aca="false">AVERAGE(C4023:C4222)</f>
        <v>72130.2656</v>
      </c>
      <c r="K4222" s="17" t="n">
        <f aca="false">MAX(K4221,C4222)</f>
        <v>124720.09</v>
      </c>
      <c r="L4222" s="25" t="n">
        <f aca="false">C4222/K4222-1</f>
        <v>-0.476882112577052</v>
      </c>
      <c r="M4222" s="25" t="n">
        <f aca="false">IF(COUNT(G4193:G4222)&lt;20,"",_xlfn.STDEV.S(G4193:G4222)*SQRT($R$3))</f>
        <v>0.306118378439084</v>
      </c>
      <c r="N4222" s="25" t="n">
        <f aca="false">IF(A4222-7&lt;$R$2,"",C4222/INDEX(Clean_Data!$C$2:$C$4314,MATCH(A4222-7,Clean_Data!$A$2:$A$4314,1))-1)</f>
        <v>0.0104091329909102</v>
      </c>
      <c r="O4222" s="25" t="n">
        <f aca="false">IF(A4222-30&lt;$R$2,"",C4222/INDEX(Clean_Data!$C$2:$C$4314,MATCH(A4222-30,Clean_Data!$A$2:$A$4314,1))-1)</f>
        <v>0.0874638974968931</v>
      </c>
    </row>
    <row r="4223" customFormat="false" ht="15" hidden="false" customHeight="false" outlineLevel="0" collapsed="false">
      <c r="A4223" s="16" t="n">
        <v>46230</v>
      </c>
      <c r="B4223" s="23" t="n">
        <f aca="false">YEAR(A4223)</f>
        <v>2026</v>
      </c>
      <c r="C4223" s="17" t="n">
        <v>63692.68</v>
      </c>
      <c r="D4223" s="23" t="n">
        <f aca="false">A4223-A4222</f>
        <v>1</v>
      </c>
      <c r="E4223" s="24" t="n">
        <f aca="false">LN(C4223)</f>
        <v>11.0618249212994</v>
      </c>
      <c r="F4223" s="25" t="n">
        <f aca="false">LN(C4223/C4222)</f>
        <v>-0.0240538698934738</v>
      </c>
      <c r="G4223" s="25" t="n">
        <f aca="false">IF(AND(D4223=1,A4223&gt;=$R$2),F4223,"")</f>
        <v>-0.0240538698934738</v>
      </c>
      <c r="H4223" s="27" t="n">
        <f aca="false">IF(G4223="","",G4223^2)</f>
        <v>0.000578588656852165</v>
      </c>
      <c r="I4223" s="25" t="n">
        <f aca="false">IF(G4223="","",C4223/C4222-1)</f>
        <v>-0.0237668812327271</v>
      </c>
      <c r="J4223" s="17" t="n">
        <f aca="false">AVERAGE(C4024:C4223)</f>
        <v>71992.49635</v>
      </c>
      <c r="K4223" s="17" t="n">
        <f aca="false">MAX(K4222,C4223)</f>
        <v>124720.09</v>
      </c>
      <c r="L4223" s="25" t="n">
        <f aca="false">C4223/K4223-1</f>
        <v>-0.489314993278148</v>
      </c>
      <c r="M4223" s="25" t="n">
        <f aca="false">IF(COUNT(G4194:G4223)&lt;20,"",_xlfn.STDEV.S(G4194:G4223)*SQRT($R$3))</f>
        <v>0.32001669010865</v>
      </c>
      <c r="N4223" s="25" t="n">
        <f aca="false">IF(A4223-7&lt;$R$2,"",C4223/INDEX(Clean_Data!$C$2:$C$4314,MATCH(A4223-7,Clean_Data!$A$2:$A$4314,1))-1)</f>
        <v>-0.0223881948633412</v>
      </c>
      <c r="O4223" s="25" t="n">
        <f aca="false">IF(A4223-30&lt;$R$2,"",C4223/INDEX(Clean_Data!$C$2:$C$4314,MATCH(A4223-30,Clean_Data!$A$2:$A$4314,1))-1)</f>
        <v>0.0621702849645107</v>
      </c>
    </row>
    <row r="4224" customFormat="false" ht="15" hidden="false" customHeight="false" outlineLevel="0" collapsed="false">
      <c r="A4224" s="16" t="n">
        <v>46231</v>
      </c>
      <c r="B4224" s="23" t="n">
        <f aca="false">YEAR(A4224)</f>
        <v>2026</v>
      </c>
      <c r="C4224" s="17" t="n">
        <v>63945.6</v>
      </c>
      <c r="D4224" s="23" t="n">
        <f aca="false">A4224-A4223</f>
        <v>1</v>
      </c>
      <c r="E4224" s="24" t="n">
        <f aca="false">LN(C4224)</f>
        <v>11.065788000887</v>
      </c>
      <c r="F4224" s="25" t="n">
        <f aca="false">LN(C4224/C4223)</f>
        <v>0.00396307958756636</v>
      </c>
      <c r="G4224" s="25" t="n">
        <f aca="false">IF(AND(D4224=1,A4224&gt;=$R$2),F4224,"")</f>
        <v>0.00396307958756636</v>
      </c>
      <c r="H4224" s="27" t="n">
        <f aca="false">IF(G4224="","",G4224^2)</f>
        <v>1.57059998173852E-005</v>
      </c>
      <c r="I4224" s="25" t="n">
        <f aca="false">IF(G4224="","",C4224/C4223-1)</f>
        <v>0.00397094297178269</v>
      </c>
      <c r="J4224" s="17" t="n">
        <f aca="false">AVERAGE(C4025:C4224)</f>
        <v>71859.8443</v>
      </c>
      <c r="K4224" s="17" t="n">
        <f aca="false">MAX(K4223,C4224)</f>
        <v>124720.09</v>
      </c>
      <c r="L4224" s="25" t="n">
        <f aca="false">C4224/K4224-1</f>
        <v>-0.487287092239911</v>
      </c>
      <c r="M4224" s="25" t="n">
        <f aca="false">IF(COUNT(G4195:G4224)&lt;20,"",_xlfn.STDEV.S(G4195:G4224)*SQRT($R$3))</f>
        <v>0.317106063077505</v>
      </c>
      <c r="N4224" s="25" t="n">
        <f aca="false">IF(A4224-7&lt;$R$2,"",C4224/INDEX(Clean_Data!$C$2:$C$4314,MATCH(A4224-7,Clean_Data!$A$2:$A$4314,1))-1)</f>
        <v>-0.0391883370022987</v>
      </c>
      <c r="O4224" s="25" t="n">
        <f aca="false">IF(A4224-30&lt;$R$2,"",C4224/INDEX(Clean_Data!$C$2:$C$4314,MATCH(A4224-30,Clean_Data!$A$2:$A$4314,1))-1)</f>
        <v>0.0771227473825968</v>
      </c>
    </row>
    <row r="4225" customFormat="false" ht="15" hidden="false" customHeight="false" outlineLevel="0" collapsed="false">
      <c r="A4225" s="16" t="n">
        <v>46232</v>
      </c>
      <c r="B4225" s="23" t="n">
        <f aca="false">YEAR(A4225)</f>
        <v>2026</v>
      </c>
      <c r="C4225" s="17" t="n">
        <v>63896.15</v>
      </c>
      <c r="D4225" s="23" t="n">
        <f aca="false">A4225-A4224</f>
        <v>1</v>
      </c>
      <c r="E4225" s="24" t="n">
        <f aca="false">LN(C4225)</f>
        <v>11.0650143881593</v>
      </c>
      <c r="F4225" s="25" t="n">
        <f aca="false">LN(C4225/C4224)</f>
        <v>-0.00077361272770784</v>
      </c>
      <c r="G4225" s="25" t="n">
        <f aca="false">IF(AND(D4225=1,A4225&gt;=$R$2),F4225,"")</f>
        <v>-0.00077361272770784</v>
      </c>
      <c r="H4225" s="27" t="n">
        <f aca="false">IF(G4225="","",G4225^2)</f>
        <v>5.98476652471564E-007</v>
      </c>
      <c r="I4225" s="25" t="n">
        <f aca="false">IF(G4225="","",C4225/C4224-1)</f>
        <v>-0.000773313566531542</v>
      </c>
      <c r="J4225" s="17" t="n">
        <f aca="false">AVERAGE(C4026:C4225)</f>
        <v>71726.7755</v>
      </c>
      <c r="K4225" s="17" t="n">
        <f aca="false">MAX(K4224,C4225)</f>
        <v>124720.09</v>
      </c>
      <c r="L4225" s="25" t="n">
        <f aca="false">C4225/K4225-1</f>
        <v>-0.487683580087218</v>
      </c>
      <c r="M4225" s="25" t="n">
        <f aca="false">IF(COUNT(G4196:G4225)&lt;20,"",_xlfn.STDEV.S(G4196:G4225)*SQRT($R$3))</f>
        <v>0.31509895592583</v>
      </c>
      <c r="N4225" s="25" t="n">
        <f aca="false">IF(A4225-7&lt;$R$2,"",C4225/INDEX(Clean_Data!$C$2:$C$4314,MATCH(A4225-7,Clean_Data!$A$2:$A$4314,1))-1)</f>
        <v>-0.0328095608372953</v>
      </c>
      <c r="O4225" s="25" t="n">
        <f aca="false">IF(A4225-30&lt;$R$2,"",C4225/INDEX(Clean_Data!$C$2:$C$4314,MATCH(A4225-30,Clean_Data!$A$2:$A$4314,1))-1)</f>
        <v>0.0626672159385073</v>
      </c>
    </row>
    <row r="4226" customFormat="false" ht="15" hidden="false" customHeight="false" outlineLevel="0" collapsed="false">
      <c r="A4226" s="16" t="n">
        <v>46233</v>
      </c>
      <c r="B4226" s="23" t="n">
        <f aca="false">YEAR(A4226)</f>
        <v>2026</v>
      </c>
      <c r="C4226" s="17" t="n">
        <v>64817.71</v>
      </c>
      <c r="D4226" s="23" t="n">
        <f aca="false">A4226-A4225</f>
        <v>1</v>
      </c>
      <c r="E4226" s="24" t="n">
        <f aca="false">LN(C4226)</f>
        <v>11.0793341474692</v>
      </c>
      <c r="F4226" s="25" t="n">
        <f aca="false">LN(C4226/C4225)</f>
        <v>0.0143197593099232</v>
      </c>
      <c r="G4226" s="25" t="n">
        <f aca="false">IF(AND(D4226=1,A4226&gt;=$R$2),F4226,"")</f>
        <v>0.0143197593099232</v>
      </c>
      <c r="H4226" s="27" t="n">
        <f aca="false">IF(G4226="","",G4226^2)</f>
        <v>0.000205055506694132</v>
      </c>
      <c r="I4226" s="25" t="n">
        <f aca="false">IF(G4226="","",C4226/C4225-1)</f>
        <v>0.0144227782112067</v>
      </c>
      <c r="J4226" s="17" t="n">
        <f aca="false">AVERAGE(C4027:C4226)</f>
        <v>71593.1738</v>
      </c>
      <c r="K4226" s="17" t="n">
        <f aca="false">MAX(K4225,C4226)</f>
        <v>124720.09</v>
      </c>
      <c r="L4226" s="25" t="n">
        <f aca="false">C4226/K4226-1</f>
        <v>-0.480294553988856</v>
      </c>
      <c r="M4226" s="25" t="n">
        <f aca="false">IF(COUNT(G4197:G4226)&lt;20,"",_xlfn.STDEV.S(G4197:G4226)*SQRT($R$3))</f>
        <v>0.301056195002987</v>
      </c>
      <c r="N4226" s="25" t="n">
        <f aca="false">IF(A4226-7&lt;$R$2,"",C4226/INDEX(Clean_Data!$C$2:$C$4314,MATCH(A4226-7,Clean_Data!$A$2:$A$4314,1))-1)</f>
        <v>-0.00281964936226353</v>
      </c>
      <c r="O4226" s="25" t="n">
        <f aca="false">IF(A4226-30&lt;$R$2,"",C4226/INDEX(Clean_Data!$C$2:$C$4314,MATCH(A4226-30,Clean_Data!$A$2:$A$4314,1))-1)</f>
        <v>0.10636934173307</v>
      </c>
    </row>
    <row r="4227" customFormat="false" ht="15" hidden="false" customHeight="false" outlineLevel="0" collapsed="false">
      <c r="A4227" s="16" t="n">
        <v>46234</v>
      </c>
      <c r="B4227" s="23" t="n">
        <f aca="false">YEAR(A4227)</f>
        <v>2026</v>
      </c>
      <c r="C4227" s="17" t="n">
        <v>62886.64</v>
      </c>
      <c r="D4227" s="23" t="n">
        <f aca="false">A4227-A4226</f>
        <v>1</v>
      </c>
      <c r="E4227" s="24" t="n">
        <f aca="false">LN(C4227)</f>
        <v>11.0490890194924</v>
      </c>
      <c r="F4227" s="25" t="n">
        <f aca="false">LN(C4227/C4226)</f>
        <v>-0.0302451279767931</v>
      </c>
      <c r="G4227" s="25" t="n">
        <f aca="false">IF(AND(D4227=1,A4227&gt;=$R$2),F4227,"")</f>
        <v>-0.0302451279767931</v>
      </c>
      <c r="H4227" s="27" t="n">
        <f aca="false">IF(G4227="","",G4227^2)</f>
        <v>0.000914767766332596</v>
      </c>
      <c r="I4227" s="25" t="n">
        <f aca="false">IF(G4227="","",C4227/C4226-1)</f>
        <v>-0.0297923206481685</v>
      </c>
      <c r="J4227" s="17" t="n">
        <f aca="false">AVERAGE(C4028:C4227)</f>
        <v>71451.1371</v>
      </c>
      <c r="K4227" s="17" t="n">
        <f aca="false">MAX(K4226,C4227)</f>
        <v>124720.09</v>
      </c>
      <c r="L4227" s="25" t="n">
        <f aca="false">C4227/K4227-1</f>
        <v>-0.49577778527902</v>
      </c>
      <c r="M4227" s="25" t="n">
        <f aca="false">IF(COUNT(G4198:G4227)&lt;20,"",_xlfn.STDEV.S(G4198:G4227)*SQRT($R$3))</f>
        <v>0.315283644018826</v>
      </c>
      <c r="N4227" s="25" t="n">
        <f aca="false">IF(A4227-7&lt;$R$2,"",C4227/INDEX(Clean_Data!$C$2:$C$4314,MATCH(A4227-7,Clean_Data!$A$2:$A$4314,1))-1)</f>
        <v>-0.0190574149588556</v>
      </c>
      <c r="O4227" s="25" t="n">
        <f aca="false">IF(A4227-30&lt;$R$2,"",C4227/INDEX(Clean_Data!$C$2:$C$4314,MATCH(A4227-30,Clean_Data!$A$2:$A$4314,1))-1)</f>
        <v>0.0501763635738164</v>
      </c>
    </row>
    <row r="4228" customFormat="false" ht="15" hidden="false" customHeight="false" outlineLevel="0" collapsed="false">
      <c r="A4228" s="16" t="n">
        <v>46235</v>
      </c>
      <c r="B4228" s="23" t="n">
        <f aca="false">YEAR(A4228)</f>
        <v>2026</v>
      </c>
      <c r="C4228" s="17" t="n">
        <v>62835</v>
      </c>
      <c r="D4228" s="23" t="n">
        <f aca="false">A4228-A4227</f>
        <v>1</v>
      </c>
      <c r="E4228" s="24" t="n">
        <f aca="false">LN(C4228)</f>
        <v>11.0482675220492</v>
      </c>
      <c r="F4228" s="25" t="n">
        <f aca="false">LN(C4228/C4227)</f>
        <v>-0.000821497443147289</v>
      </c>
      <c r="G4228" s="25" t="n">
        <f aca="false">IF(AND(D4228=1,A4228&gt;=$R$2),F4228,"")</f>
        <v>-0.000821497443147289</v>
      </c>
      <c r="H4228" s="27" t="n">
        <f aca="false">IF(G4228="","",G4228^2)</f>
        <v>6.74858049097534E-007</v>
      </c>
      <c r="I4228" s="25" t="n">
        <f aca="false">IF(G4228="","",C4228/C4227-1)</f>
        <v>-0.000821160106502794</v>
      </c>
      <c r="J4228" s="17" t="n">
        <f aca="false">AVERAGE(C4029:C4228)</f>
        <v>71289.1986</v>
      </c>
      <c r="K4228" s="17" t="n">
        <f aca="false">MAX(K4227,C4228)</f>
        <v>124720.09</v>
      </c>
      <c r="L4228" s="25" t="n">
        <f aca="false">C4228/K4228-1</f>
        <v>-0.496191832446561</v>
      </c>
      <c r="M4228" s="25" t="n">
        <f aca="false">IF(COUNT(G4199:G4228)&lt;20,"",_xlfn.STDEV.S(G4199:G4228)*SQRT($R$3))</f>
        <v>0.303450845983621</v>
      </c>
      <c r="N4228" s="25" t="n">
        <f aca="false">IF(A4228-7&lt;$R$2,"",C4228/INDEX(Clean_Data!$C$2:$C$4314,MATCH(A4228-7,Clean_Data!$A$2:$A$4314,1))-1)</f>
        <v>-0.0230861677334697</v>
      </c>
      <c r="O4228" s="25" t="n">
        <f aca="false">IF(A4228-30&lt;$R$2,"",C4228/INDEX(Clean_Data!$C$2:$C$4314,MATCH(A4228-30,Clean_Data!$A$2:$A$4314,1))-1)</f>
        <v>0.022999623426732</v>
      </c>
    </row>
    <row r="4229" customFormat="false" ht="15" hidden="false" customHeight="false" outlineLevel="0" collapsed="false">
      <c r="A4229" s="16" t="n">
        <v>46236</v>
      </c>
      <c r="B4229" s="23" t="n">
        <f aca="false">YEAR(A4229)</f>
        <v>2026</v>
      </c>
      <c r="C4229" s="17" t="n">
        <v>63443.93</v>
      </c>
      <c r="D4229" s="23" t="n">
        <f aca="false">A4229-A4228</f>
        <v>1</v>
      </c>
      <c r="E4229" s="24" t="n">
        <f aca="false">LN(C4229)</f>
        <v>11.0579118026876</v>
      </c>
      <c r="F4229" s="25" t="n">
        <f aca="false">LN(C4229/C4228)</f>
        <v>0.00964428063837217</v>
      </c>
      <c r="G4229" s="25" t="n">
        <f aca="false">IF(AND(D4229=1,A4229&gt;=$R$2),F4229,"")</f>
        <v>0.00964428063837217</v>
      </c>
      <c r="H4229" s="27" t="n">
        <f aca="false">IF(G4229="","",G4229^2)</f>
        <v>9.30121490316802E-005</v>
      </c>
      <c r="I4229" s="25" t="n">
        <f aca="false">IF(G4229="","",C4229/C4228-1)</f>
        <v>0.00969093657993159</v>
      </c>
      <c r="J4229" s="17" t="n">
        <f aca="false">AVERAGE(C4030:C4229)</f>
        <v>71122.1537</v>
      </c>
      <c r="K4229" s="17" t="n">
        <f aca="false">MAX(K4228,C4229)</f>
        <v>124720.09</v>
      </c>
      <c r="L4229" s="25" t="n">
        <f aca="false">C4229/K4229-1</f>
        <v>-0.491309459446349</v>
      </c>
      <c r="M4229" s="25" t="n">
        <f aca="false">IF(COUNT(G4200:G4229)&lt;20,"",_xlfn.STDEV.S(G4200:G4229)*SQRT($R$3))</f>
        <v>0.29883910465199</v>
      </c>
      <c r="N4229" s="25" t="n">
        <f aca="false">IF(A4229-7&lt;$R$2,"",C4229/INDEX(Clean_Data!$C$2:$C$4314,MATCH(A4229-7,Clean_Data!$A$2:$A$4314,1))-1)</f>
        <v>-0.0275795326754574</v>
      </c>
      <c r="O4229" s="25" t="n">
        <f aca="false">IF(A4229-30&lt;$R$2,"",C4229/INDEX(Clean_Data!$C$2:$C$4314,MATCH(A4229-30,Clean_Data!$A$2:$A$4314,1))-1)</f>
        <v>0.0144862346871077</v>
      </c>
    </row>
    <row r="4230" customFormat="false" ht="15" hidden="false" customHeight="false" outlineLevel="0" collapsed="false">
      <c r="A4230" s="16" t="n">
        <v>46237</v>
      </c>
      <c r="B4230" s="23" t="n">
        <f aca="false">YEAR(A4230)</f>
        <v>2026</v>
      </c>
      <c r="C4230" s="17" t="n">
        <v>63503.04</v>
      </c>
      <c r="D4230" s="23" t="n">
        <f aca="false">A4230-A4229</f>
        <v>1</v>
      </c>
      <c r="E4230" s="24" t="n">
        <f aca="false">LN(C4230)</f>
        <v>11.0588430577506</v>
      </c>
      <c r="F4230" s="25" t="n">
        <f aca="false">LN(C4230/C4229)</f>
        <v>0.000931255062989835</v>
      </c>
      <c r="G4230" s="25" t="n">
        <f aca="false">IF(AND(D4230=1,A4230&gt;=$R$2),F4230,"")</f>
        <v>0.000931255062989835</v>
      </c>
      <c r="H4230" s="27" t="n">
        <f aca="false">IF(G4230="","",G4230^2)</f>
        <v>8.67235992344202E-007</v>
      </c>
      <c r="I4230" s="25" t="n">
        <f aca="false">IF(G4230="","",C4230/C4229-1)</f>
        <v>0.000931688815620335</v>
      </c>
      <c r="J4230" s="17" t="n">
        <f aca="false">AVERAGE(C4031:C4230)</f>
        <v>70961.81895</v>
      </c>
      <c r="K4230" s="17" t="n">
        <f aca="false">MAX(K4229,C4230)</f>
        <v>124720.09</v>
      </c>
      <c r="L4230" s="25" t="n">
        <f aca="false">C4230/K4230-1</f>
        <v>-0.490835518159103</v>
      </c>
      <c r="M4230" s="25" t="n">
        <f aca="false">IF(COUNT(G4201:G4230)&lt;20,"",_xlfn.STDEV.S(G4201:G4230)*SQRT($R$3))</f>
        <v>0.297682544945883</v>
      </c>
      <c r="N4230" s="25" t="n">
        <f aca="false">IF(A4230-7&lt;$R$2,"",C4230/INDEX(Clean_Data!$C$2:$C$4314,MATCH(A4230-7,Clean_Data!$A$2:$A$4314,1))-1)</f>
        <v>-0.00297742220927111</v>
      </c>
      <c r="O4230" s="25" t="n">
        <f aca="false">IF(A4230-30&lt;$R$2,"",C4230/INDEX(Clean_Data!$C$2:$C$4314,MATCH(A4230-30,Clean_Data!$A$2:$A$4314,1))-1)</f>
        <v>0.00755151475341798</v>
      </c>
    </row>
    <row r="4231" customFormat="false" ht="15" hidden="false" customHeight="false" outlineLevel="0" collapsed="false">
      <c r="A4231" s="16" t="n">
        <v>46238</v>
      </c>
      <c r="B4231" s="23" t="n">
        <f aca="false">YEAR(A4231)</f>
        <v>2026</v>
      </c>
      <c r="C4231" s="17" t="n">
        <v>64023.39</v>
      </c>
      <c r="D4231" s="23" t="n">
        <f aca="false">A4231-A4230</f>
        <v>1</v>
      </c>
      <c r="E4231" s="24" t="n">
        <f aca="false">LN(C4231)</f>
        <v>11.0670037643244</v>
      </c>
      <c r="F4231" s="25" t="n">
        <f aca="false">LN(C4231/C4230)</f>
        <v>0.00816070657376548</v>
      </c>
      <c r="G4231" s="25" t="n">
        <f aca="false">IF(AND(D4231=1,A4231&gt;=$R$2),F4231,"")</f>
        <v>0.00816070657376548</v>
      </c>
      <c r="H4231" s="27" t="n">
        <f aca="false">IF(G4231="","",G4231^2)</f>
        <v>6.65971317830991E-005</v>
      </c>
      <c r="I4231" s="25" t="n">
        <f aca="false">IF(G4231="","",C4231/C4230-1)</f>
        <v>0.00819409590469999</v>
      </c>
      <c r="J4231" s="17" t="n">
        <f aca="false">AVERAGE(C4032:C4231)</f>
        <v>70804.5971</v>
      </c>
      <c r="K4231" s="17" t="n">
        <f aca="false">MAX(K4230,C4231)</f>
        <v>124720.09</v>
      </c>
      <c r="L4231" s="25" t="n">
        <f aca="false">C4231/K4231-1</f>
        <v>-0.486663375563632</v>
      </c>
      <c r="M4231" s="25" t="n">
        <f aca="false">IF(COUNT(G4202:G4231)&lt;20,"",_xlfn.STDEV.S(G4202:G4231)*SQRT($R$3))</f>
        <v>0.297499984105196</v>
      </c>
      <c r="N4231" s="25" t="n">
        <f aca="false">IF(A4231-7&lt;$R$2,"",C4231/INDEX(Clean_Data!$C$2:$C$4314,MATCH(A4231-7,Clean_Data!$A$2:$A$4314,1))-1)</f>
        <v>0.00121650277736074</v>
      </c>
      <c r="O4231" s="25" t="n">
        <f aca="false">IF(A4231-30&lt;$R$2,"",C4231/INDEX(Clean_Data!$C$2:$C$4314,MATCH(A4231-30,Clean_Data!$A$2:$A$4314,1))-1)</f>
        <v>0.00702014106658266</v>
      </c>
    </row>
    <row r="4232" customFormat="false" ht="15" hidden="false" customHeight="false" outlineLevel="0" collapsed="false">
      <c r="A4232" s="16" t="n">
        <v>46239</v>
      </c>
      <c r="B4232" s="23" t="n">
        <f aca="false">YEAR(A4232)</f>
        <v>2026</v>
      </c>
      <c r="C4232" s="17" t="n">
        <v>64555.45</v>
      </c>
      <c r="D4232" s="23" t="n">
        <f aca="false">A4232-A4231</f>
        <v>1</v>
      </c>
      <c r="E4232" s="24" t="n">
        <f aca="false">LN(C4232)</f>
        <v>11.0752798233846</v>
      </c>
      <c r="F4232" s="25" t="n">
        <f aca="false">LN(C4232/C4231)</f>
        <v>0.00827605906024369</v>
      </c>
      <c r="G4232" s="25" t="n">
        <f aca="false">IF(AND(D4232=1,A4232&gt;=$R$2),F4232,"")</f>
        <v>0.00827605906024369</v>
      </c>
      <c r="H4232" s="27" t="n">
        <f aca="false">IF(G4232="","",G4232^2)</f>
        <v>6.84931535686417E-005</v>
      </c>
      <c r="I4232" s="25" t="n">
        <f aca="false">IF(G4232="","",C4232/C4231-1)</f>
        <v>0.00831040030838737</v>
      </c>
      <c r="J4232" s="17" t="n">
        <f aca="false">AVERAGE(C4033:C4232)</f>
        <v>70652.2965</v>
      </c>
      <c r="K4232" s="17" t="n">
        <f aca="false">MAX(K4231,C4232)</f>
        <v>124720.09</v>
      </c>
      <c r="L4232" s="25" t="n">
        <f aca="false">C4232/K4232-1</f>
        <v>-0.48239734272161</v>
      </c>
      <c r="M4232" s="25" t="n">
        <f aca="false">IF(COUNT(G4203:G4232)&lt;20,"",_xlfn.STDEV.S(G4203:G4232)*SQRT($R$3))</f>
        <v>0.298081917486398</v>
      </c>
      <c r="N4232" s="25" t="n">
        <f aca="false">IF(A4232-7&lt;$R$2,"",C4232/INDEX(Clean_Data!$C$2:$C$4314,MATCH(A4232-7,Clean_Data!$A$2:$A$4314,1))-1)</f>
        <v>0.0103183055630112</v>
      </c>
      <c r="O4232" s="25" t="n">
        <f aca="false">IF(A4232-30&lt;$R$2,"",C4232/INDEX(Clean_Data!$C$2:$C$4314,MATCH(A4232-30,Clean_Data!$A$2:$A$4314,1))-1)</f>
        <v>0.00899405923819008</v>
      </c>
    </row>
    <row r="4233" customFormat="false" ht="15" hidden="false" customHeight="false" outlineLevel="0" collapsed="false">
      <c r="A4233" s="16" t="n">
        <v>46240</v>
      </c>
      <c r="B4233" s="23" t="n">
        <f aca="false">YEAR(A4233)</f>
        <v>2026</v>
      </c>
      <c r="C4233" s="17" t="n">
        <v>64291.84</v>
      </c>
      <c r="D4233" s="23" t="n">
        <f aca="false">A4233-A4232</f>
        <v>1</v>
      </c>
      <c r="E4233" s="24" t="n">
        <f aca="false">LN(C4233)</f>
        <v>11.0711879970404</v>
      </c>
      <c r="F4233" s="25" t="n">
        <f aca="false">LN(C4233/C4232)</f>
        <v>-0.00409182634423571</v>
      </c>
      <c r="G4233" s="25" t="n">
        <f aca="false">IF(AND(D4233=1,A4233&gt;=$R$2),F4233,"")</f>
        <v>-0.00409182634423571</v>
      </c>
      <c r="H4233" s="27" t="n">
        <f aca="false">IF(G4233="","",G4233^2)</f>
        <v>1.67430428313813E-005</v>
      </c>
      <c r="I4233" s="25" t="n">
        <f aca="false">IF(G4233="","",C4233/C4232-1)</f>
        <v>-0.0040834662294198</v>
      </c>
      <c r="J4233" s="17" t="n">
        <f aca="false">AVERAGE(C4034:C4233)</f>
        <v>70510.632</v>
      </c>
      <c r="K4233" s="17" t="n">
        <f aca="false">MAX(K4232,C4233)</f>
        <v>124720.09</v>
      </c>
      <c r="L4233" s="25" t="n">
        <f aca="false">C4233/K4233-1</f>
        <v>-0.484510955692864</v>
      </c>
      <c r="M4233" s="25" t="n">
        <f aca="false">IF(COUNT(G4204:G4233)&lt;20,"",_xlfn.STDEV.S(G4204:G4233)*SQRT($R$3))</f>
        <v>0.296389095610667</v>
      </c>
      <c r="N4233" s="25" t="n">
        <f aca="false">IF(A4233-7&lt;$R$2,"",C4233/INDEX(Clean_Data!$C$2:$C$4314,MATCH(A4233-7,Clean_Data!$A$2:$A$4314,1))-1)</f>
        <v>-0.00811306045832227</v>
      </c>
      <c r="O4233" s="25" t="n">
        <f aca="false">IF(A4233-30&lt;$R$2,"",C4233/INDEX(Clean_Data!$C$2:$C$4314,MATCH(A4233-30,Clean_Data!$A$2:$A$4314,1))-1)</f>
        <v>0.014579127411174</v>
      </c>
    </row>
    <row r="4234" customFormat="false" ht="15" hidden="false" customHeight="false" outlineLevel="0" collapsed="false">
      <c r="A4234" s="16" t="n">
        <v>46241</v>
      </c>
      <c r="B4234" s="23" t="n">
        <f aca="false">YEAR(A4234)</f>
        <v>2026</v>
      </c>
      <c r="C4234" s="17" t="n">
        <v>64877.34</v>
      </c>
      <c r="D4234" s="23" t="n">
        <f aca="false">A4234-A4233</f>
        <v>1</v>
      </c>
      <c r="E4234" s="24" t="n">
        <f aca="false">LN(C4234)</f>
        <v>11.0802536891819</v>
      </c>
      <c r="F4234" s="25" t="n">
        <f aca="false">LN(C4234/C4233)</f>
        <v>0.00906569214148737</v>
      </c>
      <c r="G4234" s="25" t="n">
        <f aca="false">IF(AND(D4234=1,A4234&gt;=$R$2),F4234,"")</f>
        <v>0.00906569214148737</v>
      </c>
      <c r="H4234" s="27" t="n">
        <f aca="false">IF(G4234="","",G4234^2)</f>
        <v>8.21867740042259E-005</v>
      </c>
      <c r="I4234" s="25" t="n">
        <f aca="false">IF(G4234="","",C4234/C4233-1)</f>
        <v>0.0091069099904435</v>
      </c>
      <c r="J4234" s="17" t="n">
        <f aca="false">AVERAGE(C4035:C4234)</f>
        <v>70372.15765</v>
      </c>
      <c r="K4234" s="17" t="n">
        <f aca="false">MAX(K4233,C4234)</f>
        <v>124720.09</v>
      </c>
      <c r="L4234" s="25" t="n">
        <f aca="false">C4234/K4234-1</f>
        <v>-0.479816443365299</v>
      </c>
      <c r="M4234" s="25" t="n">
        <f aca="false">IF(COUNT(G4205:G4234)&lt;20,"",_xlfn.STDEV.S(G4205:G4234)*SQRT($R$3))</f>
        <v>0.289151335701306</v>
      </c>
      <c r="N4234" s="25" t="n">
        <f aca="false">IF(A4234-7&lt;$R$2,"",C4234/INDEX(Clean_Data!$C$2:$C$4314,MATCH(A4234-7,Clean_Data!$A$2:$A$4314,1))-1)</f>
        <v>0.0316553722698494</v>
      </c>
      <c r="O4234" s="25" t="n">
        <f aca="false">IF(A4234-30&lt;$R$2,"",C4234/INDEX(Clean_Data!$C$2:$C$4314,MATCH(A4234-30,Clean_Data!$A$2:$A$4314,1))-1)</f>
        <v>0.043573723833785</v>
      </c>
    </row>
    <row r="4235" customFormat="false" ht="15" hidden="false" customHeight="false" outlineLevel="0" collapsed="false">
      <c r="A4235" s="16" t="n">
        <v>46242</v>
      </c>
      <c r="B4235" s="23" t="n">
        <f aca="false">YEAR(A4235)</f>
        <v>2026</v>
      </c>
      <c r="C4235" s="17" t="n">
        <v>64910.12</v>
      </c>
      <c r="D4235" s="23" t="n">
        <f aca="false">A4235-A4234</f>
        <v>1</v>
      </c>
      <c r="E4235" s="24" t="n">
        <f aca="false">LN(C4235)</f>
        <v>11.0807588227394</v>
      </c>
      <c r="F4235" s="25" t="n">
        <f aca="false">LN(C4235/C4234)</f>
        <v>0.000505133557541256</v>
      </c>
      <c r="G4235" s="25" t="n">
        <f aca="false">IF(AND(D4235=1,A4235&gt;=$R$2),F4235,"")</f>
        <v>0.000505133557541256</v>
      </c>
      <c r="H4235" s="27" t="n">
        <f aca="false">IF(G4235="","",G4235^2)</f>
        <v>2.55159910954285E-007</v>
      </c>
      <c r="I4235" s="25" t="n">
        <f aca="false">IF(G4235="","",C4235/C4234-1)</f>
        <v>0.000505261158981085</v>
      </c>
      <c r="J4235" s="17" t="n">
        <f aca="false">AVERAGE(C4036:C4235)</f>
        <v>70252.12815</v>
      </c>
      <c r="K4235" s="17" t="n">
        <f aca="false">MAX(K4234,C4235)</f>
        <v>124720.09</v>
      </c>
      <c r="L4235" s="25" t="n">
        <f aca="false">C4235/K4235-1</f>
        <v>-0.479553614818591</v>
      </c>
      <c r="M4235" s="25" t="n">
        <f aca="false">IF(COUNT(G4206:G4235)&lt;20,"",_xlfn.STDEV.S(G4206:G4235)*SQRT($R$3))</f>
        <v>0.284486575897587</v>
      </c>
      <c r="N4235" s="25" t="n">
        <f aca="false">IF(A4235-7&lt;$R$2,"",C4235/INDEX(Clean_Data!$C$2:$C$4314,MATCH(A4235-7,Clean_Data!$A$2:$A$4314,1))-1)</f>
        <v>0.0330249065011539</v>
      </c>
      <c r="O4235" s="25" t="n">
        <f aca="false">IF(A4235-30&lt;$R$2,"",C4235/INDEX(Clean_Data!$C$2:$C$4314,MATCH(A4235-30,Clean_Data!$A$2:$A$4314,1))-1)</f>
        <v>0.0277714706620953</v>
      </c>
    </row>
    <row r="4236" customFormat="false" ht="15" hidden="false" customHeight="false" outlineLevel="0" collapsed="false">
      <c r="A4236" s="16" t="n">
        <v>46243</v>
      </c>
      <c r="B4236" s="23" t="n">
        <f aca="false">YEAR(A4236)</f>
        <v>2026</v>
      </c>
      <c r="C4236" s="17" t="n">
        <v>64855.5</v>
      </c>
      <c r="D4236" s="23" t="n">
        <f aca="false">A4236-A4235</f>
        <v>1</v>
      </c>
      <c r="E4236" s="24" t="n">
        <f aca="false">LN(C4236)</f>
        <v>11.0799169972509</v>
      </c>
      <c r="F4236" s="25" t="n">
        <f aca="false">LN(C4236/C4235)</f>
        <v>-0.000841825488532884</v>
      </c>
      <c r="G4236" s="25" t="n">
        <f aca="false">IF(AND(D4236=1,A4236&gt;=$R$2),F4236,"")</f>
        <v>-0.000841825488532884</v>
      </c>
      <c r="H4236" s="27" t="n">
        <f aca="false">IF(G4236="","",G4236^2)</f>
        <v>7.08670153143628E-007</v>
      </c>
      <c r="I4236" s="25" t="n">
        <f aca="false">IF(G4236="","",C4236/C4235-1)</f>
        <v>-0.000841471252864823</v>
      </c>
      <c r="J4236" s="17" t="n">
        <f aca="false">AVERAGE(C4037:C4236)</f>
        <v>70126.7233</v>
      </c>
      <c r="K4236" s="17" t="n">
        <f aca="false">MAX(K4235,C4236)</f>
        <v>124720.09</v>
      </c>
      <c r="L4236" s="25" t="n">
        <f aca="false">C4236/K4236-1</f>
        <v>-0.479991555490379</v>
      </c>
      <c r="M4236" s="25" t="n">
        <f aca="false">IF(COUNT(G4207:G4236)&lt;20,"",_xlfn.STDEV.S(G4207:G4236)*SQRT($R$3))</f>
        <v>0.280477030957605</v>
      </c>
      <c r="N4236" s="25" t="n">
        <f aca="false">IF(A4236-7&lt;$R$2,"",C4236/INDEX(Clean_Data!$C$2:$C$4314,MATCH(A4236-7,Clean_Data!$A$2:$A$4314,1))-1)</f>
        <v>0.0222490945942346</v>
      </c>
      <c r="O4236" s="25" t="n">
        <f aca="false">IF(A4236-30&lt;$R$2,"",C4236/INDEX(Clean_Data!$C$2:$C$4314,MATCH(A4236-30,Clean_Data!$A$2:$A$4314,1))-1)</f>
        <v>0.0124653023923533</v>
      </c>
    </row>
    <row r="4237" customFormat="false" ht="15" hidden="false" customHeight="false" outlineLevel="0" collapsed="false">
      <c r="A4237" s="16" t="n">
        <v>46244</v>
      </c>
      <c r="B4237" s="23" t="n">
        <f aca="false">YEAR(A4237)</f>
        <v>2026</v>
      </c>
      <c r="C4237" s="17" t="n">
        <v>63876.26</v>
      </c>
      <c r="D4237" s="23" t="n">
        <f aca="false">A4237-A4236</f>
        <v>1</v>
      </c>
      <c r="E4237" s="24" t="n">
        <f aca="false">LN(C4237)</f>
        <v>11.0647030533388</v>
      </c>
      <c r="F4237" s="25" t="n">
        <f aca="false">LN(C4237/C4236)</f>
        <v>-0.0152139439120287</v>
      </c>
      <c r="G4237" s="25" t="n">
        <f aca="false">IF(AND(D4237=1,A4237&gt;=$R$2),F4237,"")</f>
        <v>-0.0152139439120287</v>
      </c>
      <c r="H4237" s="27" t="n">
        <f aca="false">IF(G4237="","",G4237^2)</f>
        <v>0.000231464089358356</v>
      </c>
      <c r="I4237" s="25" t="n">
        <f aca="false">IF(G4237="","",C4237/C4236-1)</f>
        <v>-0.0150987965554193</v>
      </c>
      <c r="J4237" s="17" t="n">
        <f aca="false">AVERAGE(C4038:C4237)</f>
        <v>69998.49295</v>
      </c>
      <c r="K4237" s="17" t="n">
        <f aca="false">MAX(K4236,C4237)</f>
        <v>124720.09</v>
      </c>
      <c r="L4237" s="25" t="n">
        <f aca="false">C4237/K4237-1</f>
        <v>-0.487843057201129</v>
      </c>
      <c r="M4237" s="25" t="n">
        <f aca="false">IF(COUNT(G4208:G4237)&lt;20,"",_xlfn.STDEV.S(G4208:G4237)*SQRT($R$3))</f>
        <v>0.285460332871739</v>
      </c>
      <c r="N4237" s="25" t="n">
        <f aca="false">IF(A4237-7&lt;$R$2,"",C4237/INDEX(Clean_Data!$C$2:$C$4314,MATCH(A4237-7,Clean_Data!$A$2:$A$4314,1))-1)</f>
        <v>0.00587719894984562</v>
      </c>
      <c r="O4237" s="25" t="n">
        <f aca="false">IF(A4237-30&lt;$R$2,"",C4237/INDEX(Clean_Data!$C$2:$C$4314,MATCH(A4237-30,Clean_Data!$A$2:$A$4314,1))-1)</f>
        <v>0.000708589537095072</v>
      </c>
    </row>
    <row r="4238" customFormat="false" ht="15" hidden="false" customHeight="false" outlineLevel="0" collapsed="false">
      <c r="A4238" s="16" t="n">
        <v>46245</v>
      </c>
      <c r="B4238" s="23" t="n">
        <f aca="false">YEAR(A4238)</f>
        <v>2026</v>
      </c>
      <c r="C4238" s="17" t="n">
        <v>63528.48</v>
      </c>
      <c r="D4238" s="23" t="n">
        <f aca="false">A4238-A4237</f>
        <v>1</v>
      </c>
      <c r="E4238" s="24" t="n">
        <f aca="false">LN(C4238)</f>
        <v>11.05924358827</v>
      </c>
      <c r="F4238" s="25" t="n">
        <f aca="false">LN(C4238/C4237)</f>
        <v>-0.00545946506888424</v>
      </c>
      <c r="G4238" s="25" t="n">
        <f aca="false">IF(AND(D4238=1,A4238&gt;=$R$2),F4238,"")</f>
        <v>-0.00545946506888424</v>
      </c>
      <c r="H4238" s="27" t="n">
        <f aca="false">IF(G4238="","",G4238^2)</f>
        <v>2.98057588383672E-005</v>
      </c>
      <c r="I4238" s="25" t="n">
        <f aca="false">IF(G4238="","",C4238/C4237-1)</f>
        <v>-0.00544458927307268</v>
      </c>
      <c r="J4238" s="17" t="n">
        <f aca="false">AVERAGE(C4039:C4238)</f>
        <v>69869.3054</v>
      </c>
      <c r="K4238" s="17" t="n">
        <f aca="false">MAX(K4237,C4238)</f>
        <v>124720.09</v>
      </c>
      <c r="L4238" s="25" t="n">
        <f aca="false">C4238/K4238-1</f>
        <v>-0.490631541398022</v>
      </c>
      <c r="M4238" s="25" t="n">
        <f aca="false">IF(COUNT(G4209:G4238)&lt;20,"",_xlfn.STDEV.S(G4209:G4238)*SQRT($R$3))</f>
        <v>0.286100202602746</v>
      </c>
      <c r="N4238" s="25" t="n">
        <f aca="false">IF(A4238-7&lt;$R$2,"",C4238/INDEX(Clean_Data!$C$2:$C$4314,MATCH(A4238-7,Clean_Data!$A$2:$A$4314,1))-1)</f>
        <v>-0.00773014362407232</v>
      </c>
      <c r="O4238" s="25" t="n">
        <f aca="false">IF(A4238-30&lt;$R$2,"",C4238/INDEX(Clean_Data!$C$2:$C$4314,MATCH(A4238-30,Clean_Data!$A$2:$A$4314,1))-1)</f>
        <v>-0.00439952163645341</v>
      </c>
    </row>
    <row r="4239" customFormat="false" ht="15" hidden="false" customHeight="false" outlineLevel="0" collapsed="false">
      <c r="A4239" s="16" t="n">
        <v>46246</v>
      </c>
      <c r="B4239" s="23" t="n">
        <f aca="false">YEAR(A4239)</f>
        <v>2026</v>
      </c>
      <c r="C4239" s="17" t="n">
        <v>63402.49</v>
      </c>
      <c r="D4239" s="23" t="n">
        <f aca="false">A4239-A4238</f>
        <v>1</v>
      </c>
      <c r="E4239" s="24" t="n">
        <f aca="false">LN(C4239)</f>
        <v>11.057258414102</v>
      </c>
      <c r="F4239" s="25" t="n">
        <f aca="false">LN(C4239/C4238)</f>
        <v>-0.00198517416791722</v>
      </c>
      <c r="G4239" s="25" t="n">
        <f aca="false">IF(AND(D4239=1,A4239&gt;=$R$2),F4239,"")</f>
        <v>-0.00198517416791722</v>
      </c>
      <c r="H4239" s="27" t="n">
        <f aca="false">IF(G4239="","",G4239^2)</f>
        <v>3.94091647696583E-006</v>
      </c>
      <c r="I4239" s="25" t="n">
        <f aca="false">IF(G4239="","",C4239/C4238-1)</f>
        <v>-0.00198320501293281</v>
      </c>
      <c r="J4239" s="17" t="n">
        <f aca="false">AVERAGE(C4040:C4239)</f>
        <v>69740.5422</v>
      </c>
      <c r="K4239" s="17" t="n">
        <f aca="false">MAX(K4238,C4239)</f>
        <v>124720.09</v>
      </c>
      <c r="L4239" s="25" t="n">
        <f aca="false">C4239/K4239-1</f>
        <v>-0.491641723478551</v>
      </c>
      <c r="M4239" s="25" t="n">
        <f aca="false">IF(COUNT(G4210:G4239)&lt;20,"",_xlfn.STDEV.S(G4210:G4239)*SQRT($R$3))</f>
        <v>0.271835710113078</v>
      </c>
      <c r="N4239" s="25" t="n">
        <f aca="false">IF(A4239-7&lt;$R$2,"",C4239/INDEX(Clean_Data!$C$2:$C$4314,MATCH(A4239-7,Clean_Data!$A$2:$A$4314,1))-1)</f>
        <v>-0.0178599947796816</v>
      </c>
      <c r="O4239" s="25" t="n">
        <f aca="false">IF(A4239-30&lt;$R$2,"",C4239/INDEX(Clean_Data!$C$2:$C$4314,MATCH(A4239-30,Clean_Data!$A$2:$A$4314,1))-1)</f>
        <v>0.0187873724818339</v>
      </c>
    </row>
    <row r="4240" customFormat="false" ht="15" hidden="false" customHeight="false" outlineLevel="0" collapsed="false">
      <c r="A4240" s="16" t="n">
        <v>46247</v>
      </c>
      <c r="B4240" s="23" t="n">
        <f aca="false">YEAR(A4240)</f>
        <v>2026</v>
      </c>
      <c r="C4240" s="17" t="n">
        <v>63387.81</v>
      </c>
      <c r="D4240" s="23" t="n">
        <f aca="false">A4240-A4239</f>
        <v>1</v>
      </c>
      <c r="E4240" s="24" t="n">
        <f aca="false">LN(C4240)</f>
        <v>11.0570268506454</v>
      </c>
      <c r="F4240" s="25" t="n">
        <f aca="false">LN(C4240/C4239)</f>
        <v>-0.000231563456598784</v>
      </c>
      <c r="G4240" s="25" t="n">
        <f aca="false">IF(AND(D4240=1,A4240&gt;=$R$2),F4240,"")</f>
        <v>-0.000231563456598784</v>
      </c>
      <c r="H4240" s="27" t="n">
        <f aca="false">IF(G4240="","",G4240^2)</f>
        <v>5.36216344319767E-008</v>
      </c>
      <c r="I4240" s="25" t="n">
        <f aca="false">IF(G4240="","",C4240/C4239-1)</f>
        <v>-0.000231536647850916</v>
      </c>
      <c r="J4240" s="17" t="n">
        <f aca="false">AVERAGE(C4041:C4240)</f>
        <v>69622.5868</v>
      </c>
      <c r="K4240" s="17" t="n">
        <f aca="false">MAX(K4239,C4240)</f>
        <v>124720.09</v>
      </c>
      <c r="L4240" s="25" t="n">
        <f aca="false">C4240/K4240-1</f>
        <v>-0.491759427049804</v>
      </c>
      <c r="M4240" s="25" t="n">
        <f aca="false">IF(COUNT(G4211:G4240)&lt;20,"",_xlfn.STDEV.S(G4211:G4240)*SQRT($R$3))</f>
        <v>0.224752432283811</v>
      </c>
      <c r="N4240" s="25" t="n">
        <f aca="false">IF(A4240-7&lt;$R$2,"",C4240/INDEX(Clean_Data!$C$2:$C$4314,MATCH(A4240-7,Clean_Data!$A$2:$A$4314,1))-1)</f>
        <v>-0.0140613489985665</v>
      </c>
      <c r="O4240" s="25" t="n">
        <f aca="false">IF(A4240-30&lt;$R$2,"",C4240/INDEX(Clean_Data!$C$2:$C$4314,MATCH(A4240-30,Clean_Data!$A$2:$A$4314,1))-1)</f>
        <v>-0.0243186849350154</v>
      </c>
    </row>
    <row r="4241" customFormat="false" ht="15" hidden="false" customHeight="false" outlineLevel="0" collapsed="false">
      <c r="A4241" s="16" t="n">
        <v>46248</v>
      </c>
      <c r="B4241" s="23" t="n">
        <f aca="false">YEAR(A4241)</f>
        <v>2026</v>
      </c>
      <c r="C4241" s="17" t="n">
        <v>62968.43</v>
      </c>
      <c r="D4241" s="23" t="n">
        <f aca="false">A4241-A4240</f>
        <v>1</v>
      </c>
      <c r="E4241" s="24" t="n">
        <f aca="false">LN(C4241)</f>
        <v>11.0503887686644</v>
      </c>
      <c r="F4241" s="25" t="n">
        <f aca="false">LN(C4241/C4240)</f>
        <v>-0.00663808198102216</v>
      </c>
      <c r="G4241" s="25" t="n">
        <f aca="false">IF(AND(D4241=1,A4241&gt;=$R$2),F4241,"")</f>
        <v>-0.00663808198102216</v>
      </c>
      <c r="H4241" s="27" t="n">
        <f aca="false">IF(G4241="","",G4241^2)</f>
        <v>4.40641323867711E-005</v>
      </c>
      <c r="I4241" s="25" t="n">
        <f aca="false">IF(G4241="","",C4241/C4240-1)</f>
        <v>-0.0066160985842546</v>
      </c>
      <c r="J4241" s="17" t="n">
        <f aca="false">AVERAGE(C4042:C4241)</f>
        <v>69496.74655</v>
      </c>
      <c r="K4241" s="17" t="n">
        <f aca="false">MAX(K4240,C4241)</f>
        <v>124720.09</v>
      </c>
      <c r="L4241" s="25" t="n">
        <f aca="false">C4241/K4241-1</f>
        <v>-0.495121996784961</v>
      </c>
      <c r="M4241" s="25" t="n">
        <f aca="false">IF(COUNT(G4212:G4241)&lt;20,"",_xlfn.STDEV.S(G4212:G4241)*SQRT($R$3))</f>
        <v>0.225520002759579</v>
      </c>
      <c r="N4241" s="25" t="n">
        <f aca="false">IF(A4241-7&lt;$R$2,"",C4241/INDEX(Clean_Data!$C$2:$C$4314,MATCH(A4241-7,Clean_Data!$A$2:$A$4314,1))-1)</f>
        <v>-0.0294233703169704</v>
      </c>
      <c r="O4241" s="25" t="n">
        <f aca="false">IF(A4241-30&lt;$R$2,"",C4241/INDEX(Clean_Data!$C$2:$C$4314,MATCH(A4241-30,Clean_Data!$A$2:$A$4314,1))-1)</f>
        <v>-0.0275982436723203</v>
      </c>
    </row>
    <row r="4242" customFormat="false" ht="15" hidden="false" customHeight="false" outlineLevel="0" collapsed="false">
      <c r="A4242" s="16" t="n">
        <v>46249</v>
      </c>
      <c r="B4242" s="23" t="n">
        <f aca="false">YEAR(A4242)</f>
        <v>2026</v>
      </c>
      <c r="C4242" s="17" t="n">
        <v>62999.01</v>
      </c>
      <c r="D4242" s="23" t="n">
        <f aca="false">A4242-A4241</f>
        <v>1</v>
      </c>
      <c r="E4242" s="24" t="n">
        <f aca="false">LN(C4242)</f>
        <v>11.0508742909645</v>
      </c>
      <c r="F4242" s="25" t="n">
        <f aca="false">LN(C4242/C4241)</f>
        <v>0.000485522300059916</v>
      </c>
      <c r="G4242" s="25" t="n">
        <f aca="false">IF(AND(D4242=1,A4242&gt;=$R$2),F4242,"")</f>
        <v>0.000485522300059916</v>
      </c>
      <c r="H4242" s="27" t="n">
        <f aca="false">IF(G4242="","",G4242^2)</f>
        <v>2.35731903855471E-007</v>
      </c>
      <c r="I4242" s="25" t="n">
        <f aca="false">IF(G4242="","",C4242/C4241-1)</f>
        <v>0.000485640185089675</v>
      </c>
      <c r="J4242" s="17" t="n">
        <f aca="false">AVERAGE(C4043:C4242)</f>
        <v>69365.2616</v>
      </c>
      <c r="K4242" s="17" t="n">
        <f aca="false">MAX(K4241,C4242)</f>
        <v>124720.09</v>
      </c>
      <c r="L4242" s="25" t="n">
        <f aca="false">C4242/K4242-1</f>
        <v>-0.494876807738032</v>
      </c>
      <c r="M4242" s="25" t="n">
        <f aca="false">IF(COUNT(G4213:G4242)&lt;20,"",_xlfn.STDEV.S(G4213:G4242)*SQRT($R$3))</f>
        <v>0.219156641092632</v>
      </c>
      <c r="N4242" s="25" t="n">
        <f aca="false">IF(A4242-7&lt;$R$2,"",C4242/INDEX(Clean_Data!$C$2:$C$4314,MATCH(A4242-7,Clean_Data!$A$2:$A$4314,1))-1)</f>
        <v>-0.0294424043585192</v>
      </c>
      <c r="O4242" s="25" t="n">
        <f aca="false">IF(A4242-30&lt;$R$2,"",C4242/INDEX(Clean_Data!$C$2:$C$4314,MATCH(A4242-30,Clean_Data!$A$2:$A$4314,1))-1)</f>
        <v>-0.0117303179862575</v>
      </c>
    </row>
    <row r="4243" customFormat="false" ht="15" hidden="false" customHeight="false" outlineLevel="0" collapsed="false">
      <c r="A4243" s="16" t="n">
        <v>46250</v>
      </c>
      <c r="B4243" s="23" t="n">
        <f aca="false">YEAR(A4243)</f>
        <v>2026</v>
      </c>
      <c r="C4243" s="17" t="n">
        <v>62859.47</v>
      </c>
      <c r="D4243" s="23" t="n">
        <f aca="false">A4243-A4242</f>
        <v>1</v>
      </c>
      <c r="E4243" s="24" t="n">
        <f aca="false">LN(C4243)</f>
        <v>11.0486568788811</v>
      </c>
      <c r="F4243" s="25" t="n">
        <f aca="false">LN(C4243/C4242)</f>
        <v>-0.00221741208340572</v>
      </c>
      <c r="G4243" s="25" t="n">
        <f aca="false">IF(AND(D4243=1,A4243&gt;=$R$2),F4243,"")</f>
        <v>-0.00221741208340572</v>
      </c>
      <c r="H4243" s="27" t="n">
        <f aca="false">IF(G4243="","",G4243^2)</f>
        <v>4.91691634763368E-006</v>
      </c>
      <c r="I4243" s="25" t="n">
        <f aca="false">IF(G4243="","",C4243/C4242-1)</f>
        <v>-0.0022149554413633</v>
      </c>
      <c r="J4243" s="17" t="n">
        <f aca="false">AVERAGE(C4044:C4243)</f>
        <v>69234.73915</v>
      </c>
      <c r="K4243" s="17" t="n">
        <f aca="false">MAX(K4242,C4243)</f>
        <v>124720.09</v>
      </c>
      <c r="L4243" s="25" t="n">
        <f aca="false">C4243/K4243-1</f>
        <v>-0.495995633101291</v>
      </c>
      <c r="M4243" s="25" t="n">
        <f aca="false">IF(COUNT(G4214:G4243)&lt;20,"",_xlfn.STDEV.S(G4214:G4243)*SQRT($R$3))</f>
        <v>0.219007079143261</v>
      </c>
      <c r="N4243" s="25" t="n">
        <f aca="false">IF(A4243-7&lt;$R$2,"",C4243/INDEX(Clean_Data!$C$2:$C$4314,MATCH(A4243-7,Clean_Data!$A$2:$A$4314,1))-1)</f>
        <v>-0.0307765725343263</v>
      </c>
      <c r="O4243" s="25" t="n">
        <f aca="false">IF(A4243-30&lt;$R$2,"",C4243/INDEX(Clean_Data!$C$2:$C$4314,MATCH(A4243-30,Clean_Data!$A$2:$A$4314,1))-1)</f>
        <v>-0.0162864955935961</v>
      </c>
    </row>
    <row r="4244" customFormat="false" ht="15" hidden="false" customHeight="false" outlineLevel="0" collapsed="false">
      <c r="A4244" s="16" t="n">
        <v>46251</v>
      </c>
      <c r="B4244" s="23" t="n">
        <f aca="false">YEAR(A4244)</f>
        <v>2026</v>
      </c>
      <c r="C4244" s="17" t="n">
        <v>64423.92</v>
      </c>
      <c r="D4244" s="23" t="n">
        <f aca="false">A4244-A4243</f>
        <v>1</v>
      </c>
      <c r="E4244" s="24" t="n">
        <f aca="false">LN(C4244)</f>
        <v>11.0732402717014</v>
      </c>
      <c r="F4244" s="25" t="n">
        <f aca="false">LN(C4244/C4243)</f>
        <v>0.0245833928202785</v>
      </c>
      <c r="G4244" s="25" t="n">
        <f aca="false">IF(AND(D4244=1,A4244&gt;=$R$2),F4244,"")</f>
        <v>0.0245833928202785</v>
      </c>
      <c r="H4244" s="27" t="n">
        <f aca="false">IF(G4244="","",G4244^2)</f>
        <v>0.000604343202556122</v>
      </c>
      <c r="I4244" s="25" t="n">
        <f aca="false">IF(G4244="","",C4244/C4243-1)</f>
        <v>0.0248880558490232</v>
      </c>
      <c r="J4244" s="17" t="n">
        <f aca="false">AVERAGE(C4045:C4244)</f>
        <v>69137.13895</v>
      </c>
      <c r="K4244" s="17" t="n">
        <f aca="false">MAX(K4243,C4244)</f>
        <v>124720.09</v>
      </c>
      <c r="L4244" s="25" t="n">
        <f aca="false">C4244/K4244-1</f>
        <v>-0.483451944269764</v>
      </c>
      <c r="M4244" s="25" t="n">
        <f aca="false">IF(COUNT(G4215:G4244)&lt;20,"",_xlfn.STDEV.S(G4215:G4244)*SQRT($R$3))</f>
        <v>0.230743552267603</v>
      </c>
      <c r="N4244" s="25" t="n">
        <f aca="false">IF(A4244-7&lt;$R$2,"",C4244/INDEX(Clean_Data!$C$2:$C$4314,MATCH(A4244-7,Clean_Data!$A$2:$A$4314,1))-1)</f>
        <v>0.00857376433748613</v>
      </c>
      <c r="O4244" s="25" t="n">
        <f aca="false">IF(A4244-30&lt;$R$2,"",C4244/INDEX(Clean_Data!$C$2:$C$4314,MATCH(A4244-30,Clean_Data!$A$2:$A$4314,1))-1)</f>
        <v>-0.00570795706253202</v>
      </c>
    </row>
    <row r="4245" customFormat="false" ht="15" hidden="false" customHeight="false" outlineLevel="0" collapsed="false">
      <c r="A4245" s="16" t="n">
        <v>46252</v>
      </c>
      <c r="B4245" s="23" t="n">
        <f aca="false">YEAR(A4245)</f>
        <v>2026</v>
      </c>
      <c r="C4245" s="17" t="n">
        <v>64625.4</v>
      </c>
      <c r="D4245" s="23" t="n">
        <f aca="false">A4245-A4244</f>
        <v>1</v>
      </c>
      <c r="E4245" s="24" t="n">
        <f aca="false">LN(C4245)</f>
        <v>11.0763628013467</v>
      </c>
      <c r="F4245" s="25" t="n">
        <f aca="false">LN(C4245/C4244)</f>
        <v>0.00312252964534314</v>
      </c>
      <c r="G4245" s="25" t="n">
        <f aca="false">IF(AND(D4245=1,A4245&gt;=$R$2),F4245,"")</f>
        <v>0.00312252964534314</v>
      </c>
      <c r="H4245" s="27" t="n">
        <f aca="false">IF(G4245="","",G4245^2)</f>
        <v>9.75019138604674E-006</v>
      </c>
      <c r="I4245" s="25" t="n">
        <f aca="false">IF(G4245="","",C4245/C4244-1)</f>
        <v>0.00312740981921</v>
      </c>
      <c r="J4245" s="17" t="n">
        <f aca="false">AVERAGE(C4046:C4245)</f>
        <v>69040.33585</v>
      </c>
      <c r="K4245" s="17" t="n">
        <f aca="false">MAX(K4244,C4245)</f>
        <v>124720.09</v>
      </c>
      <c r="L4245" s="25" t="n">
        <f aca="false">C4245/K4245-1</f>
        <v>-0.48183648680818</v>
      </c>
      <c r="M4245" s="25" t="n">
        <f aca="false">IF(COUNT(G4216:G4245)&lt;20,"",_xlfn.STDEV.S(G4216:G4245)*SQRT($R$3))</f>
        <v>0.230715667890413</v>
      </c>
      <c r="N4245" s="25" t="n">
        <f aca="false">IF(A4245-7&lt;$R$2,"",C4245/INDEX(Clean_Data!$C$2:$C$4314,MATCH(A4245-7,Clean_Data!$A$2:$A$4314,1))-1)</f>
        <v>0.0172665865766031</v>
      </c>
      <c r="O4245" s="25" t="n">
        <f aca="false">IF(A4245-30&lt;$R$2,"",C4245/INDEX(Clean_Data!$C$2:$C$4314,MATCH(A4245-30,Clean_Data!$A$2:$A$4314,1))-1)</f>
        <v>0.000839693497935112</v>
      </c>
    </row>
    <row r="4246" customFormat="false" ht="15" hidden="false" customHeight="false" outlineLevel="0" collapsed="false">
      <c r="A4246" s="16" t="n">
        <v>46253</v>
      </c>
      <c r="B4246" s="23" t="n">
        <f aca="false">YEAR(A4246)</f>
        <v>2026</v>
      </c>
      <c r="C4246" s="17" t="n">
        <v>69487.6</v>
      </c>
      <c r="D4246" s="23" t="n">
        <f aca="false">A4246-A4245</f>
        <v>1</v>
      </c>
      <c r="E4246" s="24" t="n">
        <f aca="false">LN(C4246)</f>
        <v>11.1489035983684</v>
      </c>
      <c r="F4246" s="25" t="n">
        <f aca="false">LN(C4246/C4245)</f>
        <v>0.072540797021742</v>
      </c>
      <c r="G4246" s="25" t="n">
        <f aca="false">IF(AND(D4246=1,A4246&gt;=$R$2),F4246,"")</f>
        <v>0.072540797021742</v>
      </c>
      <c r="H4246" s="27" t="n">
        <f aca="false">IF(G4246="","",G4246^2)</f>
        <v>0.00526216723254957</v>
      </c>
      <c r="I4246" s="25" t="n">
        <f aca="false">IF(G4246="","",C4246/C4245-1)</f>
        <v>0.0752366716492279</v>
      </c>
      <c r="J4246" s="17" t="n">
        <f aca="false">AVERAGE(C4047:C4246)</f>
        <v>68994.13735</v>
      </c>
      <c r="K4246" s="17" t="n">
        <f aca="false">MAX(K4245,C4246)</f>
        <v>124720.09</v>
      </c>
      <c r="L4246" s="25" t="n">
        <f aca="false">C4246/K4246-1</f>
        <v>-0.442851588705557</v>
      </c>
      <c r="M4246" s="25" t="n">
        <f aca="false">IF(COUNT(G4217:G4246)&lt;20,"",_xlfn.STDEV.S(G4217:G4246)*SQRT($R$3))</f>
        <v>0.341631313592445</v>
      </c>
      <c r="N4246" s="25" t="n">
        <f aca="false">IF(A4246-7&lt;$R$2,"",C4246/INDEX(Clean_Data!$C$2:$C$4314,MATCH(A4246-7,Clean_Data!$A$2:$A$4314,1))-1)</f>
        <v>0.0959758835970008</v>
      </c>
      <c r="O4246" s="25" t="n">
        <f aca="false">IF(A4246-30&lt;$R$2,"",C4246/INDEX(Clean_Data!$C$2:$C$4314,MATCH(A4246-30,Clean_Data!$A$2:$A$4314,1))-1)</f>
        <v>0.0665573825848449</v>
      </c>
    </row>
    <row r="4247" customFormat="false" ht="15" hidden="false" customHeight="false" outlineLevel="0" collapsed="false">
      <c r="A4247" s="16" t="n">
        <v>46254</v>
      </c>
      <c r="B4247" s="23" t="n">
        <f aca="false">YEAR(A4247)</f>
        <v>2026</v>
      </c>
      <c r="C4247" s="17" t="n">
        <v>73086.97</v>
      </c>
      <c r="D4247" s="23" t="n">
        <f aca="false">A4247-A4246</f>
        <v>1</v>
      </c>
      <c r="E4247" s="24" t="n">
        <f aca="false">LN(C4247)</f>
        <v>11.1994053808756</v>
      </c>
      <c r="F4247" s="25" t="n">
        <f aca="false">LN(C4247/C4246)</f>
        <v>0.0505017825071826</v>
      </c>
      <c r="G4247" s="25" t="n">
        <f aca="false">IF(AND(D4247=1,A4247&gt;=$R$2),F4247,"")</f>
        <v>0.0505017825071826</v>
      </c>
      <c r="H4247" s="27" t="n">
        <f aca="false">IF(G4247="","",G4247^2)</f>
        <v>0.00255043003640278</v>
      </c>
      <c r="I4247" s="25" t="n">
        <f aca="false">IF(G4247="","",C4247/C4246-1)</f>
        <v>0.0517987381921379</v>
      </c>
      <c r="J4247" s="17" t="n">
        <f aca="false">AVERAGE(C4048:C4247)</f>
        <v>68970.41555</v>
      </c>
      <c r="K4247" s="17" t="n">
        <f aca="false">MAX(K4246,C4247)</f>
        <v>124720.09</v>
      </c>
      <c r="L4247" s="25" t="n">
        <f aca="false">C4247/K4247-1</f>
        <v>-0.41399200401475</v>
      </c>
      <c r="M4247" s="25" t="n">
        <f aca="false">IF(COUNT(G4218:G4247)&lt;20,"",_xlfn.STDEV.S(G4218:G4247)*SQRT($R$3))</f>
        <v>0.375721391165834</v>
      </c>
      <c r="N4247" s="25" t="n">
        <f aca="false">IF(A4247-7&lt;$R$2,"",C4247/INDEX(Clean_Data!$C$2:$C$4314,MATCH(A4247-7,Clean_Data!$A$2:$A$4314,1))-1)</f>
        <v>0.153013016225044</v>
      </c>
      <c r="O4247" s="25" t="n">
        <f aca="false">IF(A4247-30&lt;$R$2,"",C4247/INDEX(Clean_Data!$C$2:$C$4314,MATCH(A4247-30,Clean_Data!$A$2:$A$4314,1))-1)</f>
        <v>0.0981648962424797</v>
      </c>
    </row>
    <row r="4248" customFormat="false" ht="15" hidden="false" customHeight="false" outlineLevel="0" collapsed="false">
      <c r="A4248" s="16" t="n">
        <v>46255</v>
      </c>
      <c r="B4248" s="23" t="n">
        <f aca="false">YEAR(A4248)</f>
        <v>2026</v>
      </c>
      <c r="C4248" s="17" t="n">
        <v>78126.63</v>
      </c>
      <c r="D4248" s="23" t="n">
        <f aca="false">A4248-A4247</f>
        <v>1</v>
      </c>
      <c r="E4248" s="24" t="n">
        <f aca="false">LN(C4248)</f>
        <v>11.2660862508211</v>
      </c>
      <c r="F4248" s="25" t="n">
        <f aca="false">LN(C4248/C4247)</f>
        <v>0.0666808699454271</v>
      </c>
      <c r="G4248" s="25" t="n">
        <f aca="false">IF(AND(D4248=1,A4248&gt;=$R$2),F4248,"")</f>
        <v>0.0666808699454271</v>
      </c>
      <c r="H4248" s="27" t="n">
        <f aca="false">IF(G4248="","",G4248^2)</f>
        <v>0.00444633841667897</v>
      </c>
      <c r="I4248" s="25" t="n">
        <f aca="false">IF(G4248="","",C4248/C4247-1)</f>
        <v>0.0689542882951639</v>
      </c>
      <c r="J4248" s="17" t="n">
        <f aca="false">AVERAGE(C4049:C4248)</f>
        <v>68966.3579</v>
      </c>
      <c r="K4248" s="17" t="n">
        <f aca="false">MAX(K4247,C4248)</f>
        <v>124720.09</v>
      </c>
      <c r="L4248" s="25" t="n">
        <f aca="false">C4248/K4248-1</f>
        <v>-0.373584239716312</v>
      </c>
      <c r="M4248" s="25" t="n">
        <f aca="false">IF(COUNT(G4219:G4248)&lt;20,"",_xlfn.STDEV.S(G4219:G4248)*SQRT($R$3))</f>
        <v>0.433958341986669</v>
      </c>
      <c r="N4248" s="25" t="n">
        <f aca="false">IF(A4248-7&lt;$R$2,"",C4248/INDEX(Clean_Data!$C$2:$C$4314,MATCH(A4248-7,Clean_Data!$A$2:$A$4314,1))-1)</f>
        <v>0.240726980170857</v>
      </c>
      <c r="O4248" s="25" t="n">
        <f aca="false">IF(A4248-30&lt;$R$2,"",C4248/INDEX(Clean_Data!$C$2:$C$4314,MATCH(A4248-30,Clean_Data!$A$2:$A$4314,1))-1)</f>
        <v>0.182595971431802</v>
      </c>
    </row>
    <row r="4249" customFormat="false" ht="15" hidden="false" customHeight="false" outlineLevel="0" collapsed="false">
      <c r="A4249" s="16" t="n">
        <v>46256</v>
      </c>
      <c r="B4249" s="23" t="n">
        <f aca="false">YEAR(A4249)</f>
        <v>2026</v>
      </c>
      <c r="C4249" s="17" t="n">
        <v>77117.73</v>
      </c>
      <c r="D4249" s="23" t="n">
        <f aca="false">A4249-A4248</f>
        <v>1</v>
      </c>
      <c r="E4249" s="24" t="n">
        <f aca="false">LN(C4249)</f>
        <v>11.2530884942039</v>
      </c>
      <c r="F4249" s="25" t="n">
        <f aca="false">LN(C4249/C4248)</f>
        <v>-0.0129977566171359</v>
      </c>
      <c r="G4249" s="25" t="n">
        <f aca="false">IF(AND(D4249=1,A4249&gt;=$R$2),F4249,"")</f>
        <v>-0.0129977566171359</v>
      </c>
      <c r="H4249" s="27" t="n">
        <f aca="false">IF(G4249="","",G4249^2)</f>
        <v>0.0001689416770783</v>
      </c>
      <c r="I4249" s="25" t="n">
        <f aca="false">IF(G4249="","",C4249/C4248-1)</f>
        <v>-0.0129136505695946</v>
      </c>
      <c r="J4249" s="17" t="n">
        <f aca="false">AVERAGE(C4050:C4249)</f>
        <v>68970.37665</v>
      </c>
      <c r="K4249" s="17" t="n">
        <f aca="false">MAX(K4248,C4249)</f>
        <v>124720.09</v>
      </c>
      <c r="L4249" s="25" t="n">
        <f aca="false">C4249/K4249-1</f>
        <v>-0.381673553955902</v>
      </c>
      <c r="M4249" s="25" t="n">
        <f aca="false">IF(COUNT(G4220:G4249)&lt;20,"",_xlfn.STDEV.S(G4220:G4249)*SQRT($R$3))</f>
        <v>0.432063693717443</v>
      </c>
      <c r="N4249" s="25" t="n">
        <f aca="false">IF(A4249-7&lt;$R$2,"",C4249/INDEX(Clean_Data!$C$2:$C$4314,MATCH(A4249-7,Clean_Data!$A$2:$A$4314,1))-1)</f>
        <v>0.224110188398199</v>
      </c>
      <c r="O4249" s="25" t="n">
        <f aca="false">IF(A4249-30&lt;$R$2,"",C4249/INDEX(Clean_Data!$C$2:$C$4314,MATCH(A4249-30,Clean_Data!$A$2:$A$4314,1))-1)</f>
        <v>0.186408545469846</v>
      </c>
    </row>
    <row r="4250" customFormat="false" ht="15" hidden="false" customHeight="false" outlineLevel="0" collapsed="false">
      <c r="A4250" s="16" t="n">
        <v>46257</v>
      </c>
      <c r="B4250" s="23" t="n">
        <f aca="false">YEAR(A4250)</f>
        <v>2026</v>
      </c>
      <c r="C4250" s="17" t="n">
        <v>77637.69</v>
      </c>
      <c r="D4250" s="23" t="n">
        <f aca="false">A4250-A4249</f>
        <v>1</v>
      </c>
      <c r="E4250" s="24" t="n">
        <f aca="false">LN(C4250)</f>
        <v>11.2598082841355</v>
      </c>
      <c r="F4250" s="25" t="n">
        <f aca="false">LN(C4250/C4249)</f>
        <v>0.00671978993161814</v>
      </c>
      <c r="G4250" s="25" t="n">
        <f aca="false">IF(AND(D4250=1,A4250&gt;=$R$2),F4250,"")</f>
        <v>0.00671978993161814</v>
      </c>
      <c r="H4250" s="27" t="n">
        <f aca="false">IF(G4250="","",G4250^2)</f>
        <v>4.51555767250766E-005</v>
      </c>
      <c r="I4250" s="25" t="n">
        <f aca="false">IF(G4250="","",C4250/C4249-1)</f>
        <v>0.00674241837771938</v>
      </c>
      <c r="J4250" s="17" t="n">
        <f aca="false">AVERAGE(C4051:C4250)</f>
        <v>68994.29615</v>
      </c>
      <c r="K4250" s="17" t="n">
        <f aca="false">MAX(K4249,C4250)</f>
        <v>124720.09</v>
      </c>
      <c r="L4250" s="25" t="n">
        <f aca="false">C4250/K4250-1</f>
        <v>-0.377504538362665</v>
      </c>
      <c r="M4250" s="25" t="n">
        <f aca="false">IF(COUNT(G4221:G4250)&lt;20,"",_xlfn.STDEV.S(G4221:G4250)*SQRT($R$3))</f>
        <v>0.426282564156166</v>
      </c>
      <c r="N4250" s="25" t="n">
        <f aca="false">IF(A4250-7&lt;$R$2,"",C4250/INDEX(Clean_Data!$C$2:$C$4314,MATCH(A4250-7,Clean_Data!$A$2:$A$4314,1))-1)</f>
        <v>0.235099341435745</v>
      </c>
      <c r="O4250" s="25" t="n">
        <f aca="false">IF(A4250-30&lt;$R$2,"",C4250/INDEX(Clean_Data!$C$2:$C$4314,MATCH(A4250-30,Clean_Data!$A$2:$A$4314,1))-1)</f>
        <v>0.211038088936267</v>
      </c>
    </row>
    <row r="4251" customFormat="false" ht="15" hidden="false" customHeight="false" outlineLevel="0" collapsed="false">
      <c r="A4251" s="16" t="n">
        <v>46258</v>
      </c>
      <c r="B4251" s="23" t="n">
        <f aca="false">YEAR(A4251)</f>
        <v>2026</v>
      </c>
      <c r="C4251" s="17" t="n">
        <v>78981.39</v>
      </c>
      <c r="D4251" s="23" t="n">
        <f aca="false">A4251-A4250</f>
        <v>1</v>
      </c>
      <c r="E4251" s="24" t="n">
        <f aca="false">LN(C4251)</f>
        <v>11.276967534078</v>
      </c>
      <c r="F4251" s="25" t="n">
        <f aca="false">LN(C4251/C4250)</f>
        <v>0.0171592499424895</v>
      </c>
      <c r="G4251" s="25" t="n">
        <f aca="false">IF(AND(D4251=1,A4251&gt;=$R$2),F4251,"")</f>
        <v>0.0171592499424895</v>
      </c>
      <c r="H4251" s="27" t="n">
        <f aca="false">IF(G4251="","",G4251^2)</f>
        <v>0.000294439858588825</v>
      </c>
      <c r="I4251" s="25" t="n">
        <f aca="false">IF(G4251="","",C4251/C4250-1)</f>
        <v>0.0173073155576886</v>
      </c>
      <c r="J4251" s="17" t="n">
        <f aca="false">AVERAGE(C4052:C4251)</f>
        <v>69069.97315</v>
      </c>
      <c r="K4251" s="17" t="n">
        <f aca="false">MAX(K4250,C4251)</f>
        <v>124720.09</v>
      </c>
      <c r="L4251" s="25" t="n">
        <f aca="false">C4251/K4251-1</f>
        <v>-0.366730812974878</v>
      </c>
      <c r="M4251" s="25" t="n">
        <f aca="false">IF(COUNT(G4222:G4251)&lt;20,"",_xlfn.STDEV.S(G4222:G4251)*SQRT($R$3))</f>
        <v>0.427759065124035</v>
      </c>
      <c r="N4251" s="25" t="n">
        <f aca="false">IF(A4251-7&lt;$R$2,"",C4251/INDEX(Clean_Data!$C$2:$C$4314,MATCH(A4251-7,Clean_Data!$A$2:$A$4314,1))-1)</f>
        <v>0.225963741417784</v>
      </c>
      <c r="O4251" s="25" t="n">
        <f aca="false">IF(A4251-30&lt;$R$2,"",C4251/INDEX(Clean_Data!$C$2:$C$4314,MATCH(A4251-30,Clean_Data!$A$2:$A$4314,1))-1)</f>
        <v>0.227946405389312</v>
      </c>
    </row>
    <row r="4252" customFormat="false" ht="15" hidden="false" customHeight="false" outlineLevel="0" collapsed="false">
      <c r="A4252" s="16" t="n">
        <v>46259</v>
      </c>
      <c r="B4252" s="23" t="n">
        <f aca="false">YEAR(A4252)</f>
        <v>2026</v>
      </c>
      <c r="C4252" s="17" t="n">
        <v>78510.95</v>
      </c>
      <c r="D4252" s="23" t="n">
        <f aca="false">A4252-A4251</f>
        <v>1</v>
      </c>
      <c r="E4252" s="24" t="n">
        <f aca="false">LN(C4252)</f>
        <v>11.2709933844885</v>
      </c>
      <c r="F4252" s="25" t="n">
        <f aca="false">LN(C4252/C4251)</f>
        <v>-0.00597414958955214</v>
      </c>
      <c r="G4252" s="25" t="n">
        <f aca="false">IF(AND(D4252=1,A4252&gt;=$R$2),F4252,"")</f>
        <v>-0.00597414958955214</v>
      </c>
      <c r="H4252" s="27" t="n">
        <f aca="false">IF(G4252="","",G4252^2)</f>
        <v>3.5690463318346E-005</v>
      </c>
      <c r="I4252" s="25" t="n">
        <f aca="false">IF(G4252="","",C4252/C4251-1)</f>
        <v>-0.0059563398415754</v>
      </c>
      <c r="J4252" s="17" t="n">
        <f aca="false">AVERAGE(C4053:C4252)</f>
        <v>69112.8469</v>
      </c>
      <c r="K4252" s="17" t="n">
        <f aca="false">MAX(K4251,C4252)</f>
        <v>124720.09</v>
      </c>
      <c r="L4252" s="25" t="n">
        <f aca="false">C4252/K4252-1</f>
        <v>-0.370502779463998</v>
      </c>
      <c r="M4252" s="25" t="n">
        <f aca="false">IF(COUNT(G4223:G4252)&lt;20,"",_xlfn.STDEV.S(G4223:G4252)*SQRT($R$3))</f>
        <v>0.429165872609644</v>
      </c>
      <c r="N4252" s="25" t="n">
        <f aca="false">IF(A4252-7&lt;$R$2,"",C4252/INDEX(Clean_Data!$C$2:$C$4314,MATCH(A4252-7,Clean_Data!$A$2:$A$4314,1))-1)</f>
        <v>0.214862113039145</v>
      </c>
      <c r="O4252" s="25" t="n">
        <f aca="false">IF(A4252-30&lt;$R$2,"",C4252/INDEX(Clean_Data!$C$2:$C$4314,MATCH(A4252-30,Clean_Data!$A$2:$A$4314,1))-1)</f>
        <v>0.203356328794477</v>
      </c>
    </row>
    <row r="4253" customFormat="false" ht="15" hidden="false" customHeight="false" outlineLevel="0" collapsed="false">
      <c r="A4253" s="16" t="n">
        <v>46260</v>
      </c>
      <c r="B4253" s="23" t="n">
        <f aca="false">YEAR(A4253)</f>
        <v>2026</v>
      </c>
      <c r="C4253" s="17" t="n">
        <v>78961.93</v>
      </c>
      <c r="D4253" s="23" t="n">
        <f aca="false">A4253-A4252</f>
        <v>1</v>
      </c>
      <c r="E4253" s="24" t="n">
        <f aca="false">LN(C4253)</f>
        <v>11.2767211165645</v>
      </c>
      <c r="F4253" s="25" t="n">
        <f aca="false">LN(C4253/C4252)</f>
        <v>0.00572773207599745</v>
      </c>
      <c r="G4253" s="25" t="n">
        <f aca="false">IF(AND(D4253=1,A4253&gt;=$R$2),F4253,"")</f>
        <v>0.00572773207599745</v>
      </c>
      <c r="H4253" s="27" t="n">
        <f aca="false">IF(G4253="","",G4253^2)</f>
        <v>3.28069147344101E-005</v>
      </c>
      <c r="I4253" s="25" t="n">
        <f aca="false">IF(G4253="","",C4253/C4252-1)</f>
        <v>0.00574416689646462</v>
      </c>
      <c r="J4253" s="17" t="n">
        <f aca="false">AVERAGE(C4054:C4253)</f>
        <v>69161.6566</v>
      </c>
      <c r="K4253" s="17" t="n">
        <f aca="false">MAX(K4252,C4253)</f>
        <v>124720.09</v>
      </c>
      <c r="L4253" s="25" t="n">
        <f aca="false">C4253/K4253-1</f>
        <v>-0.366886842368379</v>
      </c>
      <c r="M4253" s="25" t="n">
        <f aca="false">IF(COUNT(G4224:G4253)&lt;20,"",_xlfn.STDEV.S(G4224:G4253)*SQRT($R$3))</f>
        <v>0.415109693253434</v>
      </c>
      <c r="N4253" s="25" t="n">
        <f aca="false">IF(A4253-7&lt;$R$2,"",C4253/INDEX(Clean_Data!$C$2:$C$4314,MATCH(A4253-7,Clean_Data!$A$2:$A$4314,1))-1)</f>
        <v>0.136345621377051</v>
      </c>
      <c r="O4253" s="25" t="n">
        <f aca="false">IF(A4253-30&lt;$R$2,"",C4253/INDEX(Clean_Data!$C$2:$C$4314,MATCH(A4253-30,Clean_Data!$A$2:$A$4314,1))-1)</f>
        <v>0.239733200110279</v>
      </c>
    </row>
    <row r="4254" customFormat="false" ht="15" hidden="false" customHeight="false" outlineLevel="0" collapsed="false">
      <c r="A4254" s="16" t="n">
        <v>46261</v>
      </c>
      <c r="B4254" s="23" t="n">
        <f aca="false">YEAR(A4254)</f>
        <v>2026</v>
      </c>
      <c r="C4254" s="17" t="n">
        <v>80209.61</v>
      </c>
      <c r="D4254" s="23" t="n">
        <f aca="false">A4254-A4253</f>
        <v>1</v>
      </c>
      <c r="E4254" s="24" t="n">
        <f aca="false">LN(C4254)</f>
        <v>11.2923986121125</v>
      </c>
      <c r="F4254" s="25" t="n">
        <f aca="false">LN(C4254/C4253)</f>
        <v>0.0156774955480512</v>
      </c>
      <c r="G4254" s="25" t="n">
        <f aca="false">IF(AND(D4254=1,A4254&gt;=$R$2),F4254,"")</f>
        <v>0.0156774955480512</v>
      </c>
      <c r="H4254" s="27" t="n">
        <f aca="false">IF(G4254="","",G4254^2)</f>
        <v>0.000245783866659164</v>
      </c>
      <c r="I4254" s="25" t="n">
        <f aca="false">IF(G4254="","",C4254/C4253-1)</f>
        <v>0.0158010322189441</v>
      </c>
      <c r="J4254" s="17" t="n">
        <f aca="false">AVERAGE(C4055:C4254)</f>
        <v>69210.31505</v>
      </c>
      <c r="K4254" s="17" t="n">
        <f aca="false">MAX(K4253,C4254)</f>
        <v>124720.09</v>
      </c>
      <c r="L4254" s="25" t="n">
        <f aca="false">C4254/K4254-1</f>
        <v>-0.356883000966404</v>
      </c>
      <c r="M4254" s="25" t="n">
        <f aca="false">IF(COUNT(G4225:G4254)&lt;20,"",_xlfn.STDEV.S(G4225:G4254)*SQRT($R$3))</f>
        <v>0.415983179174278</v>
      </c>
      <c r="N4254" s="25" t="n">
        <f aca="false">IF(A4254-7&lt;$R$2,"",C4254/INDEX(Clean_Data!$C$2:$C$4314,MATCH(A4254-7,Clean_Data!$A$2:$A$4314,1))-1)</f>
        <v>0.0974543068347202</v>
      </c>
      <c r="O4254" s="25" t="n">
        <f aca="false">IF(A4254-30&lt;$R$2,"",C4254/INDEX(Clean_Data!$C$2:$C$4314,MATCH(A4254-30,Clean_Data!$A$2:$A$4314,1))-1)</f>
        <v>0.254341346394435</v>
      </c>
    </row>
    <row r="4255" customFormat="false" ht="15" hidden="false" customHeight="false" outlineLevel="0" collapsed="false">
      <c r="A4255" s="16" t="n">
        <v>46262</v>
      </c>
      <c r="B4255" s="23" t="n">
        <f aca="false">YEAR(A4255)</f>
        <v>2026</v>
      </c>
      <c r="C4255" s="17" t="n">
        <v>77838.65</v>
      </c>
      <c r="D4255" s="23" t="n">
        <f aca="false">A4255-A4254</f>
        <v>1</v>
      </c>
      <c r="E4255" s="24" t="n">
        <f aca="false">LN(C4255)</f>
        <v>11.2623933734412</v>
      </c>
      <c r="F4255" s="25" t="n">
        <f aca="false">LN(C4255/C4254)</f>
        <v>-0.0300052386712729</v>
      </c>
      <c r="G4255" s="25" t="n">
        <f aca="false">IF(AND(D4255=1,A4255&gt;=$R$2),F4255,"")</f>
        <v>-0.0300052386712729</v>
      </c>
      <c r="H4255" s="27" t="n">
        <f aca="false">IF(G4255="","",G4255^2)</f>
        <v>0.000900314347720049</v>
      </c>
      <c r="I4255" s="25" t="n">
        <f aca="false">IF(G4255="","",C4255/C4254-1)</f>
        <v>-0.029559550283314</v>
      </c>
      <c r="J4255" s="17" t="n">
        <f aca="false">AVERAGE(C4056:C4255)</f>
        <v>69249.5743</v>
      </c>
      <c r="K4255" s="17" t="n">
        <f aca="false">MAX(K4254,C4255)</f>
        <v>124720.09</v>
      </c>
      <c r="L4255" s="25" t="n">
        <f aca="false">C4255/K4255-1</f>
        <v>-0.375893250237392</v>
      </c>
      <c r="M4255" s="25" t="n">
        <f aca="false">IF(COUNT(G4226:G4255)&lt;20,"",_xlfn.STDEV.S(G4226:G4255)*SQRT($R$3))</f>
        <v>0.435391498919602</v>
      </c>
      <c r="N4255" s="25" t="n">
        <f aca="false">IF(A4255-7&lt;$R$2,"",C4255/INDEX(Clean_Data!$C$2:$C$4314,MATCH(A4255-7,Clean_Data!$A$2:$A$4314,1))-1)</f>
        <v>-0.00368606709389629</v>
      </c>
      <c r="O4255" s="25" t="n">
        <f aca="false">IF(A4255-30&lt;$R$2,"",C4255/INDEX(Clean_Data!$C$2:$C$4314,MATCH(A4255-30,Clean_Data!$A$2:$A$4314,1))-1)</f>
        <v>0.218205635237804</v>
      </c>
    </row>
    <row r="4256" customFormat="false" ht="15" hidden="false" customHeight="false" outlineLevel="0" collapsed="false">
      <c r="A4256" s="16" t="n">
        <v>46263</v>
      </c>
      <c r="B4256" s="23" t="n">
        <f aca="false">YEAR(A4256)</f>
        <v>2026</v>
      </c>
      <c r="C4256" s="17" t="n">
        <v>78215</v>
      </c>
      <c r="D4256" s="23" t="n">
        <f aca="false">A4256-A4255</f>
        <v>1</v>
      </c>
      <c r="E4256" s="24" t="n">
        <f aca="false">LN(C4256)</f>
        <v>11.2672167239959</v>
      </c>
      <c r="F4256" s="25" t="n">
        <f aca="false">LN(C4256/C4255)</f>
        <v>0.00482335055462278</v>
      </c>
      <c r="G4256" s="25" t="n">
        <f aca="false">IF(AND(D4256=1,A4256&gt;=$R$2),F4256,"")</f>
        <v>0.00482335055462278</v>
      </c>
      <c r="H4256" s="27" t="n">
        <f aca="false">IF(G4256="","",G4256^2)</f>
        <v>2.32647105727799E-005</v>
      </c>
      <c r="I4256" s="25" t="n">
        <f aca="false">IF(G4256="","",C4256/C4255-1)</f>
        <v>0.004835001634792</v>
      </c>
      <c r="J4256" s="17" t="n">
        <f aca="false">AVERAGE(C4057:C4256)</f>
        <v>69294.5543</v>
      </c>
      <c r="K4256" s="17" t="n">
        <f aca="false">MAX(K4255,C4256)</f>
        <v>124720.09</v>
      </c>
      <c r="L4256" s="25" t="n">
        <f aca="false">C4256/K4256-1</f>
        <v>-0.372875693082005</v>
      </c>
      <c r="M4256" s="25" t="n">
        <f aca="false">IF(COUNT(G4227:G4256)&lt;20,"",_xlfn.STDEV.S(G4227:G4256)*SQRT($R$3))</f>
        <v>0.434525754330959</v>
      </c>
      <c r="N4256" s="25" t="n">
        <f aca="false">IF(A4256-7&lt;$R$2,"",C4256/INDEX(Clean_Data!$C$2:$C$4314,MATCH(A4256-7,Clean_Data!$A$2:$A$4314,1))-1)</f>
        <v>0.0142285049106088</v>
      </c>
      <c r="O4256" s="25" t="n">
        <f aca="false">IF(A4256-30&lt;$R$2,"",C4256/INDEX(Clean_Data!$C$2:$C$4314,MATCH(A4256-30,Clean_Data!$A$2:$A$4314,1))-1)</f>
        <v>0.206691813086269</v>
      </c>
    </row>
    <row r="4257" customFormat="false" ht="15" hidden="false" customHeight="false" outlineLevel="0" collapsed="false">
      <c r="A4257" s="16" t="n">
        <v>46264</v>
      </c>
      <c r="B4257" s="23" t="n">
        <f aca="false">YEAR(A4257)</f>
        <v>2026</v>
      </c>
      <c r="C4257" s="17" t="n">
        <v>77757.98</v>
      </c>
      <c r="D4257" s="23" t="n">
        <f aca="false">A4257-A4256</f>
        <v>1</v>
      </c>
      <c r="E4257" s="24" t="n">
        <f aca="false">LN(C4257)</f>
        <v>11.2613564614306</v>
      </c>
      <c r="F4257" s="25" t="n">
        <f aca="false">LN(C4257/C4256)</f>
        <v>-0.00586026256522278</v>
      </c>
      <c r="G4257" s="25" t="n">
        <f aca="false">IF(AND(D4257=1,A4257&gt;=$R$2),F4257,"")</f>
        <v>-0.00586026256522278</v>
      </c>
      <c r="H4257" s="27" t="n">
        <f aca="false">IF(G4257="","",G4257^2)</f>
        <v>3.43426773333514E-005</v>
      </c>
      <c r="I4257" s="25" t="n">
        <f aca="false">IF(G4257="","",C4257/C4256-1)</f>
        <v>-0.00584312472032222</v>
      </c>
      <c r="J4257" s="17" t="n">
        <f aca="false">AVERAGE(C4058:C4257)</f>
        <v>69345.94855</v>
      </c>
      <c r="K4257" s="17" t="n">
        <f aca="false">MAX(K4256,C4257)</f>
        <v>124720.09</v>
      </c>
      <c r="L4257" s="25" t="n">
        <f aca="false">C4257/K4257-1</f>
        <v>-0.376540058622472</v>
      </c>
      <c r="M4257" s="25" t="n">
        <f aca="false">IF(COUNT(G4228:G4257)&lt;20,"",_xlfn.STDEV.S(G4228:G4257)*SQRT($R$3))</f>
        <v>0.416698585646657</v>
      </c>
      <c r="N4257" s="25" t="n">
        <f aca="false">IF(A4257-7&lt;$R$2,"",C4257/INDEX(Clean_Data!$C$2:$C$4314,MATCH(A4257-7,Clean_Data!$A$2:$A$4314,1))-1)</f>
        <v>0.00154937634028007</v>
      </c>
      <c r="O4257" s="25" t="n">
        <f aca="false">IF(A4257-30&lt;$R$2,"",C4257/INDEX(Clean_Data!$C$2:$C$4314,MATCH(A4257-30,Clean_Data!$A$2:$A$4314,1))-1)</f>
        <v>0.236478527076657</v>
      </c>
    </row>
    <row r="4258" customFormat="false" ht="15" hidden="false" customHeight="false" outlineLevel="0" collapsed="false">
      <c r="A4258" s="16" t="n">
        <v>46265</v>
      </c>
      <c r="B4258" s="23" t="n">
        <f aca="false">YEAR(A4258)</f>
        <v>2026</v>
      </c>
      <c r="C4258" s="17" t="n">
        <v>78603.02</v>
      </c>
      <c r="D4258" s="23" t="n">
        <f aca="false">A4258-A4257</f>
        <v>1</v>
      </c>
      <c r="E4258" s="24" t="n">
        <f aca="false">LN(C4258)</f>
        <v>11.272165400071</v>
      </c>
      <c r="F4258" s="25" t="n">
        <f aca="false">LN(C4258/C4257)</f>
        <v>0.0108089386403864</v>
      </c>
      <c r="G4258" s="25" t="n">
        <f aca="false">IF(AND(D4258=1,A4258&gt;=$R$2),F4258,"")</f>
        <v>0.0108089386403864</v>
      </c>
      <c r="H4258" s="27" t="n">
        <f aca="false">IF(G4258="","",G4258^2)</f>
        <v>0.000116833154531638</v>
      </c>
      <c r="I4258" s="25" t="n">
        <f aca="false">IF(G4258="","",C4258/C4257-1)</f>
        <v>0.0108675662613664</v>
      </c>
      <c r="J4258" s="17" t="n">
        <f aca="false">AVERAGE(C4059:C4258)</f>
        <v>69408.9537</v>
      </c>
      <c r="K4258" s="17" t="n">
        <f aca="false">MAX(K4257,C4258)</f>
        <v>124720.09</v>
      </c>
      <c r="L4258" s="25" t="n">
        <f aca="false">C4258/K4258-1</f>
        <v>-0.369764566398244</v>
      </c>
      <c r="M4258" s="25" t="n">
        <f aca="false">IF(COUNT(G4229:G4258)&lt;20,"",_xlfn.STDEV.S(G4229:G4258)*SQRT($R$3))</f>
        <v>0.415898380548657</v>
      </c>
      <c r="N4258" s="25" t="n">
        <f aca="false">IF(A4258-7&lt;$R$2,"",C4258/INDEX(Clean_Data!$C$2:$C$4314,MATCH(A4258-7,Clean_Data!$A$2:$A$4314,1))-1)</f>
        <v>-0.00479062219593751</v>
      </c>
      <c r="O4258" s="25" t="n">
        <f aca="false">IF(A4258-30&lt;$R$2,"",C4258/INDEX(Clean_Data!$C$2:$C$4314,MATCH(A4258-30,Clean_Data!$A$2:$A$4314,1))-1)</f>
        <v>0.250943264104401</v>
      </c>
    </row>
    <row r="4259" customFormat="false" ht="15" hidden="false" customHeight="false" outlineLevel="0" collapsed="false">
      <c r="A4259" s="16" t="n">
        <v>46266</v>
      </c>
      <c r="B4259" s="23" t="n">
        <f aca="false">YEAR(A4259)</f>
        <v>2026</v>
      </c>
      <c r="C4259" s="17" t="n">
        <v>77392.65</v>
      </c>
      <c r="D4259" s="23" t="n">
        <f aca="false">A4259-A4258</f>
        <v>1</v>
      </c>
      <c r="E4259" s="24" t="n">
        <f aca="false">LN(C4259)</f>
        <v>11.2566470938284</v>
      </c>
      <c r="F4259" s="25" t="n">
        <f aca="false">LN(C4259/C4258)</f>
        <v>-0.01551830624263</v>
      </c>
      <c r="G4259" s="25" t="n">
        <f aca="false">IF(AND(D4259=1,A4259&gt;=$R$2),F4259,"")</f>
        <v>-0.01551830624263</v>
      </c>
      <c r="H4259" s="27" t="n">
        <f aca="false">IF(G4259="","",G4259^2)</f>
        <v>0.000240817828640049</v>
      </c>
      <c r="I4259" s="25" t="n">
        <f aca="false">IF(G4259="","",C4259/C4258-1)</f>
        <v>-0.0153985177668747</v>
      </c>
      <c r="J4259" s="17" t="n">
        <f aca="false">AVERAGE(C4060:C4259)</f>
        <v>69451.06605</v>
      </c>
      <c r="K4259" s="17" t="n">
        <f aca="false">MAX(K4258,C4259)</f>
        <v>124720.09</v>
      </c>
      <c r="L4259" s="25" t="n">
        <f aca="false">C4259/K4259-1</f>
        <v>-0.379469257919875</v>
      </c>
      <c r="M4259" s="25" t="n">
        <f aca="false">IF(COUNT(G4230:G4259)&lt;20,"",_xlfn.STDEV.S(G4230:G4259)*SQRT($R$3))</f>
        <v>0.423430507608374</v>
      </c>
      <c r="N4259" s="25" t="n">
        <f aca="false">IF(A4259-7&lt;$R$2,"",C4259/INDEX(Clean_Data!$C$2:$C$4314,MATCH(A4259-7,Clean_Data!$A$2:$A$4314,1))-1)</f>
        <v>-0.0142438729884176</v>
      </c>
      <c r="O4259" s="25" t="n">
        <f aca="false">IF(A4259-30&lt;$R$2,"",C4259/INDEX(Clean_Data!$C$2:$C$4314,MATCH(A4259-30,Clean_Data!$A$2:$A$4314,1))-1)</f>
        <v>0.219859015669426</v>
      </c>
    </row>
    <row r="4260" customFormat="false" ht="15" hidden="false" customHeight="false" outlineLevel="0" collapsed="false">
      <c r="A4260" s="16" t="n">
        <v>46267</v>
      </c>
      <c r="B4260" s="23" t="n">
        <f aca="false">YEAR(A4260)</f>
        <v>2026</v>
      </c>
      <c r="C4260" s="17" t="n">
        <v>77330.23</v>
      </c>
      <c r="D4260" s="23" t="n">
        <f aca="false">A4260-A4259</f>
        <v>1</v>
      </c>
      <c r="E4260" s="24" t="n">
        <f aca="false">LN(C4260)</f>
        <v>11.2558402318648</v>
      </c>
      <c r="F4260" s="25" t="n">
        <f aca="false">LN(C4260/C4259)</f>
        <v>-0.000806861963614193</v>
      </c>
      <c r="G4260" s="25" t="n">
        <f aca="false">IF(AND(D4260=1,A4260&gt;=$R$2),F4260,"")</f>
        <v>-0.000806861963614193</v>
      </c>
      <c r="H4260" s="27" t="n">
        <f aca="false">IF(G4260="","",G4260^2)</f>
        <v>6.51026228327351E-007</v>
      </c>
      <c r="I4260" s="25" t="n">
        <f aca="false">IF(G4260="","",C4260/C4259-1)</f>
        <v>-0.000806536538030422</v>
      </c>
      <c r="J4260" s="17" t="n">
        <f aca="false">AVERAGE(C4061:C4260)</f>
        <v>69488.71005</v>
      </c>
      <c r="K4260" s="17" t="n">
        <f aca="false">MAX(K4259,C4260)</f>
        <v>124720.09</v>
      </c>
      <c r="L4260" s="25" t="n">
        <f aca="false">C4260/K4260-1</f>
        <v>-0.379969738636334</v>
      </c>
      <c r="M4260" s="25" t="n">
        <f aca="false">IF(COUNT(G4231:G4260)&lt;20,"",_xlfn.STDEV.S(G4231:G4260)*SQRT($R$3))</f>
        <v>0.423767914772157</v>
      </c>
      <c r="N4260" s="25" t="n">
        <f aca="false">IF(A4260-7&lt;$R$2,"",C4260/INDEX(Clean_Data!$C$2:$C$4314,MATCH(A4260-7,Clean_Data!$A$2:$A$4314,1))-1)</f>
        <v>-0.0206643885224183</v>
      </c>
      <c r="O4260" s="25" t="n">
        <f aca="false">IF(A4260-30&lt;$R$2,"",C4260/INDEX(Clean_Data!$C$2:$C$4314,MATCH(A4260-30,Clean_Data!$A$2:$A$4314,1))-1)</f>
        <v>0.217740599505158</v>
      </c>
    </row>
    <row r="4261" customFormat="false" ht="15" hidden="false" customHeight="false" outlineLevel="0" collapsed="false">
      <c r="A4261" s="16" t="n">
        <v>46268</v>
      </c>
      <c r="B4261" s="23" t="n">
        <f aca="false">YEAR(A4261)</f>
        <v>2026</v>
      </c>
      <c r="C4261" s="17" t="n">
        <v>81129.19</v>
      </c>
      <c r="D4261" s="23" t="n">
        <f aca="false">A4261-A4260</f>
        <v>1</v>
      </c>
      <c r="E4261" s="24" t="n">
        <f aca="false">LN(C4261)</f>
        <v>11.3037981013629</v>
      </c>
      <c r="F4261" s="25" t="n">
        <f aca="false">LN(C4261/C4260)</f>
        <v>0.0479578694981462</v>
      </c>
      <c r="G4261" s="25" t="n">
        <f aca="false">IF(AND(D4261=1,A4261&gt;=$R$2),F4261,"")</f>
        <v>0.0479578694981462</v>
      </c>
      <c r="H4261" s="27" t="n">
        <f aca="false">IF(G4261="","",G4261^2)</f>
        <v>0.00229995724680122</v>
      </c>
      <c r="I4261" s="25" t="n">
        <f aca="false">IF(G4261="","",C4261/C4260-1)</f>
        <v>0.0491264541693464</v>
      </c>
      <c r="J4261" s="17" t="n">
        <f aca="false">AVERAGE(C4062:C4261)</f>
        <v>69549.7874</v>
      </c>
      <c r="K4261" s="17" t="n">
        <f aca="false">MAX(K4260,C4261)</f>
        <v>124720.09</v>
      </c>
      <c r="L4261" s="25" t="n">
        <f aca="false">C4261/K4261-1</f>
        <v>-0.349509850417844</v>
      </c>
      <c r="M4261" s="25" t="n">
        <f aca="false">IF(COUNT(G4232:G4261)&lt;20,"",_xlfn.STDEV.S(G4232:G4261)*SQRT($R$3))</f>
        <v>0.447711931252626</v>
      </c>
      <c r="N4261" s="25" t="n">
        <f aca="false">IF(A4261-7&lt;$R$2,"",C4261/INDEX(Clean_Data!$C$2:$C$4314,MATCH(A4261-7,Clean_Data!$A$2:$A$4314,1))-1)</f>
        <v>0.0114647110240282</v>
      </c>
      <c r="O4261" s="25" t="n">
        <f aca="false">IF(A4261-30&lt;$R$2,"",C4261/INDEX(Clean_Data!$C$2:$C$4314,MATCH(A4261-30,Clean_Data!$A$2:$A$4314,1))-1)</f>
        <v>0.267180478884358</v>
      </c>
    </row>
    <row r="4262" customFormat="false" ht="15" hidden="false" customHeight="false" outlineLevel="0" collapsed="false">
      <c r="A4262" s="16" t="n">
        <v>46269</v>
      </c>
      <c r="B4262" s="23" t="n">
        <f aca="false">YEAR(A4262)</f>
        <v>2026</v>
      </c>
      <c r="C4262" s="17" t="n">
        <v>79658.55</v>
      </c>
      <c r="D4262" s="23" t="n">
        <f aca="false">A4262-A4261</f>
        <v>1</v>
      </c>
      <c r="E4262" s="24" t="n">
        <f aca="false">LN(C4262)</f>
        <v>11.2855046542099</v>
      </c>
      <c r="F4262" s="25" t="n">
        <f aca="false">LN(C4262/C4261)</f>
        <v>-0.0182934471529961</v>
      </c>
      <c r="G4262" s="25" t="n">
        <f aca="false">IF(AND(D4262=1,A4262&gt;=$R$2),F4262,"")</f>
        <v>-0.0182934471529961</v>
      </c>
      <c r="H4262" s="27" t="n">
        <f aca="false">IF(G4262="","",G4262^2)</f>
        <v>0.000334650208739462</v>
      </c>
      <c r="I4262" s="25" t="n">
        <f aca="false">IF(G4262="","",C4262/C4261-1)</f>
        <v>-0.0181271377170166</v>
      </c>
      <c r="J4262" s="17" t="n">
        <f aca="false">AVERAGE(C4063:C4262)</f>
        <v>69604.02875</v>
      </c>
      <c r="K4262" s="17" t="n">
        <f aca="false">MAX(K4261,C4262)</f>
        <v>124720.09</v>
      </c>
      <c r="L4262" s="25" t="n">
        <f aca="false">C4262/K4262-1</f>
        <v>-0.361301374942882</v>
      </c>
      <c r="M4262" s="25" t="n">
        <f aca="false">IF(COUNT(G4233:G4262)&lt;20,"",_xlfn.STDEV.S(G4233:G4262)*SQRT($R$3))</f>
        <v>0.456923181090539</v>
      </c>
      <c r="N4262" s="25" t="n">
        <f aca="false">IF(A4262-7&lt;$R$2,"",C4262/INDEX(Clean_Data!$C$2:$C$4314,MATCH(A4262-7,Clean_Data!$A$2:$A$4314,1))-1)</f>
        <v>0.0233804157703148</v>
      </c>
      <c r="O4262" s="25" t="n">
        <f aca="false">IF(A4262-30&lt;$R$2,"",C4262/INDEX(Clean_Data!$C$2:$C$4314,MATCH(A4262-30,Clean_Data!$A$2:$A$4314,1))-1)</f>
        <v>0.233955459996019</v>
      </c>
    </row>
    <row r="4263" customFormat="false" ht="15" hidden="false" customHeight="false" outlineLevel="0" collapsed="false">
      <c r="A4263" s="16" t="n">
        <v>46270</v>
      </c>
      <c r="B4263" s="23" t="n">
        <f aca="false">YEAR(A4263)</f>
        <v>2026</v>
      </c>
      <c r="C4263" s="17" t="n">
        <v>79879.24</v>
      </c>
      <c r="D4263" s="23" t="n">
        <f aca="false">A4263-A4262</f>
        <v>1</v>
      </c>
      <c r="E4263" s="24" t="n">
        <f aca="false">LN(C4263)</f>
        <v>11.2882712732131</v>
      </c>
      <c r="F4263" s="25" t="n">
        <f aca="false">LN(C4263/C4262)</f>
        <v>0.00276661900314345</v>
      </c>
      <c r="G4263" s="25" t="n">
        <f aca="false">IF(AND(D4263=1,A4263&gt;=$R$2),F4263,"")</f>
        <v>0.00276661900314345</v>
      </c>
      <c r="H4263" s="27" t="n">
        <f aca="false">IF(G4263="","",G4263^2)</f>
        <v>7.65418070855445E-006</v>
      </c>
      <c r="I4263" s="25" t="n">
        <f aca="false">IF(G4263="","",C4263/C4262-1)</f>
        <v>0.00277044962530715</v>
      </c>
      <c r="J4263" s="17" t="n">
        <f aca="false">AVERAGE(C4064:C4263)</f>
        <v>69667.4681</v>
      </c>
      <c r="K4263" s="17" t="n">
        <f aca="false">MAX(K4262,C4263)</f>
        <v>124720.09</v>
      </c>
      <c r="L4263" s="25" t="n">
        <f aca="false">C4263/K4263-1</f>
        <v>-0.359531892576408</v>
      </c>
      <c r="M4263" s="25" t="n">
        <f aca="false">IF(COUNT(G4234:G4263)&lt;20,"",_xlfn.STDEV.S(G4234:G4263)*SQRT($R$3))</f>
        <v>0.455450178886367</v>
      </c>
      <c r="N4263" s="25" t="n">
        <f aca="false">IF(A4263-7&lt;$R$2,"",C4263/INDEX(Clean_Data!$C$2:$C$4314,MATCH(A4263-7,Clean_Data!$A$2:$A$4314,1))-1)</f>
        <v>0.0212777600204566</v>
      </c>
      <c r="O4263" s="25" t="n">
        <f aca="false">IF(A4263-30&lt;$R$2,"",C4263/INDEX(Clean_Data!$C$2:$C$4314,MATCH(A4263-30,Clean_Data!$A$2:$A$4314,1))-1)</f>
        <v>0.242447564107669</v>
      </c>
    </row>
    <row r="4264" customFormat="false" ht="15" hidden="false" customHeight="false" outlineLevel="0" collapsed="false">
      <c r="A4264" s="16" t="n">
        <v>46271</v>
      </c>
      <c r="B4264" s="23" t="n">
        <f aca="false">YEAR(A4264)</f>
        <v>2026</v>
      </c>
      <c r="C4264" s="17" t="n">
        <v>80309.06</v>
      </c>
      <c r="D4264" s="23" t="n">
        <f aca="false">A4264-A4263</f>
        <v>1</v>
      </c>
      <c r="E4264" s="24" t="n">
        <f aca="false">LN(C4264)</f>
        <v>11.2936377204695</v>
      </c>
      <c r="F4264" s="25" t="n">
        <f aca="false">LN(C4264/C4263)</f>
        <v>0.00536644725642197</v>
      </c>
      <c r="G4264" s="25" t="n">
        <f aca="false">IF(AND(D4264=1,A4264&gt;=$R$2),F4264,"")</f>
        <v>0.00536644725642197</v>
      </c>
      <c r="H4264" s="27" t="n">
        <f aca="false">IF(G4264="","",G4264^2)</f>
        <v>2.87987561559589E-005</v>
      </c>
      <c r="I4264" s="25" t="n">
        <f aca="false">IF(G4264="","",C4264/C4263-1)</f>
        <v>0.00538087242692842</v>
      </c>
      <c r="J4264" s="17" t="n">
        <f aca="false">AVERAGE(C4065:C4264)</f>
        <v>69736.3466</v>
      </c>
      <c r="K4264" s="17" t="n">
        <f aca="false">MAX(K4263,C4264)</f>
        <v>124720.09</v>
      </c>
      <c r="L4264" s="25" t="n">
        <f aca="false">C4264/K4264-1</f>
        <v>-0.356085615396846</v>
      </c>
      <c r="M4264" s="25" t="n">
        <f aca="false">IF(COUNT(G4235:G4264)&lt;20,"",_xlfn.STDEV.S(G4235:G4264)*SQRT($R$3))</f>
        <v>0.455445924719122</v>
      </c>
      <c r="N4264" s="25" t="n">
        <f aca="false">IF(A4264-7&lt;$R$2,"",C4264/INDEX(Clean_Data!$C$2:$C$4314,MATCH(A4264-7,Clean_Data!$A$2:$A$4314,1))-1)</f>
        <v>0.032807951029592</v>
      </c>
      <c r="O4264" s="25" t="n">
        <f aca="false">IF(A4264-30&lt;$R$2,"",C4264/INDEX(Clean_Data!$C$2:$C$4314,MATCH(A4264-30,Clean_Data!$A$2:$A$4314,1))-1)</f>
        <v>0.237859936920965</v>
      </c>
    </row>
    <row r="4265" customFormat="false" ht="15" hidden="false" customHeight="false" outlineLevel="0" collapsed="false">
      <c r="A4265" s="16" t="n">
        <v>46272</v>
      </c>
      <c r="B4265" s="23" t="n">
        <f aca="false">YEAR(A4265)</f>
        <v>2026</v>
      </c>
      <c r="C4265" s="17" t="n">
        <v>79067.23</v>
      </c>
      <c r="D4265" s="23" t="n">
        <f aca="false">A4265-A4264</f>
        <v>1</v>
      </c>
      <c r="E4265" s="24" t="n">
        <f aca="false">LN(C4265)</f>
        <v>11.2780537822014</v>
      </c>
      <c r="F4265" s="25" t="n">
        <f aca="false">LN(C4265/C4264)</f>
        <v>-0.0155839382680815</v>
      </c>
      <c r="G4265" s="25" t="n">
        <f aca="false">IF(AND(D4265=1,A4265&gt;=$R$2),F4265,"")</f>
        <v>-0.0155839382680815</v>
      </c>
      <c r="H4265" s="27" t="n">
        <f aca="false">IF(G4265="","",G4265^2)</f>
        <v>0.000242859131943376</v>
      </c>
      <c r="I4265" s="25" t="n">
        <f aca="false">IF(G4265="","",C4265/C4264-1)</f>
        <v>-0.0154631370358463</v>
      </c>
      <c r="J4265" s="17" t="n">
        <f aca="false">AVERAGE(C4066:C4265)</f>
        <v>69795.6113</v>
      </c>
      <c r="K4265" s="17" t="n">
        <f aca="false">MAX(K4264,C4265)</f>
        <v>124720.09</v>
      </c>
      <c r="L4265" s="25" t="n">
        <f aca="false">C4265/K4265-1</f>
        <v>-0.366042551765317</v>
      </c>
      <c r="M4265" s="25" t="n">
        <f aca="false">IF(COUNT(G4236:G4265)&lt;20,"",_xlfn.STDEV.S(G4236:G4265)*SQRT($R$3))</f>
        <v>0.4617970794747</v>
      </c>
      <c r="N4265" s="25" t="n">
        <f aca="false">IF(A4265-7&lt;$R$2,"",C4265/INDEX(Clean_Data!$C$2:$C$4314,MATCH(A4265-7,Clean_Data!$A$2:$A$4314,1))-1)</f>
        <v>0.00590575273062011</v>
      </c>
      <c r="O4265" s="25" t="n">
        <f aca="false">IF(A4265-30&lt;$R$2,"",C4265/INDEX(Clean_Data!$C$2:$C$4314,MATCH(A4265-30,Clean_Data!$A$2:$A$4314,1))-1)</f>
        <v>0.218103278810762</v>
      </c>
    </row>
    <row r="4266" customFormat="false" ht="15" hidden="false" customHeight="false" outlineLevel="0" collapsed="false">
      <c r="A4266" s="16" t="n">
        <v>46273</v>
      </c>
      <c r="B4266" s="23" t="n">
        <f aca="false">YEAR(A4266)</f>
        <v>2026</v>
      </c>
      <c r="C4266" s="17" t="n">
        <v>78548.91</v>
      </c>
      <c r="D4266" s="23" t="n">
        <f aca="false">A4266-A4265</f>
        <v>1</v>
      </c>
      <c r="E4266" s="24" t="n">
        <f aca="false">LN(C4266)</f>
        <v>11.2714767670757</v>
      </c>
      <c r="F4266" s="25" t="n">
        <f aca="false">LN(C4266/C4265)</f>
        <v>-0.00657701512571223</v>
      </c>
      <c r="G4266" s="25" t="n">
        <f aca="false">IF(AND(D4266=1,A4266&gt;=$R$2),F4266,"")</f>
        <v>-0.00657701512571223</v>
      </c>
      <c r="H4266" s="27" t="n">
        <f aca="false">IF(G4266="","",G4266^2)</f>
        <v>4.32571279638475E-005</v>
      </c>
      <c r="I4266" s="25" t="n">
        <f aca="false">IF(G4266="","",C4266/C4265-1)</f>
        <v>-0.00655543390099778</v>
      </c>
      <c r="J4266" s="17" t="n">
        <f aca="false">AVERAGE(C4067:C4266)</f>
        <v>69848.92925</v>
      </c>
      <c r="K4266" s="17" t="n">
        <f aca="false">MAX(K4265,C4266)</f>
        <v>124720.09</v>
      </c>
      <c r="L4266" s="25" t="n">
        <f aca="false">C4266/K4266-1</f>
        <v>-0.370198417913265</v>
      </c>
      <c r="M4266" s="25" t="n">
        <f aca="false">IF(COUNT(G4237:G4266)&lt;20,"",_xlfn.STDEV.S(G4237:G4266)*SQRT($R$3))</f>
        <v>0.463387209904826</v>
      </c>
      <c r="N4266" s="25" t="n">
        <f aca="false">IF(A4266-7&lt;$R$2,"",C4266/INDEX(Clean_Data!$C$2:$C$4314,MATCH(A4266-7,Clean_Data!$A$2:$A$4314,1))-1)</f>
        <v>0.0149401784277965</v>
      </c>
      <c r="O4266" s="25" t="n">
        <f aca="false">IF(A4266-30&lt;$R$2,"",C4266/INDEX(Clean_Data!$C$2:$C$4314,MATCH(A4266-30,Clean_Data!$A$2:$A$4314,1))-1)</f>
        <v>0.211137220436201</v>
      </c>
    </row>
    <row r="4267" customFormat="false" ht="15" hidden="false" customHeight="false" outlineLevel="0" collapsed="false">
      <c r="A4267" s="16" t="n">
        <v>46274</v>
      </c>
      <c r="B4267" s="23" t="n">
        <f aca="false">YEAR(A4267)</f>
        <v>2026</v>
      </c>
      <c r="C4267" s="17" t="n">
        <v>78303.59</v>
      </c>
      <c r="D4267" s="23" t="n">
        <f aca="false">A4267-A4266</f>
        <v>1</v>
      </c>
      <c r="E4267" s="24" t="n">
        <f aca="false">LN(C4267)</f>
        <v>11.2683487302254</v>
      </c>
      <c r="F4267" s="25" t="n">
        <f aca="false">LN(C4267/C4266)</f>
        <v>-0.00312803685029069</v>
      </c>
      <c r="G4267" s="25" t="n">
        <f aca="false">IF(AND(D4267=1,A4267&gt;=$R$2),F4267,"")</f>
        <v>-0.00312803685029069</v>
      </c>
      <c r="H4267" s="27" t="n">
        <f aca="false">IF(G4267="","",G4267^2)</f>
        <v>9.78461453677648E-006</v>
      </c>
      <c r="I4267" s="25" t="n">
        <f aca="false">IF(G4267="","",C4267/C4266-1)</f>
        <v>-0.00312314964014149</v>
      </c>
      <c r="J4267" s="17" t="n">
        <f aca="false">AVERAGE(C4068:C4267)</f>
        <v>69900.5998</v>
      </c>
      <c r="K4267" s="17" t="n">
        <f aca="false">MAX(K4266,C4267)</f>
        <v>124720.09</v>
      </c>
      <c r="L4267" s="25" t="n">
        <f aca="false">C4267/K4267-1</f>
        <v>-0.372165382497719</v>
      </c>
      <c r="M4267" s="25" t="n">
        <f aca="false">IF(COUNT(G4238:G4267)&lt;20,"",_xlfn.STDEV.S(G4238:G4267)*SQRT($R$3))</f>
        <v>0.458185228675416</v>
      </c>
      <c r="N4267" s="25" t="n">
        <f aca="false">IF(A4267-7&lt;$R$2,"",C4267/INDEX(Clean_Data!$C$2:$C$4314,MATCH(A4267-7,Clean_Data!$A$2:$A$4314,1))-1)</f>
        <v>0.012587056834048</v>
      </c>
      <c r="O4267" s="25" t="n">
        <f aca="false">IF(A4267-30&lt;$R$2,"",C4267/INDEX(Clean_Data!$C$2:$C$4314,MATCH(A4267-30,Clean_Data!$A$2:$A$4314,1))-1)</f>
        <v>0.225863724645119</v>
      </c>
    </row>
    <row r="4268" customFormat="false" ht="15" hidden="false" customHeight="false" outlineLevel="0" collapsed="false">
      <c r="A4268" s="16" t="n">
        <v>46275</v>
      </c>
      <c r="B4268" s="23" t="n">
        <f aca="false">YEAR(A4268)</f>
        <v>2026</v>
      </c>
      <c r="C4268" s="17" t="n">
        <v>76664.89</v>
      </c>
      <c r="D4268" s="23" t="n">
        <f aca="false">A4268-A4267</f>
        <v>1</v>
      </c>
      <c r="E4268" s="24" t="n">
        <f aca="false">LN(C4268)</f>
        <v>11.2471991250557</v>
      </c>
      <c r="F4268" s="25" t="n">
        <f aca="false">LN(C4268/C4267)</f>
        <v>-0.021149605169761</v>
      </c>
      <c r="G4268" s="25" t="n">
        <f aca="false">IF(AND(D4268=1,A4268&gt;=$R$2),F4268,"")</f>
        <v>-0.021149605169761</v>
      </c>
      <c r="H4268" s="27" t="n">
        <f aca="false">IF(G4268="","",G4268^2)</f>
        <v>0.000447305798836782</v>
      </c>
      <c r="I4268" s="25" t="n">
        <f aca="false">IF(G4268="","",C4268/C4267-1)</f>
        <v>-0.0209275206922186</v>
      </c>
      <c r="J4268" s="17" t="n">
        <f aca="false">AVERAGE(C4069:C4268)</f>
        <v>69952.72975</v>
      </c>
      <c r="K4268" s="17" t="n">
        <f aca="false">MAX(K4267,C4268)</f>
        <v>124720.09</v>
      </c>
      <c r="L4268" s="25" t="n">
        <f aca="false">C4268/K4268-1</f>
        <v>-0.38530440444679</v>
      </c>
      <c r="M4268" s="25" t="n">
        <f aca="false">IF(COUNT(G4239:G4268)&lt;20,"",_xlfn.STDEV.S(G4239:G4268)*SQRT($R$3))</f>
        <v>0.466654280409301</v>
      </c>
      <c r="N4268" s="25" t="n">
        <f aca="false">IF(A4268-7&lt;$R$2,"",C4268/INDEX(Clean_Data!$C$2:$C$4314,MATCH(A4268-7,Clean_Data!$A$2:$A$4314,1))-1)</f>
        <v>-0.05502705006669</v>
      </c>
      <c r="O4268" s="25" t="n">
        <f aca="false">IF(A4268-30&lt;$R$2,"",C4268/INDEX(Clean_Data!$C$2:$C$4314,MATCH(A4268-30,Clean_Data!$A$2:$A$4314,1))-1)</f>
        <v>0.206779856845308</v>
      </c>
    </row>
    <row r="4269" customFormat="false" ht="15" hidden="false" customHeight="false" outlineLevel="0" collapsed="false">
      <c r="A4269" s="16" t="n">
        <v>46276</v>
      </c>
      <c r="B4269" s="23" t="n">
        <f aca="false">YEAR(A4269)</f>
        <v>2026</v>
      </c>
      <c r="C4269" s="17" t="n">
        <v>77276.5</v>
      </c>
      <c r="D4269" s="23" t="n">
        <f aca="false">A4269-A4268</f>
        <v>1</v>
      </c>
      <c r="E4269" s="24" t="n">
        <f aca="false">LN(C4269)</f>
        <v>11.2551451780057</v>
      </c>
      <c r="F4269" s="25" t="n">
        <f aca="false">LN(C4269/C4268)</f>
        <v>0.00794605295005073</v>
      </c>
      <c r="G4269" s="25" t="n">
        <f aca="false">IF(AND(D4269=1,A4269&gt;=$R$2),F4269,"")</f>
        <v>0.00794605295005073</v>
      </c>
      <c r="H4269" s="27" t="n">
        <f aca="false">IF(G4269="","",G4269^2)</f>
        <v>6.31397574850099E-005</v>
      </c>
      <c r="I4269" s="25" t="n">
        <f aca="false">IF(G4269="","",C4269/C4268-1)</f>
        <v>0.00797770661380981</v>
      </c>
      <c r="J4269" s="17" t="n">
        <f aca="false">AVERAGE(C4070:C4269)</f>
        <v>70015.3923</v>
      </c>
      <c r="K4269" s="17" t="n">
        <f aca="false">MAX(K4268,C4269)</f>
        <v>124720.09</v>
      </c>
      <c r="L4269" s="25" t="n">
        <f aca="false">C4269/K4269-1</f>
        <v>-0.380400543328665</v>
      </c>
      <c r="M4269" s="25" t="n">
        <f aca="false">IF(COUNT(G4240:G4269)&lt;20,"",_xlfn.STDEV.S(G4240:G4269)*SQRT($R$3))</f>
        <v>0.465729186667862</v>
      </c>
      <c r="N4269" s="25" t="n">
        <f aca="false">IF(A4269-7&lt;$R$2,"",C4269/INDEX(Clean_Data!$C$2:$C$4314,MATCH(A4269-7,Clean_Data!$A$2:$A$4314,1))-1)</f>
        <v>-0.0299032558338057</v>
      </c>
      <c r="O4269" s="25" t="n">
        <f aca="false">IF(A4269-30&lt;$R$2,"",C4269/INDEX(Clean_Data!$C$2:$C$4314,MATCH(A4269-30,Clean_Data!$A$2:$A$4314,1))-1)</f>
        <v>0.218824371093312</v>
      </c>
    </row>
    <row r="4270" customFormat="false" ht="15" hidden="false" customHeight="false" outlineLevel="0" collapsed="false">
      <c r="A4270" s="16" t="n">
        <v>46277</v>
      </c>
      <c r="B4270" s="23" t="n">
        <f aca="false">YEAR(A4270)</f>
        <v>2026</v>
      </c>
      <c r="C4270" s="17" t="n">
        <v>77270.73</v>
      </c>
      <c r="D4270" s="23" t="n">
        <f aca="false">A4270-A4269</f>
        <v>1</v>
      </c>
      <c r="E4270" s="24" t="n">
        <f aca="false">LN(C4270)</f>
        <v>11.2550705082753</v>
      </c>
      <c r="F4270" s="25" t="n">
        <f aca="false">LN(C4270/C4269)</f>
        <v>-7.46697304466631E-005</v>
      </c>
      <c r="G4270" s="25" t="n">
        <f aca="false">IF(AND(D4270=1,A4270&gt;=$R$2),F4270,"")</f>
        <v>-7.46697304466631E-005</v>
      </c>
      <c r="H4270" s="27" t="n">
        <f aca="false">IF(G4270="","",G4270^2)</f>
        <v>5.57556864497733E-009</v>
      </c>
      <c r="I4270" s="25" t="n">
        <f aca="false">IF(G4270="","",C4270/C4269-1)</f>
        <v>-7.4666942731727E-005</v>
      </c>
      <c r="J4270" s="17" t="n">
        <f aca="false">AVERAGE(C4071:C4270)</f>
        <v>70080.2959</v>
      </c>
      <c r="K4270" s="17" t="n">
        <f aca="false">MAX(K4269,C4270)</f>
        <v>124720.09</v>
      </c>
      <c r="L4270" s="25" t="n">
        <f aca="false">C4270/K4270-1</f>
        <v>-0.380446806925813</v>
      </c>
      <c r="M4270" s="25" t="n">
        <f aca="false">IF(COUNT(G4241:G4270)&lt;20,"",_xlfn.STDEV.S(G4241:G4270)*SQRT($R$3))</f>
        <v>0.465700557415823</v>
      </c>
      <c r="N4270" s="25" t="n">
        <f aca="false">IF(A4270-7&lt;$R$2,"",C4270/INDEX(Clean_Data!$C$2:$C$4314,MATCH(A4270-7,Clean_Data!$A$2:$A$4314,1))-1)</f>
        <v>-0.032655668731951</v>
      </c>
      <c r="O4270" s="25" t="n">
        <f aca="false">IF(A4270-30&lt;$R$2,"",C4270/INDEX(Clean_Data!$C$2:$C$4314,MATCH(A4270-30,Clean_Data!$A$2:$A$4314,1))-1)</f>
        <v>0.219015611992274</v>
      </c>
    </row>
    <row r="4271" customFormat="false" ht="15" hidden="false" customHeight="false" outlineLevel="0" collapsed="false">
      <c r="A4271" s="16" t="n">
        <v>46278</v>
      </c>
      <c r="B4271" s="23" t="n">
        <f aca="false">YEAR(A4271)</f>
        <v>2026</v>
      </c>
      <c r="C4271" s="17" t="n">
        <v>76804.92</v>
      </c>
      <c r="D4271" s="23" t="n">
        <f aca="false">A4271-A4270</f>
        <v>1</v>
      </c>
      <c r="E4271" s="24" t="n">
        <f aca="false">LN(C4271)</f>
        <v>11.2490239795839</v>
      </c>
      <c r="F4271" s="25" t="n">
        <f aca="false">LN(C4271/C4270)</f>
        <v>-0.00604652869141488</v>
      </c>
      <c r="G4271" s="25" t="n">
        <f aca="false">IF(AND(D4271=1,A4271&gt;=$R$2),F4271,"")</f>
        <v>-0.00604652869141488</v>
      </c>
      <c r="H4271" s="27" t="n">
        <f aca="false">IF(G4271="","",G4271^2)</f>
        <v>3.65605092161033E-005</v>
      </c>
      <c r="I4271" s="25" t="n">
        <f aca="false">IF(G4271="","",C4271/C4270-1)</f>
        <v>-0.00602828522520749</v>
      </c>
      <c r="J4271" s="17" t="n">
        <f aca="false">AVERAGE(C4072:C4271)</f>
        <v>70122.07915</v>
      </c>
      <c r="K4271" s="17" t="n">
        <f aca="false">MAX(K4270,C4271)</f>
        <v>124720.09</v>
      </c>
      <c r="L4271" s="25" t="n">
        <f aca="false">C4271/K4271-1</f>
        <v>-0.384181650285852</v>
      </c>
      <c r="M4271" s="25" t="n">
        <f aca="false">IF(COUNT(G4242:G4271)&lt;20,"",_xlfn.STDEV.S(G4242:G4271)*SQRT($R$3))</f>
        <v>0.465493414671149</v>
      </c>
      <c r="N4271" s="25" t="n">
        <f aca="false">IF(A4271-7&lt;$R$2,"",C4271/INDEX(Clean_Data!$C$2:$C$4314,MATCH(A4271-7,Clean_Data!$A$2:$A$4314,1))-1)</f>
        <v>-0.0436331841015198</v>
      </c>
      <c r="O4271" s="25" t="n">
        <f aca="false">IF(A4271-30&lt;$R$2,"",C4271/INDEX(Clean_Data!$C$2:$C$4314,MATCH(A4271-30,Clean_Data!$A$2:$A$4314,1))-1)</f>
        <v>0.219736938017988</v>
      </c>
    </row>
    <row r="4272" customFormat="false" ht="15" hidden="false" customHeight="false" outlineLevel="0" collapsed="false">
      <c r="A4272" s="16" t="n">
        <v>46279</v>
      </c>
      <c r="B4272" s="23" t="n">
        <f aca="false">YEAR(A4272)</f>
        <v>2026</v>
      </c>
      <c r="C4272" s="17" t="n">
        <v>78200.38</v>
      </c>
      <c r="D4272" s="23" t="n">
        <f aca="false">A4272-A4271</f>
        <v>1</v>
      </c>
      <c r="E4272" s="24" t="n">
        <f aca="false">LN(C4272)</f>
        <v>11.2670297858566</v>
      </c>
      <c r="F4272" s="25" t="n">
        <f aca="false">LN(C4272/C4271)</f>
        <v>0.0180058062727852</v>
      </c>
      <c r="G4272" s="25" t="n">
        <f aca="false">IF(AND(D4272=1,A4272&gt;=$R$2),F4272,"")</f>
        <v>0.0180058062727852</v>
      </c>
      <c r="H4272" s="27" t="n">
        <f aca="false">IF(G4272="","",G4272^2)</f>
        <v>0.000324209059533069</v>
      </c>
      <c r="I4272" s="25" t="n">
        <f aca="false">IF(G4272="","",C4272/C4271-1)</f>
        <v>0.018168888138937</v>
      </c>
      <c r="J4272" s="17" t="n">
        <f aca="false">AVERAGE(C4073:C4272)</f>
        <v>70177.73675</v>
      </c>
      <c r="K4272" s="17" t="n">
        <f aca="false">MAX(K4271,C4272)</f>
        <v>124720.09</v>
      </c>
      <c r="L4272" s="25" t="n">
        <f aca="false">C4272/K4272-1</f>
        <v>-0.372992915575991</v>
      </c>
      <c r="M4272" s="25" t="n">
        <f aca="false">IF(COUNT(G4243:G4272)&lt;20,"",_xlfn.STDEV.S(G4243:G4272)*SQRT($R$3))</f>
        <v>0.466597053458753</v>
      </c>
      <c r="N4272" s="25" t="n">
        <f aca="false">IF(A4272-7&lt;$R$2,"",C4272/INDEX(Clean_Data!$C$2:$C$4314,MATCH(A4272-7,Clean_Data!$A$2:$A$4314,1))-1)</f>
        <v>-0.0109634547713382</v>
      </c>
      <c r="O4272" s="25" t="n">
        <f aca="false">IF(A4272-30&lt;$R$2,"",C4272/INDEX(Clean_Data!$C$2:$C$4314,MATCH(A4272-30,Clean_Data!$A$2:$A$4314,1))-1)</f>
        <v>0.241295379086116</v>
      </c>
    </row>
    <row r="4273" customFormat="false" ht="15" hidden="false" customHeight="false" outlineLevel="0" collapsed="false">
      <c r="A4273" s="16" t="n">
        <v>46280</v>
      </c>
      <c r="B4273" s="23" t="n">
        <f aca="false">YEAR(A4273)</f>
        <v>2026</v>
      </c>
      <c r="C4273" s="17" t="n">
        <v>75656.09</v>
      </c>
      <c r="D4273" s="23" t="n">
        <f aca="false">A4273-A4272</f>
        <v>1</v>
      </c>
      <c r="E4273" s="24" t="n">
        <f aca="false">LN(C4273)</f>
        <v>11.2339532182896</v>
      </c>
      <c r="F4273" s="25" t="n">
        <f aca="false">LN(C4273/C4272)</f>
        <v>-0.0330765675669849</v>
      </c>
      <c r="G4273" s="25" t="n">
        <f aca="false">IF(AND(D4273=1,A4273&gt;=$R$2),F4273,"")</f>
        <v>-0.0330765675669849</v>
      </c>
      <c r="H4273" s="27" t="n">
        <f aca="false">IF(G4273="","",G4273^2)</f>
        <v>0.00109405932201332</v>
      </c>
      <c r="I4273" s="25" t="n">
        <f aca="false">IF(G4273="","",C4273/C4272-1)</f>
        <v>-0.0325355196483701</v>
      </c>
      <c r="J4273" s="17" t="n">
        <f aca="false">AVERAGE(C4074:C4273)</f>
        <v>70226.2672</v>
      </c>
      <c r="K4273" s="17" t="n">
        <f aca="false">MAX(K4272,C4273)</f>
        <v>124720.09</v>
      </c>
      <c r="L4273" s="25" t="n">
        <f aca="false">C4273/K4273-1</f>
        <v>-0.393392916890936</v>
      </c>
      <c r="M4273" s="25" t="n">
        <f aca="false">IF(COUNT(G4244:G4273)&lt;20,"",_xlfn.STDEV.S(G4244:G4273)*SQRT($R$3))</f>
        <v>0.486434416164342</v>
      </c>
      <c r="N4273" s="25" t="n">
        <f aca="false">IF(A4273-7&lt;$R$2,"",C4273/INDEX(Clean_Data!$C$2:$C$4314,MATCH(A4273-7,Clean_Data!$A$2:$A$4314,1))-1)</f>
        <v>-0.0368282640713921</v>
      </c>
      <c r="O4273" s="25" t="n">
        <f aca="false">IF(A4273-30&lt;$R$2,"",C4273/INDEX(Clean_Data!$C$2:$C$4314,MATCH(A4273-30,Clean_Data!$A$2:$A$4314,1))-1)</f>
        <v>0.203575054005387</v>
      </c>
    </row>
    <row r="4274" customFormat="false" ht="15" hidden="false" customHeight="false" outlineLevel="0" collapsed="false">
      <c r="A4274" s="16" t="n">
        <v>46281</v>
      </c>
      <c r="B4274" s="23" t="n">
        <f aca="false">YEAR(A4274)</f>
        <v>2026</v>
      </c>
      <c r="C4274" s="17" t="n">
        <v>76208.64</v>
      </c>
      <c r="D4274" s="23" t="n">
        <f aca="false">A4274-A4273</f>
        <v>1</v>
      </c>
      <c r="E4274" s="24" t="n">
        <f aca="false">LN(C4274)</f>
        <v>11.2412301210738</v>
      </c>
      <c r="F4274" s="25" t="n">
        <f aca="false">LN(C4274/C4273)</f>
        <v>0.00727690278417282</v>
      </c>
      <c r="G4274" s="25" t="n">
        <f aca="false">IF(AND(D4274=1,A4274&gt;=$R$2),F4274,"")</f>
        <v>0.00727690278417282</v>
      </c>
      <c r="H4274" s="27" t="n">
        <f aca="false">IF(G4274="","",G4274^2)</f>
        <v>5.29533141303022E-005</v>
      </c>
      <c r="I4274" s="25" t="n">
        <f aca="false">IF(G4274="","",C4274/C4273-1)</f>
        <v>0.00730344378093029</v>
      </c>
      <c r="J4274" s="17" t="n">
        <f aca="false">AVERAGE(C4075:C4274)</f>
        <v>70273.9086</v>
      </c>
      <c r="K4274" s="17" t="n">
        <f aca="false">MAX(K4273,C4274)</f>
        <v>124720.09</v>
      </c>
      <c r="L4274" s="25" t="n">
        <f aca="false">C4274/K4274-1</f>
        <v>-0.388962596162334</v>
      </c>
      <c r="M4274" s="25" t="n">
        <f aca="false">IF(COUNT(G4245:G4274)&lt;20,"",_xlfn.STDEV.S(G4245:G4274)*SQRT($R$3))</f>
        <v>0.481916656023257</v>
      </c>
      <c r="N4274" s="25" t="n">
        <f aca="false">IF(A4274-7&lt;$R$2,"",C4274/INDEX(Clean_Data!$C$2:$C$4314,MATCH(A4274-7,Clean_Data!$A$2:$A$4314,1))-1)</f>
        <v>-0.0267542011803035</v>
      </c>
      <c r="O4274" s="25" t="n">
        <f aca="false">IF(A4274-30&lt;$R$2,"",C4274/INDEX(Clean_Data!$C$2:$C$4314,MATCH(A4274-30,Clean_Data!$A$2:$A$4314,1))-1)</f>
        <v>0.18292460315982</v>
      </c>
    </row>
    <row r="4275" customFormat="false" ht="15" hidden="false" customHeight="false" outlineLevel="0" collapsed="false">
      <c r="A4275" s="16" t="n">
        <v>46282</v>
      </c>
      <c r="B4275" s="23" t="n">
        <f aca="false">YEAR(A4275)</f>
        <v>2026</v>
      </c>
      <c r="C4275" s="17" t="n">
        <v>76366.4</v>
      </c>
      <c r="D4275" s="23" t="n">
        <f aca="false">A4275-A4274</f>
        <v>1</v>
      </c>
      <c r="E4275" s="24" t="n">
        <f aca="false">LN(C4275)</f>
        <v>11.2432980878425</v>
      </c>
      <c r="F4275" s="25" t="n">
        <f aca="false">LN(C4275/C4274)</f>
        <v>0.00206796676863445</v>
      </c>
      <c r="G4275" s="25" t="n">
        <f aca="false">IF(AND(D4275=1,A4275&gt;=$R$2),F4275,"")</f>
        <v>0.00206796676863445</v>
      </c>
      <c r="H4275" s="27" t="n">
        <f aca="false">IF(G4275="","",G4275^2)</f>
        <v>4.27648655617639E-006</v>
      </c>
      <c r="I4275" s="25" t="n">
        <f aca="false">IF(G4275="","",C4275/C4274-1)</f>
        <v>0.00207010648661354</v>
      </c>
      <c r="J4275" s="17" t="n">
        <f aca="false">AVERAGE(C4076:C4275)</f>
        <v>70323.36915</v>
      </c>
      <c r="K4275" s="17" t="n">
        <f aca="false">MAX(K4274,C4275)</f>
        <v>124720.09</v>
      </c>
      <c r="L4275" s="25" t="n">
        <f aca="false">C4275/K4275-1</f>
        <v>-0.387697683669087</v>
      </c>
      <c r="M4275" s="25" t="n">
        <f aca="false">IF(COUNT(G4246:G4275)&lt;20,"",_xlfn.STDEV.S(G4246:G4275)*SQRT($R$3))</f>
        <v>0.481998912466337</v>
      </c>
      <c r="N4275" s="25" t="n">
        <f aca="false">IF(A4275-7&lt;$R$2,"",C4275/INDEX(Clean_Data!$C$2:$C$4314,MATCH(A4275-7,Clean_Data!$A$2:$A$4314,1))-1)</f>
        <v>-0.00389343805228193</v>
      </c>
      <c r="O4275" s="25" t="n">
        <f aca="false">IF(A4275-30&lt;$R$2,"",C4275/INDEX(Clean_Data!$C$2:$C$4314,MATCH(A4275-30,Clean_Data!$A$2:$A$4314,1))-1)</f>
        <v>0.181677792323142</v>
      </c>
    </row>
    <row r="4276" customFormat="false" ht="15" hidden="false" customHeight="false" outlineLevel="0" collapsed="false">
      <c r="A4276" s="16" t="n">
        <v>46283</v>
      </c>
      <c r="B4276" s="23" t="n">
        <f aca="false">YEAR(A4276)</f>
        <v>2026</v>
      </c>
      <c r="C4276" s="17" t="n">
        <v>80844</v>
      </c>
      <c r="D4276" s="23" t="n">
        <f aca="false">A4276-A4275</f>
        <v>1</v>
      </c>
      <c r="E4276" s="24" t="n">
        <f aca="false">LN(C4276)</f>
        <v>11.3002766507487</v>
      </c>
      <c r="F4276" s="25" t="n">
        <f aca="false">LN(C4276/C4275)</f>
        <v>0.0569785629062035</v>
      </c>
      <c r="G4276" s="25" t="n">
        <f aca="false">IF(AND(D4276=1,A4276&gt;=$R$2),F4276,"")</f>
        <v>0.0569785629062035</v>
      </c>
      <c r="H4276" s="27" t="n">
        <f aca="false">IF(G4276="","",G4276^2)</f>
        <v>0.00324655663085619</v>
      </c>
      <c r="I4276" s="25" t="n">
        <f aca="false">IF(G4276="","",C4276/C4275-1)</f>
        <v>0.0586331161348448</v>
      </c>
      <c r="J4276" s="17" t="n">
        <f aca="false">AVERAGE(C4077:C4276)</f>
        <v>70382.50455</v>
      </c>
      <c r="K4276" s="17" t="n">
        <f aca="false">MAX(K4275,C4276)</f>
        <v>124720.09</v>
      </c>
      <c r="L4276" s="25" t="n">
        <f aca="false">C4276/K4276-1</f>
        <v>-0.351796490846022</v>
      </c>
      <c r="M4276" s="25" t="n">
        <f aca="false">IF(COUNT(G4247:G4276)&lt;20,"",_xlfn.STDEV.S(G4247:G4276)*SQRT($R$3))</f>
        <v>0.45720049145295</v>
      </c>
      <c r="N4276" s="25" t="n">
        <f aca="false">IF(A4276-7&lt;$R$2,"",C4276/INDEX(Clean_Data!$C$2:$C$4314,MATCH(A4276-7,Clean_Data!$A$2:$A$4314,1))-1)</f>
        <v>0.0461653931013957</v>
      </c>
      <c r="O4276" s="25" t="n">
        <f aca="false">IF(A4276-30&lt;$R$2,"",C4276/INDEX(Clean_Data!$C$2:$C$4314,MATCH(A4276-30,Clean_Data!$A$2:$A$4314,1))-1)</f>
        <v>0.163430597689372</v>
      </c>
    </row>
    <row r="4277" customFormat="false" ht="15" hidden="false" customHeight="false" outlineLevel="0" collapsed="false">
      <c r="A4277" s="16" t="n">
        <v>46284</v>
      </c>
      <c r="B4277" s="23" t="n">
        <f aca="false">YEAR(A4277)</f>
        <v>2026</v>
      </c>
      <c r="C4277" s="17" t="n">
        <v>81186</v>
      </c>
      <c r="D4277" s="23" t="n">
        <f aca="false">A4277-A4276</f>
        <v>1</v>
      </c>
      <c r="E4277" s="24" t="n">
        <f aca="false">LN(C4277)</f>
        <v>11.3044980974917</v>
      </c>
      <c r="F4277" s="25" t="n">
        <f aca="false">LN(C4277/C4276)</f>
        <v>0.004221446743039</v>
      </c>
      <c r="G4277" s="25" t="n">
        <f aca="false">IF(AND(D4277=1,A4277&gt;=$R$2),F4277,"")</f>
        <v>0.004221446743039</v>
      </c>
      <c r="H4277" s="27" t="n">
        <f aca="false">IF(G4277="","",G4277^2)</f>
        <v>1.78206126043146E-005</v>
      </c>
      <c r="I4277" s="25" t="n">
        <f aca="false">IF(G4277="","",C4277/C4276-1)</f>
        <v>0.00423036960071244</v>
      </c>
      <c r="J4277" s="17" t="n">
        <f aca="false">AVERAGE(C4078:C4277)</f>
        <v>70447.3205</v>
      </c>
      <c r="K4277" s="17" t="n">
        <f aca="false">MAX(K4276,C4277)</f>
        <v>124720.09</v>
      </c>
      <c r="L4277" s="25" t="n">
        <f aca="false">C4277/K4277-1</f>
        <v>-0.349054350425822</v>
      </c>
      <c r="M4277" s="25" t="n">
        <f aca="false">IF(COUNT(G4248:G4277)&lt;20,"",_xlfn.STDEV.S(G4248:G4277)*SQRT($R$3))</f>
        <v>0.426773946285064</v>
      </c>
      <c r="N4277" s="25" t="n">
        <f aca="false">IF(A4277-7&lt;$R$2,"",C4277/INDEX(Clean_Data!$C$2:$C$4314,MATCH(A4277-7,Clean_Data!$A$2:$A$4314,1))-1)</f>
        <v>0.0506695096577967</v>
      </c>
      <c r="O4277" s="25" t="n">
        <f aca="false">IF(A4277-30&lt;$R$2,"",C4277/INDEX(Clean_Data!$C$2:$C$4314,MATCH(A4277-30,Clean_Data!$A$2:$A$4314,1))-1)</f>
        <v>0.110813596459123</v>
      </c>
    </row>
    <row r="4278" customFormat="false" ht="15" hidden="false" customHeight="false" outlineLevel="0" collapsed="false">
      <c r="A4278" s="16" t="n">
        <v>46285</v>
      </c>
      <c r="B4278" s="23" t="n">
        <f aca="false">YEAR(A4278)</f>
        <v>2026</v>
      </c>
      <c r="C4278" s="17" t="n">
        <v>81253.37</v>
      </c>
      <c r="D4278" s="23" t="n">
        <f aca="false">A4278-A4277</f>
        <v>1</v>
      </c>
      <c r="E4278" s="24" t="n">
        <f aca="false">LN(C4278)</f>
        <v>11.3053275762549</v>
      </c>
      <c r="F4278" s="25" t="n">
        <f aca="false">LN(C4278/C4277)</f>
        <v>0.000829478763217745</v>
      </c>
      <c r="G4278" s="25" t="n">
        <f aca="false">IF(AND(D4278=1,A4278&gt;=$R$2),F4278,"")</f>
        <v>0.000829478763217745</v>
      </c>
      <c r="H4278" s="27" t="n">
        <f aca="false">IF(G4278="","",G4278^2)</f>
        <v>6.8803501862924E-007</v>
      </c>
      <c r="I4278" s="25" t="n">
        <f aca="false">IF(G4278="","",C4278/C4277-1)</f>
        <v>0.000829822875865194</v>
      </c>
      <c r="J4278" s="17" t="n">
        <f aca="false">AVERAGE(C4079:C4278)</f>
        <v>70489.70405</v>
      </c>
      <c r="K4278" s="17" t="n">
        <f aca="false">MAX(K4277,C4278)</f>
        <v>124720.09</v>
      </c>
      <c r="L4278" s="25" t="n">
        <f aca="false">C4278/K4278-1</f>
        <v>-0.34851418083486</v>
      </c>
      <c r="M4278" s="25" t="n">
        <f aca="false">IF(COUNT(G4249:G4278)&lt;20,"",_xlfn.STDEV.S(G4249:G4278)*SQRT($R$3))</f>
        <v>0.360790363978033</v>
      </c>
      <c r="N4278" s="25" t="n">
        <f aca="false">IF(A4278-7&lt;$R$2,"",C4278/INDEX(Clean_Data!$C$2:$C$4314,MATCH(A4278-7,Clean_Data!$A$2:$A$4314,1))-1)</f>
        <v>0.0579188156175412</v>
      </c>
      <c r="O4278" s="25" t="n">
        <f aca="false">IF(A4278-30&lt;$R$2,"",C4278/INDEX(Clean_Data!$C$2:$C$4314,MATCH(A4278-30,Clean_Data!$A$2:$A$4314,1))-1)</f>
        <v>0.0400214369927385</v>
      </c>
    </row>
    <row r="4279" customFormat="false" ht="15" hidden="false" customHeight="false" outlineLevel="0" collapsed="false">
      <c r="A4279" s="16" t="n">
        <v>46286</v>
      </c>
      <c r="B4279" s="23" t="n">
        <f aca="false">YEAR(A4279)</f>
        <v>2026</v>
      </c>
      <c r="C4279" s="17" t="n">
        <v>86396.74</v>
      </c>
      <c r="D4279" s="23" t="n">
        <f aca="false">A4279-A4278</f>
        <v>1</v>
      </c>
      <c r="E4279" s="24" t="n">
        <f aca="false">LN(C4279)</f>
        <v>11.3667052225988</v>
      </c>
      <c r="F4279" s="25" t="n">
        <f aca="false">LN(C4279/C4278)</f>
        <v>0.0613776463438983</v>
      </c>
      <c r="G4279" s="25" t="n">
        <f aca="false">IF(AND(D4279=1,A4279&gt;=$R$2),F4279,"")</f>
        <v>0.0613776463438983</v>
      </c>
      <c r="H4279" s="27" t="n">
        <f aca="false">IF(G4279="","",G4279^2)</f>
        <v>0.00376721547071665</v>
      </c>
      <c r="I4279" s="25" t="n">
        <f aca="false">IF(G4279="","",C4279/C4278-1)</f>
        <v>0.0633003898792137</v>
      </c>
      <c r="J4279" s="17" t="n">
        <f aca="false">AVERAGE(C4080:C4279)</f>
        <v>70566.9103</v>
      </c>
      <c r="K4279" s="17" t="n">
        <f aca="false">MAX(K4278,C4279)</f>
        <v>124720.09</v>
      </c>
      <c r="L4279" s="25" t="n">
        <f aca="false">C4279/K4279-1</f>
        <v>-0.307274874480928</v>
      </c>
      <c r="M4279" s="25" t="n">
        <f aca="false">IF(COUNT(G4250:G4279)&lt;20,"",_xlfn.STDEV.S(G4250:G4279)*SQRT($R$3))</f>
        <v>0.41314477235082</v>
      </c>
      <c r="N4279" s="25" t="n">
        <f aca="false">IF(A4279-7&lt;$R$2,"",C4279/INDEX(Clean_Data!$C$2:$C$4314,MATCH(A4279-7,Clean_Data!$A$2:$A$4314,1))-1)</f>
        <v>0.104812278405808</v>
      </c>
      <c r="O4279" s="25" t="n">
        <f aca="false">IF(A4279-30&lt;$R$2,"",C4279/INDEX(Clean_Data!$C$2:$C$4314,MATCH(A4279-30,Clean_Data!$A$2:$A$4314,1))-1)</f>
        <v>0.120322654725444</v>
      </c>
    </row>
    <row r="4280" customFormat="false" ht="15" hidden="false" customHeight="false" outlineLevel="0" collapsed="false">
      <c r="A4280" s="16" t="n">
        <v>46287</v>
      </c>
      <c r="B4280" s="23" t="n">
        <f aca="false">YEAR(A4280)</f>
        <v>2026</v>
      </c>
      <c r="C4280" s="17" t="n">
        <v>86249.98</v>
      </c>
      <c r="D4280" s="23" t="n">
        <f aca="false">A4280-A4279</f>
        <v>1</v>
      </c>
      <c r="E4280" s="24" t="n">
        <f aca="false">LN(C4280)</f>
        <v>11.3650051030095</v>
      </c>
      <c r="F4280" s="25" t="n">
        <f aca="false">LN(C4280/C4279)</f>
        <v>-0.00170011958929407</v>
      </c>
      <c r="G4280" s="25" t="n">
        <f aca="false">IF(AND(D4280=1,A4280&gt;=$R$2),F4280,"")</f>
        <v>-0.00170011958929407</v>
      </c>
      <c r="H4280" s="27" t="n">
        <f aca="false">IF(G4280="","",G4280^2)</f>
        <v>2.89040661790143E-006</v>
      </c>
      <c r="I4280" s="25" t="n">
        <f aca="false">IF(G4280="","",C4280/C4279-1)</f>
        <v>-0.00169867520464329</v>
      </c>
      <c r="J4280" s="17" t="n">
        <f aca="false">AVERAGE(C4081:C4280)</f>
        <v>70656.4102</v>
      </c>
      <c r="K4280" s="17" t="n">
        <f aca="false">MAX(K4279,C4280)</f>
        <v>124720.09</v>
      </c>
      <c r="L4280" s="25" t="n">
        <f aca="false">C4280/K4280-1</f>
        <v>-0.30845158947528</v>
      </c>
      <c r="M4280" s="25" t="n">
        <f aca="false">IF(COUNT(G4251:G4280)&lt;20,"",_xlfn.STDEV.S(G4251:G4280)*SQRT($R$3))</f>
        <v>0.413436333167173</v>
      </c>
      <c r="N4280" s="25" t="n">
        <f aca="false">IF(A4280-7&lt;$R$2,"",C4280/INDEX(Clean_Data!$C$2:$C$4314,MATCH(A4280-7,Clean_Data!$A$2:$A$4314,1))-1)</f>
        <v>0.140026929755424</v>
      </c>
      <c r="O4280" s="25" t="n">
        <f aca="false">IF(A4280-30&lt;$R$2,"",C4280/INDEX(Clean_Data!$C$2:$C$4314,MATCH(A4280-30,Clean_Data!$A$2:$A$4314,1))-1)</f>
        <v>0.110929240681942</v>
      </c>
    </row>
    <row r="4281" customFormat="false" ht="15" hidden="false" customHeight="false" outlineLevel="0" collapsed="false">
      <c r="A4281" s="16" t="n">
        <v>46288</v>
      </c>
      <c r="B4281" s="23" t="n">
        <f aca="false">YEAR(A4281)</f>
        <v>2026</v>
      </c>
      <c r="C4281" s="17" t="n">
        <v>84452.97</v>
      </c>
      <c r="D4281" s="23" t="n">
        <f aca="false">A4281-A4280</f>
        <v>1</v>
      </c>
      <c r="E4281" s="24" t="n">
        <f aca="false">LN(C4281)</f>
        <v>11.3439500903564</v>
      </c>
      <c r="F4281" s="25" t="n">
        <f aca="false">LN(C4281/C4280)</f>
        <v>-0.021055012653082</v>
      </c>
      <c r="G4281" s="25" t="n">
        <f aca="false">IF(AND(D4281=1,A4281&gt;=$R$2),F4281,"")</f>
        <v>-0.021055012653082</v>
      </c>
      <c r="H4281" s="27" t="n">
        <f aca="false">IF(G4281="","",G4281^2)</f>
        <v>0.000443313557821444</v>
      </c>
      <c r="I4281" s="25" t="n">
        <f aca="false">IF(G4281="","",C4281/C4280-1)</f>
        <v>-0.0208349033820066</v>
      </c>
      <c r="J4281" s="17" t="n">
        <f aca="false">AVERAGE(C4082:C4281)</f>
        <v>70742.7057</v>
      </c>
      <c r="K4281" s="17" t="n">
        <f aca="false">MAX(K4280,C4281)</f>
        <v>124720.09</v>
      </c>
      <c r="L4281" s="25" t="n">
        <f aca="false">C4281/K4281-1</f>
        <v>-0.322859933792543</v>
      </c>
      <c r="M4281" s="25" t="n">
        <f aca="false">IF(COUNT(G4252:G4281)&lt;20,"",_xlfn.STDEV.S(G4252:G4281)*SQRT($R$3))</f>
        <v>0.419003351906684</v>
      </c>
      <c r="N4281" s="25" t="n">
        <f aca="false">IF(A4281-7&lt;$R$2,"",C4281/INDEX(Clean_Data!$C$2:$C$4314,MATCH(A4281-7,Clean_Data!$A$2:$A$4314,1))-1)</f>
        <v>0.108181040889852</v>
      </c>
      <c r="O4281" s="25" t="n">
        <f aca="false">IF(A4281-30&lt;$R$2,"",C4281/INDEX(Clean_Data!$C$2:$C$4314,MATCH(A4281-30,Clean_Data!$A$2:$A$4314,1))-1)</f>
        <v>0.0692768258446705</v>
      </c>
    </row>
    <row r="4282" customFormat="false" ht="15" hidden="false" customHeight="false" outlineLevel="0" collapsed="false">
      <c r="A4282" s="16" t="n">
        <v>46289</v>
      </c>
      <c r="B4282" s="23" t="n">
        <f aca="false">YEAR(A4282)</f>
        <v>2026</v>
      </c>
      <c r="C4282" s="17" t="n">
        <v>84470.76</v>
      </c>
      <c r="D4282" s="23" t="n">
        <f aca="false">A4282-A4281</f>
        <v>1</v>
      </c>
      <c r="E4282" s="24" t="n">
        <f aca="false">LN(C4282)</f>
        <v>11.3441607179582</v>
      </c>
      <c r="F4282" s="25" t="n">
        <f aca="false">LN(C4282/C4281)</f>
        <v>0.000210627601767487</v>
      </c>
      <c r="G4282" s="25" t="n">
        <f aca="false">IF(AND(D4282=1,A4282&gt;=$R$2),F4282,"")</f>
        <v>0.000210627601767487</v>
      </c>
      <c r="H4282" s="27" t="n">
        <f aca="false">IF(G4282="","",G4282^2)</f>
        <v>4.4363986626323E-008</v>
      </c>
      <c r="I4282" s="25" t="n">
        <f aca="false">IF(G4282="","",C4282/C4281-1)</f>
        <v>0.000210649785318262</v>
      </c>
      <c r="J4282" s="17" t="n">
        <f aca="false">AVERAGE(C4083:C4282)</f>
        <v>70834.7838</v>
      </c>
      <c r="K4282" s="17" t="n">
        <f aca="false">MAX(K4281,C4282)</f>
        <v>124720.09</v>
      </c>
      <c r="L4282" s="25" t="n">
        <f aca="false">C4282/K4282-1</f>
        <v>-0.322717294382966</v>
      </c>
      <c r="M4282" s="25" t="n">
        <f aca="false">IF(COUNT(G4253:G4282)&lt;20,"",_xlfn.STDEV.S(G4253:G4282)*SQRT($R$3))</f>
        <v>0.41803289822835</v>
      </c>
      <c r="N4282" s="25" t="n">
        <f aca="false">IF(A4282-7&lt;$R$2,"",C4282/INDEX(Clean_Data!$C$2:$C$4314,MATCH(A4282-7,Clean_Data!$A$2:$A$4314,1))-1)</f>
        <v>0.106124683106707</v>
      </c>
      <c r="O4282" s="25" t="n">
        <f aca="false">IF(A4282-30&lt;$R$2,"",C4282/INDEX(Clean_Data!$C$2:$C$4314,MATCH(A4282-30,Clean_Data!$A$2:$A$4314,1))-1)</f>
        <v>0.0759105576992762</v>
      </c>
    </row>
    <row r="4283" customFormat="false" ht="15" hidden="false" customHeight="false" outlineLevel="0" collapsed="false">
      <c r="A4283" s="16" t="n">
        <v>46290</v>
      </c>
      <c r="B4283" s="23" t="n">
        <f aca="false">YEAR(A4283)</f>
        <v>2026</v>
      </c>
      <c r="C4283" s="17" t="n">
        <v>84048.07</v>
      </c>
      <c r="D4283" s="23" t="n">
        <f aca="false">A4283-A4282</f>
        <v>1</v>
      </c>
      <c r="E4283" s="24" t="n">
        <f aca="false">LN(C4283)</f>
        <v>11.3391441760508</v>
      </c>
      <c r="F4283" s="25" t="n">
        <f aca="false">LN(C4283/C4282)</f>
        <v>-0.00501654190739596</v>
      </c>
      <c r="G4283" s="25" t="n">
        <f aca="false">IF(AND(D4283=1,A4283&gt;=$R$2),F4283,"")</f>
        <v>-0.00501654190739596</v>
      </c>
      <c r="H4283" s="27" t="n">
        <f aca="false">IF(G4283="","",G4283^2)</f>
        <v>2.51656927086599E-005</v>
      </c>
      <c r="I4283" s="25" t="n">
        <f aca="false">IF(G4283="","",C4283/C4282-1)</f>
        <v>-0.00500398007547209</v>
      </c>
      <c r="J4283" s="17" t="n">
        <f aca="false">AVERAGE(C4084:C4283)</f>
        <v>70912.62145</v>
      </c>
      <c r="K4283" s="17" t="n">
        <f aca="false">MAX(K4282,C4283)</f>
        <v>124720.09</v>
      </c>
      <c r="L4283" s="25" t="n">
        <f aca="false">C4283/K4283-1</f>
        <v>-0.326106403547335</v>
      </c>
      <c r="M4283" s="25" t="n">
        <f aca="false">IF(COUNT(G4254:G4283)&lt;20,"",_xlfn.STDEV.S(G4254:G4283)*SQRT($R$3))</f>
        <v>0.418648450058742</v>
      </c>
      <c r="N4283" s="25" t="n">
        <f aca="false">IF(A4283-7&lt;$R$2,"",C4283/INDEX(Clean_Data!$C$2:$C$4314,MATCH(A4283-7,Clean_Data!$A$2:$A$4314,1))-1)</f>
        <v>0.0396327494928506</v>
      </c>
      <c r="O4283" s="25" t="n">
        <f aca="false">IF(A4283-30&lt;$R$2,"",C4283/INDEX(Clean_Data!$C$2:$C$4314,MATCH(A4283-30,Clean_Data!$A$2:$A$4314,1))-1)</f>
        <v>0.0644125593181424</v>
      </c>
    </row>
    <row r="4284" customFormat="false" ht="15" hidden="false" customHeight="false" outlineLevel="0" collapsed="false">
      <c r="A4284" s="16" t="n">
        <v>46291</v>
      </c>
      <c r="B4284" s="23" t="n">
        <f aca="false">YEAR(A4284)</f>
        <v>2026</v>
      </c>
      <c r="C4284" s="17" t="n">
        <v>84337.36</v>
      </c>
      <c r="D4284" s="23" t="n">
        <f aca="false">A4284-A4283</f>
        <v>1</v>
      </c>
      <c r="E4284" s="24" t="n">
        <f aca="false">LN(C4284)</f>
        <v>11.3425802249373</v>
      </c>
      <c r="F4284" s="25" t="n">
        <f aca="false">LN(C4284/C4283)</f>
        <v>0.00343604888645656</v>
      </c>
      <c r="G4284" s="25" t="n">
        <f aca="false">IF(AND(D4284=1,A4284&gt;=$R$2),F4284,"")</f>
        <v>0.00343604888645656</v>
      </c>
      <c r="H4284" s="27" t="n">
        <f aca="false">IF(G4284="","",G4284^2)</f>
        <v>1.18064319501194E-005</v>
      </c>
      <c r="I4284" s="25" t="n">
        <f aca="false">IF(G4284="","",C4284/C4283-1)</f>
        <v>0.00344195886948984</v>
      </c>
      <c r="J4284" s="17" t="n">
        <f aca="false">AVERAGE(C4085:C4284)</f>
        <v>70985.0685</v>
      </c>
      <c r="K4284" s="17" t="n">
        <f aca="false">MAX(K4283,C4284)</f>
        <v>124720.09</v>
      </c>
      <c r="L4284" s="25" t="n">
        <f aca="false">C4284/K4284-1</f>
        <v>-0.323786889505933</v>
      </c>
      <c r="M4284" s="25" t="n">
        <f aca="false">IF(COUNT(G4255:G4284)&lt;20,"",_xlfn.STDEV.S(G4255:G4284)*SQRT($R$3))</f>
        <v>0.415812396501828</v>
      </c>
      <c r="N4284" s="25" t="n">
        <f aca="false">IF(A4284-7&lt;$R$2,"",C4284/INDEX(Clean_Data!$C$2:$C$4314,MATCH(A4284-7,Clean_Data!$A$2:$A$4314,1))-1)</f>
        <v>0.0388165447244599</v>
      </c>
      <c r="O4284" s="25" t="n">
        <f aca="false">IF(A4284-30&lt;$R$2,"",C4284/INDEX(Clean_Data!$C$2:$C$4314,MATCH(A4284-30,Clean_Data!$A$2:$A$4314,1))-1)</f>
        <v>0.051462038027613</v>
      </c>
    </row>
    <row r="4285" customFormat="false" ht="15" hidden="false" customHeight="false" outlineLevel="0" collapsed="false">
      <c r="A4285" s="16" t="n">
        <v>46292</v>
      </c>
      <c r="B4285" s="23" t="n">
        <f aca="false">YEAR(A4285)</f>
        <v>2026</v>
      </c>
      <c r="C4285" s="17" t="n">
        <v>84553.91</v>
      </c>
      <c r="D4285" s="23" t="n">
        <f aca="false">A4285-A4284</f>
        <v>1</v>
      </c>
      <c r="E4285" s="24" t="n">
        <f aca="false">LN(C4285)</f>
        <v>11.345144598083</v>
      </c>
      <c r="F4285" s="25" t="n">
        <f aca="false">LN(C4285/C4284)</f>
        <v>0.00256437314574703</v>
      </c>
      <c r="G4285" s="25" t="n">
        <f aca="false">IF(AND(D4285=1,A4285&gt;=$R$2),F4285,"")</f>
        <v>0.00256437314574703</v>
      </c>
      <c r="H4285" s="27" t="n">
        <f aca="false">IF(G4285="","",G4285^2)</f>
        <v>6.57600963062853E-006</v>
      </c>
      <c r="I4285" s="25" t="n">
        <f aca="false">IF(G4285="","",C4285/C4284-1)</f>
        <v>0.00256766396292218</v>
      </c>
      <c r="J4285" s="17" t="n">
        <f aca="false">AVERAGE(C4086:C4285)</f>
        <v>71056.78445</v>
      </c>
      <c r="K4285" s="17" t="n">
        <f aca="false">MAX(K4284,C4285)</f>
        <v>124720.09</v>
      </c>
      <c r="L4285" s="25" t="n">
        <f aca="false">C4285/K4285-1</f>
        <v>-0.322050601470862</v>
      </c>
      <c r="M4285" s="25" t="n">
        <f aca="false">IF(COUNT(G4256:G4285)&lt;20,"",_xlfn.STDEV.S(G4256:G4285)*SQRT($R$3))</f>
        <v>0.399793376975467</v>
      </c>
      <c r="N4285" s="25" t="n">
        <f aca="false">IF(A4285-7&lt;$R$2,"",C4285/INDEX(Clean_Data!$C$2:$C$4314,MATCH(A4285-7,Clean_Data!$A$2:$A$4314,1))-1)</f>
        <v>0.0406203459622661</v>
      </c>
      <c r="O4285" s="25" t="n">
        <f aca="false">IF(A4285-30&lt;$R$2,"",C4285/INDEX(Clean_Data!$C$2:$C$4314,MATCH(A4285-30,Clean_Data!$A$2:$A$4314,1))-1)</f>
        <v>0.0862715373403831</v>
      </c>
    </row>
    <row r="4286" customFormat="false" ht="15" hidden="false" customHeight="false" outlineLevel="0" collapsed="false">
      <c r="A4286" s="16" t="n">
        <v>46293</v>
      </c>
      <c r="B4286" s="23" t="n">
        <f aca="false">YEAR(A4286)</f>
        <v>2026</v>
      </c>
      <c r="C4286" s="17" t="n">
        <v>83487.03</v>
      </c>
      <c r="D4286" s="23" t="n">
        <f aca="false">A4286-A4285</f>
        <v>1</v>
      </c>
      <c r="E4286" s="24" t="n">
        <f aca="false">LN(C4286)</f>
        <v>11.3324465694328</v>
      </c>
      <c r="F4286" s="25" t="n">
        <f aca="false">LN(C4286/C4285)</f>
        <v>-0.0126980286502365</v>
      </c>
      <c r="G4286" s="25" t="n">
        <f aca="false">IF(AND(D4286=1,A4286&gt;=$R$2),F4286,"")</f>
        <v>-0.0126980286502365</v>
      </c>
      <c r="H4286" s="27" t="n">
        <f aca="false">IF(G4286="","",G4286^2)</f>
        <v>0.000161239931602226</v>
      </c>
      <c r="I4286" s="25" t="n">
        <f aca="false">IF(G4286="","",C4286/C4285-1)</f>
        <v>-0.0126177488421293</v>
      </c>
      <c r="J4286" s="17" t="n">
        <f aca="false">AVERAGE(C4087:C4286)</f>
        <v>71121.7169</v>
      </c>
      <c r="K4286" s="17" t="n">
        <f aca="false">MAX(K4285,C4286)</f>
        <v>124720.09</v>
      </c>
      <c r="L4286" s="25" t="n">
        <f aca="false">C4286/K4286-1</f>
        <v>-0.330604796709175</v>
      </c>
      <c r="M4286" s="25" t="n">
        <f aca="false">IF(COUNT(G4257:G4286)&lt;20,"",_xlfn.STDEV.S(G4257:G4286)*SQRT($R$3))</f>
        <v>0.403310211216536</v>
      </c>
      <c r="N4286" s="25" t="n">
        <f aca="false">IF(A4286-7&lt;$R$2,"",C4286/INDEX(Clean_Data!$C$2:$C$4314,MATCH(A4286-7,Clean_Data!$A$2:$A$4314,1))-1)</f>
        <v>-0.0336784698126342</v>
      </c>
      <c r="O4286" s="25" t="n">
        <f aca="false">IF(A4286-30&lt;$R$2,"",C4286/INDEX(Clean_Data!$C$2:$C$4314,MATCH(A4286-30,Clean_Data!$A$2:$A$4314,1))-1)</f>
        <v>0.0674043342069934</v>
      </c>
    </row>
    <row r="4287" customFormat="false" ht="15" hidden="false" customHeight="false" outlineLevel="0" collapsed="false">
      <c r="A4287" s="16" t="n">
        <v>46294</v>
      </c>
      <c r="B4287" s="23" t="n">
        <f aca="false">YEAR(A4287)</f>
        <v>2026</v>
      </c>
      <c r="C4287" s="17" t="n">
        <v>83636.7</v>
      </c>
      <c r="D4287" s="23" t="n">
        <f aca="false">A4287-A4286</f>
        <v>1</v>
      </c>
      <c r="E4287" s="24" t="n">
        <f aca="false">LN(C4287)</f>
        <v>11.3342376979579</v>
      </c>
      <c r="F4287" s="25" t="n">
        <f aca="false">LN(C4287/C4286)</f>
        <v>0.00179112852511783</v>
      </c>
      <c r="G4287" s="25" t="n">
        <f aca="false">IF(AND(D4287=1,A4287&gt;=$R$2),F4287,"")</f>
        <v>0.00179112852511783</v>
      </c>
      <c r="H4287" s="27" t="n">
        <f aca="false">IF(G4287="","",G4287^2)</f>
        <v>3.20814139349076E-006</v>
      </c>
      <c r="I4287" s="25" t="n">
        <f aca="false">IF(G4287="","",C4287/C4286-1)</f>
        <v>0.00179273355394249</v>
      </c>
      <c r="J4287" s="17" t="n">
        <f aca="false">AVERAGE(C4088:C4287)</f>
        <v>71185.7065</v>
      </c>
      <c r="K4287" s="17" t="n">
        <f aca="false">MAX(K4286,C4287)</f>
        <v>124720.09</v>
      </c>
      <c r="L4287" s="25" t="n">
        <f aca="false">C4287/K4287-1</f>
        <v>-0.329404749467387</v>
      </c>
      <c r="M4287" s="25" t="n">
        <f aca="false">IF(COUNT(G4258:G4287)&lt;20,"",_xlfn.STDEV.S(G4258:G4287)*SQRT($R$3))</f>
        <v>0.4022734331522</v>
      </c>
      <c r="N4287" s="25" t="n">
        <f aca="false">IF(A4287-7&lt;$R$2,"",C4287/INDEX(Clean_Data!$C$2:$C$4314,MATCH(A4287-7,Clean_Data!$A$2:$A$4314,1))-1)</f>
        <v>-0.0302989055765578</v>
      </c>
      <c r="O4287" s="25" t="n">
        <f aca="false">IF(A4287-30&lt;$R$2,"",C4287/INDEX(Clean_Data!$C$2:$C$4314,MATCH(A4287-30,Clean_Data!$A$2:$A$4314,1))-1)</f>
        <v>0.0756027870065554</v>
      </c>
    </row>
    <row r="4288" customFormat="false" ht="15" hidden="false" customHeight="false" outlineLevel="0" collapsed="false">
      <c r="A4288" s="16" t="n">
        <v>46295</v>
      </c>
      <c r="B4288" s="23" t="n">
        <f aca="false">YEAR(A4288)</f>
        <v>2026</v>
      </c>
      <c r="C4288" s="17" t="n">
        <v>83482.51</v>
      </c>
      <c r="D4288" s="23" t="n">
        <f aca="false">A4288-A4287</f>
        <v>1</v>
      </c>
      <c r="E4288" s="24" t="n">
        <f aca="false">LN(C4288)</f>
        <v>11.3323924278211</v>
      </c>
      <c r="F4288" s="25" t="n">
        <f aca="false">LN(C4288/C4287)</f>
        <v>-0.00184527013682858</v>
      </c>
      <c r="G4288" s="25" t="n">
        <f aca="false">IF(AND(D4288=1,A4288&gt;=$R$2),F4288,"")</f>
        <v>-0.00184527013682858</v>
      </c>
      <c r="H4288" s="27" t="n">
        <f aca="false">IF(G4288="","",G4288^2)</f>
        <v>3.40502187787138E-006</v>
      </c>
      <c r="I4288" s="25" t="n">
        <f aca="false">IF(G4288="","",C4288/C4287-1)</f>
        <v>-0.00184356867260427</v>
      </c>
      <c r="J4288" s="17" t="n">
        <f aca="false">AVERAGE(C4089:C4288)</f>
        <v>71247.5264</v>
      </c>
      <c r="K4288" s="17" t="n">
        <f aca="false">MAX(K4287,C4288)</f>
        <v>124720.09</v>
      </c>
      <c r="L4288" s="25" t="n">
        <f aca="false">C4288/K4288-1</f>
        <v>-0.330641037863267</v>
      </c>
      <c r="M4288" s="25" t="n">
        <f aca="false">IF(COUNT(G4259:G4288)&lt;20,"",_xlfn.STDEV.S(G4259:G4288)*SQRT($R$3))</f>
        <v>0.401376319865643</v>
      </c>
      <c r="N4288" s="25" t="n">
        <f aca="false">IF(A4288-7&lt;$R$2,"",C4288/INDEX(Clean_Data!$C$2:$C$4314,MATCH(A4288-7,Clean_Data!$A$2:$A$4314,1))-1)</f>
        <v>-0.0114911293232198</v>
      </c>
      <c r="O4288" s="25" t="n">
        <f aca="false">IF(A4288-30&lt;$R$2,"",C4288/INDEX(Clean_Data!$C$2:$C$4314,MATCH(A4288-30,Clean_Data!$A$2:$A$4314,1))-1)</f>
        <v>0.0620776402738723</v>
      </c>
    </row>
    <row r="4289" customFormat="false" ht="15" hidden="false" customHeight="false" outlineLevel="0" collapsed="false">
      <c r="A4289" s="16" t="n">
        <v>46296</v>
      </c>
      <c r="B4289" s="23" t="n">
        <f aca="false">YEAR(A4289)</f>
        <v>2026</v>
      </c>
      <c r="C4289" s="17" t="n">
        <v>84759.64</v>
      </c>
      <c r="D4289" s="23" t="n">
        <f aca="false">A4289-A4288</f>
        <v>1</v>
      </c>
      <c r="E4289" s="24" t="n">
        <f aca="false">LN(C4289)</f>
        <v>11.3475747650868</v>
      </c>
      <c r="F4289" s="25" t="n">
        <f aca="false">LN(C4289/C4288)</f>
        <v>0.0151823372656925</v>
      </c>
      <c r="G4289" s="25" t="n">
        <f aca="false">IF(AND(D4289=1,A4289&gt;=$R$2),F4289,"")</f>
        <v>0.0151823372656925</v>
      </c>
      <c r="H4289" s="27" t="n">
        <f aca="false">IF(G4289="","",G4289^2)</f>
        <v>0.000230503364849236</v>
      </c>
      <c r="I4289" s="25" t="n">
        <f aca="false">IF(G4289="","",C4289/C4288-1)</f>
        <v>0.0152981744319858</v>
      </c>
      <c r="J4289" s="17" t="n">
        <f aca="false">AVERAGE(C4090:C4289)</f>
        <v>71306.55825</v>
      </c>
      <c r="K4289" s="17" t="n">
        <f aca="false">MAX(K4288,C4289)</f>
        <v>124720.09</v>
      </c>
      <c r="L4289" s="25" t="n">
        <f aca="false">C4289/K4289-1</f>
        <v>-0.320401067702886</v>
      </c>
      <c r="M4289" s="25" t="n">
        <f aca="false">IF(COUNT(G4260:G4289)&lt;20,"",_xlfn.STDEV.S(G4260:G4289)*SQRT($R$3))</f>
        <v>0.398780935121122</v>
      </c>
      <c r="N4289" s="25" t="n">
        <f aca="false">IF(A4289-7&lt;$R$2,"",C4289/INDEX(Clean_Data!$C$2:$C$4314,MATCH(A4289-7,Clean_Data!$A$2:$A$4314,1))-1)</f>
        <v>0.00341988162531037</v>
      </c>
      <c r="O4289" s="25" t="n">
        <f aca="false">IF(A4289-30&lt;$R$2,"",C4289/INDEX(Clean_Data!$C$2:$C$4314,MATCH(A4289-30,Clean_Data!$A$2:$A$4314,1))-1)</f>
        <v>0.0951897886944044</v>
      </c>
    </row>
    <row r="4290" customFormat="false" ht="15" hidden="false" customHeight="false" outlineLevel="0" collapsed="false">
      <c r="A4290" s="16" t="n">
        <v>46297</v>
      </c>
      <c r="B4290" s="23" t="n">
        <f aca="false">YEAR(A4290)</f>
        <v>2026</v>
      </c>
      <c r="C4290" s="17" t="n">
        <v>84478.54</v>
      </c>
      <c r="D4290" s="23" t="n">
        <f aca="false">A4290-A4289</f>
        <v>1</v>
      </c>
      <c r="E4290" s="24" t="n">
        <f aca="false">LN(C4290)</f>
        <v>11.3442528165938</v>
      </c>
      <c r="F4290" s="25" t="n">
        <f aca="false">LN(C4290/C4289)</f>
        <v>-0.00332194849297996</v>
      </c>
      <c r="G4290" s="25" t="n">
        <f aca="false">IF(AND(D4290=1,A4290&gt;=$R$2),F4290,"")</f>
        <v>-0.00332194849297996</v>
      </c>
      <c r="H4290" s="27" t="n">
        <f aca="false">IF(G4290="","",G4290^2)</f>
        <v>1.10353417900118E-005</v>
      </c>
      <c r="I4290" s="25" t="n">
        <f aca="false">IF(G4290="","",C4290/C4289-1)</f>
        <v>-0.00331643692682038</v>
      </c>
      <c r="J4290" s="17" t="n">
        <f aca="false">AVERAGE(C4091:C4290)</f>
        <v>71355.15825</v>
      </c>
      <c r="K4290" s="17" t="n">
        <f aca="false">MAX(K4289,C4290)</f>
        <v>124720.09</v>
      </c>
      <c r="L4290" s="25" t="n">
        <f aca="false">C4290/K4290-1</f>
        <v>-0.322654914697384</v>
      </c>
      <c r="M4290" s="25" t="n">
        <f aca="false">IF(COUNT(G4261:G4290)&lt;20,"",_xlfn.STDEV.S(G4261:G4290)*SQRT($R$3))</f>
        <v>0.399181875350157</v>
      </c>
      <c r="N4290" s="25" t="n">
        <f aca="false">IF(A4290-7&lt;$R$2,"",C4290/INDEX(Clean_Data!$C$2:$C$4314,MATCH(A4290-7,Clean_Data!$A$2:$A$4314,1))-1)</f>
        <v>0.00512171189653721</v>
      </c>
      <c r="O4290" s="25" t="n">
        <f aca="false">IF(A4290-30&lt;$R$2,"",C4290/INDEX(Clean_Data!$C$2:$C$4314,MATCH(A4290-30,Clean_Data!$A$2:$A$4314,1))-1)</f>
        <v>0.0924387526068395</v>
      </c>
    </row>
    <row r="4291" customFormat="false" ht="15" hidden="false" customHeight="false" outlineLevel="0" collapsed="false">
      <c r="A4291" s="16" t="n">
        <v>46298</v>
      </c>
      <c r="B4291" s="23" t="n">
        <f aca="false">YEAR(A4291)</f>
        <v>2026</v>
      </c>
      <c r="C4291" s="17" t="n">
        <v>84813.71</v>
      </c>
      <c r="D4291" s="23" t="n">
        <f aca="false">A4291-A4290</f>
        <v>1</v>
      </c>
      <c r="E4291" s="24" t="n">
        <f aca="false">LN(C4291)</f>
        <v>11.3482124832404</v>
      </c>
      <c r="F4291" s="25" t="n">
        <f aca="false">LN(C4291/C4290)</f>
        <v>0.00395966664659865</v>
      </c>
      <c r="G4291" s="25" t="n">
        <f aca="false">IF(AND(D4291=1,A4291&gt;=$R$2),F4291,"")</f>
        <v>0.00395966664659865</v>
      </c>
      <c r="H4291" s="27" t="n">
        <f aca="false">IF(G4291="","",G4291^2)</f>
        <v>1.56789599521858E-005</v>
      </c>
      <c r="I4291" s="25" t="n">
        <f aca="false">IF(G4291="","",C4291/C4290-1)</f>
        <v>0.00396751648406823</v>
      </c>
      <c r="J4291" s="17" t="n">
        <f aca="false">AVERAGE(C4092:C4291)</f>
        <v>71410.00005</v>
      </c>
      <c r="K4291" s="17" t="n">
        <f aca="false">MAX(K4290,C4291)</f>
        <v>124720.09</v>
      </c>
      <c r="L4291" s="25" t="n">
        <f aca="false">C4291/K4291-1</f>
        <v>-0.319967536906043</v>
      </c>
      <c r="M4291" s="25" t="n">
        <f aca="false">IF(COUNT(G4262:G4291)&lt;20,"",_xlfn.STDEV.S(G4262:G4291)*SQRT($R$3))</f>
        <v>0.364756940442195</v>
      </c>
      <c r="N4291" s="25" t="n">
        <f aca="false">IF(A4291-7&lt;$R$2,"",C4291/INDEX(Clean_Data!$C$2:$C$4314,MATCH(A4291-7,Clean_Data!$A$2:$A$4314,1))-1)</f>
        <v>0.00564814928994695</v>
      </c>
      <c r="O4291" s="25" t="n">
        <f aca="false">IF(A4291-30&lt;$R$2,"",C4291/INDEX(Clean_Data!$C$2:$C$4314,MATCH(A4291-30,Clean_Data!$A$2:$A$4314,1))-1)</f>
        <v>0.0454154663691331</v>
      </c>
    </row>
    <row r="4292" customFormat="false" ht="15" hidden="false" customHeight="false" outlineLevel="0" collapsed="false">
      <c r="A4292" s="16" t="n">
        <v>46299</v>
      </c>
      <c r="B4292" s="23" t="n">
        <f aca="false">YEAR(A4292)</f>
        <v>2026</v>
      </c>
      <c r="C4292" s="17" t="n">
        <v>86423.68</v>
      </c>
      <c r="D4292" s="23" t="n">
        <f aca="false">A4292-A4291</f>
        <v>1</v>
      </c>
      <c r="E4292" s="24" t="n">
        <f aca="false">LN(C4292)</f>
        <v>11.3670169913148</v>
      </c>
      <c r="F4292" s="25" t="n">
        <f aca="false">LN(C4292/C4291)</f>
        <v>0.0188045080744046</v>
      </c>
      <c r="G4292" s="25" t="n">
        <f aca="false">IF(AND(D4292=1,A4292&gt;=$R$2),F4292,"")</f>
        <v>0.0188045080744046</v>
      </c>
      <c r="H4292" s="27" t="n">
        <f aca="false">IF(G4292="","",G4292^2)</f>
        <v>0.000353609523920349</v>
      </c>
      <c r="I4292" s="25" t="n">
        <f aca="false">IF(G4292="","",C4292/C4291-1)</f>
        <v>0.0189824263081992</v>
      </c>
      <c r="J4292" s="17" t="n">
        <f aca="false">AVERAGE(C4093:C4292)</f>
        <v>71486.0937</v>
      </c>
      <c r="K4292" s="17" t="n">
        <f aca="false">MAX(K4291,C4292)</f>
        <v>124720.09</v>
      </c>
      <c r="L4292" s="25" t="n">
        <f aca="false">C4292/K4292-1</f>
        <v>-0.307058870788179</v>
      </c>
      <c r="M4292" s="25" t="n">
        <f aca="false">IF(COUNT(G4263:G4292)&lt;20,"",_xlfn.STDEV.S(G4263:G4292)*SQRT($R$3))</f>
        <v>0.362389731295587</v>
      </c>
      <c r="N4292" s="25" t="n">
        <f aca="false">IF(A4292-7&lt;$R$2,"",C4292/INDEX(Clean_Data!$C$2:$C$4314,MATCH(A4292-7,Clean_Data!$A$2:$A$4314,1))-1)</f>
        <v>0.0221133475672501</v>
      </c>
      <c r="O4292" s="25" t="n">
        <f aca="false">IF(A4292-30&lt;$R$2,"",C4292/INDEX(Clean_Data!$C$2:$C$4314,MATCH(A4292-30,Clean_Data!$A$2:$A$4314,1))-1)</f>
        <v>0.0849266023546749</v>
      </c>
    </row>
    <row r="4293" customFormat="false" ht="15" hidden="false" customHeight="false" outlineLevel="0" collapsed="false">
      <c r="A4293" s="16" t="n">
        <v>46300</v>
      </c>
      <c r="B4293" s="23" t="n">
        <f aca="false">YEAR(A4293)</f>
        <v>2026</v>
      </c>
      <c r="C4293" s="17" t="n">
        <v>85820.65</v>
      </c>
      <c r="D4293" s="23" t="n">
        <f aca="false">A4293-A4292</f>
        <v>1</v>
      </c>
      <c r="E4293" s="24" t="n">
        <f aca="false">LN(C4293)</f>
        <v>11.3600149325089</v>
      </c>
      <c r="F4293" s="25" t="n">
        <f aca="false">LN(C4293/C4292)</f>
        <v>-0.00700205880587352</v>
      </c>
      <c r="G4293" s="25" t="n">
        <f aca="false">IF(AND(D4293=1,A4293&gt;=$R$2),F4293,"")</f>
        <v>-0.00700205880587352</v>
      </c>
      <c r="H4293" s="27" t="n">
        <f aca="false">IF(G4293="","",G4293^2)</f>
        <v>4.9028827520911E-005</v>
      </c>
      <c r="I4293" s="25" t="n">
        <f aca="false">IF(G4293="","",C4293/C4292-1)</f>
        <v>-0.006977601509216</v>
      </c>
      <c r="J4293" s="17" t="n">
        <f aca="false">AVERAGE(C4094:C4293)</f>
        <v>71565.9022</v>
      </c>
      <c r="K4293" s="17" t="n">
        <f aca="false">MAX(K4292,C4293)</f>
        <v>124720.09</v>
      </c>
      <c r="L4293" s="25" t="n">
        <f aca="false">C4293/K4293-1</f>
        <v>-0.311893937857165</v>
      </c>
      <c r="M4293" s="25" t="n">
        <f aca="false">IF(COUNT(G4264:G4293)&lt;20,"",_xlfn.STDEV.S(G4264:G4293)*SQRT($R$3))</f>
        <v>0.363971378596303</v>
      </c>
      <c r="N4293" s="25" t="n">
        <f aca="false">IF(A4293-7&lt;$R$2,"",C4293/INDEX(Clean_Data!$C$2:$C$4314,MATCH(A4293-7,Clean_Data!$A$2:$A$4314,1))-1)</f>
        <v>0.0279518866583228</v>
      </c>
      <c r="O4293" s="25" t="n">
        <f aca="false">IF(A4293-30&lt;$R$2,"",C4293/INDEX(Clean_Data!$C$2:$C$4314,MATCH(A4293-30,Clean_Data!$A$2:$A$4314,1))-1)</f>
        <v>0.0743799014612556</v>
      </c>
    </row>
    <row r="4294" customFormat="false" ht="15" hidden="false" customHeight="false" outlineLevel="0" collapsed="false">
      <c r="A4294" s="16" t="n">
        <v>46301</v>
      </c>
      <c r="B4294" s="23" t="n">
        <f aca="false">YEAR(A4294)</f>
        <v>2026</v>
      </c>
      <c r="C4294" s="17" t="n">
        <v>85499.09</v>
      </c>
      <c r="D4294" s="23" t="n">
        <f aca="false">A4294-A4293</f>
        <v>1</v>
      </c>
      <c r="E4294" s="24" t="n">
        <f aca="false">LN(C4294)</f>
        <v>11.3562610115934</v>
      </c>
      <c r="F4294" s="25" t="n">
        <f aca="false">LN(C4294/C4293)</f>
        <v>-0.00375392091555184</v>
      </c>
      <c r="G4294" s="25" t="n">
        <f aca="false">IF(AND(D4294=1,A4294&gt;=$R$2),F4294,"")</f>
        <v>-0.00375392091555184</v>
      </c>
      <c r="H4294" s="27" t="n">
        <f aca="false">IF(G4294="","",G4294^2)</f>
        <v>1.40919222402176E-005</v>
      </c>
      <c r="I4294" s="25" t="n">
        <f aca="false">IF(G4294="","",C4294/C4293-1)</f>
        <v>-0.00374688376282395</v>
      </c>
      <c r="J4294" s="17" t="n">
        <f aca="false">AVERAGE(C4095:C4294)</f>
        <v>71640.5927</v>
      </c>
      <c r="K4294" s="17" t="n">
        <f aca="false">MAX(K4293,C4294)</f>
        <v>124720.09</v>
      </c>
      <c r="L4294" s="25" t="n">
        <f aca="false">C4294/K4294-1</f>
        <v>-0.314472191288509</v>
      </c>
      <c r="M4294" s="25" t="n">
        <f aca="false">IF(COUNT(G4265:G4294)&lt;20,"",_xlfn.STDEV.S(G4265:G4294)*SQRT($R$3))</f>
        <v>0.364423102574353</v>
      </c>
      <c r="N4294" s="25" t="n">
        <f aca="false">IF(A4294-7&lt;$R$2,"",C4294/INDEX(Clean_Data!$C$2:$C$4314,MATCH(A4294-7,Clean_Data!$A$2:$A$4314,1))-1)</f>
        <v>0.0222676169671927</v>
      </c>
      <c r="O4294" s="25" t="n">
        <f aca="false">IF(A4294-30&lt;$R$2,"",C4294/INDEX(Clean_Data!$C$2:$C$4314,MATCH(A4294-30,Clean_Data!$A$2:$A$4314,1))-1)</f>
        <v>0.0646257097268976</v>
      </c>
    </row>
    <row r="4295" customFormat="false" ht="15" hidden="false" customHeight="false" outlineLevel="0" collapsed="false">
      <c r="A4295" s="16" t="n">
        <v>46302</v>
      </c>
      <c r="B4295" s="23" t="n">
        <f aca="false">YEAR(A4295)</f>
        <v>2026</v>
      </c>
      <c r="C4295" s="17" t="n">
        <v>83239.49</v>
      </c>
      <c r="D4295" s="23" t="n">
        <f aca="false">A4295-A4294</f>
        <v>1</v>
      </c>
      <c r="E4295" s="24" t="n">
        <f aca="false">LN(C4295)</f>
        <v>11.3294771536267</v>
      </c>
      <c r="F4295" s="25" t="n">
        <f aca="false">LN(C4295/C4294)</f>
        <v>-0.0267838579666418</v>
      </c>
      <c r="G4295" s="25" t="n">
        <f aca="false">IF(AND(D4295=1,A4295&gt;=$R$2),F4295,"")</f>
        <v>-0.0267838579666418</v>
      </c>
      <c r="H4295" s="27" t="n">
        <f aca="false">IF(G4295="","",G4295^2)</f>
        <v>0.000717375047577241</v>
      </c>
      <c r="I4295" s="25" t="n">
        <f aca="false">IF(G4295="","",C4295/C4294-1)</f>
        <v>-0.0264283514596471</v>
      </c>
      <c r="J4295" s="17" t="n">
        <f aca="false">AVERAGE(C4096:C4295)</f>
        <v>71714.79675</v>
      </c>
      <c r="K4295" s="17" t="n">
        <f aca="false">MAX(K4294,C4295)</f>
        <v>124720.09</v>
      </c>
      <c r="L4295" s="25" t="n">
        <f aca="false">C4295/K4295-1</f>
        <v>-0.332589561152498</v>
      </c>
      <c r="M4295" s="25" t="n">
        <f aca="false">IF(COUNT(G4266:G4295)&lt;20,"",_xlfn.STDEV.S(G4266:G4295)*SQRT($R$3))</f>
        <v>0.373245813859256</v>
      </c>
      <c r="N4295" s="25" t="n">
        <f aca="false">IF(A4295-7&lt;$R$2,"",C4295/INDEX(Clean_Data!$C$2:$C$4314,MATCH(A4295-7,Clean_Data!$A$2:$A$4314,1))-1)</f>
        <v>-0.00291102890892947</v>
      </c>
      <c r="O4295" s="25" t="n">
        <f aca="false">IF(A4295-30&lt;$R$2,"",C4295/INDEX(Clean_Data!$C$2:$C$4314,MATCH(A4295-30,Clean_Data!$A$2:$A$4314,1))-1)</f>
        <v>0.0527685110506591</v>
      </c>
    </row>
    <row r="4296" customFormat="false" ht="15" hidden="false" customHeight="false" outlineLevel="0" collapsed="false">
      <c r="A4296" s="16" t="n">
        <v>46303</v>
      </c>
      <c r="B4296" s="23" t="n">
        <f aca="false">YEAR(A4296)</f>
        <v>2026</v>
      </c>
      <c r="C4296" s="17" t="n">
        <v>81657.19</v>
      </c>
      <c r="D4296" s="23" t="n">
        <f aca="false">A4296-A4295</f>
        <v>1</v>
      </c>
      <c r="E4296" s="24" t="n">
        <f aca="false">LN(C4296)</f>
        <v>11.3102851533092</v>
      </c>
      <c r="F4296" s="25" t="n">
        <f aca="false">LN(C4296/C4295)</f>
        <v>-0.0191920003175445</v>
      </c>
      <c r="G4296" s="25" t="n">
        <f aca="false">IF(AND(D4296=1,A4296&gt;=$R$2),F4296,"")</f>
        <v>-0.0191920003175445</v>
      </c>
      <c r="H4296" s="27" t="n">
        <f aca="false">IF(G4296="","",G4296^2)</f>
        <v>0.000368332876188628</v>
      </c>
      <c r="I4296" s="25" t="n">
        <f aca="false">IF(G4296="","",C4296/C4295-1)</f>
        <v>-0.0190090064223123</v>
      </c>
      <c r="J4296" s="17" t="n">
        <f aca="false">AVERAGE(C4097:C4296)</f>
        <v>71783.19415</v>
      </c>
      <c r="K4296" s="17" t="n">
        <f aca="false">MAX(K4295,C4296)</f>
        <v>124720.09</v>
      </c>
      <c r="L4296" s="25" t="n">
        <f aca="false">C4296/K4296-1</f>
        <v>-0.345276370470868</v>
      </c>
      <c r="M4296" s="25" t="n">
        <f aca="false">IF(COUNT(G4267:G4296)&lt;20,"",_xlfn.STDEV.S(G4267:G4296)*SQRT($R$3))</f>
        <v>0.379317095850557</v>
      </c>
      <c r="N4296" s="25" t="n">
        <f aca="false">IF(A4296-7&lt;$R$2,"",C4296/INDEX(Clean_Data!$C$2:$C$4314,MATCH(A4296-7,Clean_Data!$A$2:$A$4314,1))-1)</f>
        <v>-0.0366029161992665</v>
      </c>
      <c r="O4296" s="25" t="n">
        <f aca="false">IF(A4296-30&lt;$R$2,"",C4296/INDEX(Clean_Data!$C$2:$C$4314,MATCH(A4296-30,Clean_Data!$A$2:$A$4314,1))-1)</f>
        <v>0.0395712683982501</v>
      </c>
    </row>
    <row r="4297" customFormat="false" ht="15" hidden="false" customHeight="false" outlineLevel="0" collapsed="false">
      <c r="A4297" s="16" t="n">
        <v>46304</v>
      </c>
      <c r="B4297" s="23" t="n">
        <f aca="false">YEAR(A4297)</f>
        <v>2026</v>
      </c>
      <c r="C4297" s="17" t="n">
        <v>82543.3</v>
      </c>
      <c r="D4297" s="23" t="n">
        <f aca="false">A4297-A4296</f>
        <v>1</v>
      </c>
      <c r="E4297" s="24" t="n">
        <f aca="false">LN(C4297)</f>
        <v>11.3210782831228</v>
      </c>
      <c r="F4297" s="25" t="n">
        <f aca="false">LN(C4297/C4296)</f>
        <v>0.0107931298136571</v>
      </c>
      <c r="G4297" s="25" t="n">
        <f aca="false">IF(AND(D4297=1,A4297&gt;=$R$2),F4297,"")</f>
        <v>0.0107931298136571</v>
      </c>
      <c r="H4297" s="27" t="n">
        <f aca="false">IF(G4297="","",G4297^2)</f>
        <v>0.000116491651174454</v>
      </c>
      <c r="I4297" s="25" t="n">
        <f aca="false">IF(G4297="","",C4297/C4296-1)</f>
        <v>0.010851585757482</v>
      </c>
      <c r="J4297" s="17" t="n">
        <f aca="false">AVERAGE(C4098:C4297)</f>
        <v>71841.38065</v>
      </c>
      <c r="K4297" s="17" t="n">
        <f aca="false">MAX(K4296,C4297)</f>
        <v>124720.09</v>
      </c>
      <c r="L4297" s="25" t="n">
        <f aca="false">C4297/K4297-1</f>
        <v>-0.338171580857583</v>
      </c>
      <c r="M4297" s="25" t="n">
        <f aca="false">IF(COUNT(G4268:G4297)&lt;20,"",_xlfn.STDEV.S(G4268:G4297)*SQRT($R$3))</f>
        <v>0.380381216250265</v>
      </c>
      <c r="N4297" s="25" t="n">
        <f aca="false">IF(A4297-7&lt;$R$2,"",C4297/INDEX(Clean_Data!$C$2:$C$4314,MATCH(A4297-7,Clean_Data!$A$2:$A$4314,1))-1)</f>
        <v>-0.0229080663562603</v>
      </c>
      <c r="O4297" s="25" t="n">
        <f aca="false">IF(A4297-30&lt;$R$2,"",C4297/INDEX(Clean_Data!$C$2:$C$4314,MATCH(A4297-30,Clean_Data!$A$2:$A$4314,1))-1)</f>
        <v>0.054144516234824</v>
      </c>
    </row>
    <row r="4298" customFormat="false" ht="15" hidden="false" customHeight="false" outlineLevel="0" collapsed="false">
      <c r="A4298" s="16" t="n">
        <v>46305</v>
      </c>
      <c r="B4298" s="23" t="n">
        <f aca="false">YEAR(A4298)</f>
        <v>2026</v>
      </c>
      <c r="C4298" s="17" t="n">
        <v>82926.27</v>
      </c>
      <c r="D4298" s="23" t="n">
        <f aca="false">A4298-A4297</f>
        <v>1</v>
      </c>
      <c r="E4298" s="24" t="n">
        <f aca="false">LN(C4298)</f>
        <v>11.3257071787417</v>
      </c>
      <c r="F4298" s="25" t="n">
        <f aca="false">LN(C4298/C4297)</f>
        <v>0.00462889561886489</v>
      </c>
      <c r="G4298" s="25" t="n">
        <f aca="false">IF(AND(D4298=1,A4298&gt;=$R$2),F4298,"")</f>
        <v>0.00462889561886489</v>
      </c>
      <c r="H4298" s="27" t="n">
        <f aca="false">IF(G4298="","",G4298^2)</f>
        <v>2.14266746503465E-005</v>
      </c>
      <c r="I4298" s="25" t="n">
        <f aca="false">IF(G4298="","",C4298/C4297-1)</f>
        <v>0.00463962550564379</v>
      </c>
      <c r="J4298" s="17" t="n">
        <f aca="false">AVERAGE(C4099:C4298)</f>
        <v>71903.2348</v>
      </c>
      <c r="K4298" s="17" t="n">
        <f aca="false">MAX(K4297,C4298)</f>
        <v>124720.09</v>
      </c>
      <c r="L4298" s="25" t="n">
        <f aca="false">C4298/K4298-1</f>
        <v>-0.33510094484377</v>
      </c>
      <c r="M4298" s="25" t="n">
        <f aca="false">IF(COUNT(G4269:G4298)&lt;20,"",_xlfn.STDEV.S(G4269:G4298)*SQRT($R$3))</f>
        <v>0.371362783118576</v>
      </c>
      <c r="N4298" s="25" t="n">
        <f aca="false">IF(A4298-7&lt;$R$2,"",C4298/INDEX(Clean_Data!$C$2:$C$4314,MATCH(A4298-7,Clean_Data!$A$2:$A$4314,1))-1)</f>
        <v>-0.0222539492730598</v>
      </c>
      <c r="O4298" s="25" t="n">
        <f aca="false">IF(A4298-30&lt;$R$2,"",C4298/INDEX(Clean_Data!$C$2:$C$4314,MATCH(A4298-30,Clean_Data!$A$2:$A$4314,1))-1)</f>
        <v>0.0816720665744124</v>
      </c>
    </row>
    <row r="4299" customFormat="false" ht="15" hidden="false" customHeight="false" outlineLevel="0" collapsed="false">
      <c r="A4299" s="16" t="n">
        <v>46306</v>
      </c>
      <c r="B4299" s="23" t="n">
        <f aca="false">YEAR(A4299)</f>
        <v>2026</v>
      </c>
      <c r="C4299" s="17" t="n">
        <v>83683.56</v>
      </c>
      <c r="D4299" s="23" t="n">
        <f aca="false">A4299-A4298</f>
        <v>1</v>
      </c>
      <c r="E4299" s="24" t="n">
        <f aca="false">LN(C4299)</f>
        <v>11.3347978214149</v>
      </c>
      <c r="F4299" s="25" t="n">
        <f aca="false">LN(C4299/C4298)</f>
        <v>0.00909064267316036</v>
      </c>
      <c r="G4299" s="25" t="n">
        <f aca="false">IF(AND(D4299=1,A4299&gt;=$R$2),F4299,"")</f>
        <v>0.00909064267316036</v>
      </c>
      <c r="H4299" s="27" t="n">
        <f aca="false">IF(G4299="","",G4299^2)</f>
        <v>8.26397842110842E-005</v>
      </c>
      <c r="I4299" s="25" t="n">
        <f aca="false">IF(G4299="","",C4299/C4298-1)</f>
        <v>0.00913208805846444</v>
      </c>
      <c r="J4299" s="17" t="n">
        <f aca="false">AVERAGE(C4100:C4299)</f>
        <v>71965.2648</v>
      </c>
      <c r="K4299" s="17" t="n">
        <f aca="false">MAX(K4298,C4299)</f>
        <v>124720.09</v>
      </c>
      <c r="L4299" s="25" t="n">
        <f aca="false">C4299/K4299-1</f>
        <v>-0.329029028122093</v>
      </c>
      <c r="M4299" s="25" t="n">
        <f aca="false">IF(COUNT(G4270:G4299)&lt;20,"",_xlfn.STDEV.S(G4270:G4299)*SQRT($R$3))</f>
        <v>0.371590902825464</v>
      </c>
      <c r="N4299" s="25" t="n">
        <f aca="false">IF(A4299-7&lt;$R$2,"",C4299/INDEX(Clean_Data!$C$2:$C$4314,MATCH(A4299-7,Clean_Data!$A$2:$A$4314,1))-1)</f>
        <v>-0.0317056621518547</v>
      </c>
      <c r="O4299" s="25" t="n">
        <f aca="false">IF(A4299-30&lt;$R$2,"",C4299/INDEX(Clean_Data!$C$2:$C$4314,MATCH(A4299-30,Clean_Data!$A$2:$A$4314,1))-1)</f>
        <v>0.082910846117513</v>
      </c>
    </row>
    <row r="4300" customFormat="false" ht="15" hidden="false" customHeight="false" outlineLevel="0" collapsed="false">
      <c r="A4300" s="16" t="n">
        <v>46307</v>
      </c>
      <c r="B4300" s="23" t="n">
        <f aca="false">YEAR(A4300)</f>
        <v>2026</v>
      </c>
      <c r="C4300" s="17" t="n">
        <v>81782.78</v>
      </c>
      <c r="D4300" s="23" t="n">
        <f aca="false">A4300-A4299</f>
        <v>1</v>
      </c>
      <c r="E4300" s="24" t="n">
        <f aca="false">LN(C4300)</f>
        <v>11.3118219869823</v>
      </c>
      <c r="F4300" s="25" t="n">
        <f aca="false">LN(C4300/C4299)</f>
        <v>-0.022975834432514</v>
      </c>
      <c r="G4300" s="25" t="n">
        <f aca="false">IF(AND(D4300=1,A4300&gt;=$R$2),F4300,"")</f>
        <v>-0.022975834432514</v>
      </c>
      <c r="H4300" s="27" t="n">
        <f aca="false">IF(G4300="","",G4300^2)</f>
        <v>0.000527888967870295</v>
      </c>
      <c r="I4300" s="25" t="n">
        <f aca="false">IF(G4300="","",C4300/C4299-1)</f>
        <v>-0.0227138998388692</v>
      </c>
      <c r="J4300" s="17" t="n">
        <f aca="false">AVERAGE(C4101:C4300)</f>
        <v>72030.3677</v>
      </c>
      <c r="K4300" s="17" t="n">
        <f aca="false">MAX(K4299,C4300)</f>
        <v>124720.09</v>
      </c>
      <c r="L4300" s="25" t="n">
        <f aca="false">C4300/K4300-1</f>
        <v>-0.344269395572117</v>
      </c>
      <c r="M4300" s="25" t="n">
        <f aca="false">IF(COUNT(G4271:G4300)&lt;20,"",_xlfn.STDEV.S(G4271:G4300)*SQRT($R$3))</f>
        <v>0.382144493603406</v>
      </c>
      <c r="N4300" s="25" t="n">
        <f aca="false">IF(A4300-7&lt;$R$2,"",C4300/INDEX(Clean_Data!$C$2:$C$4314,MATCH(A4300-7,Clean_Data!$A$2:$A$4314,1))-1)</f>
        <v>-0.0470500980824544</v>
      </c>
      <c r="O4300" s="25" t="n">
        <f aca="false">IF(A4300-30&lt;$R$2,"",C4300/INDEX(Clean_Data!$C$2:$C$4314,MATCH(A4300-30,Clean_Data!$A$2:$A$4314,1))-1)</f>
        <v>0.0583927445748216</v>
      </c>
    </row>
    <row r="4301" customFormat="false" ht="15" hidden="false" customHeight="false" outlineLevel="0" collapsed="false">
      <c r="A4301" s="16" t="n">
        <v>46308</v>
      </c>
      <c r="B4301" s="23" t="n">
        <f aca="false">YEAR(A4301)</f>
        <v>2026</v>
      </c>
      <c r="C4301" s="17" t="n">
        <v>83159.9</v>
      </c>
      <c r="D4301" s="23" t="n">
        <f aca="false">A4301-A4300</f>
        <v>1</v>
      </c>
      <c r="E4301" s="24" t="n">
        <f aca="false">LN(C4301)</f>
        <v>11.32852053947</v>
      </c>
      <c r="F4301" s="25" t="n">
        <f aca="false">LN(C4301/C4300)</f>
        <v>0.0166985524876841</v>
      </c>
      <c r="G4301" s="25" t="n">
        <f aca="false">IF(AND(D4301=1,A4301&gt;=$R$2),F4301,"")</f>
        <v>0.0166985524876841</v>
      </c>
      <c r="H4301" s="27" t="n">
        <f aca="false">IF(G4301="","",G4301^2)</f>
        <v>0.00027884165518394</v>
      </c>
      <c r="I4301" s="25" t="n">
        <f aca="false">IF(G4301="","",C4301/C4300-1)</f>
        <v>0.0168387526078229</v>
      </c>
      <c r="J4301" s="17" t="n">
        <f aca="false">AVERAGE(C4102:C4301)</f>
        <v>72114.2171</v>
      </c>
      <c r="K4301" s="17" t="n">
        <f aca="false">MAX(K4300,C4301)</f>
        <v>124720.09</v>
      </c>
      <c r="L4301" s="25" t="n">
        <f aca="false">C4301/K4301-1</f>
        <v>-0.333227710146778</v>
      </c>
      <c r="M4301" s="25" t="n">
        <f aca="false">IF(COUNT(G4272:G4301)&lt;20,"",_xlfn.STDEV.S(G4272:G4301)*SQRT($R$3))</f>
        <v>0.384426418061295</v>
      </c>
      <c r="N4301" s="25" t="n">
        <f aca="false">IF(A4301-7&lt;$R$2,"",C4301/INDEX(Clean_Data!$C$2:$C$4314,MATCH(A4301-7,Clean_Data!$A$2:$A$4314,1))-1)</f>
        <v>-0.0273592385603169</v>
      </c>
      <c r="O4301" s="25" t="n">
        <f aca="false">IF(A4301-30&lt;$R$2,"",C4301/INDEX(Clean_Data!$C$2:$C$4314,MATCH(A4301-30,Clean_Data!$A$2:$A$4314,1))-1)</f>
        <v>0.0827418347678768</v>
      </c>
    </row>
    <row r="4302" customFormat="false" ht="15" hidden="false" customHeight="false" outlineLevel="0" collapsed="false">
      <c r="A4302" s="16" t="n">
        <v>46309</v>
      </c>
      <c r="B4302" s="23" t="n">
        <f aca="false">YEAR(A4302)</f>
        <v>2026</v>
      </c>
      <c r="C4302" s="17" t="n">
        <v>81694.05</v>
      </c>
      <c r="D4302" s="23" t="n">
        <f aca="false">A4302-A4301</f>
        <v>1</v>
      </c>
      <c r="E4302" s="24" t="n">
        <f aca="false">LN(C4302)</f>
        <v>11.3107364507787</v>
      </c>
      <c r="F4302" s="25" t="n">
        <f aca="false">LN(C4302/C4301)</f>
        <v>-0.0177840886913552</v>
      </c>
      <c r="G4302" s="25" t="n">
        <f aca="false">IF(AND(D4302=1,A4302&gt;=$R$2),F4302,"")</f>
        <v>-0.0177840886913552</v>
      </c>
      <c r="H4302" s="27" t="n">
        <f aca="false">IF(G4302="","",G4302^2)</f>
        <v>0.000316273810581987</v>
      </c>
      <c r="I4302" s="25" t="n">
        <f aca="false">IF(G4302="","",C4302/C4301-1)</f>
        <v>-0.0176268850732143</v>
      </c>
      <c r="J4302" s="17" t="n">
        <f aca="false">AVERAGE(C4103:C4302)</f>
        <v>72190.72715</v>
      </c>
      <c r="K4302" s="17" t="n">
        <f aca="false">MAX(K4301,C4302)</f>
        <v>124720.09</v>
      </c>
      <c r="L4302" s="25" t="n">
        <f aca="false">C4302/K4302-1</f>
        <v>-0.344980828670024</v>
      </c>
      <c r="M4302" s="25" t="n">
        <f aca="false">IF(COUNT(G4273:G4302)&lt;20,"",_xlfn.STDEV.S(G4273:G4302)*SQRT($R$3))</f>
        <v>0.38669591372752</v>
      </c>
      <c r="N4302" s="25" t="n">
        <f aca="false">IF(A4302-7&lt;$R$2,"",C4302/INDEX(Clean_Data!$C$2:$C$4314,MATCH(A4302-7,Clean_Data!$A$2:$A$4314,1))-1)</f>
        <v>-0.0185661877553551</v>
      </c>
      <c r="O4302" s="25" t="n">
        <f aca="false">IF(A4302-30&lt;$R$2,"",C4302/INDEX(Clean_Data!$C$2:$C$4314,MATCH(A4302-30,Clean_Data!$A$2:$A$4314,1))-1)</f>
        <v>0.044675869861502</v>
      </c>
    </row>
    <row r="4303" customFormat="false" ht="15" hidden="false" customHeight="false" outlineLevel="0" collapsed="false">
      <c r="A4303" s="16" t="n">
        <v>46310</v>
      </c>
      <c r="B4303" s="23" t="n">
        <f aca="false">YEAR(A4303)</f>
        <v>2026</v>
      </c>
      <c r="C4303" s="17" t="n">
        <v>82140.24</v>
      </c>
      <c r="D4303" s="23" t="n">
        <f aca="false">A4303-A4302</f>
        <v>1</v>
      </c>
      <c r="E4303" s="24" t="n">
        <f aca="false">LN(C4303)</f>
        <v>11.316183309347</v>
      </c>
      <c r="F4303" s="25" t="n">
        <f aca="false">LN(C4303/C4302)</f>
        <v>0.00544685856837227</v>
      </c>
      <c r="G4303" s="25" t="n">
        <f aca="false">IF(AND(D4303=1,A4303&gt;=$R$2),F4303,"")</f>
        <v>0.00544685856837227</v>
      </c>
      <c r="H4303" s="27" t="n">
        <f aca="false">IF(G4303="","",G4303^2)</f>
        <v>2.96682682638504E-005</v>
      </c>
      <c r="I4303" s="25" t="n">
        <f aca="false">IF(G4303="","",C4303/C4302-1)</f>
        <v>0.00546171967236298</v>
      </c>
      <c r="J4303" s="17" t="n">
        <f aca="false">AVERAGE(C4104:C4303)</f>
        <v>72272.1144</v>
      </c>
      <c r="K4303" s="17" t="n">
        <f aca="false">MAX(K4302,C4303)</f>
        <v>124720.09</v>
      </c>
      <c r="L4303" s="25" t="n">
        <f aca="false">C4303/K4303-1</f>
        <v>-0.341403297576196</v>
      </c>
      <c r="M4303" s="25" t="n">
        <f aca="false">IF(COUNT(G4274:G4303)&lt;20,"",_xlfn.STDEV.S(G4274:G4303)*SQRT($R$3))</f>
        <v>0.366198959339008</v>
      </c>
      <c r="N4303" s="25" t="n">
        <f aca="false">IF(A4303-7&lt;$R$2,"",C4303/INDEX(Clean_Data!$C$2:$C$4314,MATCH(A4303-7,Clean_Data!$A$2:$A$4314,1))-1)</f>
        <v>0.00591558440842754</v>
      </c>
      <c r="O4303" s="25" t="n">
        <f aca="false">IF(A4303-30&lt;$R$2,"",C4303/INDEX(Clean_Data!$C$2:$C$4314,MATCH(A4303-30,Clean_Data!$A$2:$A$4314,1))-1)</f>
        <v>0.0857055922398318</v>
      </c>
    </row>
    <row r="4304" customFormat="false" ht="15" hidden="false" customHeight="false" outlineLevel="0" collapsed="false">
      <c r="A4304" s="16" t="n">
        <v>46311</v>
      </c>
      <c r="B4304" s="23" t="n">
        <f aca="false">YEAR(A4304)</f>
        <v>2026</v>
      </c>
      <c r="C4304" s="17" t="n">
        <v>81475.05</v>
      </c>
      <c r="D4304" s="23" t="n">
        <f aca="false">A4304-A4303</f>
        <v>1</v>
      </c>
      <c r="E4304" s="24" t="n">
        <f aca="false">LN(C4304)</f>
        <v>11.3080521173908</v>
      </c>
      <c r="F4304" s="25" t="n">
        <f aca="false">LN(C4304/C4303)</f>
        <v>-0.0081311919562872</v>
      </c>
      <c r="G4304" s="25" t="n">
        <f aca="false">IF(AND(D4304=1,A4304&gt;=$R$2),F4304,"")</f>
        <v>-0.0081311919562872</v>
      </c>
      <c r="H4304" s="27" t="n">
        <f aca="false">IF(G4304="","",G4304^2)</f>
        <v>6.61162826299897E-005</v>
      </c>
      <c r="I4304" s="25" t="n">
        <f aca="false">IF(G4304="","",C4304/C4303-1)</f>
        <v>-0.00809822323382547</v>
      </c>
      <c r="J4304" s="17" t="n">
        <f aca="false">AVERAGE(C4105:C4304)</f>
        <v>72346.0708</v>
      </c>
      <c r="K4304" s="17" t="n">
        <f aca="false">MAX(K4303,C4304)</f>
        <v>124720.09</v>
      </c>
      <c r="L4304" s="25" t="n">
        <f aca="false">C4304/K4304-1</f>
        <v>-0.346736760693486</v>
      </c>
      <c r="M4304" s="25" t="n">
        <f aca="false">IF(COUNT(G4275:G4304)&lt;20,"",_xlfn.STDEV.S(G4275:G4304)*SQRT($R$3))</f>
        <v>0.367737500672593</v>
      </c>
      <c r="N4304" s="25" t="n">
        <f aca="false">IF(A4304-7&lt;$R$2,"",C4304/INDEX(Clean_Data!$C$2:$C$4314,MATCH(A4304-7,Clean_Data!$A$2:$A$4314,1))-1)</f>
        <v>-0.0129416924208264</v>
      </c>
      <c r="O4304" s="25" t="n">
        <f aca="false">IF(A4304-30&lt;$R$2,"",C4304/INDEX(Clean_Data!$C$2:$C$4314,MATCH(A4304-30,Clean_Data!$A$2:$A$4314,1))-1)</f>
        <v>0.0691051565806713</v>
      </c>
    </row>
    <row r="4305" customFormat="false" ht="15" hidden="false" customHeight="false" outlineLevel="0" collapsed="false">
      <c r="A4305" s="16" t="n">
        <v>46312</v>
      </c>
      <c r="B4305" s="23" t="n">
        <f aca="false">YEAR(A4305)</f>
        <v>2026</v>
      </c>
      <c r="C4305" s="17" t="n">
        <v>81310.49</v>
      </c>
      <c r="D4305" s="23" t="n">
        <f aca="false">A4305-A4304</f>
        <v>1</v>
      </c>
      <c r="E4305" s="24" t="n">
        <f aca="false">LN(C4305)</f>
        <v>11.3060303155028</v>
      </c>
      <c r="F4305" s="25" t="n">
        <f aca="false">LN(C4305/C4304)</f>
        <v>-0.00202180188800252</v>
      </c>
      <c r="G4305" s="25" t="n">
        <f aca="false">IF(AND(D4305=1,A4305&gt;=$R$2),F4305,"")</f>
        <v>-0.00202180188800252</v>
      </c>
      <c r="H4305" s="27" t="n">
        <f aca="false">IF(G4305="","",G4305^2)</f>
        <v>4.08768287433057E-006</v>
      </c>
      <c r="I4305" s="25" t="n">
        <f aca="false">IF(G4305="","",C4305/C4304-1)</f>
        <v>-0.00201975942328358</v>
      </c>
      <c r="J4305" s="17" t="n">
        <f aca="false">AVERAGE(C4106:C4305)</f>
        <v>72411.95345</v>
      </c>
      <c r="K4305" s="17" t="n">
        <f aca="false">MAX(K4304,C4305)</f>
        <v>124720.09</v>
      </c>
      <c r="L4305" s="25" t="n">
        <f aca="false">C4305/K4305-1</f>
        <v>-0.34805619527696</v>
      </c>
      <c r="M4305" s="25" t="n">
        <f aca="false">IF(COUNT(G4276:G4305)&lt;20,"",_xlfn.STDEV.S(G4276:G4305)*SQRT($R$3))</f>
        <v>0.368036391038863</v>
      </c>
      <c r="N4305" s="25" t="n">
        <f aca="false">IF(A4305-7&lt;$R$2,"",C4305/INDEX(Clean_Data!$C$2:$C$4314,MATCH(A4305-7,Clean_Data!$A$2:$A$4314,1))-1)</f>
        <v>-0.0194845372883647</v>
      </c>
      <c r="O4305" s="25" t="n">
        <f aca="false">IF(A4305-30&lt;$R$2,"",C4305/INDEX(Clean_Data!$C$2:$C$4314,MATCH(A4305-30,Clean_Data!$A$2:$A$4314,1))-1)</f>
        <v>0.0647416926815982</v>
      </c>
    </row>
    <row r="4306" customFormat="false" ht="15" hidden="false" customHeight="false" outlineLevel="0" collapsed="false">
      <c r="A4306" s="16" t="n">
        <v>46313</v>
      </c>
      <c r="B4306" s="23" t="n">
        <f aca="false">YEAR(A4306)</f>
        <v>2026</v>
      </c>
      <c r="C4306" s="17" t="n">
        <v>81977.73</v>
      </c>
      <c r="D4306" s="23" t="n">
        <f aca="false">A4306-A4305</f>
        <v>1</v>
      </c>
      <c r="E4306" s="24" t="n">
        <f aca="false">LN(C4306)</f>
        <v>11.3142029039946</v>
      </c>
      <c r="F4306" s="25" t="n">
        <f aca="false">LN(C4306/C4305)</f>
        <v>0.00817258849180133</v>
      </c>
      <c r="G4306" s="25" t="n">
        <f aca="false">IF(AND(D4306=1,A4306&gt;=$R$2),F4306,"")</f>
        <v>0.00817258849180133</v>
      </c>
      <c r="H4306" s="27" t="n">
        <f aca="false">IF(G4306="","",G4306^2)</f>
        <v>6.67912026563235E-005</v>
      </c>
      <c r="I4306" s="25" t="n">
        <f aca="false">IF(G4306="","",C4306/C4305-1)</f>
        <v>0.00820607525548045</v>
      </c>
      <c r="J4306" s="17" t="n">
        <f aca="false">AVERAGE(C4107:C4306)</f>
        <v>72481.33885</v>
      </c>
      <c r="K4306" s="17" t="n">
        <f aca="false">MAX(K4305,C4306)</f>
        <v>124720.09</v>
      </c>
      <c r="L4306" s="25" t="n">
        <f aca="false">C4306/K4306-1</f>
        <v>-0.342706295353058</v>
      </c>
      <c r="M4306" s="25" t="n">
        <f aca="false">IF(COUNT(G4277:G4306)&lt;20,"",_xlfn.STDEV.S(G4277:G4306)*SQRT($R$3))</f>
        <v>0.311447048416223</v>
      </c>
      <c r="N4306" s="25" t="n">
        <f aca="false">IF(A4306-7&lt;$R$2,"",C4306/INDEX(Clean_Data!$C$2:$C$4314,MATCH(A4306-7,Clean_Data!$A$2:$A$4314,1))-1)</f>
        <v>-0.020384290534485</v>
      </c>
      <c r="O4306" s="25" t="n">
        <f aca="false">IF(A4306-30&lt;$R$2,"",C4306/INDEX(Clean_Data!$C$2:$C$4314,MATCH(A4306-30,Clean_Data!$A$2:$A$4314,1))-1)</f>
        <v>0.0140236752263618</v>
      </c>
    </row>
    <row r="4307" customFormat="false" ht="15" hidden="false" customHeight="false" outlineLevel="0" collapsed="false">
      <c r="A4307" s="16" t="n">
        <v>46314</v>
      </c>
      <c r="B4307" s="23" t="n">
        <f aca="false">YEAR(A4307)</f>
        <v>2026</v>
      </c>
      <c r="C4307" s="17" t="n">
        <v>81804.35</v>
      </c>
      <c r="D4307" s="23" t="n">
        <f aca="false">A4307-A4306</f>
        <v>1</v>
      </c>
      <c r="E4307" s="24" t="n">
        <f aca="false">LN(C4307)</f>
        <v>11.312085699661</v>
      </c>
      <c r="F4307" s="25" t="n">
        <f aca="false">LN(C4307/C4306)</f>
        <v>-0.00211720433353181</v>
      </c>
      <c r="G4307" s="25" t="n">
        <f aca="false">IF(AND(D4307=1,A4307&gt;=$R$2),F4307,"")</f>
        <v>-0.00211720433353181</v>
      </c>
      <c r="H4307" s="27" t="n">
        <f aca="false">IF(G4307="","",G4307^2)</f>
        <v>4.48255418992587E-006</v>
      </c>
      <c r="I4307" s="25" t="n">
        <f aca="false">IF(G4307="","",C4307/C4306-1)</f>
        <v>-0.00211496463734717</v>
      </c>
      <c r="J4307" s="17" t="n">
        <f aca="false">AVERAGE(C4108:C4307)</f>
        <v>72555.56065</v>
      </c>
      <c r="K4307" s="17" t="n">
        <f aca="false">MAX(K4306,C4307)</f>
        <v>124720.09</v>
      </c>
      <c r="L4307" s="25" t="n">
        <f aca="false">C4307/K4307-1</f>
        <v>-0.344096448294737</v>
      </c>
      <c r="M4307" s="25" t="n">
        <f aca="false">IF(COUNT(G4278:G4307)&lt;20,"",_xlfn.STDEV.S(G4278:G4307)*SQRT($R$3))</f>
        <v>0.311269337731228</v>
      </c>
      <c r="N4307" s="25" t="n">
        <f aca="false">IF(A4307-7&lt;$R$2,"",C4307/INDEX(Clean_Data!$C$2:$C$4314,MATCH(A4307-7,Clean_Data!$A$2:$A$4314,1))-1)</f>
        <v>0.000263747453926211</v>
      </c>
      <c r="O4307" s="25" t="n">
        <f aca="false">IF(A4307-30&lt;$R$2,"",C4307/INDEX(Clean_Data!$C$2:$C$4314,MATCH(A4307-30,Clean_Data!$A$2:$A$4314,1))-1)</f>
        <v>0.00761646096617641</v>
      </c>
    </row>
    <row r="4308" customFormat="false" ht="15" hidden="false" customHeight="false" outlineLevel="0" collapsed="false">
      <c r="A4308" s="16" t="n">
        <v>46315</v>
      </c>
      <c r="B4308" s="23" t="n">
        <f aca="false">YEAR(A4308)</f>
        <v>2026</v>
      </c>
      <c r="C4308" s="17" t="n">
        <v>82850.31</v>
      </c>
      <c r="D4308" s="23" t="n">
        <f aca="false">A4308-A4307</f>
        <v>1</v>
      </c>
      <c r="E4308" s="24" t="n">
        <f aca="false">LN(C4308)</f>
        <v>11.3247907645496</v>
      </c>
      <c r="F4308" s="25" t="n">
        <f aca="false">LN(C4308/C4307)</f>
        <v>0.0127050648885591</v>
      </c>
      <c r="G4308" s="25" t="n">
        <f aca="false">IF(AND(D4308=1,A4308&gt;=$R$2),F4308,"")</f>
        <v>0.0127050648885591</v>
      </c>
      <c r="H4308" s="27" t="n">
        <f aca="false">IF(G4308="","",G4308^2)</f>
        <v>0.000161418673822497</v>
      </c>
      <c r="I4308" s="25" t="n">
        <f aca="false">IF(G4308="","",C4308/C4307-1)</f>
        <v>0.0127861171196886</v>
      </c>
      <c r="J4308" s="17" t="n">
        <f aca="false">AVERAGE(C4109:C4308)</f>
        <v>72635.25465</v>
      </c>
      <c r="K4308" s="17" t="n">
        <f aca="false">MAX(K4307,C4308)</f>
        <v>124720.09</v>
      </c>
      <c r="L4308" s="25" t="n">
        <f aca="false">C4308/K4308-1</f>
        <v>-0.335709988663414</v>
      </c>
      <c r="M4308" s="25" t="n">
        <f aca="false">IF(COUNT(G4279:G4308)&lt;20,"",_xlfn.STDEV.S(G4279:G4308)*SQRT($R$3))</f>
        <v>0.314287789944218</v>
      </c>
      <c r="N4308" s="25" t="n">
        <f aca="false">IF(A4308-7&lt;$R$2,"",C4308/INDEX(Clean_Data!$C$2:$C$4314,MATCH(A4308-7,Clean_Data!$A$2:$A$4314,1))-1)</f>
        <v>-0.0037228279495285</v>
      </c>
      <c r="O4308" s="25" t="n">
        <f aca="false">IF(A4308-30&lt;$R$2,"",C4308/INDEX(Clean_Data!$C$2:$C$4314,MATCH(A4308-30,Clean_Data!$A$2:$A$4314,1))-1)</f>
        <v>0.0196538309734107</v>
      </c>
    </row>
    <row r="4309" customFormat="false" ht="15" hidden="false" customHeight="false" outlineLevel="0" collapsed="false">
      <c r="A4309" s="16" t="n">
        <v>46316</v>
      </c>
      <c r="B4309" s="23" t="n">
        <f aca="false">YEAR(A4309)</f>
        <v>2026</v>
      </c>
      <c r="C4309" s="17" t="n">
        <v>84133.56</v>
      </c>
      <c r="D4309" s="23" t="n">
        <f aca="false">A4309-A4308</f>
        <v>1</v>
      </c>
      <c r="E4309" s="24" t="n">
        <f aca="false">LN(C4309)</f>
        <v>11.3401608151137</v>
      </c>
      <c r="F4309" s="25" t="n">
        <f aca="false">LN(C4309/C4308)</f>
        <v>0.0153700505641683</v>
      </c>
      <c r="G4309" s="25" t="n">
        <f aca="false">IF(AND(D4309=1,A4309&gt;=$R$2),F4309,"")</f>
        <v>0.0153700505641683</v>
      </c>
      <c r="H4309" s="27" t="n">
        <f aca="false">IF(G4309="","",G4309^2)</f>
        <v>0.000236238454345089</v>
      </c>
      <c r="I4309" s="25" t="n">
        <f aca="false">IF(G4309="","",C4309/C4308-1)</f>
        <v>0.0154887772900307</v>
      </c>
      <c r="J4309" s="17" t="n">
        <f aca="false">AVERAGE(C4110:C4309)</f>
        <v>72719.50165</v>
      </c>
      <c r="K4309" s="17" t="n">
        <f aca="false">MAX(K4308,C4309)</f>
        <v>124720.09</v>
      </c>
      <c r="L4309" s="25" t="n">
        <f aca="false">C4309/K4309-1</f>
        <v>-0.32542094862183</v>
      </c>
      <c r="M4309" s="25" t="n">
        <f aca="false">IF(COUNT(G4280:G4309)&lt;20,"",_xlfn.STDEV.S(G4280:G4309)*SQRT($R$3))</f>
        <v>0.23280576813298</v>
      </c>
      <c r="N4309" s="25" t="n">
        <f aca="false">IF(A4309-7&lt;$R$2,"",C4309/INDEX(Clean_Data!$C$2:$C$4314,MATCH(A4309-7,Clean_Data!$A$2:$A$4314,1))-1)</f>
        <v>0.0298615382638026</v>
      </c>
      <c r="O4309" s="25" t="n">
        <f aca="false">IF(A4309-30&lt;$R$2,"",C4309/INDEX(Clean_Data!$C$2:$C$4314,MATCH(A4309-30,Clean_Data!$A$2:$A$4314,1))-1)</f>
        <v>-0.0261952013467176</v>
      </c>
    </row>
    <row r="4310" customFormat="false" ht="15" hidden="false" customHeight="false" outlineLevel="0" collapsed="false">
      <c r="A4310" s="16" t="n">
        <v>46317</v>
      </c>
      <c r="B4310" s="23" t="n">
        <f aca="false">YEAR(A4310)</f>
        <v>2026</v>
      </c>
      <c r="C4310" s="17" t="n">
        <v>81225.62</v>
      </c>
      <c r="D4310" s="23" t="n">
        <f aca="false">A4310-A4309</f>
        <v>1</v>
      </c>
      <c r="E4310" s="24" t="n">
        <f aca="false">LN(C4310)</f>
        <v>11.3049859936261</v>
      </c>
      <c r="F4310" s="25" t="n">
        <f aca="false">LN(C4310/C4309)</f>
        <v>-0.0351748214876965</v>
      </c>
      <c r="G4310" s="25" t="n">
        <f aca="false">IF(AND(D4310=1,A4310&gt;=$R$2),F4310,"")</f>
        <v>-0.0351748214876965</v>
      </c>
      <c r="H4310" s="27" t="n">
        <f aca="false">IF(G4310="","",G4310^2)</f>
        <v>0.00123726806669132</v>
      </c>
      <c r="I4310" s="25" t="n">
        <f aca="false">IF(G4310="","",C4310/C4309-1)</f>
        <v>-0.0345633775630082</v>
      </c>
      <c r="J4310" s="17" t="n">
        <f aca="false">AVERAGE(C4111:C4310)</f>
        <v>72779.2345</v>
      </c>
      <c r="K4310" s="17" t="n">
        <f aca="false">MAX(K4309,C4310)</f>
        <v>124720.09</v>
      </c>
      <c r="L4310" s="25" t="n">
        <f aca="false">C4310/K4310-1</f>
        <v>-0.34873667907071</v>
      </c>
      <c r="M4310" s="25" t="n">
        <f aca="false">IF(COUNT(G4281:G4310)&lt;20,"",_xlfn.STDEV.S(G4281:G4310)*SQRT($R$3))</f>
        <v>0.261761268405072</v>
      </c>
      <c r="N4310" s="25" t="n">
        <f aca="false">IF(A4310-7&lt;$R$2,"",C4310/INDEX(Clean_Data!$C$2:$C$4314,MATCH(A4310-7,Clean_Data!$A$2:$A$4314,1))-1)</f>
        <v>-0.01113485911412</v>
      </c>
      <c r="O4310" s="25" t="n">
        <f aca="false">IF(A4310-30&lt;$R$2,"",C4310/INDEX(Clean_Data!$C$2:$C$4314,MATCH(A4310-30,Clean_Data!$A$2:$A$4314,1))-1)</f>
        <v>-0.0582534627834117</v>
      </c>
    </row>
    <row r="4311" customFormat="false" ht="15" hidden="false" customHeight="false" outlineLevel="0" collapsed="false">
      <c r="A4311" s="16" t="n">
        <v>46318</v>
      </c>
      <c r="B4311" s="23" t="n">
        <f aca="false">YEAR(A4311)</f>
        <v>2026</v>
      </c>
      <c r="C4311" s="17" t="n">
        <v>81026.7</v>
      </c>
      <c r="D4311" s="23" t="n">
        <f aca="false">A4311-A4310</f>
        <v>1</v>
      </c>
      <c r="E4311" s="24" t="n">
        <f aca="false">LN(C4311)</f>
        <v>11.3025340089683</v>
      </c>
      <c r="F4311" s="25" t="n">
        <f aca="false">LN(C4311/C4310)</f>
        <v>-0.00245198465775647</v>
      </c>
      <c r="G4311" s="25" t="n">
        <f aca="false">IF(AND(D4311=1,A4311&gt;=$R$2),F4311,"")</f>
        <v>-0.00245198465775647</v>
      </c>
      <c r="H4311" s="27" t="n">
        <f aca="false">IF(G4311="","",G4311^2)</f>
        <v>6.01222876187313E-006</v>
      </c>
      <c r="I4311" s="25" t="n">
        <f aca="false">IF(G4311="","",C4311/C4310-1)</f>
        <v>-0.00244898099885227</v>
      </c>
      <c r="J4311" s="17" t="n">
        <f aca="false">AVERAGE(C4112:C4311)</f>
        <v>72839.8227</v>
      </c>
      <c r="K4311" s="17" t="n">
        <f aca="false">MAX(K4310,C4311)</f>
        <v>124720.09</v>
      </c>
      <c r="L4311" s="25" t="n">
        <f aca="false">C4311/K4311-1</f>
        <v>-0.350331610568915</v>
      </c>
      <c r="M4311" s="25" t="n">
        <f aca="false">IF(COUNT(G4282:G4311)&lt;20,"",_xlfn.STDEV.S(G4282:G4311)*SQRT($R$3))</f>
        <v>0.252599821373042</v>
      </c>
      <c r="N4311" s="25" t="n">
        <f aca="false">IF(A4311-7&lt;$R$2,"",C4311/INDEX(Clean_Data!$C$2:$C$4314,MATCH(A4311-7,Clean_Data!$A$2:$A$4314,1))-1)</f>
        <v>-0.00550291162754735</v>
      </c>
      <c r="O4311" s="25" t="n">
        <f aca="false">IF(A4311-30&lt;$R$2,"",C4311/INDEX(Clean_Data!$C$2:$C$4314,MATCH(A4311-30,Clean_Data!$A$2:$A$4314,1))-1)</f>
        <v>-0.0405701540158979</v>
      </c>
    </row>
    <row r="4312" customFormat="false" ht="15" hidden="false" customHeight="false" outlineLevel="0" collapsed="false">
      <c r="A4312" s="16" t="n">
        <v>46319</v>
      </c>
      <c r="B4312" s="23" t="n">
        <f aca="false">YEAR(A4312)</f>
        <v>2026</v>
      </c>
      <c r="C4312" s="17" t="n">
        <v>80681.44</v>
      </c>
      <c r="D4312" s="23" t="n">
        <f aca="false">A4312-A4311</f>
        <v>1</v>
      </c>
      <c r="E4312" s="24" t="n">
        <f aca="false">LN(C4312)</f>
        <v>11.2982638401984</v>
      </c>
      <c r="F4312" s="25" t="n">
        <f aca="false">LN(C4312/C4311)</f>
        <v>-0.00427016876988666</v>
      </c>
      <c r="G4312" s="25" t="n">
        <f aca="false">IF(AND(D4312=1,A4312&gt;=$R$2),F4312,"")</f>
        <v>-0.00427016876988666</v>
      </c>
      <c r="H4312" s="27" t="n">
        <f aca="false">IF(G4312="","",G4312^2)</f>
        <v>1.82343413233154E-005</v>
      </c>
      <c r="I4312" s="25" t="n">
        <f aca="false">IF(G4312="","",C4312/C4311-1)</f>
        <v>-0.00426106456266884</v>
      </c>
      <c r="J4312" s="17" t="n">
        <f aca="false">AVERAGE(C4113:C4312)</f>
        <v>72883.8697</v>
      </c>
      <c r="K4312" s="17" t="n">
        <f aca="false">MAX(K4311,C4312)</f>
        <v>124720.09</v>
      </c>
      <c r="L4312" s="25" t="n">
        <f aca="false">C4312/K4312-1</f>
        <v>-0.353099889520606</v>
      </c>
      <c r="M4312" s="25" t="n">
        <f aca="false">IF(COUNT(G4283:G4312)&lt;20,"",_xlfn.STDEV.S(G4283:G4312)*SQRT($R$3))</f>
        <v>0.252728065684163</v>
      </c>
      <c r="N4312" s="25" t="n">
        <f aca="false">IF(A4312-7&lt;$R$2,"",C4312/INDEX(Clean_Data!$C$2:$C$4314,MATCH(A4312-7,Clean_Data!$A$2:$A$4314,1))-1)</f>
        <v>-0.00773639416021232</v>
      </c>
      <c r="O4312" s="25" t="n">
        <f aca="false">IF(A4312-30&lt;$R$2,"",C4312/INDEX(Clean_Data!$C$2:$C$4314,MATCH(A4312-30,Clean_Data!$A$2:$A$4314,1))-1)</f>
        <v>-0.0448595466644315</v>
      </c>
    </row>
    <row r="4313" customFormat="false" ht="15" hidden="false" customHeight="false" outlineLevel="0" collapsed="false">
      <c r="A4313" s="16" t="n">
        <v>46320</v>
      </c>
      <c r="B4313" s="23" t="n">
        <f aca="false">YEAR(A4313)</f>
        <v>2026</v>
      </c>
      <c r="C4313" s="17" t="n">
        <v>79914.39</v>
      </c>
      <c r="D4313" s="23" t="n">
        <f aca="false">A4313-A4312</f>
        <v>1</v>
      </c>
      <c r="E4313" s="24" t="n">
        <f aca="false">LN(C4313)</f>
        <v>11.2887112156634</v>
      </c>
      <c r="F4313" s="25" t="n">
        <f aca="false">LN(C4313/C4312)</f>
        <v>-0.00955262453496631</v>
      </c>
      <c r="G4313" s="25" t="n">
        <f aca="false">IF(AND(D4313=1,A4313&gt;=$R$2),F4313,"")</f>
        <v>-0.00955262453496631</v>
      </c>
      <c r="H4313" s="27" t="n">
        <f aca="false">IF(G4313="","",G4313^2)</f>
        <v>9.12526355060403E-005</v>
      </c>
      <c r="I4313" s="25" t="n">
        <f aca="false">IF(G4313="","",C4313/C4312-1)</f>
        <v>-0.0095071431546091</v>
      </c>
      <c r="J4313" s="17" t="n">
        <f aca="false">AVERAGE(C4114:C4313)</f>
        <v>72928.36175</v>
      </c>
      <c r="K4313" s="17" t="n">
        <f aca="false">MAX(K4312,C4313)</f>
        <v>124720.09</v>
      </c>
      <c r="L4313" s="25" t="n">
        <f aca="false">C4313/K4313-1</f>
        <v>-0.359250061477666</v>
      </c>
      <c r="M4313" s="25" t="n">
        <f aca="false">IF(COUNT(G4284:G4313)&lt;20,"",_xlfn.STDEV.S(G4284:G4313)*SQRT($R$3))</f>
        <v>0.254007749442067</v>
      </c>
      <c r="N4313" s="25" t="n">
        <f aca="false">IF(A4313-7&lt;$R$2,"",C4313/INDEX(Clean_Data!$C$2:$C$4314,MATCH(A4313-7,Clean_Data!$A$2:$A$4314,1))-1)</f>
        <v>-0.0251695185997465</v>
      </c>
      <c r="O4313" s="25" t="n">
        <f aca="false">IF(A4313-30&lt;$R$2,"",C4313/INDEX(Clean_Data!$C$2:$C$4314,MATCH(A4313-30,Clean_Data!$A$2:$A$4314,1))-1)</f>
        <v>-0.0491823310160484</v>
      </c>
    </row>
    <row r="4314" customFormat="false" ht="15" hidden="false" customHeight="false" outlineLevel="0" collapsed="false">
      <c r="A4314" s="16" t="n">
        <v>46321</v>
      </c>
      <c r="B4314" s="23" t="n">
        <f aca="false">YEAR(A4314)</f>
        <v>2026</v>
      </c>
      <c r="C4314" s="17" t="n">
        <v>80056.43</v>
      </c>
      <c r="D4314" s="23" t="n">
        <f aca="false">A4314-A4313</f>
        <v>1</v>
      </c>
      <c r="E4314" s="24" t="n">
        <f aca="false">LN(C4314)</f>
        <v>11.290487039996</v>
      </c>
      <c r="F4314" s="25" t="n">
        <f aca="false">LN(C4314/C4313)</f>
        <v>0.00177582433255678</v>
      </c>
      <c r="G4314" s="25" t="n">
        <f aca="false">IF(AND(D4314=1,A4314&gt;=$R$2),F4314,"")</f>
        <v>0.00177582433255678</v>
      </c>
      <c r="H4314" s="27" t="n">
        <f aca="false">IF(G4314="","",G4314^2)</f>
        <v>3.15355206010075E-006</v>
      </c>
      <c r="I4314" s="25" t="n">
        <f aca="false">IF(G4314="","",C4314/C4313-1)</f>
        <v>0.00177740204236043</v>
      </c>
      <c r="J4314" s="17" t="n">
        <f aca="false">AVERAGE(C4115:C4314)</f>
        <v>72969.65025</v>
      </c>
      <c r="K4314" s="17" t="n">
        <f aca="false">MAX(K4313,C4314)</f>
        <v>124720.09</v>
      </c>
      <c r="L4314" s="25" t="n">
        <f aca="false">C4314/K4314-1</f>
        <v>-0.358111191228294</v>
      </c>
      <c r="M4314" s="25" t="n">
        <f aca="false">IF(COUNT(G4285:G4314)&lt;20,"",_xlfn.STDEV.S(G4285:G4314)*SQRT($R$3))</f>
        <v>0.253652552130798</v>
      </c>
      <c r="N4314" s="25" t="n">
        <f aca="false">IF(A4314-7&lt;$R$2,"",C4314/INDEX(Clean_Data!$C$2:$C$4314,MATCH(A4314-7,Clean_Data!$A$2:$A$4314,1))-1)</f>
        <v>-0.0213670788900592</v>
      </c>
      <c r="O4314" s="25" t="n">
        <f aca="false">IF(A4314-30&lt;$R$2,"",C4314/INDEX(Clean_Data!$C$2:$C$4314,MATCH(A4314-30,Clean_Data!$A$2:$A$4314,1))-1)</f>
        <v>-0.0507595921902227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5"/>
    <col collapsed="false" customWidth="true" hidden="false" outlineLevel="0" max="7" min="4" style="0" width="14"/>
    <col collapsed="false" customWidth="true" hidden="false" outlineLevel="0" max="10" min="8" style="0" width="11"/>
    <col collapsed="false" customWidth="true" hidden="false" outlineLevel="0" max="11" min="11" style="0" width="26"/>
    <col collapsed="false" customWidth="true" hidden="false" outlineLevel="0" max="12" min="12" style="0" width="3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2" t="s">
        <v>108</v>
      </c>
    </row>
    <row r="4" customFormat="false" ht="15" hidden="false" customHeight="false" outlineLevel="0" collapsed="false">
      <c r="A4" s="3" t="s">
        <v>109</v>
      </c>
    </row>
    <row r="5" customFormat="false" ht="30" hidden="false" customHeight="true" outlineLevel="0" collapsed="false">
      <c r="A5" s="6" t="s">
        <v>72</v>
      </c>
      <c r="B5" s="7" t="s">
        <v>73</v>
      </c>
      <c r="C5" s="7" t="s">
        <v>110</v>
      </c>
    </row>
    <row r="6" customFormat="false" ht="15" hidden="false" customHeight="false" outlineLevel="0" collapsed="false">
      <c r="A6" s="5" t="s">
        <v>111</v>
      </c>
      <c r="B6" s="20" t="n">
        <f aca="false">MIN(Clean_Data!$A$2:$A$4314)</f>
        <v>41974</v>
      </c>
      <c r="C6" s="29" t="s">
        <v>112</v>
      </c>
    </row>
    <row r="7" customFormat="false" ht="15" hidden="false" customHeight="false" outlineLevel="0" collapsed="false">
      <c r="A7" s="5" t="s">
        <v>113</v>
      </c>
      <c r="B7" s="30" t="n">
        <f aca="false">INDEX(Clean_Data!$C$2:$C$4314,MATCH(B6,Clean_Data!$A$2:$A$4314,0))</f>
        <v>370</v>
      </c>
      <c r="C7" s="29" t="s">
        <v>114</v>
      </c>
    </row>
    <row r="8" customFormat="false" ht="15" hidden="false" customHeight="false" outlineLevel="0" collapsed="false">
      <c r="A8" s="5" t="s">
        <v>115</v>
      </c>
      <c r="B8" s="20" t="n">
        <f aca="false">MAX(Clean_Data!$A$2:$A$4314)</f>
        <v>46321</v>
      </c>
      <c r="C8" s="29" t="s">
        <v>116</v>
      </c>
    </row>
    <row r="9" customFormat="false" ht="15" hidden="false" customHeight="false" outlineLevel="0" collapsed="false">
      <c r="A9" s="5" t="s">
        <v>117</v>
      </c>
      <c r="B9" s="30" t="n">
        <f aca="false">INDEX(Clean_Data!$C$2:$C$4314,MATCH(B8,Clean_Data!$A$2:$A$4314,0))</f>
        <v>80056.43</v>
      </c>
      <c r="C9" s="29" t="s">
        <v>118</v>
      </c>
    </row>
    <row r="10" customFormat="false" ht="15" hidden="false" customHeight="false" outlineLevel="0" collapsed="false">
      <c r="A10" s="5" t="s">
        <v>119</v>
      </c>
      <c r="B10" s="31" t="n">
        <f aca="false">(B8-B6)/365.25</f>
        <v>11.9014373716632</v>
      </c>
      <c r="C10" s="29" t="s">
        <v>120</v>
      </c>
    </row>
    <row r="11" customFormat="false" ht="15" hidden="false" customHeight="false" outlineLevel="0" collapsed="false">
      <c r="A11" s="5" t="s">
        <v>121</v>
      </c>
      <c r="B11" s="32" t="n">
        <f aca="false">B9/B7-1</f>
        <v>215.36872972973</v>
      </c>
      <c r="C11" s="29" t="s">
        <v>122</v>
      </c>
    </row>
    <row r="12" customFormat="false" ht="15" hidden="false" customHeight="false" outlineLevel="0" collapsed="false">
      <c r="A12" s="5" t="s">
        <v>123</v>
      </c>
      <c r="B12" s="33" t="n">
        <f aca="false">B9/B7</f>
        <v>216.36872972973</v>
      </c>
      <c r="C12" s="29" t="s">
        <v>124</v>
      </c>
    </row>
    <row r="13" customFormat="false" ht="15" hidden="false" customHeight="false" outlineLevel="0" collapsed="false">
      <c r="A13" s="5" t="s">
        <v>125</v>
      </c>
      <c r="B13" s="19" t="n">
        <f aca="false">(B9/B7)^(1/B10)-1</f>
        <v>0.571126419732907</v>
      </c>
      <c r="C13" s="29" t="s">
        <v>126</v>
      </c>
    </row>
    <row r="14" customFormat="false" ht="15" hidden="false" customHeight="false" outlineLevel="0" collapsed="false">
      <c r="A14" s="5" t="s">
        <v>127</v>
      </c>
      <c r="B14" s="34" t="n">
        <f aca="false">SUM(Clean_Data!$F$3:$F$4314)</f>
        <v>5.37698403435773</v>
      </c>
      <c r="C14" s="29" t="s">
        <v>128</v>
      </c>
    </row>
    <row r="15" customFormat="false" ht="15" hidden="false" customHeight="false" outlineLevel="0" collapsed="false">
      <c r="A15" s="5" t="s">
        <v>129</v>
      </c>
      <c r="B15" s="30" t="n">
        <f aca="false">AVERAGE(Clean_Data!$C$2:$C$4314)</f>
        <v>30788.0720264317</v>
      </c>
      <c r="C15" s="29" t="s">
        <v>130</v>
      </c>
    </row>
    <row r="16" customFormat="false" ht="15" hidden="false" customHeight="false" outlineLevel="0" collapsed="false">
      <c r="A16" s="5" t="s">
        <v>131</v>
      </c>
      <c r="B16" s="30" t="n">
        <f aca="false">MAX(Clean_Data!$C$2:$C$4314)</f>
        <v>124720.09</v>
      </c>
      <c r="C16" s="29" t="s">
        <v>132</v>
      </c>
    </row>
    <row r="17" customFormat="false" ht="15" hidden="false" customHeight="false" outlineLevel="0" collapsed="false">
      <c r="A17" s="5" t="s">
        <v>133</v>
      </c>
      <c r="B17" s="20" t="n">
        <f aca="false">INDEX(Clean_Data!$A$2:$A$4314,MATCH(B16,Clean_Data!$C$2:$C$4314,0))</f>
        <v>45935</v>
      </c>
      <c r="C17" s="29" t="s">
        <v>134</v>
      </c>
    </row>
    <row r="18" customFormat="false" ht="15" hidden="false" customHeight="false" outlineLevel="0" collapsed="false">
      <c r="A18" s="5" t="s">
        <v>135</v>
      </c>
      <c r="B18" s="30" t="n">
        <f aca="false">MIN(Clean_Data!$C$2:$C$4314)</f>
        <v>120</v>
      </c>
      <c r="C18" s="29" t="s">
        <v>136</v>
      </c>
    </row>
    <row r="19" customFormat="false" ht="15" hidden="false" customHeight="false" outlineLevel="0" collapsed="false">
      <c r="A19" s="5" t="s">
        <v>137</v>
      </c>
      <c r="B19" s="20" t="n">
        <f aca="false">INDEX(Clean_Data!$A$2:$A$4314,MATCH(B18,Clean_Data!$C$2:$C$4314,0))</f>
        <v>42018</v>
      </c>
      <c r="C19" s="29" t="s">
        <v>134</v>
      </c>
    </row>
    <row r="20" customFormat="false" ht="15" hidden="false" customHeight="false" outlineLevel="0" collapsed="false">
      <c r="A20" s="5" t="s">
        <v>138</v>
      </c>
      <c r="B20" s="32" t="n">
        <f aca="false">B9/B16-1</f>
        <v>-0.358111191228294</v>
      </c>
      <c r="C20" s="29" t="s">
        <v>139</v>
      </c>
    </row>
    <row r="21" customFormat="false" ht="15" hidden="false" customHeight="false" outlineLevel="0" collapsed="false">
      <c r="A21" s="5" t="s">
        <v>140</v>
      </c>
      <c r="B21" s="35" t="n">
        <f aca="false">SLOPE(Clean_Data!$E$2:$E$4314,Clean_Data!$A$2:$A$4314)</f>
        <v>0.00139130874624539</v>
      </c>
      <c r="C21" s="29" t="s">
        <v>141</v>
      </c>
    </row>
    <row r="22" customFormat="false" ht="15" hidden="false" customHeight="false" outlineLevel="0" collapsed="false">
      <c r="A22" s="5" t="s">
        <v>142</v>
      </c>
      <c r="B22" s="32" t="n">
        <f aca="false">EXP(B21*365.25)-1</f>
        <v>0.662255673710597</v>
      </c>
      <c r="C22" s="29" t="s">
        <v>143</v>
      </c>
    </row>
    <row r="23" customFormat="false" ht="15" hidden="false" customHeight="false" outlineLevel="0" collapsed="false">
      <c r="A23" s="13" t="s">
        <v>144</v>
      </c>
      <c r="B23" s="36" t="n">
        <f aca="false">RSQ(Clean_Data!$E$2:$E$4314,Clean_Data!$A$2:$A$4314)</f>
        <v>0.861675906838359</v>
      </c>
      <c r="C23" s="37" t="s">
        <v>145</v>
      </c>
    </row>
    <row r="24" customFormat="false" ht="15" hidden="false" customHeight="false" outlineLevel="0" collapsed="false">
      <c r="A24" s="22" t="s">
        <v>146</v>
      </c>
      <c r="M24" s="22" t="s">
        <v>147</v>
      </c>
    </row>
    <row r="26" customFormat="false" ht="15" hidden="false" customHeight="false" outlineLevel="0" collapsed="false">
      <c r="A26" s="3" t="s">
        <v>148</v>
      </c>
    </row>
    <row r="27" customFormat="false" ht="42" hidden="false" customHeight="true" outlineLevel="0" collapsed="false">
      <c r="A27" s="6" t="s">
        <v>83</v>
      </c>
      <c r="B27" s="7" t="s">
        <v>149</v>
      </c>
      <c r="C27" s="7" t="s">
        <v>113</v>
      </c>
      <c r="D27" s="7" t="s">
        <v>150</v>
      </c>
      <c r="E27" s="7" t="s">
        <v>151</v>
      </c>
      <c r="F27" s="7" t="s">
        <v>152</v>
      </c>
      <c r="G27" s="7" t="s">
        <v>153</v>
      </c>
      <c r="H27" s="7" t="s">
        <v>154</v>
      </c>
      <c r="I27" s="7" t="s">
        <v>155</v>
      </c>
      <c r="J27" s="7" t="s">
        <v>156</v>
      </c>
      <c r="K27" s="7" t="s">
        <v>157</v>
      </c>
    </row>
    <row r="28" customFormat="false" ht="15" hidden="false" customHeight="false" outlineLevel="0" collapsed="false">
      <c r="A28" s="38" t="n">
        <v>2014</v>
      </c>
      <c r="B28" s="39" t="n">
        <f aca="false">COUNTIF(Clean_Data!$B$2:$B$4314,A28)</f>
        <v>9</v>
      </c>
      <c r="C28" s="17" t="n">
        <f aca="false">INDEX(Clean_Data!$C$2:$C$4314,MATCH(A28,Clean_Data!$B$2:$B$4314,0))</f>
        <v>370</v>
      </c>
      <c r="D28" s="17" t="n">
        <f aca="false">INDEX(Clean_Data!$C$2:$C$4314,MATCH(A28,Clean_Data!$B$2:$B$4314,0)+B28-1)</f>
        <v>340</v>
      </c>
      <c r="E28" s="17" t="n">
        <f aca="false">AVERAGEIFS(Clean_Data!$C$2:$C$4314,Clean_Data!$B$2:$B$4314,A28)</f>
        <v>367.4</v>
      </c>
      <c r="F28" s="17" t="n">
        <f aca="false">_xlfn.MINIFS(Clean_Data!$C$2:$C$4314,Clean_Data!$B$2:$B$4314,A28)</f>
        <v>340</v>
      </c>
      <c r="G28" s="17" t="n">
        <f aca="false">_xlfn.MAXIFS(Clean_Data!$C$2:$C$4314,Clean_Data!$B$2:$B$4314,A28)</f>
        <v>378</v>
      </c>
      <c r="H28" s="40" t="n">
        <f aca="false">G28/F28</f>
        <v>1.11176470588235</v>
      </c>
      <c r="I28" s="41" t="s">
        <v>158</v>
      </c>
      <c r="J28" s="24" t="n">
        <f aca="false">SUMIFS(Clean_Data!$F$3:$F$4314,Clean_Data!$B$3:$B$4314,A28)</f>
        <v>-0.084557388028063</v>
      </c>
      <c r="K28" s="22" t="s">
        <v>159</v>
      </c>
    </row>
    <row r="29" customFormat="false" ht="15" hidden="false" customHeight="false" outlineLevel="0" collapsed="false">
      <c r="A29" s="38" t="n">
        <v>2015</v>
      </c>
      <c r="B29" s="39" t="n">
        <f aca="false">COUNTIF(Clean_Data!$B$2:$B$4314,A29)</f>
        <v>353</v>
      </c>
      <c r="C29" s="17" t="n">
        <f aca="false">INDEX(Clean_Data!$C$2:$C$4314,MATCH(A29,Clean_Data!$B$2:$B$4314,0))</f>
        <v>288.99</v>
      </c>
      <c r="D29" s="17" t="n">
        <f aca="false">INDEX(Clean_Data!$C$2:$C$4314,MATCH(A29,Clean_Data!$B$2:$B$4314,0)+B29-1)</f>
        <v>430.35</v>
      </c>
      <c r="E29" s="17" t="n">
        <f aca="false">AVERAGEIFS(Clean_Data!$C$2:$C$4314,Clean_Data!$B$2:$B$4314,A29)</f>
        <v>272.860509915014</v>
      </c>
      <c r="F29" s="17" t="n">
        <f aca="false">_xlfn.MINIFS(Clean_Data!$C$2:$C$4314,Clean_Data!$B$2:$B$4314,A29)</f>
        <v>120</v>
      </c>
      <c r="G29" s="17" t="n">
        <f aca="false">_xlfn.MAXIFS(Clean_Data!$C$2:$C$4314,Clean_Data!$B$2:$B$4314,A29)</f>
        <v>464.27</v>
      </c>
      <c r="H29" s="40" t="n">
        <f aca="false">G29/F29</f>
        <v>3.86891666666667</v>
      </c>
      <c r="I29" s="42" t="n">
        <f aca="false">D29/D28-1</f>
        <v>0.265735294117647</v>
      </c>
      <c r="J29" s="24" t="n">
        <f aca="false">SUMIFS(Clean_Data!$F$3:$F$4314,Clean_Data!$B$3:$B$4314,A29)</f>
        <v>0.235653213485277</v>
      </c>
    </row>
    <row r="30" customFormat="false" ht="15" hidden="false" customHeight="false" outlineLevel="0" collapsed="false">
      <c r="A30" s="38" t="n">
        <v>2016</v>
      </c>
      <c r="B30" s="39" t="n">
        <f aca="false">COUNTIF(Clean_Data!$B$2:$B$4314,A30)</f>
        <v>366</v>
      </c>
      <c r="C30" s="17" t="n">
        <f aca="false">INDEX(Clean_Data!$C$2:$C$4314,MATCH(A30,Clean_Data!$B$2:$B$4314,0))</f>
        <v>435.66</v>
      </c>
      <c r="D30" s="17" t="n">
        <f aca="false">INDEX(Clean_Data!$C$2:$C$4314,MATCH(A30,Clean_Data!$B$2:$B$4314,0)+B30-1)</f>
        <v>973.37</v>
      </c>
      <c r="E30" s="17" t="n">
        <f aca="false">AVERAGEIFS(Clean_Data!$C$2:$C$4314,Clean_Data!$B$2:$B$4314,A30)</f>
        <v>568.527650273224</v>
      </c>
      <c r="F30" s="17" t="n">
        <f aca="false">_xlfn.MINIFS(Clean_Data!$C$2:$C$4314,Clean_Data!$B$2:$B$4314,A30)</f>
        <v>357.53</v>
      </c>
      <c r="G30" s="17" t="n">
        <f aca="false">_xlfn.MAXIFS(Clean_Data!$C$2:$C$4314,Clean_Data!$B$2:$B$4314,A30)</f>
        <v>982.17</v>
      </c>
      <c r="H30" s="40" t="n">
        <f aca="false">G30/F30</f>
        <v>2.74709814561016</v>
      </c>
      <c r="I30" s="42" t="n">
        <f aca="false">D30/D29-1</f>
        <v>1.26181015452539</v>
      </c>
      <c r="J30" s="24" t="n">
        <f aca="false">SUMIFS(Clean_Data!$F$3:$F$4314,Clean_Data!$B$3:$B$4314,A30)</f>
        <v>0.816165446022069</v>
      </c>
    </row>
    <row r="31" customFormat="false" ht="15" hidden="false" customHeight="false" outlineLevel="0" collapsed="false">
      <c r="A31" s="38" t="n">
        <v>2017</v>
      </c>
      <c r="B31" s="39" t="n">
        <f aca="false">COUNTIF(Clean_Data!$B$2:$B$4314,A31)</f>
        <v>365</v>
      </c>
      <c r="C31" s="17" t="n">
        <f aca="false">INDEX(Clean_Data!$C$2:$C$4314,MATCH(A31,Clean_Data!$B$2:$B$4314,0))</f>
        <v>992.95</v>
      </c>
      <c r="D31" s="17" t="n">
        <f aca="false">INDEX(Clean_Data!$C$2:$C$4314,MATCH(A31,Clean_Data!$B$2:$B$4314,0)+B31-1)</f>
        <v>13863.13</v>
      </c>
      <c r="E31" s="17" t="n">
        <f aca="false">AVERAGEIFS(Clean_Data!$C$2:$C$4314,Clean_Data!$B$2:$B$4314,A31)</f>
        <v>4004.89978082192</v>
      </c>
      <c r="F31" s="17" t="n">
        <f aca="false">_xlfn.MINIFS(Clean_Data!$C$2:$C$4314,Clean_Data!$B$2:$B$4314,A31)</f>
        <v>795.77</v>
      </c>
      <c r="G31" s="17" t="n">
        <f aca="false">_xlfn.MAXIFS(Clean_Data!$C$2:$C$4314,Clean_Data!$B$2:$B$4314,A31)</f>
        <v>19650.01</v>
      </c>
      <c r="H31" s="40" t="n">
        <f aca="false">G31/F31</f>
        <v>24.6930771454063</v>
      </c>
      <c r="I31" s="42" t="n">
        <f aca="false">D31/D30-1</f>
        <v>13.242405251857</v>
      </c>
      <c r="J31" s="24" t="n">
        <f aca="false">SUMIFS(Clean_Data!$F$3:$F$4314,Clean_Data!$B$3:$B$4314,A31)</f>
        <v>2.65622379985648</v>
      </c>
    </row>
    <row r="32" customFormat="false" ht="15" hidden="false" customHeight="false" outlineLevel="0" collapsed="false">
      <c r="A32" s="38" t="n">
        <v>2018</v>
      </c>
      <c r="B32" s="39" t="n">
        <f aca="false">COUNTIF(Clean_Data!$B$2:$B$4314,A32)</f>
        <v>365</v>
      </c>
      <c r="C32" s="17" t="n">
        <f aca="false">INDEX(Clean_Data!$C$2:$C$4314,MATCH(A32,Clean_Data!$B$2:$B$4314,0))</f>
        <v>13480.01</v>
      </c>
      <c r="D32" s="17" t="n">
        <f aca="false">INDEX(Clean_Data!$C$2:$C$4314,MATCH(A32,Clean_Data!$B$2:$B$4314,0)+B32-1)</f>
        <v>3691.86</v>
      </c>
      <c r="E32" s="17" t="n">
        <f aca="false">AVERAGEIFS(Clean_Data!$C$2:$C$4314,Clean_Data!$B$2:$B$4314,A32)</f>
        <v>7520.46630136986</v>
      </c>
      <c r="F32" s="17" t="n">
        <f aca="false">_xlfn.MINIFS(Clean_Data!$C$2:$C$4314,Clean_Data!$B$2:$B$4314,A32)</f>
        <v>3183</v>
      </c>
      <c r="G32" s="17" t="n">
        <f aca="false">_xlfn.MAXIFS(Clean_Data!$C$2:$C$4314,Clean_Data!$B$2:$B$4314,A32)</f>
        <v>17098.99</v>
      </c>
      <c r="H32" s="40" t="n">
        <f aca="false">G32/F32</f>
        <v>5.37197298146403</v>
      </c>
      <c r="I32" s="42" t="n">
        <f aca="false">D32/D31-1</f>
        <v>-0.733692174855173</v>
      </c>
      <c r="J32" s="24" t="n">
        <f aca="false">SUMIFS(Clean_Data!$F$3:$F$4314,Clean_Data!$B$3:$B$4314,A32)</f>
        <v>-1.32310240189691</v>
      </c>
    </row>
    <row r="33" customFormat="false" ht="15" hidden="false" customHeight="false" outlineLevel="0" collapsed="false">
      <c r="A33" s="38" t="n">
        <v>2019</v>
      </c>
      <c r="B33" s="39" t="n">
        <f aca="false">COUNTIF(Clean_Data!$B$2:$B$4314,A33)</f>
        <v>365</v>
      </c>
      <c r="C33" s="17" t="n">
        <f aca="false">INDEX(Clean_Data!$C$2:$C$4314,MATCH(A33,Clean_Data!$B$2:$B$4314,0))</f>
        <v>3826.1</v>
      </c>
      <c r="D33" s="17" t="n">
        <f aca="false">INDEX(Clean_Data!$C$2:$C$4314,MATCH(A33,Clean_Data!$B$2:$B$4314,0)+B33-1)</f>
        <v>7158.01</v>
      </c>
      <c r="E33" s="17" t="n">
        <f aca="false">AVERAGEIFS(Clean_Data!$C$2:$C$4314,Clean_Data!$B$2:$B$4314,A33)</f>
        <v>7365.94690410959</v>
      </c>
      <c r="F33" s="17" t="n">
        <f aca="false">_xlfn.MINIFS(Clean_Data!$C$2:$C$4314,Clean_Data!$B$2:$B$4314,A33)</f>
        <v>3359</v>
      </c>
      <c r="G33" s="17" t="n">
        <f aca="false">_xlfn.MAXIFS(Clean_Data!$C$2:$C$4314,Clean_Data!$B$2:$B$4314,A33)</f>
        <v>12902.52</v>
      </c>
      <c r="H33" s="40" t="n">
        <f aca="false">G33/F33</f>
        <v>3.8411789222983</v>
      </c>
      <c r="I33" s="42" t="n">
        <f aca="false">D33/D32-1</f>
        <v>0.938862795447281</v>
      </c>
      <c r="J33" s="24" t="n">
        <f aca="false">SUMIFS(Clean_Data!$F$3:$F$4314,Clean_Data!$B$3:$B$4314,A33)</f>
        <v>0.662101613286158</v>
      </c>
    </row>
    <row r="34" customFormat="false" ht="15" hidden="false" customHeight="false" outlineLevel="0" collapsed="false">
      <c r="A34" s="38" t="n">
        <v>2020</v>
      </c>
      <c r="B34" s="39" t="n">
        <f aca="false">COUNTIF(Clean_Data!$B$2:$B$4314,A34)</f>
        <v>365</v>
      </c>
      <c r="C34" s="17" t="n">
        <f aca="false">INDEX(Clean_Data!$C$2:$C$4314,MATCH(A34,Clean_Data!$B$2:$B$4314,0))</f>
        <v>7174.32</v>
      </c>
      <c r="D34" s="17" t="n">
        <f aca="false">INDEX(Clean_Data!$C$2:$C$4314,MATCH(A34,Clean_Data!$B$2:$B$4314,0)+B34-1)</f>
        <v>29026.97</v>
      </c>
      <c r="E34" s="17" t="n">
        <f aca="false">AVERAGEIFS(Clean_Data!$C$2:$C$4314,Clean_Data!$B$2:$B$4314,A34)</f>
        <v>11121.4672328767</v>
      </c>
      <c r="F34" s="17" t="n">
        <f aca="false">_xlfn.MINIFS(Clean_Data!$C$2:$C$4314,Clean_Data!$B$2:$B$4314,A34)</f>
        <v>4980</v>
      </c>
      <c r="G34" s="17" t="n">
        <f aca="false">_xlfn.MAXIFS(Clean_Data!$C$2:$C$4314,Clean_Data!$B$2:$B$4314,A34)</f>
        <v>29026.97</v>
      </c>
      <c r="H34" s="40" t="n">
        <f aca="false">G34/F34</f>
        <v>5.82870883534137</v>
      </c>
      <c r="I34" s="42" t="n">
        <f aca="false">D34/D33-1</f>
        <v>3.05517315566757</v>
      </c>
      <c r="J34" s="24" t="n">
        <f aca="false">SUMIFS(Clean_Data!$F$3:$F$4314,Clean_Data!$B$3:$B$4314,A34)</f>
        <v>1.39999338842327</v>
      </c>
    </row>
    <row r="35" customFormat="false" ht="15" hidden="false" customHeight="false" outlineLevel="0" collapsed="false">
      <c r="A35" s="38" t="n">
        <v>2021</v>
      </c>
      <c r="B35" s="39" t="n">
        <f aca="false">COUNTIF(Clean_Data!$B$2:$B$4314,A35)</f>
        <v>365</v>
      </c>
      <c r="C35" s="17" t="n">
        <f aca="false">INDEX(Clean_Data!$C$2:$C$4314,MATCH(A35,Clean_Data!$B$2:$B$4314,0))</f>
        <v>29391.09</v>
      </c>
      <c r="D35" s="17" t="n">
        <f aca="false">INDEX(Clean_Data!$C$2:$C$4314,MATCH(A35,Clean_Data!$B$2:$B$4314,0)+B35-1)</f>
        <v>46244.63</v>
      </c>
      <c r="E35" s="17" t="n">
        <f aca="false">AVERAGEIFS(Clean_Data!$C$2:$C$4314,Clean_Data!$B$2:$B$4314,A35)</f>
        <v>47440.6376164384</v>
      </c>
      <c r="F35" s="17" t="n">
        <f aca="false">_xlfn.MINIFS(Clean_Data!$C$2:$C$4314,Clean_Data!$B$2:$B$4314,A35)</f>
        <v>29391.09</v>
      </c>
      <c r="G35" s="17" t="n">
        <f aca="false">_xlfn.MAXIFS(Clean_Data!$C$2:$C$4314,Clean_Data!$B$2:$B$4314,A35)</f>
        <v>67510.06</v>
      </c>
      <c r="H35" s="40" t="n">
        <f aca="false">G35/F35</f>
        <v>2.29695666271649</v>
      </c>
      <c r="I35" s="42" t="n">
        <f aca="false">D35/D34-1</f>
        <v>0.593160774273029</v>
      </c>
      <c r="J35" s="24" t="n">
        <f aca="false">SUMIFS(Clean_Data!$F$3:$F$4314,Clean_Data!$B$3:$B$4314,A35)</f>
        <v>0.465719951304853</v>
      </c>
    </row>
    <row r="36" customFormat="false" ht="15" hidden="false" customHeight="false" outlineLevel="0" collapsed="false">
      <c r="A36" s="38" t="n">
        <v>2022</v>
      </c>
      <c r="B36" s="39" t="n">
        <f aca="false">COUNTIF(Clean_Data!$B$2:$B$4314,A36)</f>
        <v>365</v>
      </c>
      <c r="C36" s="17" t="n">
        <f aca="false">INDEX(Clean_Data!$C$2:$C$4314,MATCH(A36,Clean_Data!$B$2:$B$4314,0))</f>
        <v>47748.83</v>
      </c>
      <c r="D36" s="17" t="n">
        <f aca="false">INDEX(Clean_Data!$C$2:$C$4314,MATCH(A36,Clean_Data!$B$2:$B$4314,0)+B36-1)</f>
        <v>16531</v>
      </c>
      <c r="E36" s="17" t="n">
        <f aca="false">AVERAGEIFS(Clean_Data!$C$2:$C$4314,Clean_Data!$B$2:$B$4314,A36)</f>
        <v>28183.6500273973</v>
      </c>
      <c r="F36" s="17" t="n">
        <f aca="false">_xlfn.MINIFS(Clean_Data!$C$2:$C$4314,Clean_Data!$B$2:$B$4314,A36)</f>
        <v>15755.75</v>
      </c>
      <c r="G36" s="17" t="n">
        <f aca="false">_xlfn.MAXIFS(Clean_Data!$C$2:$C$4314,Clean_Data!$B$2:$B$4314,A36)</f>
        <v>47748.83</v>
      </c>
      <c r="H36" s="40" t="n">
        <f aca="false">G36/F36</f>
        <v>3.03056534915824</v>
      </c>
      <c r="I36" s="42" t="n">
        <f aca="false">D36/D35-1</f>
        <v>-0.642531467978012</v>
      </c>
      <c r="J36" s="24" t="n">
        <f aca="false">SUMIFS(Clean_Data!$F$3:$F$4314,Clean_Data!$B$3:$B$4314,A36)</f>
        <v>-1.02870794303838</v>
      </c>
    </row>
    <row r="37" customFormat="false" ht="15" hidden="false" customHeight="false" outlineLevel="0" collapsed="false">
      <c r="A37" s="38" t="n">
        <v>2023</v>
      </c>
      <c r="B37" s="39" t="n">
        <f aca="false">COUNTIF(Clean_Data!$B$2:$B$4314,A37)</f>
        <v>365</v>
      </c>
      <c r="C37" s="17" t="n">
        <f aca="false">INDEX(Clean_Data!$C$2:$C$4314,MATCH(A37,Clean_Data!$B$2:$B$4314,0))</f>
        <v>16615.18</v>
      </c>
      <c r="D37" s="17" t="n">
        <f aca="false">INDEX(Clean_Data!$C$2:$C$4314,MATCH(A37,Clean_Data!$B$2:$B$4314,0)+B37-1)</f>
        <v>42300.78</v>
      </c>
      <c r="E37" s="17" t="n">
        <f aca="false">AVERAGEIFS(Clean_Data!$C$2:$C$4314,Clean_Data!$B$2:$B$4314,A37)</f>
        <v>28858.0150958904</v>
      </c>
      <c r="F37" s="17" t="n">
        <f aca="false">_xlfn.MINIFS(Clean_Data!$C$2:$C$4314,Clean_Data!$B$2:$B$4314,A37)</f>
        <v>16615.18</v>
      </c>
      <c r="G37" s="17" t="n">
        <f aca="false">_xlfn.MAXIFS(Clean_Data!$C$2:$C$4314,Clean_Data!$B$2:$B$4314,A37)</f>
        <v>44223.94</v>
      </c>
      <c r="H37" s="40" t="n">
        <f aca="false">G37/F37</f>
        <v>2.6616587963537</v>
      </c>
      <c r="I37" s="42" t="n">
        <f aca="false">D37/D36-1</f>
        <v>1.55887605105559</v>
      </c>
      <c r="J37" s="24" t="n">
        <f aca="false">SUMIFS(Clean_Data!$F$3:$F$4314,Clean_Data!$B$3:$B$4314,A37)</f>
        <v>0.93956811952766</v>
      </c>
    </row>
    <row r="38" customFormat="false" ht="15" hidden="false" customHeight="false" outlineLevel="0" collapsed="false">
      <c r="A38" s="38" t="n">
        <v>2024</v>
      </c>
      <c r="B38" s="39" t="n">
        <f aca="false">COUNTIF(Clean_Data!$B$2:$B$4314,A38)</f>
        <v>366</v>
      </c>
      <c r="C38" s="17" t="n">
        <f aca="false">INDEX(Clean_Data!$C$2:$C$4314,MATCH(A38,Clean_Data!$B$2:$B$4314,0))</f>
        <v>44229.57</v>
      </c>
      <c r="D38" s="17" t="n">
        <f aca="false">INDEX(Clean_Data!$C$2:$C$4314,MATCH(A38,Clean_Data!$B$2:$B$4314,0)+B38-1)</f>
        <v>94383.59</v>
      </c>
      <c r="E38" s="17" t="n">
        <f aca="false">AVERAGEIFS(Clean_Data!$C$2:$C$4314,Clean_Data!$B$2:$B$4314,A38)</f>
        <v>66075.0754371585</v>
      </c>
      <c r="F38" s="17" t="n">
        <f aca="false">_xlfn.MINIFS(Clean_Data!$C$2:$C$4314,Clean_Data!$B$2:$B$4314,A38)</f>
        <v>39547.64</v>
      </c>
      <c r="G38" s="17" t="n">
        <f aca="false">_xlfn.MAXIFS(Clean_Data!$C$2:$C$4314,Clean_Data!$B$2:$B$4314,A38)</f>
        <v>106136.99</v>
      </c>
      <c r="H38" s="40" t="n">
        <f aca="false">G38/F38</f>
        <v>2.68377556789735</v>
      </c>
      <c r="I38" s="42" t="n">
        <f aca="false">D38/D37-1</f>
        <v>1.23124940012926</v>
      </c>
      <c r="J38" s="24" t="n">
        <f aca="false">SUMIFS(Clean_Data!$F$3:$F$4314,Clean_Data!$B$3:$B$4314,A38)</f>
        <v>0.802561697696146</v>
      </c>
    </row>
    <row r="39" customFormat="false" ht="15" hidden="false" customHeight="false" outlineLevel="0" collapsed="false">
      <c r="A39" s="38" t="n">
        <v>2025</v>
      </c>
      <c r="B39" s="39" t="n">
        <f aca="false">COUNTIF(Clean_Data!$B$2:$B$4314,A39)</f>
        <v>365</v>
      </c>
      <c r="C39" s="17" t="n">
        <f aca="false">INDEX(Clean_Data!$C$2:$C$4314,MATCH(A39,Clean_Data!$B$2:$B$4314,0))</f>
        <v>96903.19</v>
      </c>
      <c r="D39" s="17" t="n">
        <f aca="false">INDEX(Clean_Data!$C$2:$C$4314,MATCH(A39,Clean_Data!$B$2:$B$4314,0)+B39-1)</f>
        <v>87696</v>
      </c>
      <c r="E39" s="17" t="n">
        <f aca="false">AVERAGEIFS(Clean_Data!$C$2:$C$4314,Clean_Data!$B$2:$B$4314,A39)</f>
        <v>101648.724630137</v>
      </c>
      <c r="F39" s="17" t="n">
        <f aca="false">_xlfn.MINIFS(Clean_Data!$C$2:$C$4314,Clean_Data!$B$2:$B$4314,A39)</f>
        <v>76251.64</v>
      </c>
      <c r="G39" s="17" t="n">
        <f aca="false">_xlfn.MAXIFS(Clean_Data!$C$2:$C$4314,Clean_Data!$B$2:$B$4314,A39)</f>
        <v>124720.09</v>
      </c>
      <c r="H39" s="40" t="n">
        <f aca="false">G39/F39</f>
        <v>1.63563813184871</v>
      </c>
      <c r="I39" s="42" t="n">
        <f aca="false">D39/D38-1</f>
        <v>-0.0708554315427078</v>
      </c>
      <c r="J39" s="24" t="n">
        <f aca="false">SUMIFS(Clean_Data!$F$3:$F$4314,Clean_Data!$B$3:$B$4314,A39)</f>
        <v>-0.0734909349909203</v>
      </c>
    </row>
    <row r="40" customFormat="false" ht="15" hidden="false" customHeight="false" outlineLevel="0" collapsed="false">
      <c r="A40" s="38" t="n">
        <v>2026</v>
      </c>
      <c r="B40" s="39" t="n">
        <f aca="false">COUNTIF(Clean_Data!$B$2:$B$4314,A40)</f>
        <v>299</v>
      </c>
      <c r="C40" s="17" t="n">
        <f aca="false">INDEX(Clean_Data!$C$2:$C$4314,MATCH(A40,Clean_Data!$B$2:$B$4314,0))</f>
        <v>88642.88</v>
      </c>
      <c r="D40" s="17" t="n">
        <f aca="false">INDEX(Clean_Data!$C$2:$C$4314,MATCH(A40,Clean_Data!$B$2:$B$4314,0)+B40-1)</f>
        <v>80056.43</v>
      </c>
      <c r="E40" s="17" t="n">
        <f aca="false">AVERAGEIFS(Clean_Data!$C$2:$C$4314,Clean_Data!$B$2:$B$4314,A40)</f>
        <v>73930.701638796</v>
      </c>
      <c r="F40" s="17" t="n">
        <f aca="false">_xlfn.MINIFS(Clean_Data!$C$2:$C$4314,Clean_Data!$B$2:$B$4314,A40)</f>
        <v>58585.96</v>
      </c>
      <c r="G40" s="17" t="n">
        <f aca="false">_xlfn.MAXIFS(Clean_Data!$C$2:$C$4314,Clean_Data!$B$2:$B$4314,A40)</f>
        <v>96852.91</v>
      </c>
      <c r="H40" s="40" t="n">
        <f aca="false">G40/F40</f>
        <v>1.65317611932961</v>
      </c>
      <c r="I40" s="42" t="n">
        <f aca="false">D40/D39-1</f>
        <v>-0.0871142355409598</v>
      </c>
      <c r="J40" s="24" t="n">
        <f aca="false">SUMIFS(Clean_Data!$F$3:$F$4314,Clean_Data!$B$3:$B$4314,A40)</f>
        <v>-0.0911445272898998</v>
      </c>
      <c r="K40" s="22" t="s">
        <v>160</v>
      </c>
    </row>
    <row r="41" customFormat="false" ht="15" hidden="false" customHeight="false" outlineLevel="0" collapsed="false">
      <c r="A41" s="43" t="s">
        <v>161</v>
      </c>
      <c r="B41" s="44" t="n">
        <f aca="false">SUM(B28:B40)</f>
        <v>4313</v>
      </c>
      <c r="C41" s="45"/>
      <c r="D41" s="45"/>
      <c r="E41" s="46" t="n">
        <f aca="false">AVERAGE(Clean_Data!$C$2:$C$4314)</f>
        <v>30788.0720264317</v>
      </c>
      <c r="F41" s="46" t="n">
        <f aca="false">MIN(F28:F40)</f>
        <v>120</v>
      </c>
      <c r="G41" s="46" t="n">
        <f aca="false">MAX(G28:G40)</f>
        <v>124720.09</v>
      </c>
      <c r="H41" s="45"/>
      <c r="I41" s="45"/>
      <c r="J41" s="47" t="n">
        <f aca="false">SUM(J28:J40)</f>
        <v>5.37698403435773</v>
      </c>
      <c r="K41" s="45"/>
    </row>
    <row r="43" customFormat="false" ht="15" hidden="false" customHeight="false" outlineLevel="0" collapsed="false">
      <c r="A43" s="5" t="s">
        <v>162</v>
      </c>
      <c r="B43" s="32" t="n">
        <f aca="false">AVERAGE(I29:I39)</f>
        <v>1.88183580024517</v>
      </c>
    </row>
    <row r="44" customFormat="false" ht="15" hidden="false" customHeight="false" outlineLevel="0" collapsed="false">
      <c r="A44" s="5" t="s">
        <v>163</v>
      </c>
      <c r="B44" s="32" t="n">
        <f aca="false">MEDIAN(I29:I39)</f>
        <v>0.938862795447281</v>
      </c>
    </row>
    <row r="45" customFormat="false" ht="15" hidden="false" customHeight="false" outlineLevel="0" collapsed="false">
      <c r="A45" s="5" t="s">
        <v>164</v>
      </c>
      <c r="B45" s="32" t="n">
        <f aca="false">MAX(I29:I39)</f>
        <v>13.242405251857</v>
      </c>
    </row>
    <row r="46" customFormat="false" ht="15" hidden="false" customHeight="false" outlineLevel="0" collapsed="false">
      <c r="A46" s="5" t="s">
        <v>165</v>
      </c>
      <c r="B46" s="32" t="n">
        <f aca="false">MIN(I29:I39)</f>
        <v>-0.733692174855173</v>
      </c>
      <c r="M46" s="22" t="s">
        <v>166</v>
      </c>
    </row>
    <row r="47" customFormat="false" ht="15" hidden="false" customHeight="false" outlineLevel="0" collapsed="false">
      <c r="A47" s="5" t="s">
        <v>167</v>
      </c>
      <c r="B47" s="48" t="n">
        <f aca="false">COUNTIF(I29:I39,"&gt;0")</f>
        <v>8</v>
      </c>
    </row>
    <row r="48" customFormat="false" ht="15" hidden="false" customHeight="false" outlineLevel="0" collapsed="false">
      <c r="A48" s="13" t="s">
        <v>168</v>
      </c>
      <c r="B48" s="49" t="n">
        <f aca="false">COUNTIF(I29:I39,"&lt;0")</f>
        <v>3</v>
      </c>
    </row>
    <row r="49" customFormat="false" ht="15" hidden="false" customHeight="false" outlineLevel="0" collapsed="false">
      <c r="A49" s="22" t="s">
        <v>169</v>
      </c>
    </row>
    <row r="68" customFormat="false" ht="15" hidden="false" customHeight="false" outlineLevel="0" collapsed="false">
      <c r="M68" s="2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7" min="5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3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2" t="s">
        <v>172</v>
      </c>
    </row>
    <row r="4" customFormat="false" ht="15" hidden="false" customHeight="false" outlineLevel="0" collapsed="false">
      <c r="A4" s="3" t="s">
        <v>173</v>
      </c>
    </row>
    <row r="5" customFormat="false" ht="30" hidden="false" customHeight="true" outlineLevel="0" collapsed="false">
      <c r="A5" s="6" t="s">
        <v>174</v>
      </c>
      <c r="B5" s="7" t="s">
        <v>73</v>
      </c>
      <c r="C5" s="7" t="s">
        <v>110</v>
      </c>
    </row>
    <row r="6" customFormat="false" ht="15" hidden="false" customHeight="false" outlineLevel="0" collapsed="false">
      <c r="A6" s="5" t="s">
        <v>175</v>
      </c>
      <c r="B6" s="50" t="n">
        <f aca="false">Clean_Data!$R$2</f>
        <v>42024</v>
      </c>
      <c r="C6" s="29" t="s">
        <v>176</v>
      </c>
    </row>
    <row r="7" customFormat="false" ht="15" hidden="false" customHeight="false" outlineLevel="0" collapsed="false">
      <c r="A7" s="5" t="s">
        <v>177</v>
      </c>
      <c r="B7" s="20" t="n">
        <f aca="false">MAX(Clean_Data!$A$2:$A$4314)</f>
        <v>46321</v>
      </c>
      <c r="C7" s="29" t="s">
        <v>116</v>
      </c>
    </row>
    <row r="8" customFormat="false" ht="15" hidden="false" customHeight="false" outlineLevel="0" collapsed="false">
      <c r="A8" s="5" t="s">
        <v>178</v>
      </c>
      <c r="B8" s="18" t="n">
        <f aca="false">COUNT(Clean_Data!$G$2:$G$4314)</f>
        <v>4296</v>
      </c>
      <c r="C8" s="29" t="s">
        <v>179</v>
      </c>
    </row>
    <row r="9" customFormat="false" ht="15" hidden="false" customHeight="false" outlineLevel="0" collapsed="false">
      <c r="A9" s="5" t="s">
        <v>180</v>
      </c>
      <c r="B9" s="51" t="n">
        <f aca="false">AVERAGE(Clean_Data!$G$2:$G$4314)</f>
        <v>0.00136854566036496</v>
      </c>
      <c r="C9" s="29" t="s">
        <v>181</v>
      </c>
    </row>
    <row r="10" customFormat="false" ht="15" hidden="false" customHeight="false" outlineLevel="0" collapsed="false">
      <c r="A10" s="5" t="s">
        <v>182</v>
      </c>
      <c r="B10" s="51" t="n">
        <f aca="false">MEDIAN(Clean_Data!$G$2:$G$4314)</f>
        <v>0.000935263778586878</v>
      </c>
      <c r="C10" s="29" t="s">
        <v>183</v>
      </c>
    </row>
    <row r="11" customFormat="false" ht="15" hidden="false" customHeight="false" outlineLevel="0" collapsed="false">
      <c r="A11" s="5" t="s">
        <v>184</v>
      </c>
      <c r="B11" s="51" t="n">
        <f aca="false">_xlfn.STDEV.S(Clean_Data!$G$2:$G$4314)</f>
        <v>0.0345609098505803</v>
      </c>
      <c r="C11" s="29" t="s">
        <v>185</v>
      </c>
    </row>
    <row r="12" customFormat="false" ht="15" hidden="false" customHeight="false" outlineLevel="0" collapsed="false">
      <c r="A12" s="5" t="s">
        <v>186</v>
      </c>
      <c r="B12" s="19" t="n">
        <f aca="false">MIN(Clean_Data!$G$2:$G$4314)</f>
        <v>-0.468624666865794</v>
      </c>
      <c r="C12" s="29" t="s">
        <v>187</v>
      </c>
    </row>
    <row r="13" customFormat="false" ht="15" hidden="false" customHeight="false" outlineLevel="0" collapsed="false">
      <c r="A13" s="5" t="s">
        <v>188</v>
      </c>
      <c r="B13" s="19" t="n">
        <f aca="false">MAX(Clean_Data!$G$2:$G$4314)</f>
        <v>0.24060602804974</v>
      </c>
      <c r="C13" s="29" t="s">
        <v>189</v>
      </c>
    </row>
    <row r="14" customFormat="false" ht="15" hidden="false" customHeight="false" outlineLevel="0" collapsed="false">
      <c r="A14" s="5" t="s">
        <v>190</v>
      </c>
      <c r="B14" s="19" t="n">
        <f aca="false">B9*Clean_Data!$R$3</f>
        <v>0.499519166033211</v>
      </c>
      <c r="C14" s="29" t="s">
        <v>191</v>
      </c>
    </row>
    <row r="15" customFormat="false" ht="15" hidden="false" customHeight="false" outlineLevel="0" collapsed="false">
      <c r="A15" s="5" t="s">
        <v>192</v>
      </c>
      <c r="B15" s="19" t="n">
        <f aca="false">B11*SQRT(Clean_Data!$R$3)</f>
        <v>0.660285255583128</v>
      </c>
      <c r="C15" s="29" t="s">
        <v>193</v>
      </c>
    </row>
    <row r="16" customFormat="false" ht="15" hidden="false" customHeight="false" outlineLevel="0" collapsed="false">
      <c r="A16" s="5" t="s">
        <v>194</v>
      </c>
      <c r="B16" s="31" t="n">
        <f aca="false">B11/B9</f>
        <v>25.253749912417</v>
      </c>
      <c r="C16" s="29" t="s">
        <v>195</v>
      </c>
    </row>
    <row r="17" customFormat="false" ht="15" hidden="false" customHeight="false" outlineLevel="0" collapsed="false">
      <c r="A17" s="5" t="s">
        <v>196</v>
      </c>
      <c r="B17" s="34" t="n">
        <f aca="false">SKEW(Clean_Data!$G$2:$G$4314)</f>
        <v>-0.598941253181415</v>
      </c>
      <c r="C17" s="29" t="s">
        <v>197</v>
      </c>
    </row>
    <row r="18" customFormat="false" ht="15" hidden="false" customHeight="false" outlineLevel="0" collapsed="false">
      <c r="A18" s="5" t="s">
        <v>198</v>
      </c>
      <c r="B18" s="34" t="n">
        <f aca="false">KURT(Clean_Data!$G$2:$G$4314)</f>
        <v>11.9587030604755</v>
      </c>
      <c r="C18" s="29" t="s">
        <v>199</v>
      </c>
    </row>
    <row r="19" customFormat="false" ht="15" hidden="false" customHeight="false" outlineLevel="0" collapsed="false">
      <c r="A19" s="5" t="s">
        <v>200</v>
      </c>
      <c r="B19" s="52" t="n">
        <f aca="false">B8/6*(B17^2+B18^2/4)</f>
        <v>25855.744748394</v>
      </c>
      <c r="C19" s="29" t="s">
        <v>201</v>
      </c>
    </row>
    <row r="20" customFormat="false" ht="15" hidden="false" customHeight="false" outlineLevel="0" collapsed="false">
      <c r="A20" s="5" t="s">
        <v>202</v>
      </c>
      <c r="B20" s="34" t="n">
        <f aca="false">_xlfn.CHISQ.INV.RT(0.05,2)</f>
        <v>5.99146454710798</v>
      </c>
      <c r="C20" s="29" t="s">
        <v>203</v>
      </c>
    </row>
    <row r="21" customFormat="false" ht="15" hidden="false" customHeight="false" outlineLevel="0" collapsed="false">
      <c r="A21" s="5" t="s">
        <v>204</v>
      </c>
      <c r="B21" s="34" t="n">
        <f aca="false">_xlfn.CHISQ.DIST.RT(B19,2)</f>
        <v>0</v>
      </c>
      <c r="C21" s="29" t="s">
        <v>205</v>
      </c>
    </row>
    <row r="22" customFormat="false" ht="15" hidden="false" customHeight="false" outlineLevel="0" collapsed="false">
      <c r="A22" s="5" t="s">
        <v>206</v>
      </c>
      <c r="B22" s="41" t="str">
        <f aca="false">IF(B21&lt;0.05,"Reject normality","Do not reject")</f>
        <v>Reject normality</v>
      </c>
      <c r="C22" s="29" t="s">
        <v>207</v>
      </c>
    </row>
    <row r="23" customFormat="false" ht="15" hidden="false" customHeight="false" outlineLevel="0" collapsed="false">
      <c r="A23" s="5" t="s">
        <v>208</v>
      </c>
      <c r="B23" s="32" t="n">
        <f aca="false">COUNTIF(Clean_Data!$G$2:$G$4314,"&gt;0")/B8</f>
        <v>0.521182495344507</v>
      </c>
      <c r="C23" s="29" t="s">
        <v>209</v>
      </c>
    </row>
    <row r="24" customFormat="false" ht="15" hidden="false" customHeight="false" outlineLevel="0" collapsed="false">
      <c r="A24" s="5" t="s">
        <v>210</v>
      </c>
      <c r="B24" s="53" t="n">
        <v>0.05</v>
      </c>
      <c r="C24" s="54" t="s">
        <v>211</v>
      </c>
      <c r="L24" s="22" t="s">
        <v>212</v>
      </c>
    </row>
    <row r="25" customFormat="false" ht="15" hidden="false" customHeight="false" outlineLevel="0" collapsed="false">
      <c r="A25" s="5" t="s">
        <v>213</v>
      </c>
      <c r="B25" s="18" t="n">
        <f aca="false">COUNTIF(Clean_Data!$G$2:$G$4314,"&gt;"&amp;B24)+COUNTIF(Clean_Data!$G$2:$G$4314,"&lt;"&amp;-B24)</f>
        <v>495</v>
      </c>
      <c r="C25" s="54" t="s">
        <v>214</v>
      </c>
    </row>
    <row r="26" customFormat="false" ht="15" hidden="false" customHeight="false" outlineLevel="0" collapsed="false">
      <c r="A26" s="5" t="s">
        <v>215</v>
      </c>
      <c r="B26" s="52" t="n">
        <f aca="false">B8*(_xlfn.NORM.DIST(-B24,B9,B11,TRUE())+1-_xlfn.NORM.DIST(B24,B9,B11,TRUE()))</f>
        <v>637.065844402951</v>
      </c>
      <c r="C26" s="54" t="s">
        <v>216</v>
      </c>
    </row>
    <row r="27" customFormat="false" ht="15" hidden="false" customHeight="false" outlineLevel="0" collapsed="false">
      <c r="A27" s="5" t="s">
        <v>217</v>
      </c>
      <c r="B27" s="55" t="n">
        <f aca="false">B25/B26</f>
        <v>0.776999747120185</v>
      </c>
      <c r="C27" s="54" t="s">
        <v>218</v>
      </c>
    </row>
    <row r="28" customFormat="false" ht="15" hidden="false" customHeight="false" outlineLevel="0" collapsed="false">
      <c r="A28" s="5" t="s">
        <v>219</v>
      </c>
      <c r="B28" s="53" t="n">
        <v>0.1</v>
      </c>
      <c r="C28" s="54" t="s">
        <v>211</v>
      </c>
    </row>
    <row r="29" customFormat="false" ht="15" hidden="false" customHeight="false" outlineLevel="0" collapsed="false">
      <c r="A29" s="5" t="s">
        <v>213</v>
      </c>
      <c r="B29" s="18" t="n">
        <f aca="false">COUNTIF(Clean_Data!$G$2:$G$4314,"&gt;"&amp;B28)+COUNTIF(Clean_Data!$G$2:$G$4314,"&lt;"&amp;-B28)</f>
        <v>93</v>
      </c>
      <c r="C29" s="54" t="s">
        <v>214</v>
      </c>
    </row>
    <row r="30" customFormat="false" ht="15" hidden="false" customHeight="false" outlineLevel="0" collapsed="false">
      <c r="A30" s="5" t="s">
        <v>215</v>
      </c>
      <c r="B30" s="56" t="n">
        <f aca="false">B8*(_xlfn.NORM.DIST(-B28,B9,B11,TRUE())+1-_xlfn.NORM.DIST(B28,B9,B11,TRUE()))</f>
        <v>16.4879875431461</v>
      </c>
      <c r="C30" s="54" t="s">
        <v>216</v>
      </c>
    </row>
    <row r="31" customFormat="false" ht="15" hidden="false" customHeight="false" outlineLevel="0" collapsed="false">
      <c r="A31" s="13" t="s">
        <v>217</v>
      </c>
      <c r="B31" s="57" t="n">
        <f aca="false">B29/B30</f>
        <v>5.64047005473745</v>
      </c>
      <c r="C31" s="58" t="s">
        <v>218</v>
      </c>
    </row>
    <row r="32" customFormat="false" ht="15" hidden="false" customHeight="false" outlineLevel="0" collapsed="false">
      <c r="A32" s="22" t="s">
        <v>220</v>
      </c>
    </row>
    <row r="34" customFormat="false" ht="15" hidden="false" customHeight="false" outlineLevel="0" collapsed="false">
      <c r="A34" s="3" t="s">
        <v>221</v>
      </c>
    </row>
    <row r="35" customFormat="false" ht="42" hidden="false" customHeight="true" outlineLevel="0" collapsed="false">
      <c r="A35" s="6" t="s">
        <v>83</v>
      </c>
      <c r="B35" s="7" t="s">
        <v>222</v>
      </c>
      <c r="C35" s="7" t="s">
        <v>180</v>
      </c>
      <c r="D35" s="7" t="s">
        <v>223</v>
      </c>
      <c r="E35" s="7" t="s">
        <v>192</v>
      </c>
      <c r="F35" s="7" t="s">
        <v>224</v>
      </c>
      <c r="G35" s="7" t="s">
        <v>225</v>
      </c>
      <c r="H35" s="7" t="s">
        <v>226</v>
      </c>
      <c r="I35" s="7" t="s">
        <v>227</v>
      </c>
      <c r="J35" s="7" t="s">
        <v>228</v>
      </c>
    </row>
    <row r="36" customFormat="false" ht="15" hidden="false" customHeight="false" outlineLevel="0" collapsed="false">
      <c r="A36" s="38" t="n">
        <v>2015</v>
      </c>
      <c r="B36" s="39" t="n">
        <f aca="false">COUNTIFS(Clean_Data!$B$2:$B$4314,A36,Clean_Data!$G$2:$G$4314,"&gt;=-10")</f>
        <v>346</v>
      </c>
      <c r="C36" s="59" t="n">
        <f aca="false">AVERAGEIFS(Clean_Data!$G$2:$G$4314,Clean_Data!$B$2:$B$4314,A36,Clean_Data!$G$2:$G$4314,"&gt;=-10")</f>
        <v>0.00186772926947398</v>
      </c>
      <c r="D36" s="59" t="n">
        <f aca="false">SQRT((SUMIFS(Clean_Data!$H$2:$H$4314,Clean_Data!$B$2:$B$4314,A36,Clean_Data!$G$2:$G$4314,"&gt;=-10")-B36*C36^2)/(B36-1))</f>
        <v>0.0299279089090898</v>
      </c>
      <c r="E36" s="42" t="n">
        <f aca="false">D36*SQRT(Clean_Data!$R$3)</f>
        <v>0.571771896878321</v>
      </c>
      <c r="F36" s="25" t="n">
        <f aca="false">_xlfn.MAXIFS(Clean_Data!$G$2:$G$4314,Clean_Data!$B$2:$B$4314,A36,Clean_Data!$G$2:$G$4314,"&gt;=-10")</f>
        <v>0.103017580083388</v>
      </c>
      <c r="G36" s="25" t="n">
        <f aca="false">_xlfn.MINIFS(Clean_Data!$G$2:$G$4314,Clean_Data!$B$2:$B$4314,A36,Clean_Data!$G$2:$G$4314,"&gt;=-10")</f>
        <v>-0.147649247857764</v>
      </c>
      <c r="H36" s="39" t="n">
        <f aca="false">COUNTIFS(Clean_Data!$B$2:$B$4314,A36,Clean_Data!$G$2:$G$4314,"&gt;"&amp;$B$24)+COUNTIFS(Clean_Data!$B$2:$B$4314,A36,Clean_Data!$G$2:$G$4314,"&lt;"&amp;-$B$24)</f>
        <v>31</v>
      </c>
      <c r="I36" s="42" t="n">
        <f aca="false">H36/B36</f>
        <v>0.0895953757225434</v>
      </c>
      <c r="J36" s="42" t="n">
        <f aca="false">COUNTIFS(Clean_Data!$B$2:$B$4314,A36,Clean_Data!$G$2:$G$4314,"&gt;0")/B36</f>
        <v>0.517341040462428</v>
      </c>
    </row>
    <row r="37" customFormat="false" ht="15" hidden="false" customHeight="false" outlineLevel="0" collapsed="false">
      <c r="A37" s="38" t="n">
        <v>2016</v>
      </c>
      <c r="B37" s="39" t="n">
        <f aca="false">COUNTIFS(Clean_Data!$B$2:$B$4314,A37,Clean_Data!$G$2:$G$4314,"&gt;=-10")</f>
        <v>366</v>
      </c>
      <c r="C37" s="59" t="n">
        <f aca="false">AVERAGEIFS(Clean_Data!$G$2:$G$4314,Clean_Data!$B$2:$B$4314,A37,Clean_Data!$G$2:$G$4314,"&gt;=-10")</f>
        <v>0.00222996023503298</v>
      </c>
      <c r="D37" s="59" t="n">
        <f aca="false">SQRT((SUMIFS(Clean_Data!$H$2:$H$4314,Clean_Data!$B$2:$B$4314,A37,Clean_Data!$G$2:$G$4314,"&gt;=-10")-B37*C37^2)/(B37-1))</f>
        <v>0.026107406257285</v>
      </c>
      <c r="E37" s="42" t="n">
        <f aca="false">D37*SQRT(Clean_Data!$R$3)</f>
        <v>0.498781296202321</v>
      </c>
      <c r="F37" s="25" t="n">
        <f aca="false">_xlfn.MAXIFS(Clean_Data!$G$2:$G$4314,Clean_Data!$B$2:$B$4314,A37,Clean_Data!$G$2:$G$4314,"&gt;=-10")</f>
        <v>0.109126697917764</v>
      </c>
      <c r="G37" s="25" t="n">
        <f aca="false">_xlfn.MINIFS(Clean_Data!$G$2:$G$4314,Clean_Data!$B$2:$B$4314,A37,Clean_Data!$G$2:$G$4314,"&gt;=-10")</f>
        <v>-0.184635698998613</v>
      </c>
      <c r="H37" s="39" t="n">
        <f aca="false">COUNTIFS(Clean_Data!$B$2:$B$4314,A37,Clean_Data!$G$2:$G$4314,"&gt;"&amp;$B$24)+COUNTIFS(Clean_Data!$B$2:$B$4314,A37,Clean_Data!$G$2:$G$4314,"&lt;"&amp;-$B$24)</f>
        <v>24</v>
      </c>
      <c r="I37" s="42" t="n">
        <f aca="false">H37/B37</f>
        <v>0.0655737704918033</v>
      </c>
      <c r="J37" s="42" t="n">
        <f aca="false">COUNTIFS(Clean_Data!$B$2:$B$4314,A37,Clean_Data!$G$2:$G$4314,"&gt;0")/B37</f>
        <v>0.568306010928962</v>
      </c>
    </row>
    <row r="38" customFormat="false" ht="15" hidden="false" customHeight="false" outlineLevel="0" collapsed="false">
      <c r="A38" s="38" t="n">
        <v>2017</v>
      </c>
      <c r="B38" s="39" t="n">
        <f aca="false">COUNTIFS(Clean_Data!$B$2:$B$4314,A38,Clean_Data!$G$2:$G$4314,"&gt;=-10")</f>
        <v>365</v>
      </c>
      <c r="C38" s="59" t="n">
        <f aca="false">AVERAGEIFS(Clean_Data!$G$2:$G$4314,Clean_Data!$B$2:$B$4314,A38,Clean_Data!$G$2:$G$4314,"&gt;=-10")</f>
        <v>0.00727732547905885</v>
      </c>
      <c r="D38" s="59" t="n">
        <f aca="false">SQRT((SUMIFS(Clean_Data!$H$2:$H$4314,Clean_Data!$B$2:$B$4314,A38,Clean_Data!$G$2:$G$4314,"&gt;=-10")-B38*C38^2)/(B38-1))</f>
        <v>0.0487538279937901</v>
      </c>
      <c r="E38" s="42" t="n">
        <f aca="false">D38*SQRT(Clean_Data!$R$3)</f>
        <v>0.931440575977634</v>
      </c>
      <c r="F38" s="25" t="n">
        <f aca="false">_xlfn.MAXIFS(Clean_Data!$G$2:$G$4314,Clean_Data!$B$2:$B$4314,A38,Clean_Data!$G$2:$G$4314,"&gt;=-10")</f>
        <v>0.24060602804974</v>
      </c>
      <c r="G38" s="25" t="n">
        <f aca="false">_xlfn.MINIFS(Clean_Data!$G$2:$G$4314,Clean_Data!$B$2:$B$4314,A38,Clean_Data!$G$2:$G$4314,"&gt;=-10")</f>
        <v>-0.170675946957968</v>
      </c>
      <c r="H38" s="39" t="n">
        <f aca="false">COUNTIFS(Clean_Data!$B$2:$B$4314,A38,Clean_Data!$G$2:$G$4314,"&gt;"&amp;$B$24)+COUNTIFS(Clean_Data!$B$2:$B$4314,A38,Clean_Data!$G$2:$G$4314,"&lt;"&amp;-$B$24)</f>
        <v>86</v>
      </c>
      <c r="I38" s="42" t="n">
        <f aca="false">H38/B38</f>
        <v>0.235616438356164</v>
      </c>
      <c r="J38" s="42" t="n">
        <f aca="false">COUNTIFS(Clean_Data!$B$2:$B$4314,A38,Clean_Data!$G$2:$G$4314,"&gt;0")/B38</f>
        <v>0.6</v>
      </c>
    </row>
    <row r="39" customFormat="false" ht="15" hidden="false" customHeight="false" outlineLevel="0" collapsed="false">
      <c r="A39" s="38" t="n">
        <v>2018</v>
      </c>
      <c r="B39" s="39" t="n">
        <f aca="false">COUNTIFS(Clean_Data!$B$2:$B$4314,A39,Clean_Data!$G$2:$G$4314,"&gt;=-10")</f>
        <v>365</v>
      </c>
      <c r="C39" s="59" t="n">
        <f aca="false">AVERAGEIFS(Clean_Data!$G$2:$G$4314,Clean_Data!$B$2:$B$4314,A39,Clean_Data!$G$2:$G$4314,"&gt;=-10")</f>
        <v>-0.00362493808738881</v>
      </c>
      <c r="D39" s="59" t="n">
        <f aca="false">SQRT((SUMIFS(Clean_Data!$H$2:$H$4314,Clean_Data!$B$2:$B$4314,A39,Clean_Data!$G$2:$G$4314,"&gt;=-10")-B39*C39^2)/(B39-1))</f>
        <v>0.0438199452843078</v>
      </c>
      <c r="E39" s="42" t="n">
        <f aca="false">D39*SQRT(Clean_Data!$R$3)</f>
        <v>0.837178879166633</v>
      </c>
      <c r="F39" s="25" t="n">
        <f aca="false">_xlfn.MAXIFS(Clean_Data!$G$2:$G$4314,Clean_Data!$B$2:$B$4314,A39,Clean_Data!$G$2:$G$4314,"&gt;=-10")</f>
        <v>0.131153510269803</v>
      </c>
      <c r="G39" s="25" t="n">
        <f aca="false">_xlfn.MINIFS(Clean_Data!$G$2:$G$4314,Clean_Data!$B$2:$B$4314,A39,Clean_Data!$G$2:$G$4314,"&gt;=-10")</f>
        <v>-0.167939759417222</v>
      </c>
      <c r="H39" s="39" t="n">
        <f aca="false">COUNTIFS(Clean_Data!$B$2:$B$4314,A39,Clean_Data!$G$2:$G$4314,"&gt;"&amp;$B$24)+COUNTIFS(Clean_Data!$B$2:$B$4314,A39,Clean_Data!$G$2:$G$4314,"&lt;"&amp;-$B$24)</f>
        <v>77</v>
      </c>
      <c r="I39" s="42" t="n">
        <f aca="false">H39/B39</f>
        <v>0.210958904109589</v>
      </c>
      <c r="J39" s="42" t="n">
        <f aca="false">COUNTIFS(Clean_Data!$B$2:$B$4314,A39,Clean_Data!$G$2:$G$4314,"&gt;0")/B39</f>
        <v>0.495890410958904</v>
      </c>
    </row>
    <row r="40" customFormat="false" ht="15" hidden="false" customHeight="false" outlineLevel="0" collapsed="false">
      <c r="A40" s="38" t="n">
        <v>2019</v>
      </c>
      <c r="B40" s="39" t="n">
        <f aca="false">COUNTIFS(Clean_Data!$B$2:$B$4314,A40,Clean_Data!$G$2:$G$4314,"&gt;=-10")</f>
        <v>365</v>
      </c>
      <c r="C40" s="59" t="n">
        <f aca="false">AVERAGEIFS(Clean_Data!$G$2:$G$4314,Clean_Data!$B$2:$B$4314,A40,Clean_Data!$G$2:$G$4314,"&gt;=-10")</f>
        <v>0.0018139770227018</v>
      </c>
      <c r="D40" s="59" t="n">
        <f aca="false">SQRT((SUMIFS(Clean_Data!$H$2:$H$4314,Clean_Data!$B$2:$B$4314,A40,Clean_Data!$G$2:$G$4314,"&gt;=-10")-B40*C40^2)/(B40-1))</f>
        <v>0.0368681959358307</v>
      </c>
      <c r="E40" s="42" t="n">
        <f aca="false">D40*SQRT(Clean_Data!$R$3)</f>
        <v>0.704365894347834</v>
      </c>
      <c r="F40" s="25" t="n">
        <f aca="false">_xlfn.MAXIFS(Clean_Data!$G$2:$G$4314,Clean_Data!$B$2:$B$4314,A40,Clean_Data!$G$2:$G$4314,"&gt;=-10")</f>
        <v>0.169658117638927</v>
      </c>
      <c r="G40" s="25" t="n">
        <f aca="false">_xlfn.MINIFS(Clean_Data!$G$2:$G$4314,Clean_Data!$B$2:$B$4314,A40,Clean_Data!$G$2:$G$4314,"&gt;=-10")</f>
        <v>-0.148012106003797</v>
      </c>
      <c r="H40" s="39" t="n">
        <f aca="false">COUNTIFS(Clean_Data!$B$2:$B$4314,A40,Clean_Data!$G$2:$G$4314,"&gt;"&amp;$B$24)+COUNTIFS(Clean_Data!$B$2:$B$4314,A40,Clean_Data!$G$2:$G$4314,"&lt;"&amp;-$B$24)</f>
        <v>46</v>
      </c>
      <c r="I40" s="42" t="n">
        <f aca="false">H40/B40</f>
        <v>0.126027397260274</v>
      </c>
      <c r="J40" s="42" t="n">
        <f aca="false">COUNTIFS(Clean_Data!$B$2:$B$4314,A40,Clean_Data!$G$2:$G$4314,"&gt;0")/B40</f>
        <v>0.520547945205479</v>
      </c>
    </row>
    <row r="41" customFormat="false" ht="15" hidden="false" customHeight="false" outlineLevel="0" collapsed="false">
      <c r="A41" s="38" t="n">
        <v>2020</v>
      </c>
      <c r="B41" s="39" t="n">
        <f aca="false">COUNTIFS(Clean_Data!$B$2:$B$4314,A41,Clean_Data!$G$2:$G$4314,"&gt;=-10")</f>
        <v>364</v>
      </c>
      <c r="C41" s="59" t="n">
        <f aca="false">AVERAGEIFS(Clean_Data!$G$2:$G$4314,Clean_Data!$B$2:$B$4314,A41,Clean_Data!$G$2:$G$4314,"&gt;=-10")</f>
        <v>0.00386577749783689</v>
      </c>
      <c r="D41" s="59" t="n">
        <f aca="false">SQRT((SUMIFS(Clean_Data!$H$2:$H$4314,Clean_Data!$B$2:$B$4314,A41,Clean_Data!$G$2:$G$4314,"&gt;=-10")-B41*C41^2)/(B41-1))</f>
        <v>0.0414903215035449</v>
      </c>
      <c r="E41" s="42" t="n">
        <f aca="false">D41*SQRT(Clean_Data!$R$3)</f>
        <v>0.792671479328381</v>
      </c>
      <c r="F41" s="25" t="n">
        <f aca="false">_xlfn.MAXIFS(Clean_Data!$G$2:$G$4314,Clean_Data!$B$2:$B$4314,A41,Clean_Data!$G$2:$G$4314,"&gt;=-10")</f>
        <v>0.136435241900366</v>
      </c>
      <c r="G41" s="25" t="n">
        <f aca="false">_xlfn.MINIFS(Clean_Data!$G$2:$G$4314,Clean_Data!$B$2:$B$4314,A41,Clean_Data!$G$2:$G$4314,"&gt;=-10")</f>
        <v>-0.468624666865794</v>
      </c>
      <c r="H41" s="39" t="n">
        <f aca="false">COUNTIFS(Clean_Data!$B$2:$B$4314,A41,Clean_Data!$G$2:$G$4314,"&gt;"&amp;$B$24)+COUNTIFS(Clean_Data!$B$2:$B$4314,A41,Clean_Data!$G$2:$G$4314,"&lt;"&amp;-$B$24)</f>
        <v>44</v>
      </c>
      <c r="I41" s="42" t="n">
        <f aca="false">H41/B41</f>
        <v>0.120879120879121</v>
      </c>
      <c r="J41" s="42" t="n">
        <f aca="false">COUNTIFS(Clean_Data!$B$2:$B$4314,A41,Clean_Data!$G$2:$G$4314,"&gt;0")/B41</f>
        <v>0.571428571428571</v>
      </c>
    </row>
    <row r="42" customFormat="false" ht="15" hidden="false" customHeight="false" outlineLevel="0" collapsed="false">
      <c r="A42" s="38" t="n">
        <v>2021</v>
      </c>
      <c r="B42" s="39" t="n">
        <f aca="false">COUNTIFS(Clean_Data!$B$2:$B$4314,A42,Clean_Data!$G$2:$G$4314,"&gt;=-10")</f>
        <v>365</v>
      </c>
      <c r="C42" s="59" t="n">
        <f aca="false">AVERAGEIFS(Clean_Data!$G$2:$G$4314,Clean_Data!$B$2:$B$4314,A42,Clean_Data!$G$2:$G$4314,"&gt;=-10")</f>
        <v>0.00127594507206809</v>
      </c>
      <c r="D42" s="59" t="n">
        <f aca="false">SQRT((SUMIFS(Clean_Data!$H$2:$H$4314,Clean_Data!$B$2:$B$4314,A42,Clean_Data!$G$2:$G$4314,"&gt;=-10")-B42*C42^2)/(B42-1))</f>
        <v>0.0421617317317042</v>
      </c>
      <c r="E42" s="42" t="n">
        <f aca="false">D42*SQRT(Clean_Data!$R$3)</f>
        <v>0.805498753726479</v>
      </c>
      <c r="F42" s="25" t="n">
        <f aca="false">_xlfn.MAXIFS(Clean_Data!$G$2:$G$4314,Clean_Data!$B$2:$B$4314,A42,Clean_Data!$G$2:$G$4314,"&gt;=-10")</f>
        <v>0.182491942929804</v>
      </c>
      <c r="G42" s="25" t="n">
        <f aca="false">_xlfn.MINIFS(Clean_Data!$G$2:$G$4314,Clean_Data!$B$2:$B$4314,A42,Clean_Data!$G$2:$G$4314,"&gt;=-10")</f>
        <v>-0.148971693883524</v>
      </c>
      <c r="H42" s="39" t="n">
        <f aca="false">COUNTIFS(Clean_Data!$B$2:$B$4314,A42,Clean_Data!$G$2:$G$4314,"&gt;"&amp;$B$24)+COUNTIFS(Clean_Data!$B$2:$B$4314,A42,Clean_Data!$G$2:$G$4314,"&lt;"&amp;-$B$24)</f>
        <v>75</v>
      </c>
      <c r="I42" s="42" t="n">
        <f aca="false">H42/B42</f>
        <v>0.205479452054795</v>
      </c>
      <c r="J42" s="42" t="n">
        <f aca="false">COUNTIFS(Clean_Data!$B$2:$B$4314,A42,Clean_Data!$G$2:$G$4314,"&gt;0")/B42</f>
        <v>0.504109589041096</v>
      </c>
    </row>
    <row r="43" customFormat="false" ht="15" hidden="false" customHeight="false" outlineLevel="0" collapsed="false">
      <c r="A43" s="38" t="n">
        <v>2022</v>
      </c>
      <c r="B43" s="39" t="n">
        <f aca="false">COUNTIFS(Clean_Data!$B$2:$B$4314,A43,Clean_Data!$G$2:$G$4314,"&gt;=-10")</f>
        <v>365</v>
      </c>
      <c r="C43" s="59" t="n">
        <f aca="false">AVERAGEIFS(Clean_Data!$G$2:$G$4314,Clean_Data!$B$2:$B$4314,A43,Clean_Data!$G$2:$G$4314,"&gt;=-10")</f>
        <v>-0.00281837792613256</v>
      </c>
      <c r="D43" s="59" t="n">
        <f aca="false">SQRT((SUMIFS(Clean_Data!$H$2:$H$4314,Clean_Data!$B$2:$B$4314,A43,Clean_Data!$G$2:$G$4314,"&gt;=-10")-B43*C43^2)/(B43-1))</f>
        <v>0.0337429760103068</v>
      </c>
      <c r="E43" s="42" t="n">
        <f aca="false">D43*SQRT(Clean_Data!$R$3)</f>
        <v>0.644658651506153</v>
      </c>
      <c r="F43" s="25" t="n">
        <f aca="false">_xlfn.MAXIFS(Clean_Data!$G$2:$G$4314,Clean_Data!$B$2:$B$4314,A43,Clean_Data!$G$2:$G$4314,"&gt;=-10")</f>
        <v>0.136319742939384</v>
      </c>
      <c r="G43" s="25" t="n">
        <f aca="false">_xlfn.MINIFS(Clean_Data!$G$2:$G$4314,Clean_Data!$B$2:$B$4314,A43,Clean_Data!$G$2:$G$4314,"&gt;=-10")</f>
        <v>-0.176098784647814</v>
      </c>
      <c r="H43" s="39" t="n">
        <f aca="false">COUNTIFS(Clean_Data!$B$2:$B$4314,A43,Clean_Data!$G$2:$G$4314,"&gt;"&amp;$B$24)+COUNTIFS(Clean_Data!$B$2:$B$4314,A43,Clean_Data!$G$2:$G$4314,"&lt;"&amp;-$B$24)</f>
        <v>37</v>
      </c>
      <c r="I43" s="42" t="n">
        <f aca="false">H43/B43</f>
        <v>0.101369863013699</v>
      </c>
      <c r="J43" s="42" t="n">
        <f aca="false">COUNTIFS(Clean_Data!$B$2:$B$4314,A43,Clean_Data!$G$2:$G$4314,"&gt;0")/B43</f>
        <v>0.463013698630137</v>
      </c>
    </row>
    <row r="44" customFormat="false" ht="15" hidden="false" customHeight="false" outlineLevel="0" collapsed="false">
      <c r="A44" s="38" t="n">
        <v>2023</v>
      </c>
      <c r="B44" s="39" t="n">
        <f aca="false">COUNTIFS(Clean_Data!$B$2:$B$4314,A44,Clean_Data!$G$2:$G$4314,"&gt;=-10")</f>
        <v>365</v>
      </c>
      <c r="C44" s="59" t="n">
        <f aca="false">AVERAGEIFS(Clean_Data!$G$2:$G$4314,Clean_Data!$B$2:$B$4314,A44,Clean_Data!$G$2:$G$4314,"&gt;=-10")</f>
        <v>0.00257415923158263</v>
      </c>
      <c r="D44" s="59" t="n">
        <f aca="false">SQRT((SUMIFS(Clean_Data!$H$2:$H$4314,Clean_Data!$B$2:$B$4314,A44,Clean_Data!$G$2:$G$4314,"&gt;=-10")-B44*C44^2)/(B44-1))</f>
        <v>0.0229217163182278</v>
      </c>
      <c r="E44" s="42" t="n">
        <f aca="false">D44*SQRT(Clean_Data!$R$3)</f>
        <v>0.437918775374223</v>
      </c>
      <c r="F44" s="25" t="n">
        <f aca="false">_xlfn.MAXIFS(Clean_Data!$G$2:$G$4314,Clean_Data!$B$2:$B$4314,A44,Clean_Data!$G$2:$G$4314,"&gt;=-10")</f>
        <v>0.0989388749660537</v>
      </c>
      <c r="G44" s="25" t="n">
        <f aca="false">_xlfn.MINIFS(Clean_Data!$G$2:$G$4314,Clean_Data!$B$2:$B$4314,A44,Clean_Data!$G$2:$G$4314,"&gt;=-10")</f>
        <v>-0.0757514850579627</v>
      </c>
      <c r="H44" s="39" t="n">
        <f aca="false">COUNTIFS(Clean_Data!$B$2:$B$4314,A44,Clean_Data!$G$2:$G$4314,"&gt;"&amp;$B$24)+COUNTIFS(Clean_Data!$B$2:$B$4314,A44,Clean_Data!$G$2:$G$4314,"&lt;"&amp;-$B$24)</f>
        <v>22</v>
      </c>
      <c r="I44" s="42" t="n">
        <f aca="false">H44/B44</f>
        <v>0.0602739726027397</v>
      </c>
      <c r="J44" s="42" t="n">
        <f aca="false">COUNTIFS(Clean_Data!$B$2:$B$4314,A44,Clean_Data!$G$2:$G$4314,"&gt;0")/B44</f>
        <v>0.504109589041096</v>
      </c>
    </row>
    <row r="45" customFormat="false" ht="15" hidden="false" customHeight="false" outlineLevel="0" collapsed="false">
      <c r="A45" s="38" t="n">
        <v>2024</v>
      </c>
      <c r="B45" s="39" t="n">
        <f aca="false">COUNTIFS(Clean_Data!$B$2:$B$4314,A45,Clean_Data!$G$2:$G$4314,"&gt;=-10")</f>
        <v>366</v>
      </c>
      <c r="C45" s="59" t="n">
        <f aca="false">AVERAGEIFS(Clean_Data!$G$2:$G$4314,Clean_Data!$B$2:$B$4314,A45,Clean_Data!$G$2:$G$4314,"&gt;=-10")</f>
        <v>0.00219279152375996</v>
      </c>
      <c r="D45" s="59" t="n">
        <f aca="false">SQRT((SUMIFS(Clean_Data!$H$2:$H$4314,Clean_Data!$B$2:$B$4314,A45,Clean_Data!$G$2:$G$4314,"&gt;=-10")-B45*C45^2)/(B45-1))</f>
        <v>0.0277176233465573</v>
      </c>
      <c r="E45" s="42" t="n">
        <f aca="false">D45*SQRT(Clean_Data!$R$3)</f>
        <v>0.529544450498059</v>
      </c>
      <c r="F45" s="25" t="n">
        <f aca="false">_xlfn.MAXIFS(Clean_Data!$G$2:$G$4314,Clean_Data!$B$2:$B$4314,A45,Clean_Data!$G$2:$G$4314,"&gt;=-10")</f>
        <v>0.112219592669348</v>
      </c>
      <c r="G45" s="25" t="n">
        <f aca="false">_xlfn.MINIFS(Clean_Data!$G$2:$G$4314,Clean_Data!$B$2:$B$4314,A45,Clean_Data!$G$2:$G$4314,"&gt;=-10")</f>
        <v>-0.086340120195543</v>
      </c>
      <c r="H45" s="39" t="n">
        <f aca="false">COUNTIFS(Clean_Data!$B$2:$B$4314,A45,Clean_Data!$G$2:$G$4314,"&gt;"&amp;$B$24)+COUNTIFS(Clean_Data!$B$2:$B$4314,A45,Clean_Data!$G$2:$G$4314,"&lt;"&amp;-$B$24)</f>
        <v>26</v>
      </c>
      <c r="I45" s="42" t="n">
        <f aca="false">H45/B45</f>
        <v>0.0710382513661202</v>
      </c>
      <c r="J45" s="42" t="n">
        <f aca="false">COUNTIFS(Clean_Data!$B$2:$B$4314,A45,Clean_Data!$G$2:$G$4314,"&gt;0")/B45</f>
        <v>0.530054644808743</v>
      </c>
    </row>
    <row r="46" customFormat="false" ht="15" hidden="false" customHeight="false" outlineLevel="0" collapsed="false">
      <c r="A46" s="38" t="n">
        <v>2025</v>
      </c>
      <c r="B46" s="39" t="n">
        <f aca="false">COUNTIFS(Clean_Data!$B$2:$B$4314,A46,Clean_Data!$G$2:$G$4314,"&gt;=-10")</f>
        <v>365</v>
      </c>
      <c r="C46" s="59" t="n">
        <f aca="false">AVERAGEIFS(Clean_Data!$G$2:$G$4314,Clean_Data!$B$2:$B$4314,A46,Clean_Data!$G$2:$G$4314,"&gt;=-10")</f>
        <v>-0.000201345027372384</v>
      </c>
      <c r="D46" s="59" t="n">
        <f aca="false">SQRT((SUMIFS(Clean_Data!$H$2:$H$4314,Clean_Data!$B$2:$B$4314,A46,Clean_Data!$G$2:$G$4314,"&gt;=-10")-B46*C46^2)/(B46-1))</f>
        <v>0.0219324114071682</v>
      </c>
      <c r="E46" s="42" t="n">
        <f aca="false">D46*SQRT(Clean_Data!$R$3)</f>
        <v>0.419018131586984</v>
      </c>
      <c r="F46" s="25" t="n">
        <f aca="false">_xlfn.MAXIFS(Clean_Data!$G$2:$G$4314,Clean_Data!$B$2:$B$4314,A46,Clean_Data!$G$2:$G$4314,"&gt;=-10")</f>
        <v>0.0915496448739535</v>
      </c>
      <c r="G46" s="25" t="n">
        <f aca="false">_xlfn.MINIFS(Clean_Data!$G$2:$G$4314,Clean_Data!$B$2:$B$4314,A46,Clean_Data!$G$2:$G$4314,"&gt;=-10")</f>
        <v>-0.0898962571615214</v>
      </c>
      <c r="H46" s="39" t="n">
        <f aca="false">COUNTIFS(Clean_Data!$B$2:$B$4314,A46,Clean_Data!$G$2:$G$4314,"&gt;"&amp;$B$24)+COUNTIFS(Clean_Data!$B$2:$B$4314,A46,Clean_Data!$G$2:$G$4314,"&lt;"&amp;-$B$24)</f>
        <v>14</v>
      </c>
      <c r="I46" s="42" t="n">
        <f aca="false">H46/B46</f>
        <v>0.0383561643835616</v>
      </c>
      <c r="J46" s="42" t="n">
        <f aca="false">COUNTIFS(Clean_Data!$B$2:$B$4314,A46,Clean_Data!$G$2:$G$4314,"&gt;0")/B46</f>
        <v>0.498630136986301</v>
      </c>
      <c r="L46" s="22" t="s">
        <v>229</v>
      </c>
    </row>
    <row r="47" customFormat="false" ht="15" hidden="false" customHeight="false" outlineLevel="0" collapsed="false">
      <c r="A47" s="38" t="n">
        <v>2026</v>
      </c>
      <c r="B47" s="39" t="n">
        <f aca="false">COUNTIFS(Clean_Data!$B$2:$B$4314,A47,Clean_Data!$G$2:$G$4314,"&gt;=-10")</f>
        <v>299</v>
      </c>
      <c r="C47" s="59" t="n">
        <f aca="false">AVERAGEIFS(Clean_Data!$G$2:$G$4314,Clean_Data!$B$2:$B$4314,A47,Clean_Data!$G$2:$G$4314,"&gt;=-10")</f>
        <v>-0.000304831194949498</v>
      </c>
      <c r="D47" s="59" t="n">
        <f aca="false">SQRT((SUMIFS(Clean_Data!$H$2:$H$4314,Clean_Data!$B$2:$B$4314,A47,Clean_Data!$G$2:$G$4314,"&gt;=-10")-B47*C47^2)/(B47-1))</f>
        <v>0.0222001901204703</v>
      </c>
      <c r="E47" s="42" t="n">
        <f aca="false">D47*SQRT(Clean_Data!$R$3)</f>
        <v>0.424134036721335</v>
      </c>
      <c r="F47" s="25" t="n">
        <f aca="false">_xlfn.MAXIFS(Clean_Data!$G$2:$G$4314,Clean_Data!$B$2:$B$4314,A47,Clean_Data!$G$2:$G$4314,"&gt;=-10")</f>
        <v>0.0911096208136085</v>
      </c>
      <c r="G47" s="25" t="n">
        <f aca="false">_xlfn.MINIFS(Clean_Data!$G$2:$G$4314,Clean_Data!$B$2:$B$4314,A47,Clean_Data!$G$2:$G$4314,"&gt;=-10")</f>
        <v>-0.131980778935527</v>
      </c>
      <c r="H47" s="39" t="n">
        <f aca="false">COUNTIFS(Clean_Data!$B$2:$B$4314,A47,Clean_Data!$G$2:$G$4314,"&gt;"&amp;$B$24)+COUNTIFS(Clean_Data!$B$2:$B$4314,A47,Clean_Data!$G$2:$G$4314,"&lt;"&amp;-$B$24)</f>
        <v>13</v>
      </c>
      <c r="I47" s="42" t="n">
        <f aca="false">H47/B47</f>
        <v>0.0434782608695652</v>
      </c>
      <c r="J47" s="42" t="n">
        <f aca="false">COUNTIFS(Clean_Data!$B$2:$B$4314,A47,Clean_Data!$G$2:$G$4314,"&gt;0")/B47</f>
        <v>0.471571906354515</v>
      </c>
    </row>
    <row r="48" customFormat="false" ht="15" hidden="false" customHeight="false" outlineLevel="0" collapsed="false">
      <c r="A48" s="43" t="s">
        <v>230</v>
      </c>
      <c r="B48" s="44" t="n">
        <f aca="false">SUM(B36:B47)</f>
        <v>4296</v>
      </c>
      <c r="C48" s="60" t="n">
        <f aca="false">AVERAGE(Clean_Data!$G$2:$G$4314)</f>
        <v>0.00136854566036496</v>
      </c>
      <c r="D48" s="60" t="n">
        <f aca="false">SQRT((SUM(Clean_Data!$H$2:$H$4314)-B48*C48^2)/(B48-1))</f>
        <v>0.0345609098505803</v>
      </c>
      <c r="E48" s="61" t="n">
        <f aca="false">D48*SQRT(Clean_Data!$R$3)</f>
        <v>0.660285255583128</v>
      </c>
      <c r="F48" s="62" t="n">
        <f aca="false">MAX(F36:F47)</f>
        <v>0.24060602804974</v>
      </c>
      <c r="G48" s="62" t="n">
        <f aca="false">MIN(G36:G47)</f>
        <v>-0.468624666865794</v>
      </c>
      <c r="H48" s="44" t="n">
        <f aca="false">SUM(H36:H47)</f>
        <v>495</v>
      </c>
      <c r="I48" s="61" t="n">
        <f aca="false">H48/B48</f>
        <v>0.115223463687151</v>
      </c>
      <c r="J48" s="61" t="n">
        <f aca="false">COUNTIF(Clean_Data!$G$2:$G$4314,"&gt;0")/B48</f>
        <v>0.521182495344507</v>
      </c>
    </row>
    <row r="49" customFormat="false" ht="15" hidden="false" customHeight="false" outlineLevel="0" collapsed="false">
      <c r="A49" s="22" t="s">
        <v>231</v>
      </c>
    </row>
    <row r="51" customFormat="false" ht="15" hidden="false" customHeight="false" outlineLevel="0" collapsed="false">
      <c r="A51" s="3" t="s">
        <v>232</v>
      </c>
    </row>
    <row r="52" customFormat="false" ht="18" hidden="false" customHeight="true" outlineLevel="0" collapsed="false">
      <c r="A52" s="6" t="s">
        <v>72</v>
      </c>
      <c r="B52" s="7" t="s">
        <v>233</v>
      </c>
      <c r="C52" s="7" t="s">
        <v>234</v>
      </c>
    </row>
    <row r="53" customFormat="false" ht="15" hidden="false" customHeight="false" outlineLevel="0" collapsed="false">
      <c r="A53" s="5" t="s">
        <v>235</v>
      </c>
      <c r="B53" s="63" t="n">
        <v>2015</v>
      </c>
      <c r="C53" s="63" t="n">
        <v>2021</v>
      </c>
    </row>
    <row r="54" customFormat="false" ht="15" hidden="false" customHeight="false" outlineLevel="0" collapsed="false">
      <c r="A54" s="5" t="s">
        <v>236</v>
      </c>
      <c r="B54" s="63" t="n">
        <v>2020</v>
      </c>
      <c r="C54" s="63" t="n">
        <v>2026</v>
      </c>
    </row>
    <row r="55" customFormat="false" ht="15" hidden="false" customHeight="false" outlineLevel="0" collapsed="false">
      <c r="A55" s="5" t="s">
        <v>178</v>
      </c>
      <c r="B55" s="18" t="n">
        <f aca="false">COUNTIFS(Clean_Data!$B$2:$B$4314,"&gt;="&amp;B53,Clean_Data!$B$2:$B$4314,"&lt;="&amp;B54,Clean_Data!$G$2:$G$4314,"&gt;=-10")</f>
        <v>2171</v>
      </c>
      <c r="C55" s="18" t="n">
        <f aca="false">COUNTIFS(Clean_Data!$B$2:$B$4314,"&gt;="&amp;C53,Clean_Data!$B$2:$B$4314,"&lt;="&amp;C54,Clean_Data!$G$2:$G$4314,"&gt;=-10")</f>
        <v>2125</v>
      </c>
    </row>
    <row r="56" customFormat="false" ht="15" hidden="false" customHeight="false" outlineLevel="0" collapsed="false">
      <c r="A56" s="5" t="s">
        <v>180</v>
      </c>
      <c r="B56" s="51" t="n">
        <f aca="false">AVERAGEIFS(Clean_Data!$G$2:$G$4314,Clean_Data!$B$2:$B$4314,"&gt;="&amp;B53,Clean_Data!$B$2:$B$4314,"&lt;="&amp;B54,Clean_Data!$G$2:$G$4314,"&gt;=-10")</f>
        <v>0.0022407949303171</v>
      </c>
      <c r="C56" s="51" t="n">
        <f aca="false">AVERAGEIFS(Clean_Data!$G$2:$G$4314,Clean_Data!$B$2:$B$4314,"&gt;="&amp;C53,Clean_Data!$B$2:$B$4314,"&lt;="&amp;C54,Clean_Data!$G$2:$G$4314,"&gt;=-10")</f>
        <v>0.000477414759157391</v>
      </c>
    </row>
    <row r="57" customFormat="false" ht="15" hidden="false" customHeight="false" outlineLevel="0" collapsed="false">
      <c r="A57" s="5" t="s">
        <v>237</v>
      </c>
      <c r="B57" s="35" t="n">
        <f aca="false">(SUMIFS(Clean_Data!$H$2:$H$4314,Clean_Data!$B$2:$B$4314,"&gt;="&amp;B53,Clean_Data!$B$2:$B$4314,"&lt;="&amp;B54,Clean_Data!$G$2:$G$4314,"&gt;=-10")-B55*B56^2)/(B55-1)</f>
        <v>0.00150437584825029</v>
      </c>
      <c r="C57" s="35" t="n">
        <f aca="false">(SUMIFS(Clean_Data!$H$2:$H$4314,Clean_Data!$B$2:$B$4314,"&gt;="&amp;C53,Clean_Data!$B$2:$B$4314,"&lt;="&amp;C54,Clean_Data!$G$2:$G$4314,"&gt;=-10")-C55*C56^2)/(C55-1)</f>
        <v>0.00087681534939537</v>
      </c>
    </row>
    <row r="58" customFormat="false" ht="15" hidden="false" customHeight="false" outlineLevel="0" collapsed="false">
      <c r="A58" s="5" t="s">
        <v>223</v>
      </c>
      <c r="B58" s="51" t="n">
        <f aca="false">SQRT(B57)</f>
        <v>0.0387862842800169</v>
      </c>
      <c r="C58" s="51" t="n">
        <f aca="false">SQRT(C57)</f>
        <v>0.0296110680218625</v>
      </c>
    </row>
    <row r="59" customFormat="false" ht="15" hidden="false" customHeight="false" outlineLevel="0" collapsed="false">
      <c r="A59" s="5" t="s">
        <v>192</v>
      </c>
      <c r="B59" s="32" t="n">
        <f aca="false">B58*SQRT(Clean_Data!$R$3)</f>
        <v>0.741010920709915</v>
      </c>
      <c r="C59" s="32" t="n">
        <f aca="false">C58*SQRT(Clean_Data!$R$3)</f>
        <v>0.565718660227246</v>
      </c>
    </row>
    <row r="60" customFormat="false" ht="15" hidden="false" customHeight="false" outlineLevel="0" collapsed="false">
      <c r="A60" s="5" t="s">
        <v>238</v>
      </c>
      <c r="B60" s="32" t="n">
        <f aca="false">C59-B59</f>
        <v>-0.175292260482669</v>
      </c>
      <c r="C60" s="32" t="n">
        <f aca="false">C59/B59-1</f>
        <v>-0.236558268688851</v>
      </c>
      <c r="D60" s="22" t="s">
        <v>239</v>
      </c>
    </row>
    <row r="61" customFormat="false" ht="15" hidden="false" customHeight="false" outlineLevel="0" collapsed="false">
      <c r="A61" s="5" t="s">
        <v>240</v>
      </c>
      <c r="B61" s="34" t="n">
        <f aca="false">MAX(B57,C57)/MIN(B57,C57)</f>
        <v>1.71572709041609</v>
      </c>
    </row>
    <row r="62" customFormat="false" ht="15" hidden="false" customHeight="false" outlineLevel="0" collapsed="false">
      <c r="A62" s="5" t="s">
        <v>241</v>
      </c>
      <c r="B62" s="18" t="n">
        <f aca="false">IF(B57&gt;=C57,B55,C55)-1</f>
        <v>2170</v>
      </c>
      <c r="C62" s="18" t="n">
        <f aca="false">IF(B57&gt;=C57,C55,B55)-1</f>
        <v>2124</v>
      </c>
    </row>
    <row r="63" customFormat="false" ht="15" hidden="false" customHeight="false" outlineLevel="0" collapsed="false">
      <c r="A63" s="5" t="s">
        <v>242</v>
      </c>
      <c r="B63" s="34" t="n">
        <f aca="false">MIN(1,2*_xlfn.F.DIST.RT(B61,B62,C62))</f>
        <v>2.08482992700321E-035</v>
      </c>
    </row>
    <row r="64" customFormat="false" ht="15" hidden="false" customHeight="false" outlineLevel="0" collapsed="false">
      <c r="A64" s="5" t="s">
        <v>243</v>
      </c>
      <c r="B64" s="64" t="str">
        <f aca="false">IF(B63&lt;0.05,"Variances differ significantly","No significant difference")</f>
        <v>Variances differ significantly</v>
      </c>
    </row>
    <row r="65" customFormat="false" ht="15" hidden="false" customHeight="false" outlineLevel="0" collapsed="false">
      <c r="A65" s="5" t="s">
        <v>244</v>
      </c>
      <c r="B65" s="32" t="n">
        <f aca="false">SLOPE(E36:E46,A36:A46)</f>
        <v>-0.0218653564275117</v>
      </c>
      <c r="D65" s="22" t="s">
        <v>245</v>
      </c>
    </row>
    <row r="66" customFormat="false" ht="15" hidden="false" customHeight="false" outlineLevel="0" collapsed="false">
      <c r="A66" s="5" t="s">
        <v>246</v>
      </c>
      <c r="B66" s="34" t="n">
        <f aca="false">CORREL(E36:E46,A36:A46)</f>
        <v>-0.416238470209355</v>
      </c>
      <c r="D66" s="22" t="s">
        <v>247</v>
      </c>
    </row>
    <row r="67" customFormat="false" ht="15" hidden="false" customHeight="false" outlineLevel="0" collapsed="false">
      <c r="A67" s="5" t="s">
        <v>248</v>
      </c>
      <c r="B67" s="34" t="n">
        <f aca="false">RSQ(E36:E46,A36:A46)</f>
        <v>0.173254464082224</v>
      </c>
    </row>
    <row r="68" customFormat="false" ht="15" hidden="false" customHeight="false" outlineLevel="0" collapsed="false">
      <c r="A68" s="13" t="s">
        <v>249</v>
      </c>
      <c r="B68" s="65" t="n">
        <f aca="false">_xlfn.STDEV.S(Clean_Data!G3950:G4314)*SQRT(Clean_Data!$R$3)</f>
        <v>0.420614475291961</v>
      </c>
      <c r="C68" s="66"/>
      <c r="D68" s="22" t="s">
        <v>250</v>
      </c>
      <c r="L68" s="22" t="s">
        <v>251</v>
      </c>
    </row>
    <row r="69" customFormat="false" ht="15" hidden="false" customHeight="false" outlineLevel="0" collapsed="false">
      <c r="A69" s="22" t="s">
        <v>252</v>
      </c>
    </row>
    <row r="71" customFormat="false" ht="15" hidden="false" customHeight="false" outlineLevel="0" collapsed="false">
      <c r="A71" s="3" t="s">
        <v>253</v>
      </c>
    </row>
    <row r="72" customFormat="false" ht="42" hidden="false" customHeight="true" outlineLevel="0" collapsed="false">
      <c r="A72" s="6" t="s">
        <v>254</v>
      </c>
      <c r="B72" s="7" t="s">
        <v>255</v>
      </c>
      <c r="C72" s="7" t="s">
        <v>256</v>
      </c>
      <c r="D72" s="7" t="s">
        <v>257</v>
      </c>
      <c r="E72" s="7" t="s">
        <v>258</v>
      </c>
      <c r="F72" s="7" t="s">
        <v>259</v>
      </c>
      <c r="G72" s="7" t="s">
        <v>260</v>
      </c>
    </row>
    <row r="73" customFormat="false" ht="15" hidden="false" customHeight="false" outlineLevel="0" collapsed="false">
      <c r="A73" s="67" t="str">
        <f aca="false">IF(B73&lt;=-1,"&lt;"&amp;TEXT(C73*100,"0"),IF(C73&gt;=1,"&gt;"&amp;TEXT(B73*100,"0"),TEXT(B73*100,"0")))</f>
        <v>&lt;-15</v>
      </c>
      <c r="B73" s="68" t="n">
        <v>-1</v>
      </c>
      <c r="C73" s="68" t="n">
        <v>-0.15</v>
      </c>
      <c r="D73" s="39" t="n">
        <f aca="false">COUNTIFS(Clean_Data!$G$2:$G$4314,"&gt;="&amp;B73,Clean_Data!$G$2:$G$4314,"&lt;"&amp;C73)</f>
        <v>8</v>
      </c>
      <c r="E73" s="25" t="n">
        <f aca="false">D73/$B$8</f>
        <v>0.00186219739292365</v>
      </c>
      <c r="F73" s="69" t="n">
        <f aca="false">$B$8*(_xlfn.NORM.DIST(C73,$B$9,$B$11,TRUE())-_xlfn.NORM.DIST(B73,$B$9,$B$11,TRUE()))</f>
        <v>0.025520220198149</v>
      </c>
      <c r="G73" s="25" t="n">
        <f aca="false">F73/$B$8</f>
        <v>5.94046093997881E-006</v>
      </c>
    </row>
    <row r="74" customFormat="false" ht="15" hidden="false" customHeight="false" outlineLevel="0" collapsed="false">
      <c r="A74" s="67" t="str">
        <f aca="false">IF(B74&lt;=-1,"&lt;"&amp;TEXT(C74*100,"0"),IF(C74&gt;=1,"&gt;"&amp;TEXT(B74*100,"0"),TEXT(B74*100,"0")))</f>
        <v>-15</v>
      </c>
      <c r="B74" s="68" t="n">
        <v>-0.15</v>
      </c>
      <c r="C74" s="68" t="n">
        <v>-0.14</v>
      </c>
      <c r="D74" s="39" t="n">
        <f aca="false">COUNTIFS(Clean_Data!$G$2:$G$4314,"&gt;="&amp;B74,Clean_Data!$G$2:$G$4314,"&lt;"&amp;C74)</f>
        <v>6</v>
      </c>
      <c r="E74" s="25" t="n">
        <f aca="false">D74/$B$8</f>
        <v>0.00139664804469274</v>
      </c>
      <c r="F74" s="69" t="n">
        <f aca="false">$B$8*(_xlfn.NORM.DIST(C74,$B$9,$B$11,TRUE())-_xlfn.NORM.DIST(B74,$B$9,$B$11,TRUE()))</f>
        <v>0.0669721485859287</v>
      </c>
      <c r="G74" s="25" t="n">
        <f aca="false">F74/$B$8</f>
        <v>1.55894200619015E-005</v>
      </c>
    </row>
    <row r="75" customFormat="false" ht="15" hidden="false" customHeight="false" outlineLevel="0" collapsed="false">
      <c r="A75" s="67" t="str">
        <f aca="false">IF(B75&lt;=-1,"&lt;"&amp;TEXT(C75*100,"0"),IF(C75&gt;=1,"&gt;"&amp;TEXT(B75*100,"0"),TEXT(B75*100,"0")))</f>
        <v>-14</v>
      </c>
      <c r="B75" s="68" t="n">
        <v>-0.14</v>
      </c>
      <c r="C75" s="68" t="n">
        <v>-0.13</v>
      </c>
      <c r="D75" s="39" t="n">
        <f aca="false">COUNTIFS(Clean_Data!$G$2:$G$4314,"&gt;="&amp;B75,Clean_Data!$G$2:$G$4314,"&lt;"&amp;C75)</f>
        <v>2</v>
      </c>
      <c r="E75" s="25" t="n">
        <f aca="false">D75/$B$8</f>
        <v>0.000465549348230913</v>
      </c>
      <c r="F75" s="69" t="n">
        <f aca="false">$B$8*(_xlfn.NORM.DIST(C75,$B$9,$B$11,TRUE())-_xlfn.NORM.DIST(B75,$B$9,$B$11,TRUE()))</f>
        <v>0.216971649159833</v>
      </c>
      <c r="G75" s="25" t="n">
        <f aca="false">F75/$B$8</f>
        <v>5.05055049254733E-005</v>
      </c>
    </row>
    <row r="76" customFormat="false" ht="15" hidden="false" customHeight="false" outlineLevel="0" collapsed="false">
      <c r="A76" s="67" t="str">
        <f aca="false">IF(B76&lt;=-1,"&lt;"&amp;TEXT(C76*100,"0"),IF(C76&gt;=1,"&gt;"&amp;TEXT(B76*100,"0"),TEXT(B76*100,"0")))</f>
        <v>-13</v>
      </c>
      <c r="B76" s="68" t="n">
        <v>-0.13</v>
      </c>
      <c r="C76" s="68" t="n">
        <v>-0.12</v>
      </c>
      <c r="D76" s="39" t="n">
        <f aca="false">COUNTIFS(Clean_Data!$G$2:$G$4314,"&gt;="&amp;B76,Clean_Data!$G$2:$G$4314,"&lt;"&amp;C76)</f>
        <v>7</v>
      </c>
      <c r="E76" s="25" t="n">
        <f aca="false">D76/$B$8</f>
        <v>0.00162942271880819</v>
      </c>
      <c r="F76" s="69" t="n">
        <f aca="false">$B$8*(_xlfn.NORM.DIST(C76,$B$9,$B$11,TRUE())-_xlfn.NORM.DIST(B76,$B$9,$B$11,TRUE()))</f>
        <v>0.646829668867632</v>
      </c>
      <c r="G76" s="25" t="n">
        <f aca="false">F76/$B$8</f>
        <v>0.000150565565378872</v>
      </c>
    </row>
    <row r="77" customFormat="false" ht="15" hidden="false" customHeight="false" outlineLevel="0" collapsed="false">
      <c r="A77" s="67" t="str">
        <f aca="false">IF(B77&lt;=-1,"&lt;"&amp;TEXT(C77*100,"0"),IF(C77&gt;=1,"&gt;"&amp;TEXT(B77*100,"0"),TEXT(B77*100,"0")))</f>
        <v>-12</v>
      </c>
      <c r="B77" s="68" t="n">
        <v>-0.12</v>
      </c>
      <c r="C77" s="68" t="n">
        <v>-0.11</v>
      </c>
      <c r="D77" s="39" t="n">
        <f aca="false">COUNTIFS(Clean_Data!$G$2:$G$4314,"&gt;="&amp;B77,Clean_Data!$G$2:$G$4314,"&lt;"&amp;C77)</f>
        <v>12</v>
      </c>
      <c r="E77" s="25" t="n">
        <f aca="false">D77/$B$8</f>
        <v>0.00279329608938548</v>
      </c>
      <c r="F77" s="69" t="n">
        <f aca="false">$B$8*(_xlfn.NORM.DIST(C77,$B$9,$B$11,TRUE())-_xlfn.NORM.DIST(B77,$B$9,$B$11,TRUE()))</f>
        <v>1.77442303310776</v>
      </c>
      <c r="G77" s="25" t="n">
        <f aca="false">F77/$B$8</f>
        <v>0.000413040743274619</v>
      </c>
    </row>
    <row r="78" customFormat="false" ht="15" hidden="false" customHeight="false" outlineLevel="0" collapsed="false">
      <c r="A78" s="67" t="str">
        <f aca="false">IF(B78&lt;=-1,"&lt;"&amp;TEXT(C78*100,"0"),IF(C78&gt;=1,"&gt;"&amp;TEXT(B78*100,"0"),TEXT(B78*100,"0")))</f>
        <v>-11</v>
      </c>
      <c r="B78" s="68" t="n">
        <v>-0.11</v>
      </c>
      <c r="C78" s="68" t="n">
        <v>-0.1</v>
      </c>
      <c r="D78" s="39" t="n">
        <f aca="false">COUNTIFS(Clean_Data!$G$2:$G$4314,"&gt;="&amp;B78,Clean_Data!$G$2:$G$4314,"&lt;"&amp;C78)</f>
        <v>16</v>
      </c>
      <c r="E78" s="25" t="n">
        <f aca="false">D78/$B$8</f>
        <v>0.0037243947858473</v>
      </c>
      <c r="F78" s="69" t="n">
        <f aca="false">$B$8*(_xlfn.NORM.DIST(C78,$B$9,$B$11,TRUE())-_xlfn.NORM.DIST(B78,$B$9,$B$11,TRUE()))</f>
        <v>4.47926407719225</v>
      </c>
      <c r="G78" s="25" t="n">
        <f aca="false">F78/$B$8</f>
        <v>0.0010426592358455</v>
      </c>
    </row>
    <row r="79" customFormat="false" ht="15" hidden="false" customHeight="false" outlineLevel="0" collapsed="false">
      <c r="A79" s="67" t="str">
        <f aca="false">IF(B79&lt;=-1,"&lt;"&amp;TEXT(C79*100,"0"),IF(C79&gt;=1,"&gt;"&amp;TEXT(B79*100,"0"),TEXT(B79*100,"0")))</f>
        <v>-10</v>
      </c>
      <c r="B79" s="68" t="n">
        <v>-0.1</v>
      </c>
      <c r="C79" s="68" t="n">
        <v>-0.09</v>
      </c>
      <c r="D79" s="39" t="n">
        <f aca="false">COUNTIFS(Clean_Data!$G$2:$G$4314,"&gt;="&amp;B79,Clean_Data!$G$2:$G$4314,"&lt;"&amp;C79)</f>
        <v>11</v>
      </c>
      <c r="E79" s="25" t="n">
        <f aca="false">D79/$B$8</f>
        <v>0.00256052141527002</v>
      </c>
      <c r="F79" s="69" t="n">
        <f aca="false">$B$8*(_xlfn.NORM.DIST(C79,$B$9,$B$11,TRUE())-_xlfn.NORM.DIST(B79,$B$9,$B$11,TRUE()))</f>
        <v>10.4049565164355</v>
      </c>
      <c r="G79" s="25" t="n">
        <f aca="false">F79/$B$8</f>
        <v>0.00242201036229877</v>
      </c>
    </row>
    <row r="80" customFormat="false" ht="15" hidden="false" customHeight="false" outlineLevel="0" collapsed="false">
      <c r="A80" s="67" t="str">
        <f aca="false">IF(B80&lt;=-1,"&lt;"&amp;TEXT(C80*100,"0"),IF(C80&gt;=1,"&gt;"&amp;TEXT(B80*100,"0"),TEXT(B80*100,"0")))</f>
        <v>-9</v>
      </c>
      <c r="B80" s="68" t="n">
        <v>-0.09</v>
      </c>
      <c r="C80" s="68" t="n">
        <v>-0.08</v>
      </c>
      <c r="D80" s="39" t="n">
        <f aca="false">COUNTIFS(Clean_Data!$G$2:$G$4314,"&gt;="&amp;B80,Clean_Data!$G$2:$G$4314,"&lt;"&amp;C80)</f>
        <v>18</v>
      </c>
      <c r="E80" s="25" t="n">
        <f aca="false">D80/$B$8</f>
        <v>0.00418994413407821</v>
      </c>
      <c r="F80" s="69" t="n">
        <f aca="false">$B$8*(_xlfn.NORM.DIST(C80,$B$9,$B$11,TRUE())-_xlfn.NORM.DIST(B80,$B$9,$B$11,TRUE()))</f>
        <v>22.2412741111055</v>
      </c>
      <c r="G80" s="25" t="n">
        <f aca="false">F80/$B$8</f>
        <v>0.00517720533312511</v>
      </c>
    </row>
    <row r="81" customFormat="false" ht="15" hidden="false" customHeight="false" outlineLevel="0" collapsed="false">
      <c r="A81" s="67" t="str">
        <f aca="false">IF(B81&lt;=-1,"&lt;"&amp;TEXT(C81*100,"0"),IF(C81&gt;=1,"&gt;"&amp;TEXT(B81*100,"0"),TEXT(B81*100,"0")))</f>
        <v>-8</v>
      </c>
      <c r="B81" s="68" t="n">
        <v>-0.08</v>
      </c>
      <c r="C81" s="68" t="n">
        <v>-0.07</v>
      </c>
      <c r="D81" s="39" t="n">
        <f aca="false">COUNTIFS(Clean_Data!$G$2:$G$4314,"&gt;="&amp;B81,Clean_Data!$G$2:$G$4314,"&lt;"&amp;C81)</f>
        <v>32</v>
      </c>
      <c r="E81" s="25" t="n">
        <f aca="false">D81/$B$8</f>
        <v>0.0074487895716946</v>
      </c>
      <c r="F81" s="69" t="n">
        <f aca="false">$B$8*(_xlfn.NORM.DIST(C81,$B$9,$B$11,TRUE())-_xlfn.NORM.DIST(B81,$B$9,$B$11,TRUE()))</f>
        <v>43.7488241544695</v>
      </c>
      <c r="G81" s="25" t="n">
        <f aca="false">F81/$B$8</f>
        <v>0.010183618285491</v>
      </c>
    </row>
    <row r="82" customFormat="false" ht="15" hidden="false" customHeight="false" outlineLevel="0" collapsed="false">
      <c r="A82" s="67" t="str">
        <f aca="false">IF(B82&lt;=-1,"&lt;"&amp;TEXT(C82*100,"0"),IF(C82&gt;=1,"&gt;"&amp;TEXT(B82*100,"0"),TEXT(B82*100,"0")))</f>
        <v>-7</v>
      </c>
      <c r="B82" s="68" t="n">
        <v>-0.07</v>
      </c>
      <c r="C82" s="68" t="n">
        <v>-0.06</v>
      </c>
      <c r="D82" s="39" t="n">
        <f aca="false">COUNTIFS(Clean_Data!$G$2:$G$4314,"&gt;="&amp;B82,Clean_Data!$G$2:$G$4314,"&lt;"&amp;C82)</f>
        <v>68</v>
      </c>
      <c r="E82" s="25" t="n">
        <f aca="false">D82/$B$8</f>
        <v>0.015828677839851</v>
      </c>
      <c r="F82" s="69" t="n">
        <f aca="false">$B$8*(_xlfn.NORM.DIST(C82,$B$9,$B$11,TRUE())-_xlfn.NORM.DIST(B82,$B$9,$B$11,TRUE()))</f>
        <v>79.1884458984298</v>
      </c>
      <c r="G82" s="25" t="n">
        <f aca="false">F82/$B$8</f>
        <v>0.0184330646877164</v>
      </c>
    </row>
    <row r="83" customFormat="false" ht="15" hidden="false" customHeight="false" outlineLevel="0" collapsed="false">
      <c r="A83" s="67" t="str">
        <f aca="false">IF(B83&lt;=-1,"&lt;"&amp;TEXT(C83*100,"0"),IF(C83&gt;=1,"&gt;"&amp;TEXT(B83*100,"0"),TEXT(B83*100,"0")))</f>
        <v>-6</v>
      </c>
      <c r="B83" s="68" t="n">
        <v>-0.06</v>
      </c>
      <c r="C83" s="68" t="n">
        <v>-0.05</v>
      </c>
      <c r="D83" s="39" t="n">
        <f aca="false">COUNTIFS(Clean_Data!$G$2:$G$4314,"&gt;="&amp;B83,Clean_Data!$G$2:$G$4314,"&lt;"&amp;C83)</f>
        <v>60</v>
      </c>
      <c r="E83" s="25" t="n">
        <f aca="false">D83/$B$8</f>
        <v>0.0139664804469274</v>
      </c>
      <c r="F83" s="69" t="n">
        <f aca="false">$B$8*(_xlfn.NORM.DIST(C83,$B$9,$B$11,TRUE())-_xlfn.NORM.DIST(B83,$B$9,$B$11,TRUE()))</f>
        <v>131.900727509057</v>
      </c>
      <c r="G83" s="25" t="n">
        <f aca="false">F83/$B$8</f>
        <v>0.0307031488615124</v>
      </c>
    </row>
    <row r="84" customFormat="false" ht="15" hidden="false" customHeight="false" outlineLevel="0" collapsed="false">
      <c r="A84" s="67" t="str">
        <f aca="false">IF(B84&lt;=-1,"&lt;"&amp;TEXT(C84*100,"0"),IF(C84&gt;=1,"&gt;"&amp;TEXT(B84*100,"0"),TEXT(B84*100,"0")))</f>
        <v>-5</v>
      </c>
      <c r="B84" s="68" t="n">
        <v>-0.05</v>
      </c>
      <c r="C84" s="68" t="n">
        <v>-0.04</v>
      </c>
      <c r="D84" s="39" t="n">
        <f aca="false">COUNTIFS(Clean_Data!$G$2:$G$4314,"&gt;="&amp;B84,Clean_Data!$G$2:$G$4314,"&lt;"&amp;C84)</f>
        <v>86</v>
      </c>
      <c r="E84" s="25" t="n">
        <f aca="false">D84/$B$8</f>
        <v>0.0200186219739292</v>
      </c>
      <c r="F84" s="69" t="n">
        <f aca="false">$B$8*(_xlfn.NORM.DIST(C84,$B$9,$B$11,TRUE())-_xlfn.NORM.DIST(B84,$B$9,$B$11,TRUE()))</f>
        <v>202.173187290782</v>
      </c>
      <c r="G84" s="25" t="n">
        <f aca="false">F84/$B$8</f>
        <v>0.0470607977864949</v>
      </c>
    </row>
    <row r="85" customFormat="false" ht="15" hidden="false" customHeight="false" outlineLevel="0" collapsed="false">
      <c r="A85" s="67" t="str">
        <f aca="false">IF(B85&lt;=-1,"&lt;"&amp;TEXT(C85*100,"0"),IF(C85&gt;=1,"&gt;"&amp;TEXT(B85*100,"0"),TEXT(B85*100,"0")))</f>
        <v>-4</v>
      </c>
      <c r="B85" s="68" t="n">
        <v>-0.04</v>
      </c>
      <c r="C85" s="68" t="n">
        <v>-0.03</v>
      </c>
      <c r="D85" s="39" t="n">
        <f aca="false">COUNTIFS(Clean_Data!$G$2:$G$4314,"&gt;="&amp;B85,Clean_Data!$G$2:$G$4314,"&lt;"&amp;C85)</f>
        <v>169</v>
      </c>
      <c r="E85" s="25" t="n">
        <f aca="false">D85/$B$8</f>
        <v>0.0393389199255121</v>
      </c>
      <c r="F85" s="69" t="n">
        <f aca="false">$B$8*(_xlfn.NORM.DIST(C85,$B$9,$B$11,TRUE())-_xlfn.NORM.DIST(B85,$B$9,$B$11,TRUE()))</f>
        <v>285.16210585409</v>
      </c>
      <c r="G85" s="25" t="n">
        <f aca="false">F85/$B$8</f>
        <v>0.0663785162602629</v>
      </c>
    </row>
    <row r="86" customFormat="false" ht="15" hidden="false" customHeight="false" outlineLevel="0" collapsed="false">
      <c r="A86" s="67" t="str">
        <f aca="false">IF(B86&lt;=-1,"&lt;"&amp;TEXT(C86*100,"0"),IF(C86&gt;=1,"&gt;"&amp;TEXT(B86*100,"0"),TEXT(B86*100,"0")))</f>
        <v>-3</v>
      </c>
      <c r="B86" s="68" t="n">
        <v>-0.03</v>
      </c>
      <c r="C86" s="68" t="n">
        <v>-0.02</v>
      </c>
      <c r="D86" s="39" t="n">
        <f aca="false">COUNTIFS(Clean_Data!$G$2:$G$4314,"&gt;="&amp;B86,Clean_Data!$G$2:$G$4314,"&lt;"&amp;C86)</f>
        <v>264</v>
      </c>
      <c r="E86" s="25" t="n">
        <f aca="false">D86/$B$8</f>
        <v>0.0614525139664804</v>
      </c>
      <c r="F86" s="69" t="n">
        <f aca="false">$B$8*(_xlfn.NORM.DIST(C86,$B$9,$B$11,TRUE())-_xlfn.NORM.DIST(B86,$B$9,$B$11,TRUE()))</f>
        <v>370.12862980726</v>
      </c>
      <c r="G86" s="25" t="n">
        <f aca="false">F86/$B$8</f>
        <v>0.0861565711841852</v>
      </c>
    </row>
    <row r="87" customFormat="false" ht="15" hidden="false" customHeight="false" outlineLevel="0" collapsed="false">
      <c r="A87" s="67" t="str">
        <f aca="false">IF(B87&lt;=-1,"&lt;"&amp;TEXT(C87*100,"0"),IF(C87&gt;=1,"&gt;"&amp;TEXT(B87*100,"0"),TEXT(B87*100,"0")))</f>
        <v>-2</v>
      </c>
      <c r="B87" s="68" t="n">
        <v>-0.02</v>
      </c>
      <c r="C87" s="68" t="n">
        <v>-0.01</v>
      </c>
      <c r="D87" s="39" t="n">
        <f aca="false">COUNTIFS(Clean_Data!$G$2:$G$4314,"&gt;="&amp;B87,Clean_Data!$G$2:$G$4314,"&lt;"&amp;C87)</f>
        <v>434</v>
      </c>
      <c r="E87" s="25" t="n">
        <f aca="false">D87/$B$8</f>
        <v>0.101024208566108</v>
      </c>
      <c r="F87" s="69" t="n">
        <f aca="false">$B$8*(_xlfn.NORM.DIST(C87,$B$9,$B$11,TRUE())-_xlfn.NORM.DIST(B87,$B$9,$B$11,TRUE()))</f>
        <v>442.085943900367</v>
      </c>
      <c r="G87" s="25" t="n">
        <f aca="false">F87/$B$8</f>
        <v>0.102906411522432</v>
      </c>
    </row>
    <row r="88" customFormat="false" ht="15" hidden="false" customHeight="false" outlineLevel="0" collapsed="false">
      <c r="A88" s="67" t="str">
        <f aca="false">IF(B88&lt;=-1,"&lt;"&amp;TEXT(C88*100,"0"),IF(C88&gt;=1,"&gt;"&amp;TEXT(B88*100,"0"),TEXT(B88*100,"0")))</f>
        <v>-1</v>
      </c>
      <c r="B88" s="68" t="n">
        <v>-0.01</v>
      </c>
      <c r="C88" s="68" t="n">
        <v>0</v>
      </c>
      <c r="D88" s="39" t="n">
        <f aca="false">COUNTIFS(Clean_Data!$G$2:$G$4314,"&gt;="&amp;B88,Clean_Data!$G$2:$G$4314,"&lt;"&amp;C88)</f>
        <v>864</v>
      </c>
      <c r="E88" s="25" t="n">
        <f aca="false">D88/$B$8</f>
        <v>0.201117318435754</v>
      </c>
      <c r="F88" s="69" t="n">
        <f aca="false">$B$8*(_xlfn.NORM.DIST(C88,$B$9,$B$11,TRUE())-_xlfn.NORM.DIST(B88,$B$9,$B$11,TRUE()))</f>
        <v>485.908247760318</v>
      </c>
      <c r="G88" s="25" t="n">
        <f aca="false">F88/$B$8</f>
        <v>0.11310713402242</v>
      </c>
    </row>
    <row r="89" customFormat="false" ht="15" hidden="false" customHeight="false" outlineLevel="0" collapsed="false">
      <c r="A89" s="67" t="str">
        <f aca="false">IF(B89&lt;=-1,"&lt;"&amp;TEXT(C89*100,"0"),IF(C89&gt;=1,"&gt;"&amp;TEXT(B89*100,"0"),TEXT(B89*100,"0")))</f>
        <v>0</v>
      </c>
      <c r="B89" s="68" t="n">
        <v>0</v>
      </c>
      <c r="C89" s="68" t="n">
        <v>0.01</v>
      </c>
      <c r="D89" s="39" t="n">
        <f aca="false">COUNTIFS(Clean_Data!$G$2:$G$4314,"&gt;="&amp;B89,Clean_Data!$G$2:$G$4314,"&lt;"&amp;C89)</f>
        <v>823</v>
      </c>
      <c r="E89" s="25" t="n">
        <f aca="false">D89/$B$8</f>
        <v>0.19157355679702</v>
      </c>
      <c r="F89" s="69" t="n">
        <f aca="false">$B$8*(_xlfn.NORM.DIST(C89,$B$9,$B$11,TRUE())-_xlfn.NORM.DIST(B89,$B$9,$B$11,TRUE()))</f>
        <v>491.468369145709</v>
      </c>
      <c r="G89" s="25" t="n">
        <f aca="false">F89/$B$8</f>
        <v>0.114401389465947</v>
      </c>
    </row>
    <row r="90" customFormat="false" ht="15" hidden="false" customHeight="false" outlineLevel="0" collapsed="false">
      <c r="A90" s="67" t="str">
        <f aca="false">IF(B90&lt;=-1,"&lt;"&amp;TEXT(C90*100,"0"),IF(C90&gt;=1,"&gt;"&amp;TEXT(B90*100,"0"),TEXT(B90*100,"0")))</f>
        <v>1</v>
      </c>
      <c r="B90" s="68" t="n">
        <v>0.01</v>
      </c>
      <c r="C90" s="68" t="n">
        <v>0.02</v>
      </c>
      <c r="D90" s="39" t="n">
        <f aca="false">COUNTIFS(Clean_Data!$G$2:$G$4314,"&gt;="&amp;B90,Clean_Data!$G$2:$G$4314,"&lt;"&amp;C90)</f>
        <v>529</v>
      </c>
      <c r="E90" s="25" t="n">
        <f aca="false">D90/$B$8</f>
        <v>0.123137802607076</v>
      </c>
      <c r="F90" s="69" t="n">
        <f aca="false">$B$8*(_xlfn.NORM.DIST(C90,$B$9,$B$11,TRUE())-_xlfn.NORM.DIST(B90,$B$9,$B$11,TRUE()))</f>
        <v>457.436309512965</v>
      </c>
      <c r="G90" s="25" t="n">
        <f aca="false">F90/$B$8</f>
        <v>0.106479587875457</v>
      </c>
    </row>
    <row r="91" customFormat="false" ht="15" hidden="false" customHeight="false" outlineLevel="0" collapsed="false">
      <c r="A91" s="67" t="str">
        <f aca="false">IF(B91&lt;=-1,"&lt;"&amp;TEXT(C91*100,"0"),IF(C91&gt;=1,"&gt;"&amp;TEXT(B91*100,"0"),TEXT(B91*100,"0")))</f>
        <v>2</v>
      </c>
      <c r="B91" s="68" t="n">
        <v>0.02</v>
      </c>
      <c r="C91" s="68" t="n">
        <v>0.03</v>
      </c>
      <c r="D91" s="39" t="n">
        <f aca="false">COUNTIFS(Clean_Data!$G$2:$G$4314,"&gt;="&amp;B91,Clean_Data!$G$2:$G$4314,"&lt;"&amp;C91)</f>
        <v>301</v>
      </c>
      <c r="E91" s="25" t="n">
        <f aca="false">D91/$B$8</f>
        <v>0.0700651769087523</v>
      </c>
      <c r="F91" s="69" t="n">
        <f aca="false">$B$8*(_xlfn.NORM.DIST(C91,$B$9,$B$11,TRUE())-_xlfn.NORM.DIST(B91,$B$9,$B$11,TRUE()))</f>
        <v>391.795375588864</v>
      </c>
      <c r="G91" s="25" t="n">
        <f aca="false">F91/$B$8</f>
        <v>0.0912000408726406</v>
      </c>
    </row>
    <row r="92" customFormat="false" ht="15" hidden="false" customHeight="false" outlineLevel="0" collapsed="false">
      <c r="A92" s="67" t="str">
        <f aca="false">IF(B92&lt;=-1,"&lt;"&amp;TEXT(C92*100,"0"),IF(C92&gt;=1,"&gt;"&amp;TEXT(B92*100,"0"),TEXT(B92*100,"0")))</f>
        <v>3</v>
      </c>
      <c r="B92" s="68" t="n">
        <v>0.03</v>
      </c>
      <c r="C92" s="68" t="n">
        <v>0.04</v>
      </c>
      <c r="D92" s="39" t="n">
        <f aca="false">COUNTIFS(Clean_Data!$G$2:$G$4314,"&gt;="&amp;B92,Clean_Data!$G$2:$G$4314,"&lt;"&amp;C92)</f>
        <v>181</v>
      </c>
      <c r="E92" s="25" t="n">
        <f aca="false">D92/$B$8</f>
        <v>0.0421322160148976</v>
      </c>
      <c r="F92" s="69" t="n">
        <f aca="false">$B$8*(_xlfn.NORM.DIST(C92,$B$9,$B$11,TRUE())-_xlfn.NORM.DIST(B92,$B$9,$B$11,TRUE()))</f>
        <v>308.802820438803</v>
      </c>
      <c r="G92" s="25" t="n">
        <f aca="false">F92/$B$8</f>
        <v>0.0718814758935762</v>
      </c>
    </row>
    <row r="93" customFormat="false" ht="15" hidden="false" customHeight="false" outlineLevel="0" collapsed="false">
      <c r="A93" s="67" t="str">
        <f aca="false">IF(B93&lt;=-1,"&lt;"&amp;TEXT(C93*100,"0"),IF(C93&gt;=1,"&gt;"&amp;TEXT(B93*100,"0"),TEXT(B93*100,"0")))</f>
        <v>4</v>
      </c>
      <c r="B93" s="68" t="n">
        <v>0.04</v>
      </c>
      <c r="C93" s="68" t="n">
        <v>0.05</v>
      </c>
      <c r="D93" s="39" t="n">
        <f aca="false">COUNTIFS(Clean_Data!$G$2:$G$4314,"&gt;="&amp;B93,Clean_Data!$G$2:$G$4314,"&lt;"&amp;C93)</f>
        <v>150</v>
      </c>
      <c r="E93" s="25" t="n">
        <f aca="false">D93/$B$8</f>
        <v>0.0349162011173184</v>
      </c>
      <c r="F93" s="69" t="n">
        <f aca="false">$B$8*(_xlfn.NORM.DIST(C93,$B$9,$B$11,TRUE())-_xlfn.NORM.DIST(B93,$B$9,$B$11,TRUE()))</f>
        <v>223.973166297892</v>
      </c>
      <c r="G93" s="25" t="n">
        <f aca="false">F93/$B$8</f>
        <v>0.0521352807955986</v>
      </c>
    </row>
    <row r="94" customFormat="false" ht="15" hidden="false" customHeight="false" outlineLevel="0" collapsed="false">
      <c r="A94" s="67" t="str">
        <f aca="false">IF(B94&lt;=-1,"&lt;"&amp;TEXT(C94*100,"0"),IF(C94&gt;=1,"&gt;"&amp;TEXT(B94*100,"0"),TEXT(B94*100,"0")))</f>
        <v>5</v>
      </c>
      <c r="B94" s="68" t="n">
        <v>0.05</v>
      </c>
      <c r="C94" s="68" t="n">
        <v>0.06</v>
      </c>
      <c r="D94" s="39" t="n">
        <f aca="false">COUNTIFS(Clean_Data!$G$2:$G$4314,"&gt;="&amp;B94,Clean_Data!$G$2:$G$4314,"&lt;"&amp;C94)</f>
        <v>72</v>
      </c>
      <c r="E94" s="25" t="n">
        <f aca="false">D94/$B$8</f>
        <v>0.0167597765363129</v>
      </c>
      <c r="F94" s="69" t="n">
        <f aca="false">$B$8*(_xlfn.NORM.DIST(C94,$B$9,$B$11,TRUE())-_xlfn.NORM.DIST(B94,$B$9,$B$11,TRUE()))</f>
        <v>149.486792755987</v>
      </c>
      <c r="G94" s="25" t="n">
        <f aca="false">F94/$B$8</f>
        <v>0.0347967394683396</v>
      </c>
    </row>
    <row r="95" customFormat="false" ht="15" hidden="false" customHeight="false" outlineLevel="0" collapsed="false">
      <c r="A95" s="67" t="str">
        <f aca="false">IF(B95&lt;=-1,"&lt;"&amp;TEXT(C95*100,"0"),IF(C95&gt;=1,"&gt;"&amp;TEXT(B95*100,"0"),TEXT(B95*100,"0")))</f>
        <v>6</v>
      </c>
      <c r="B95" s="68" t="n">
        <v>0.06</v>
      </c>
      <c r="C95" s="68" t="n">
        <v>0.07</v>
      </c>
      <c r="D95" s="39" t="n">
        <f aca="false">COUNTIFS(Clean_Data!$G$2:$G$4314,"&gt;="&amp;B95,Clean_Data!$G$2:$G$4314,"&lt;"&amp;C95)</f>
        <v>58</v>
      </c>
      <c r="E95" s="25" t="n">
        <f aca="false">D95/$B$8</f>
        <v>0.0135009310986965</v>
      </c>
      <c r="F95" s="69" t="n">
        <f aca="false">$B$8*(_xlfn.NORM.DIST(C95,$B$9,$B$11,TRUE())-_xlfn.NORM.DIST(B95,$B$9,$B$11,TRUE()))</f>
        <v>91.8123102639992</v>
      </c>
      <c r="G95" s="25" t="n">
        <f aca="false">F95/$B$8</f>
        <v>0.0213715806014896</v>
      </c>
    </row>
    <row r="96" customFormat="false" ht="15" hidden="false" customHeight="false" outlineLevel="0" collapsed="false">
      <c r="A96" s="67" t="str">
        <f aca="false">IF(B96&lt;=-1,"&lt;"&amp;TEXT(C96*100,"0"),IF(C96&gt;=1,"&gt;"&amp;TEXT(B96*100,"0"),TEXT(B96*100,"0")))</f>
        <v>7</v>
      </c>
      <c r="B96" s="68" t="n">
        <v>0.07</v>
      </c>
      <c r="C96" s="68" t="n">
        <v>0.08</v>
      </c>
      <c r="D96" s="39" t="n">
        <f aca="false">COUNTIFS(Clean_Data!$G$2:$G$4314,"&gt;="&amp;B96,Clean_Data!$G$2:$G$4314,"&lt;"&amp;C96)</f>
        <v>36</v>
      </c>
      <c r="E96" s="25" t="n">
        <f aca="false">D96/$B$8</f>
        <v>0.00837988826815642</v>
      </c>
      <c r="F96" s="69" t="n">
        <f aca="false">$B$8*(_xlfn.NORM.DIST(C96,$B$9,$B$11,TRUE())-_xlfn.NORM.DIST(B96,$B$9,$B$11,TRUE()))</f>
        <v>51.8906665884804</v>
      </c>
      <c r="G96" s="25" t="n">
        <f aca="false">F96/$B$8</f>
        <v>0.0120788330047673</v>
      </c>
    </row>
    <row r="97" customFormat="false" ht="15" hidden="false" customHeight="false" outlineLevel="0" collapsed="false">
      <c r="A97" s="67" t="str">
        <f aca="false">IF(B97&lt;=-1,"&lt;"&amp;TEXT(C97*100,"0"),IF(C97&gt;=1,"&gt;"&amp;TEXT(B97*100,"0"),TEXT(B97*100,"0")))</f>
        <v>8</v>
      </c>
      <c r="B97" s="68" t="n">
        <v>0.08</v>
      </c>
      <c r="C97" s="68" t="n">
        <v>0.09</v>
      </c>
      <c r="D97" s="39" t="n">
        <f aca="false">COUNTIFS(Clean_Data!$G$2:$G$4314,"&gt;="&amp;B97,Clean_Data!$G$2:$G$4314,"&lt;"&amp;C97)</f>
        <v>16</v>
      </c>
      <c r="E97" s="25" t="n">
        <f aca="false">D97/$B$8</f>
        <v>0.0037243947858473</v>
      </c>
      <c r="F97" s="69" t="n">
        <f aca="false">$B$8*(_xlfn.NORM.DIST(C97,$B$9,$B$11,TRUE())-_xlfn.NORM.DIST(B97,$B$9,$B$11,TRUE()))</f>
        <v>26.987748065596</v>
      </c>
      <c r="G97" s="25" t="n">
        <f aca="false">F97/$B$8</f>
        <v>0.00628206426107913</v>
      </c>
    </row>
    <row r="98" customFormat="false" ht="15" hidden="false" customHeight="false" outlineLevel="0" collapsed="false">
      <c r="A98" s="67" t="str">
        <f aca="false">IF(B98&lt;=-1,"&lt;"&amp;TEXT(C98*100,"0"),IF(C98&gt;=1,"&gt;"&amp;TEXT(B98*100,"0"),TEXT(B98*100,"0")))</f>
        <v>9</v>
      </c>
      <c r="B98" s="68" t="n">
        <v>0.09</v>
      </c>
      <c r="C98" s="68" t="n">
        <v>0.1</v>
      </c>
      <c r="D98" s="39" t="n">
        <f aca="false">COUNTIFS(Clean_Data!$G$2:$G$4314,"&gt;="&amp;B98,Clean_Data!$G$2:$G$4314,"&lt;"&amp;C98)</f>
        <v>31</v>
      </c>
      <c r="E98" s="25" t="n">
        <f aca="false">D98/$B$8</f>
        <v>0.00721601489757914</v>
      </c>
      <c r="F98" s="69" t="n">
        <f aca="false">$B$8*(_xlfn.NORM.DIST(C98,$B$9,$B$11,TRUE())-_xlfn.NORM.DIST(B98,$B$9,$B$11,TRUE()))</f>
        <v>12.9161109962446</v>
      </c>
      <c r="G98" s="25" t="n">
        <f aca="false">F98/$B$8</f>
        <v>0.0030065435279899</v>
      </c>
    </row>
    <row r="99" customFormat="false" ht="15" hidden="false" customHeight="false" outlineLevel="0" collapsed="false">
      <c r="A99" s="67" t="str">
        <f aca="false">IF(B99&lt;=-1,"&lt;"&amp;TEXT(C99*100,"0"),IF(C99&gt;=1,"&gt;"&amp;TEXT(B99*100,"0"),TEXT(B99*100,"0")))</f>
        <v>10</v>
      </c>
      <c r="B99" s="68" t="n">
        <v>0.1</v>
      </c>
      <c r="C99" s="68" t="n">
        <v>0.11</v>
      </c>
      <c r="D99" s="39" t="n">
        <f aca="false">COUNTIFS(Clean_Data!$G$2:$G$4314,"&gt;="&amp;B99,Clean_Data!$G$2:$G$4314,"&lt;"&amp;C99)</f>
        <v>18</v>
      </c>
      <c r="E99" s="25" t="n">
        <f aca="false">D99/$B$8</f>
        <v>0.00418994413407821</v>
      </c>
      <c r="F99" s="69" t="n">
        <f aca="false">$B$8*(_xlfn.NORM.DIST(C99,$B$9,$B$11,TRUE())-_xlfn.NORM.DIST(B99,$B$9,$B$11,TRUE()))</f>
        <v>5.68830817021979</v>
      </c>
      <c r="G99" s="25" t="n">
        <f aca="false">F99/$B$8</f>
        <v>0.0013240940805912</v>
      </c>
    </row>
    <row r="100" customFormat="false" ht="15" hidden="false" customHeight="false" outlineLevel="0" collapsed="false">
      <c r="A100" s="67" t="str">
        <f aca="false">IF(B100&lt;=-1,"&lt;"&amp;TEXT(C100*100,"0"),IF(C100&gt;=1,"&gt;"&amp;TEXT(B100*100,"0"),TEXT(B100*100,"0")))</f>
        <v>11</v>
      </c>
      <c r="B100" s="68" t="n">
        <v>0.11</v>
      </c>
      <c r="C100" s="68" t="n">
        <v>0.12</v>
      </c>
      <c r="D100" s="39" t="n">
        <f aca="false">COUNTIFS(Clean_Data!$G$2:$G$4314,"&gt;="&amp;B100,Clean_Data!$G$2:$G$4314,"&lt;"&amp;C100)</f>
        <v>7</v>
      </c>
      <c r="E100" s="25" t="n">
        <f aca="false">D100/$B$8</f>
        <v>0.00162942271880819</v>
      </c>
      <c r="F100" s="69" t="n">
        <f aca="false">$B$8*(_xlfn.NORM.DIST(C100,$B$9,$B$11,TRUE())-_xlfn.NORM.DIST(B100,$B$9,$B$11,TRUE()))</f>
        <v>2.30525537514289</v>
      </c>
      <c r="G100" s="25" t="n">
        <f aca="false">F100/$B$8</f>
        <v>0.00053660506870179</v>
      </c>
    </row>
    <row r="101" customFormat="false" ht="15" hidden="false" customHeight="false" outlineLevel="0" collapsed="false">
      <c r="A101" s="67" t="str">
        <f aca="false">IF(B101&lt;=-1,"&lt;"&amp;TEXT(C101*100,"0"),IF(C101&gt;=1,"&gt;"&amp;TEXT(B101*100,"0"),TEXT(B101*100,"0")))</f>
        <v>12</v>
      </c>
      <c r="B101" s="68" t="n">
        <v>0.12</v>
      </c>
      <c r="C101" s="68" t="n">
        <v>0.13</v>
      </c>
      <c r="D101" s="39" t="n">
        <f aca="false">COUNTIFS(Clean_Data!$G$2:$G$4314,"&gt;="&amp;B101,Clean_Data!$G$2:$G$4314,"&lt;"&amp;C101)</f>
        <v>6</v>
      </c>
      <c r="E101" s="25" t="n">
        <f aca="false">D101/$B$8</f>
        <v>0.00139664804469274</v>
      </c>
      <c r="F101" s="69" t="n">
        <f aca="false">$B$8*(_xlfn.NORM.DIST(C101,$B$9,$B$11,TRUE())-_xlfn.NORM.DIST(B101,$B$9,$B$11,TRUE()))</f>
        <v>0.859681840359877</v>
      </c>
      <c r="G101" s="25" t="n">
        <f aca="false">F101/$B$8</f>
        <v>0.000200112160232746</v>
      </c>
    </row>
    <row r="102" customFormat="false" ht="15" hidden="false" customHeight="false" outlineLevel="0" collapsed="false">
      <c r="A102" s="67" t="str">
        <f aca="false">IF(B102&lt;=-1,"&lt;"&amp;TEXT(C102*100,"0"),IF(C102&gt;=1,"&gt;"&amp;TEXT(B102*100,"0"),TEXT(B102*100,"0")))</f>
        <v>13</v>
      </c>
      <c r="B102" s="68" t="n">
        <v>0.13</v>
      </c>
      <c r="C102" s="68" t="n">
        <v>0.14</v>
      </c>
      <c r="D102" s="39" t="n">
        <f aca="false">COUNTIFS(Clean_Data!$G$2:$G$4314,"&gt;="&amp;B102,Clean_Data!$G$2:$G$4314,"&lt;"&amp;C102)</f>
        <v>3</v>
      </c>
      <c r="E102" s="25" t="n">
        <f aca="false">D102/$B$8</f>
        <v>0.000698324022346369</v>
      </c>
      <c r="F102" s="69" t="n">
        <f aca="false">$B$8*(_xlfn.NORM.DIST(C102,$B$9,$B$11,TRUE())-_xlfn.NORM.DIST(B102,$B$9,$B$11,TRUE()))</f>
        <v>0.295010388035483</v>
      </c>
      <c r="G102" s="25" t="n">
        <f aca="false">F102/$B$8</f>
        <v>6.86709469356339E-005</v>
      </c>
    </row>
    <row r="103" customFormat="false" ht="15" hidden="false" customHeight="false" outlineLevel="0" collapsed="false">
      <c r="A103" s="67" t="str">
        <f aca="false">IF(B103&lt;=-1,"&lt;"&amp;TEXT(C103*100,"0"),IF(C103&gt;=1,"&gt;"&amp;TEXT(B103*100,"0"),TEXT(B103*100,"0")))</f>
        <v>14</v>
      </c>
      <c r="B103" s="68" t="n">
        <v>0.14</v>
      </c>
      <c r="C103" s="68" t="n">
        <v>0.15</v>
      </c>
      <c r="D103" s="39" t="n">
        <f aca="false">COUNTIFS(Clean_Data!$G$2:$G$4314,"&gt;="&amp;B103,Clean_Data!$G$2:$G$4314,"&lt;"&amp;C103)</f>
        <v>1</v>
      </c>
      <c r="E103" s="25" t="n">
        <f aca="false">D103/$B$8</f>
        <v>0.000232774674115456</v>
      </c>
      <c r="F103" s="69" t="n">
        <f aca="false">$B$8*(_xlfn.NORM.DIST(C103,$B$9,$B$11,TRUE())-_xlfn.NORM.DIST(B103,$B$9,$B$11,TRUE()))</f>
        <v>0.0931570310110228</v>
      </c>
      <c r="G103" s="25" t="n">
        <f aca="false">F103/$B$8</f>
        <v>2.16845975351543E-005</v>
      </c>
    </row>
    <row r="104" customFormat="false" ht="15" hidden="false" customHeight="false" outlineLevel="0" collapsed="false">
      <c r="A104" s="67" t="str">
        <f aca="false">IF(B104&lt;=-1,"&lt;"&amp;TEXT(C104*100,"0"),IF(C104&gt;=1,"&gt;"&amp;TEXT(B104*100,"0"),TEXT(B104*100,"0")))</f>
        <v>&gt;15</v>
      </c>
      <c r="B104" s="68" t="n">
        <v>0.15</v>
      </c>
      <c r="C104" s="68" t="n">
        <v>1</v>
      </c>
      <c r="D104" s="39" t="n">
        <f aca="false">COUNTIFS(Clean_Data!$G$2:$G$4314,"&gt;="&amp;B104,Clean_Data!$G$2:$G$4314,"&lt;"&amp;C104)</f>
        <v>7</v>
      </c>
      <c r="E104" s="25" t="n">
        <f aca="false">D104/$B$8</f>
        <v>0.00162942271880819</v>
      </c>
      <c r="F104" s="69" t="n">
        <f aca="false">$B$8*(_xlfn.NORM.DIST(C104,$B$9,$B$11,TRUE())-_xlfn.NORM.DIST(B104,$B$9,$B$11,TRUE()))</f>
        <v>0.0365939412651715</v>
      </c>
      <c r="G104" s="25" t="n">
        <f aca="false">F104/$B$8</f>
        <v>8.51814275260043E-006</v>
      </c>
    </row>
    <row r="105" customFormat="false" ht="15" hidden="false" customHeight="false" outlineLevel="0" collapsed="false">
      <c r="A105" s="43" t="s">
        <v>261</v>
      </c>
      <c r="B105" s="45"/>
      <c r="C105" s="45"/>
      <c r="D105" s="44" t="n">
        <f aca="false">SUM(D73:D104)</f>
        <v>4296</v>
      </c>
      <c r="E105" s="62" t="n">
        <f aca="false">SUM(E73:E104)</f>
        <v>1</v>
      </c>
      <c r="F105" s="70" t="n">
        <f aca="false">SUM(F73:F104)</f>
        <v>4296</v>
      </c>
      <c r="G105" s="62" t="n">
        <f aca="false">SUM(G73:G104)</f>
        <v>1</v>
      </c>
    </row>
    <row r="106" customFormat="false" ht="15" hidden="false" customHeight="false" outlineLevel="0" collapsed="false">
      <c r="A106" s="22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2" min="12" style="0" width="3"/>
  </cols>
  <sheetData>
    <row r="1" customFormat="false" ht="17.3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2" t="s">
        <v>264</v>
      </c>
    </row>
    <row r="4" customFormat="false" ht="15" hidden="false" customHeight="false" outlineLevel="0" collapsed="false">
      <c r="A4" s="3" t="s">
        <v>265</v>
      </c>
    </row>
    <row r="5" customFormat="false" ht="30" hidden="false" customHeight="true" outlineLevel="0" collapsed="false">
      <c r="A5" s="6" t="s">
        <v>72</v>
      </c>
      <c r="B5" s="7" t="s">
        <v>266</v>
      </c>
      <c r="C5" s="7" t="s">
        <v>267</v>
      </c>
      <c r="D5" s="7" t="s">
        <v>110</v>
      </c>
    </row>
    <row r="6" customFormat="false" ht="15" hidden="false" customHeight="false" outlineLevel="0" collapsed="false">
      <c r="A6" s="5" t="s">
        <v>268</v>
      </c>
      <c r="B6" s="53" t="n">
        <v>0.95</v>
      </c>
      <c r="C6" s="53" t="n">
        <v>0.99</v>
      </c>
      <c r="D6" s="54" t="s">
        <v>211</v>
      </c>
    </row>
    <row r="7" customFormat="false" ht="15" hidden="false" customHeight="false" outlineLevel="0" collapsed="false">
      <c r="A7" s="5" t="s">
        <v>269</v>
      </c>
      <c r="B7" s="32" t="n">
        <f aca="false">1-B6</f>
        <v>0.05</v>
      </c>
      <c r="C7" s="32" t="n">
        <f aca="false">1-C6</f>
        <v>0.01</v>
      </c>
      <c r="D7" s="54" t="s">
        <v>270</v>
      </c>
    </row>
    <row r="8" customFormat="false" ht="15" hidden="false" customHeight="false" outlineLevel="0" collapsed="false">
      <c r="A8" s="5" t="s">
        <v>178</v>
      </c>
      <c r="B8" s="18" t="n">
        <f aca="false">COUNT(Clean_Data!$I$2:$I$4314)</f>
        <v>4296</v>
      </c>
      <c r="C8" s="18" t="n">
        <f aca="false">COUNT(Clean_Data!$I$2:$I$4314)</f>
        <v>4296</v>
      </c>
      <c r="D8" s="54" t="s">
        <v>179</v>
      </c>
    </row>
    <row r="9" customFormat="false" ht="15" hidden="false" customHeight="false" outlineLevel="0" collapsed="false">
      <c r="A9" s="5" t="s">
        <v>271</v>
      </c>
      <c r="B9" s="51" t="n">
        <f aca="false">AVERAGE(Clean_Data!$I$2:$I$4314)</f>
        <v>0.00196411489298612</v>
      </c>
      <c r="C9" s="51" t="n">
        <f aca="false">AVERAGE(Clean_Data!$I$2:$I$4314)</f>
        <v>0.00196411489298612</v>
      </c>
      <c r="D9" s="54" t="s">
        <v>181</v>
      </c>
    </row>
    <row r="10" customFormat="false" ht="15" hidden="false" customHeight="false" outlineLevel="0" collapsed="false">
      <c r="A10" s="5" t="s">
        <v>184</v>
      </c>
      <c r="B10" s="51" t="n">
        <f aca="false">_xlfn.STDEV.S(Clean_Data!$I$2:$I$4314)</f>
        <v>0.0344087157121737</v>
      </c>
      <c r="C10" s="51" t="n">
        <f aca="false">_xlfn.STDEV.S(Clean_Data!$I$2:$I$4314)</f>
        <v>0.0344087157121737</v>
      </c>
      <c r="D10" s="54" t="s">
        <v>272</v>
      </c>
    </row>
    <row r="11" customFormat="false" ht="15" hidden="false" customHeight="false" outlineLevel="0" collapsed="false">
      <c r="A11" s="5" t="s">
        <v>273</v>
      </c>
      <c r="B11" s="19" t="n">
        <f aca="false">-_xlfn.PERCENTILE.INC(Clean_Data!$I$2:$I$4314,B7)</f>
        <v>0.0521586460673185</v>
      </c>
      <c r="C11" s="19" t="n">
        <f aca="false">-_xlfn.PERCENTILE.INC(Clean_Data!$I$2:$I$4314,C7)</f>
        <v>0.0982574752247599</v>
      </c>
      <c r="D11" s="54" t="s">
        <v>274</v>
      </c>
    </row>
    <row r="12" customFormat="false" ht="15" hidden="false" customHeight="false" outlineLevel="0" collapsed="false">
      <c r="A12" s="5" t="s">
        <v>275</v>
      </c>
      <c r="B12" s="19" t="n">
        <f aca="false">-(B9+_xlfn.NORM.S.INV(B7)*B10)</f>
        <v>0.0546331859449249</v>
      </c>
      <c r="C12" s="19" t="n">
        <f aca="false">-(C9+_xlfn.NORM.S.INV(C7)*C10)</f>
        <v>0.0780825277525048</v>
      </c>
      <c r="D12" s="54" t="s">
        <v>276</v>
      </c>
    </row>
    <row r="13" customFormat="false" ht="15" hidden="false" customHeight="false" outlineLevel="0" collapsed="false">
      <c r="A13" s="5" t="s">
        <v>277</v>
      </c>
      <c r="B13" s="19" t="n">
        <f aca="false">-AVERAGEIF(Clean_Data!$I$2:$I$4314,"&lt;="&amp;-B11)</f>
        <v>0.0797152679331818</v>
      </c>
      <c r="C13" s="19" t="n">
        <f aca="false">-AVERAGEIF(Clean_Data!$I$2:$I$4314,"&lt;="&amp;-C11)</f>
        <v>0.126499791006411</v>
      </c>
      <c r="D13" s="54" t="s">
        <v>278</v>
      </c>
    </row>
    <row r="14" customFormat="false" ht="15" hidden="false" customHeight="false" outlineLevel="0" collapsed="false">
      <c r="A14" s="5" t="s">
        <v>279</v>
      </c>
      <c r="B14" s="19" t="n">
        <f aca="false">-(B9-B10*_xlfn.NORM.S.DIST(_xlfn.NORM.S.INV(B7),FALSE())/B7)</f>
        <v>0.0690111836963967</v>
      </c>
      <c r="C14" s="19" t="n">
        <f aca="false">-(C9-C10*_xlfn.NORM.S.DIST(_xlfn.NORM.S.INV(C7),FALSE())/C7)</f>
        <v>0.0897424835269354</v>
      </c>
      <c r="D14" s="54" t="s">
        <v>280</v>
      </c>
    </row>
    <row r="15" customFormat="false" ht="15" hidden="false" customHeight="false" outlineLevel="0" collapsed="false">
      <c r="A15" s="5" t="s">
        <v>281</v>
      </c>
      <c r="B15" s="55" t="n">
        <f aca="false">B11/B12</f>
        <v>0.954706286393386</v>
      </c>
      <c r="C15" s="55" t="n">
        <f aca="false">C11/C12</f>
        <v>1.25837979446827</v>
      </c>
      <c r="D15" s="54" t="s">
        <v>282</v>
      </c>
    </row>
    <row r="16" customFormat="false" ht="15" hidden="false" customHeight="false" outlineLevel="0" collapsed="false">
      <c r="A16" s="5" t="s">
        <v>283</v>
      </c>
      <c r="B16" s="18" t="n">
        <f aca="false">COUNTIF(Clean_Data!$I$2:$I$4314,"&lt;"&amp;-B12)</f>
        <v>201</v>
      </c>
      <c r="C16" s="18" t="n">
        <f aca="false">COUNTIF(Clean_Data!$I$2:$I$4314,"&lt;"&amp;-C12)</f>
        <v>79</v>
      </c>
      <c r="D16" s="54" t="s">
        <v>284</v>
      </c>
    </row>
    <row r="17" customFormat="false" ht="15" hidden="false" customHeight="false" outlineLevel="0" collapsed="false">
      <c r="A17" s="5" t="s">
        <v>285</v>
      </c>
      <c r="B17" s="52" t="n">
        <f aca="false">B8*B7</f>
        <v>214.8</v>
      </c>
      <c r="C17" s="52" t="n">
        <f aca="false">C8*C7</f>
        <v>42.96</v>
      </c>
      <c r="D17" s="54" t="s">
        <v>286</v>
      </c>
    </row>
    <row r="18" customFormat="false" ht="15" hidden="false" customHeight="false" outlineLevel="0" collapsed="false">
      <c r="A18" s="13" t="s">
        <v>287</v>
      </c>
      <c r="B18" s="71" t="n">
        <f aca="false">B16/B17</f>
        <v>0.935754189944133</v>
      </c>
      <c r="C18" s="71" t="n">
        <f aca="false">C16/C17</f>
        <v>1.8389199255121</v>
      </c>
      <c r="D18" s="58" t="s">
        <v>288</v>
      </c>
    </row>
    <row r="19" customFormat="false" ht="15" hidden="false" customHeight="false" outlineLevel="0" collapsed="false">
      <c r="A19" s="22" t="s">
        <v>289</v>
      </c>
    </row>
    <row r="21" customFormat="false" ht="15" hidden="false" customHeight="false" outlineLevel="0" collapsed="false">
      <c r="A21" s="3" t="s">
        <v>290</v>
      </c>
    </row>
    <row r="22" customFormat="false" ht="30" hidden="false" customHeight="true" outlineLevel="0" collapsed="false">
      <c r="A22" s="6" t="s">
        <v>72</v>
      </c>
      <c r="B22" s="7" t="s">
        <v>266</v>
      </c>
      <c r="C22" s="7" t="s">
        <v>267</v>
      </c>
      <c r="D22" s="7" t="s">
        <v>110</v>
      </c>
    </row>
    <row r="23" customFormat="false" ht="15" hidden="false" customHeight="false" outlineLevel="0" collapsed="false">
      <c r="A23" s="5" t="s">
        <v>291</v>
      </c>
      <c r="B23" s="72" t="n">
        <v>1000000</v>
      </c>
      <c r="D23" s="54" t="s">
        <v>292</v>
      </c>
    </row>
    <row r="24" customFormat="false" ht="15" hidden="false" customHeight="false" outlineLevel="0" collapsed="false">
      <c r="A24" s="5" t="s">
        <v>293</v>
      </c>
      <c r="B24" s="63" t="n">
        <v>10</v>
      </c>
      <c r="D24" s="54" t="s">
        <v>294</v>
      </c>
      <c r="M24" s="22" t="s">
        <v>295</v>
      </c>
    </row>
    <row r="25" customFormat="false" ht="15" hidden="false" customHeight="false" outlineLevel="0" collapsed="false">
      <c r="A25" s="5" t="s">
        <v>296</v>
      </c>
      <c r="B25" s="73" t="n">
        <f aca="false">$B$23*B11</f>
        <v>52158.6460673185</v>
      </c>
      <c r="C25" s="73" t="n">
        <f aca="false">$B$23*C11</f>
        <v>98257.4752247599</v>
      </c>
      <c r="D25" s="54" t="s">
        <v>297</v>
      </c>
    </row>
    <row r="26" customFormat="false" ht="15" hidden="false" customHeight="false" outlineLevel="0" collapsed="false">
      <c r="A26" s="5" t="s">
        <v>298</v>
      </c>
      <c r="B26" s="73" t="n">
        <f aca="false">$B$23*B13</f>
        <v>79715.2679331818</v>
      </c>
      <c r="C26" s="73" t="n">
        <f aca="false">$B$23*C13</f>
        <v>126499.791006411</v>
      </c>
      <c r="D26" s="54" t="s">
        <v>299</v>
      </c>
    </row>
    <row r="27" customFormat="false" ht="15" hidden="false" customHeight="false" outlineLevel="0" collapsed="false">
      <c r="A27" s="5" t="s">
        <v>300</v>
      </c>
      <c r="B27" s="73" t="n">
        <f aca="false">B25*SQRT($B$24)</f>
        <v>164940.121243311</v>
      </c>
      <c r="C27" s="73" t="n">
        <f aca="false">C25*SQRT($B$24)</f>
        <v>310717.418847806</v>
      </c>
      <c r="D27" s="54" t="s">
        <v>301</v>
      </c>
    </row>
    <row r="28" customFormat="false" ht="15" hidden="false" customHeight="false" outlineLevel="0" collapsed="false">
      <c r="A28" s="5" t="s">
        <v>302</v>
      </c>
      <c r="B28" s="74" t="n">
        <v>12.5</v>
      </c>
      <c r="D28" s="54" t="s">
        <v>303</v>
      </c>
    </row>
    <row r="29" customFormat="false" ht="15" hidden="false" customHeight="false" outlineLevel="0" collapsed="false">
      <c r="A29" s="5" t="s">
        <v>304</v>
      </c>
      <c r="B29" s="53" t="n">
        <v>0.08</v>
      </c>
      <c r="D29" s="54" t="s">
        <v>305</v>
      </c>
    </row>
    <row r="30" customFormat="false" ht="15" hidden="false" customHeight="false" outlineLevel="0" collapsed="false">
      <c r="A30" s="5" t="s">
        <v>306</v>
      </c>
      <c r="B30" s="73" t="n">
        <f aca="false">B23*B28*B29</f>
        <v>1000000</v>
      </c>
      <c r="D30" s="54" t="s">
        <v>307</v>
      </c>
    </row>
    <row r="31" customFormat="false" ht="15" hidden="false" customHeight="false" outlineLevel="0" collapsed="false">
      <c r="A31" s="13" t="s">
        <v>308</v>
      </c>
      <c r="B31" s="75" t="n">
        <f aca="false">B30/C27</f>
        <v>3.21835835180458</v>
      </c>
      <c r="C31" s="66"/>
      <c r="D31" s="58" t="s">
        <v>309</v>
      </c>
    </row>
    <row r="32" customFormat="false" ht="15" hidden="false" customHeight="false" outlineLevel="0" collapsed="false">
      <c r="A32" s="22" t="s">
        <v>310</v>
      </c>
    </row>
    <row r="34" customFormat="false" ht="15" hidden="false" customHeight="false" outlineLevel="0" collapsed="false">
      <c r="A34" s="3" t="s">
        <v>311</v>
      </c>
    </row>
    <row r="35" customFormat="false" ht="30" hidden="false" customHeight="true" outlineLevel="0" collapsed="false">
      <c r="A35" s="6" t="s">
        <v>312</v>
      </c>
      <c r="B35" s="7" t="s">
        <v>313</v>
      </c>
      <c r="C35" s="7" t="s">
        <v>314</v>
      </c>
      <c r="D35" s="7" t="s">
        <v>315</v>
      </c>
      <c r="E35" s="7" t="s">
        <v>316</v>
      </c>
      <c r="F35" s="7" t="s">
        <v>317</v>
      </c>
      <c r="G35" s="7" t="s">
        <v>318</v>
      </c>
      <c r="H35" s="7" t="s">
        <v>319</v>
      </c>
      <c r="I35" s="7" t="s">
        <v>320</v>
      </c>
    </row>
    <row r="36" customFormat="false" ht="15" hidden="false" customHeight="false" outlineLevel="0" collapsed="false">
      <c r="A36" s="22" t="s">
        <v>321</v>
      </c>
      <c r="D36" s="74" t="n">
        <v>0.05</v>
      </c>
      <c r="E36" s="74" t="n">
        <v>0.1</v>
      </c>
      <c r="F36" s="74" t="n">
        <v>0.2</v>
      </c>
    </row>
    <row r="37" customFormat="false" ht="15" hidden="false" customHeight="false" outlineLevel="0" collapsed="false">
      <c r="A37" s="5" t="s">
        <v>322</v>
      </c>
      <c r="B37" s="39" t="n">
        <f aca="false">COUNT(Clean_Data!$I$2:$I$4314)</f>
        <v>4296</v>
      </c>
      <c r="C37" s="42" t="n">
        <f aca="false">COUNTIF(Clean_Data!$I$2:$I$4314,"&lt;0")/B37</f>
        <v>0.478817504655494</v>
      </c>
      <c r="D37" s="42" t="n">
        <f aca="false">COUNTIF(Clean_Data!$I$2:$I$4314,"&lt;"&amp;-D$36)/$B37</f>
        <v>0.0535381750465549</v>
      </c>
      <c r="E37" s="42" t="n">
        <f aca="false">COUNTIF(Clean_Data!$I$2:$I$4314,"&lt;"&amp;-E$36)/$B37</f>
        <v>0.00977653631284916</v>
      </c>
      <c r="F37" s="42" t="n">
        <f aca="false">COUNTIF(Clean_Data!$I$2:$I$4314,"&lt;"&amp;-F$36)/$B37</f>
        <v>0.000232774674115456</v>
      </c>
      <c r="G37" s="42" t="n">
        <f aca="false">_xlfn.PERCENTILE.INC(Clean_Data!$I$2:$I$4314,0.05)</f>
        <v>-0.0521586460673185</v>
      </c>
      <c r="H37" s="42" t="n">
        <f aca="false">MIN(Clean_Data!$I$2:$I$4314)</f>
        <v>-0.374137554008913</v>
      </c>
      <c r="I37" s="42" t="n">
        <f aca="false">MAX(Clean_Data!$I$2:$I$4314)</f>
        <v>0.272019796457709</v>
      </c>
    </row>
    <row r="38" customFormat="false" ht="15" hidden="false" customHeight="false" outlineLevel="0" collapsed="false">
      <c r="A38" s="5" t="s">
        <v>323</v>
      </c>
      <c r="B38" s="39" t="n">
        <f aca="false">COUNT(Clean_Data!$N$2:$N$4314)</f>
        <v>4290</v>
      </c>
      <c r="C38" s="42" t="n">
        <f aca="false">COUNTIF(Clean_Data!$N$2:$N$4314,"&lt;0")/B38</f>
        <v>0.454312354312354</v>
      </c>
      <c r="D38" s="42" t="n">
        <f aca="false">COUNTIF(Clean_Data!$N$2:$N$4314,"&lt;"&amp;-D$36)/$B38</f>
        <v>0.188111888111888</v>
      </c>
      <c r="E38" s="42" t="n">
        <f aca="false">COUNTIF(Clean_Data!$N$2:$N$4314,"&lt;"&amp;-E$36)/$B38</f>
        <v>0.082983682983683</v>
      </c>
      <c r="F38" s="42" t="n">
        <f aca="false">COUNTIF(Clean_Data!$N$2:$N$4314,"&lt;"&amp;-F$36)/$B38</f>
        <v>0.0142191142191142</v>
      </c>
      <c r="G38" s="42" t="n">
        <f aca="false">_xlfn.PERCENTILE.INC(Clean_Data!$N$2:$N$4314,0.05)</f>
        <v>-0.12811420208137</v>
      </c>
      <c r="H38" s="42" t="n">
        <f aca="false">MIN(Clean_Data!$N$2:$N$4314)</f>
        <v>-0.449940134046718</v>
      </c>
      <c r="I38" s="42" t="n">
        <f aca="false">MAX(Clean_Data!$N$2:$N$4314)</f>
        <v>0.756034534989397</v>
      </c>
    </row>
    <row r="39" customFormat="false" ht="15" hidden="false" customHeight="false" outlineLevel="0" collapsed="false">
      <c r="A39" s="13" t="s">
        <v>324</v>
      </c>
      <c r="B39" s="76" t="n">
        <f aca="false">COUNT(Clean_Data!$O$2:$O$4314)</f>
        <v>4267</v>
      </c>
      <c r="C39" s="77" t="n">
        <f aca="false">COUNTIF(Clean_Data!$O$2:$O$4314,"&lt;0")/B39</f>
        <v>0.419967190063276</v>
      </c>
      <c r="D39" s="77" t="n">
        <f aca="false">COUNTIF(Clean_Data!$O$2:$O$4314,"&lt;"&amp;-D$36)/$B39</f>
        <v>0.291539723459105</v>
      </c>
      <c r="E39" s="77" t="n">
        <f aca="false">COUNTIF(Clean_Data!$O$2:$O$4314,"&lt;"&amp;-E$36)/$B39</f>
        <v>0.204827747832201</v>
      </c>
      <c r="F39" s="77" t="n">
        <f aca="false">COUNTIF(Clean_Data!$O$2:$O$4314,"&lt;"&amp;-F$36)/$B39</f>
        <v>0.0761659245371455</v>
      </c>
      <c r="G39" s="77" t="n">
        <f aca="false">_xlfn.PERCENTILE.INC(Clean_Data!$O$2:$O$4314,0.05)</f>
        <v>-0.235590751629821</v>
      </c>
      <c r="H39" s="77" t="n">
        <f aca="false">MIN(Clean_Data!$O$2:$O$4314)</f>
        <v>-0.596163866988635</v>
      </c>
      <c r="I39" s="77" t="n">
        <f aca="false">MAX(Clean_Data!$O$2:$O$4314)</f>
        <v>2.01207369592362</v>
      </c>
    </row>
    <row r="40" customFormat="false" ht="15" hidden="false" customHeight="false" outlineLevel="0" collapsed="false">
      <c r="A40" s="22" t="s">
        <v>325</v>
      </c>
    </row>
    <row r="42" customFormat="false" ht="15" hidden="false" customHeight="false" outlineLevel="0" collapsed="false">
      <c r="A42" s="3" t="s">
        <v>326</v>
      </c>
    </row>
    <row r="43" customFormat="false" ht="42" hidden="false" customHeight="true" outlineLevel="0" collapsed="false">
      <c r="A43" s="6" t="s">
        <v>327</v>
      </c>
      <c r="B43" s="7" t="s">
        <v>328</v>
      </c>
      <c r="C43" s="7" t="s">
        <v>329</v>
      </c>
      <c r="D43" s="7" t="s">
        <v>330</v>
      </c>
      <c r="E43" s="7" t="s">
        <v>331</v>
      </c>
      <c r="F43" s="7" t="s">
        <v>332</v>
      </c>
      <c r="G43" s="7" t="s">
        <v>333</v>
      </c>
      <c r="H43" s="7" t="s">
        <v>334</v>
      </c>
      <c r="I43" s="7" t="s">
        <v>335</v>
      </c>
      <c r="J43" s="7" t="s">
        <v>336</v>
      </c>
      <c r="K43" s="7" t="s">
        <v>337</v>
      </c>
    </row>
    <row r="44" customFormat="false" ht="15" hidden="false" customHeight="false" outlineLevel="0" collapsed="false">
      <c r="A44" s="5" t="s">
        <v>338</v>
      </c>
      <c r="B44" s="26" t="n">
        <v>42887</v>
      </c>
      <c r="C44" s="26" t="n">
        <v>43555</v>
      </c>
      <c r="D44" s="16" t="n">
        <f aca="false">_xlfn.MINIFS(Clean_Data!$A$2:$A$4314,Clean_Data!$C$2:$C$4314,E44,Clean_Data!$A$2:$A$4314,"&gt;="&amp;B44,Clean_Data!$A$2:$A$4314,"&lt;="&amp;C44)</f>
        <v>43085</v>
      </c>
      <c r="E44" s="17" t="n">
        <f aca="false">_xlfn.MAXIFS(Clean_Data!$C$2:$C$4314,Clean_Data!$A$2:$A$4314,"&gt;="&amp;B44,Clean_Data!$A$2:$A$4314,"&lt;="&amp;C44)</f>
        <v>19650.01</v>
      </c>
      <c r="F44" s="16" t="n">
        <f aca="false">_xlfn.MINIFS(Clean_Data!$A$2:$A$4314,Clean_Data!$C$2:$C$4314,G44,Clean_Data!$A$2:$A$4314,"&gt;="&amp;D44,Clean_Data!$A$2:$A$4314,"&lt;="&amp;C44)</f>
        <v>43449</v>
      </c>
      <c r="G44" s="17" t="n">
        <f aca="false">_xlfn.MINIFS(Clean_Data!$C$2:$C$4314,Clean_Data!$A$2:$A$4314,"&gt;="&amp;D44,Clean_Data!$A$2:$A$4314,"&lt;="&amp;C44)</f>
        <v>3183</v>
      </c>
      <c r="H44" s="42" t="n">
        <f aca="false">G44/E44-1</f>
        <v>-0.838015349610509</v>
      </c>
      <c r="I44" s="39" t="n">
        <f aca="false">F44-D44</f>
        <v>364</v>
      </c>
      <c r="J44" s="20" t="n">
        <f aca="false">IF(_xlfn.MINIFS(Clean_Data!$A$2:$A$4314,Clean_Data!$A$2:$A$4314,"&gt;"&amp;F44,Clean_Data!$C$2:$C$4314,"&gt;="&amp;E44)=0,"Not yet recovered",_xlfn.MINIFS(Clean_Data!$A$2:$A$4314,Clean_Data!$A$2:$A$4314,"&gt;"&amp;F44,Clean_Data!$C$2:$C$4314,"&gt;="&amp;E44))</f>
        <v>44165</v>
      </c>
      <c r="K44" s="18" t="n">
        <f aca="false">IF(ISNUMBER(J44),J44-F44,"n/a")</f>
        <v>716</v>
      </c>
    </row>
    <row r="45" customFormat="false" ht="15" hidden="false" customHeight="false" outlineLevel="0" collapsed="false">
      <c r="A45" s="5" t="s">
        <v>339</v>
      </c>
      <c r="B45" s="26" t="n">
        <v>43617</v>
      </c>
      <c r="C45" s="26" t="n">
        <v>43951</v>
      </c>
      <c r="D45" s="16" t="n">
        <f aca="false">_xlfn.MINIFS(Clean_Data!$A$2:$A$4314,Clean_Data!$C$2:$C$4314,E45,Clean_Data!$A$2:$A$4314,"&gt;="&amp;B45,Clean_Data!$A$2:$A$4314,"&lt;="&amp;C45)</f>
        <v>43642</v>
      </c>
      <c r="E45" s="17" t="n">
        <f aca="false">_xlfn.MAXIFS(Clean_Data!$C$2:$C$4314,Clean_Data!$A$2:$A$4314,"&gt;="&amp;B45,Clean_Data!$A$2:$A$4314,"&lt;="&amp;C45)</f>
        <v>12902.52</v>
      </c>
      <c r="F45" s="16" t="n">
        <f aca="false">_xlfn.MINIFS(Clean_Data!$A$2:$A$4314,Clean_Data!$C$2:$C$4314,G45,Clean_Data!$A$2:$A$4314,"&gt;="&amp;D45,Clean_Data!$A$2:$A$4314,"&lt;="&amp;C45)</f>
        <v>43902</v>
      </c>
      <c r="G45" s="17" t="n">
        <f aca="false">_xlfn.MINIFS(Clean_Data!$C$2:$C$4314,Clean_Data!$A$2:$A$4314,"&gt;="&amp;D45,Clean_Data!$A$2:$A$4314,"&lt;="&amp;C45)</f>
        <v>4980</v>
      </c>
      <c r="H45" s="42" t="n">
        <f aca="false">G45/E45-1</f>
        <v>-0.61402888738014</v>
      </c>
      <c r="I45" s="39" t="n">
        <f aca="false">F45-D45</f>
        <v>260</v>
      </c>
      <c r="J45" s="20" t="n">
        <f aca="false">IF(_xlfn.MINIFS(Clean_Data!$A$2:$A$4314,Clean_Data!$A$2:$A$4314,"&gt;"&amp;F45,Clean_Data!$C$2:$C$4314,"&gt;="&amp;E45)=0,"Not yet recovered",_xlfn.MINIFS(Clean_Data!$A$2:$A$4314,Clean_Data!$A$2:$A$4314,"&gt;"&amp;F45,Clean_Data!$C$2:$C$4314,"&gt;="&amp;E45))</f>
        <v>44126</v>
      </c>
      <c r="K45" s="18" t="n">
        <f aca="false">IF(ISNUMBER(J45),J45-F45,"n/a")</f>
        <v>224</v>
      </c>
    </row>
    <row r="46" customFormat="false" ht="15" hidden="false" customHeight="false" outlineLevel="0" collapsed="false">
      <c r="A46" s="5" t="s">
        <v>340</v>
      </c>
      <c r="B46" s="26" t="n">
        <v>44197</v>
      </c>
      <c r="C46" s="26" t="n">
        <v>44926</v>
      </c>
      <c r="D46" s="16" t="n">
        <f aca="false">_xlfn.MINIFS(Clean_Data!$A$2:$A$4314,Clean_Data!$C$2:$C$4314,E46,Clean_Data!$A$2:$A$4314,"&gt;="&amp;B46,Clean_Data!$A$2:$A$4314,"&lt;="&amp;C46)</f>
        <v>44508</v>
      </c>
      <c r="E46" s="17" t="n">
        <f aca="false">_xlfn.MAXIFS(Clean_Data!$C$2:$C$4314,Clean_Data!$A$2:$A$4314,"&gt;="&amp;B46,Clean_Data!$A$2:$A$4314,"&lt;="&amp;C46)</f>
        <v>67510.06</v>
      </c>
      <c r="F46" s="16" t="n">
        <f aca="false">_xlfn.MINIFS(Clean_Data!$A$2:$A$4314,Clean_Data!$C$2:$C$4314,G46,Clean_Data!$A$2:$A$4314,"&gt;="&amp;D46,Clean_Data!$A$2:$A$4314,"&lt;="&amp;C46)</f>
        <v>44886</v>
      </c>
      <c r="G46" s="17" t="n">
        <f aca="false">_xlfn.MINIFS(Clean_Data!$C$2:$C$4314,Clean_Data!$A$2:$A$4314,"&gt;="&amp;D46,Clean_Data!$A$2:$A$4314,"&lt;="&amp;C46)</f>
        <v>15755.75</v>
      </c>
      <c r="H46" s="42" t="n">
        <f aca="false">G46/E46-1</f>
        <v>-0.766616264301943</v>
      </c>
      <c r="I46" s="39" t="n">
        <f aca="false">F46-D46</f>
        <v>378</v>
      </c>
      <c r="J46" s="20" t="n">
        <f aca="false">IF(_xlfn.MINIFS(Clean_Data!$A$2:$A$4314,Clean_Data!$A$2:$A$4314,"&gt;"&amp;F46,Clean_Data!$C$2:$C$4314,"&gt;="&amp;E46)=0,"Not yet recovered",_xlfn.MINIFS(Clean_Data!$A$2:$A$4314,Clean_Data!$A$2:$A$4314,"&gt;"&amp;F46,Clean_Data!$C$2:$C$4314,"&gt;="&amp;E46))</f>
        <v>45355</v>
      </c>
      <c r="K46" s="18" t="n">
        <f aca="false">IF(ISNUMBER(J46),J46-F46,"n/a")</f>
        <v>469</v>
      </c>
      <c r="M46" s="22" t="s">
        <v>341</v>
      </c>
    </row>
    <row r="47" customFormat="false" ht="15" hidden="false" customHeight="false" outlineLevel="0" collapsed="false">
      <c r="A47" s="5" t="s">
        <v>342</v>
      </c>
      <c r="B47" s="26" t="n">
        <v>45658</v>
      </c>
      <c r="C47" s="16" t="n">
        <f aca="false">MAX(Clean_Data!$A$2:$A$4314)</f>
        <v>46321</v>
      </c>
      <c r="D47" s="16" t="n">
        <f aca="false">_xlfn.MINIFS(Clean_Data!$A$2:$A$4314,Clean_Data!$C$2:$C$4314,E47,Clean_Data!$A$2:$A$4314,"&gt;="&amp;B47,Clean_Data!$A$2:$A$4314,"&lt;="&amp;C47)</f>
        <v>45935</v>
      </c>
      <c r="E47" s="17" t="n">
        <f aca="false">_xlfn.MAXIFS(Clean_Data!$C$2:$C$4314,Clean_Data!$A$2:$A$4314,"&gt;="&amp;B47,Clean_Data!$A$2:$A$4314,"&lt;="&amp;C47)</f>
        <v>124720.09</v>
      </c>
      <c r="F47" s="16" t="n">
        <f aca="false">_xlfn.MINIFS(Clean_Data!$A$2:$A$4314,Clean_Data!$C$2:$C$4314,G47,Clean_Data!$A$2:$A$4314,"&gt;="&amp;D47,Clean_Data!$A$2:$A$4314,"&lt;="&amp;C47)</f>
        <v>46203</v>
      </c>
      <c r="G47" s="17" t="n">
        <f aca="false">_xlfn.MINIFS(Clean_Data!$C$2:$C$4314,Clean_Data!$A$2:$A$4314,"&gt;="&amp;D47,Clean_Data!$A$2:$A$4314,"&lt;="&amp;C47)</f>
        <v>58585.96</v>
      </c>
      <c r="H47" s="42" t="n">
        <f aca="false">G47/E47-1</f>
        <v>-0.53026044160167</v>
      </c>
      <c r="I47" s="39" t="n">
        <f aca="false">F47-D47</f>
        <v>268</v>
      </c>
      <c r="J47" s="20" t="str">
        <f aca="false">IF(_xlfn.MINIFS(Clean_Data!$A$2:$A$4314,Clean_Data!$A$2:$A$4314,"&gt;"&amp;F47,Clean_Data!$C$2:$C$4314,"&gt;="&amp;E47)=0,"Not yet recovered",_xlfn.MINIFS(Clean_Data!$A$2:$A$4314,Clean_Data!$A$2:$A$4314,"&gt;"&amp;F47,Clean_Data!$C$2:$C$4314,"&gt;="&amp;E47))</f>
        <v>Not yet recovered</v>
      </c>
      <c r="K47" s="18" t="str">
        <f aca="false">IF(ISNUMBER(J47),J47-F47,"n/a")</f>
        <v>n/a</v>
      </c>
    </row>
    <row r="48" customFormat="false" ht="15" hidden="false" customHeight="false" outlineLevel="0" collapsed="false">
      <c r="A48" s="78" t="s">
        <v>343</v>
      </c>
      <c r="B48" s="79"/>
      <c r="C48" s="79"/>
      <c r="D48" s="79"/>
      <c r="E48" s="79"/>
      <c r="F48" s="80" t="n">
        <f aca="false">INDEX(Clean_Data!$A$2:$A$4314,MATCH(H48,Clean_Data!$L$2:$L$4314,0))</f>
        <v>43449</v>
      </c>
      <c r="G48" s="81" t="n">
        <f aca="false">INDEX(Clean_Data!$C$2:$C$4314,MATCH(H48,Clean_Data!$L$2:$L$4314,0))</f>
        <v>3183</v>
      </c>
      <c r="H48" s="82" t="n">
        <f aca="false">MIN(Clean_Data!$L$2:$L$4314)</f>
        <v>-0.838015349610509</v>
      </c>
      <c r="I48" s="79"/>
      <c r="J48" s="79"/>
      <c r="K48" s="79"/>
    </row>
    <row r="49" customFormat="false" ht="15" hidden="false" customHeight="false" outlineLevel="0" collapsed="false">
      <c r="A49" s="4" t="s">
        <v>344</v>
      </c>
      <c r="H49" s="83" t="n">
        <f aca="false">INDEX(Clean_Data!$L$2:$L$4314,MATCH(MAX(Clean_Data!$A$2:$A$4314),Clean_Data!$A$2:$A$4314,0))</f>
        <v>-0.358111191228294</v>
      </c>
    </row>
    <row r="50" customFormat="false" ht="15" hidden="false" customHeight="false" outlineLevel="0" collapsed="false">
      <c r="A50" s="12" t="s">
        <v>345</v>
      </c>
      <c r="B50" s="66"/>
      <c r="C50" s="66"/>
      <c r="D50" s="66"/>
      <c r="E50" s="66"/>
      <c r="F50" s="66"/>
      <c r="G50" s="66"/>
      <c r="H50" s="84" t="n">
        <f aca="false">COUNTIF(Clean_Data!$L$2:$L$4314,"&lt;-0.5")/COUNT(Clean_Data!$L$2:$L$4314)</f>
        <v>0.312311616044517</v>
      </c>
      <c r="I50" s="66"/>
      <c r="J50" s="66"/>
      <c r="K50" s="66"/>
    </row>
    <row r="51" customFormat="false" ht="15" hidden="false" customHeight="false" outlineLevel="0" collapsed="false">
      <c r="A51" s="22" t="s">
        <v>346</v>
      </c>
    </row>
    <row r="53" customFormat="false" ht="15" hidden="false" customHeight="false" outlineLevel="0" collapsed="false">
      <c r="A53" s="3" t="s">
        <v>347</v>
      </c>
    </row>
    <row r="54" customFormat="false" ht="42" hidden="false" customHeight="true" outlineLevel="0" collapsed="false">
      <c r="A54" s="6" t="s">
        <v>83</v>
      </c>
      <c r="B54" s="7" t="s">
        <v>155</v>
      </c>
      <c r="C54" s="7" t="s">
        <v>192</v>
      </c>
      <c r="D54" s="7" t="s">
        <v>348</v>
      </c>
      <c r="E54" s="7" t="s">
        <v>349</v>
      </c>
      <c r="F54" s="7" t="s">
        <v>350</v>
      </c>
      <c r="G54" s="7" t="s">
        <v>351</v>
      </c>
    </row>
    <row r="55" customFormat="false" ht="15" hidden="false" customHeight="false" outlineLevel="0" collapsed="false">
      <c r="A55" s="38" t="n">
        <v>2015</v>
      </c>
      <c r="B55" s="85" t="n">
        <f aca="false">Obj1_Value!I29</f>
        <v>0.265735294117647</v>
      </c>
      <c r="C55" s="85" t="n">
        <f aca="false">Obj2_Volatility!E36</f>
        <v>0.571771896878321</v>
      </c>
      <c r="D55" s="40" t="n">
        <f aca="false">B55/C55</f>
        <v>0.464757529302281</v>
      </c>
      <c r="E55" s="42" t="n">
        <f aca="false">_xlfn.MINIFS(Clean_Data!$L$2:$L$4314,Clean_Data!$B$2:$B$4314,A55)</f>
        <v>-0.682539682539683</v>
      </c>
      <c r="F55" s="39" t="n">
        <f aca="false">COUNTIFS(Clean_Data!$B$2:$B$4314,A55,Clean_Data!$I$2:$I$4314,"&lt;-0.05")</f>
        <v>12</v>
      </c>
      <c r="G55" s="39" t="n">
        <f aca="false">COUNTIFS(Clean_Data!$B$2:$B$4314,A55,Clean_Data!$I$2:$I$4314,"&gt;0.05")</f>
        <v>18</v>
      </c>
    </row>
    <row r="56" customFormat="false" ht="15" hidden="false" customHeight="false" outlineLevel="0" collapsed="false">
      <c r="A56" s="38" t="n">
        <v>2016</v>
      </c>
      <c r="B56" s="85" t="n">
        <f aca="false">Obj1_Value!I30</f>
        <v>1.26181015452539</v>
      </c>
      <c r="C56" s="85" t="n">
        <f aca="false">Obj2_Volatility!E37</f>
        <v>0.498781296202321</v>
      </c>
      <c r="D56" s="40" t="n">
        <f aca="false">B56/C56</f>
        <v>2.52978642970918</v>
      </c>
      <c r="E56" s="42" t="n">
        <f aca="false">_xlfn.MINIFS(Clean_Data!$L$2:$L$4314,Clean_Data!$B$2:$B$4314,A56)</f>
        <v>-0.301769382664727</v>
      </c>
      <c r="F56" s="39" t="n">
        <f aca="false">COUNTIFS(Clean_Data!$B$2:$B$4314,A56,Clean_Data!$I$2:$I$4314,"&lt;-0.05")</f>
        <v>11</v>
      </c>
      <c r="G56" s="39" t="n">
        <f aca="false">COUNTIFS(Clean_Data!$B$2:$B$4314,A56,Clean_Data!$I$2:$I$4314,"&gt;0.05")</f>
        <v>14</v>
      </c>
    </row>
    <row r="57" customFormat="false" ht="15" hidden="false" customHeight="false" outlineLevel="0" collapsed="false">
      <c r="A57" s="38" t="n">
        <v>2017</v>
      </c>
      <c r="B57" s="85" t="n">
        <f aca="false">Obj1_Value!I31</f>
        <v>13.242405251857</v>
      </c>
      <c r="C57" s="85" t="n">
        <f aca="false">Obj2_Volatility!E38</f>
        <v>0.931440575977634</v>
      </c>
      <c r="D57" s="40" t="n">
        <f aca="false">B57/C57</f>
        <v>14.2171230171692</v>
      </c>
      <c r="E57" s="42" t="n">
        <f aca="false">_xlfn.MINIFS(Clean_Data!$L$2:$L$4314,Clean_Data!$B$2:$B$4314,A57)</f>
        <v>-0.362523257907689</v>
      </c>
      <c r="F57" s="39" t="n">
        <f aca="false">COUNTIFS(Clean_Data!$B$2:$B$4314,A57,Clean_Data!$I$2:$I$4314,"&lt;-0.05")</f>
        <v>39</v>
      </c>
      <c r="G57" s="39" t="n">
        <f aca="false">COUNTIFS(Clean_Data!$B$2:$B$4314,A57,Clean_Data!$I$2:$I$4314,"&gt;0.05")</f>
        <v>53</v>
      </c>
    </row>
    <row r="58" customFormat="false" ht="15" hidden="false" customHeight="false" outlineLevel="0" collapsed="false">
      <c r="A58" s="38" t="n">
        <v>2018</v>
      </c>
      <c r="B58" s="85" t="n">
        <f aca="false">Obj1_Value!I32</f>
        <v>-0.733692174855173</v>
      </c>
      <c r="C58" s="85" t="n">
        <f aca="false">Obj2_Volatility!E39</f>
        <v>0.837178879166633</v>
      </c>
      <c r="D58" s="40" t="n">
        <f aca="false">B58/C58</f>
        <v>-0.876386388994338</v>
      </c>
      <c r="E58" s="42" t="n">
        <f aca="false">_xlfn.MINIFS(Clean_Data!$L$2:$L$4314,Clean_Data!$B$2:$B$4314,A58)</f>
        <v>-0.838015349610509</v>
      </c>
      <c r="F58" s="39" t="n">
        <f aca="false">COUNTIFS(Clean_Data!$B$2:$B$4314,A58,Clean_Data!$I$2:$I$4314,"&lt;-0.05")</f>
        <v>45</v>
      </c>
      <c r="G58" s="39" t="n">
        <f aca="false">COUNTIFS(Clean_Data!$B$2:$B$4314,A58,Clean_Data!$I$2:$I$4314,"&gt;0.05")</f>
        <v>29</v>
      </c>
    </row>
    <row r="59" customFormat="false" ht="15" hidden="false" customHeight="false" outlineLevel="0" collapsed="false">
      <c r="A59" s="38" t="n">
        <v>2019</v>
      </c>
      <c r="B59" s="85" t="n">
        <f aca="false">Obj1_Value!I33</f>
        <v>0.938862795447281</v>
      </c>
      <c r="C59" s="85" t="n">
        <f aca="false">Obj2_Volatility!E40</f>
        <v>0.704365894347834</v>
      </c>
      <c r="D59" s="40" t="n">
        <f aca="false">B59/C59</f>
        <v>1.33291915889336</v>
      </c>
      <c r="E59" s="42" t="n">
        <f aca="false">_xlfn.MINIFS(Clean_Data!$L$2:$L$4314,Clean_Data!$B$2:$B$4314,A59)</f>
        <v>-0.829058611166101</v>
      </c>
      <c r="F59" s="39" t="n">
        <f aca="false">COUNTIFS(Clean_Data!$B$2:$B$4314,A59,Clean_Data!$I$2:$I$4314,"&lt;-0.05")</f>
        <v>19</v>
      </c>
      <c r="G59" s="39" t="n">
        <f aca="false">COUNTIFS(Clean_Data!$B$2:$B$4314,A59,Clean_Data!$I$2:$I$4314,"&gt;0.05")</f>
        <v>29</v>
      </c>
    </row>
    <row r="60" customFormat="false" ht="15" hidden="false" customHeight="false" outlineLevel="0" collapsed="false">
      <c r="A60" s="38" t="n">
        <v>2020</v>
      </c>
      <c r="B60" s="85" t="n">
        <f aca="false">Obj1_Value!I34</f>
        <v>3.05517315566757</v>
      </c>
      <c r="C60" s="85" t="n">
        <f aca="false">Obj2_Volatility!E41</f>
        <v>0.792671479328381</v>
      </c>
      <c r="D60" s="40" t="n">
        <f aca="false">B60/C60</f>
        <v>3.85427410389001</v>
      </c>
      <c r="E60" s="42" t="n">
        <f aca="false">_xlfn.MINIFS(Clean_Data!$L$2:$L$4314,Clean_Data!$B$2:$B$4314,A60)</f>
        <v>-0.746565014470731</v>
      </c>
      <c r="F60" s="39" t="n">
        <f aca="false">COUNTIFS(Clean_Data!$B$2:$B$4314,A60,Clean_Data!$I$2:$I$4314,"&lt;-0.05")</f>
        <v>17</v>
      </c>
      <c r="G60" s="39" t="n">
        <f aca="false">COUNTIFS(Clean_Data!$B$2:$B$4314,A60,Clean_Data!$I$2:$I$4314,"&gt;0.05")</f>
        <v>29</v>
      </c>
    </row>
    <row r="61" customFormat="false" ht="15" hidden="false" customHeight="false" outlineLevel="0" collapsed="false">
      <c r="A61" s="38" t="n">
        <v>2021</v>
      </c>
      <c r="B61" s="85" t="n">
        <f aca="false">Obj1_Value!I35</f>
        <v>0.593160774273029</v>
      </c>
      <c r="C61" s="85" t="n">
        <f aca="false">Obj2_Volatility!E42</f>
        <v>0.805498753726479</v>
      </c>
      <c r="D61" s="40" t="n">
        <f aca="false">B61/C61</f>
        <v>0.736389437635862</v>
      </c>
      <c r="E61" s="42" t="n">
        <f aca="false">_xlfn.MINIFS(Clean_Data!$L$2:$L$4314,Clean_Data!$B$2:$B$4314,A61)</f>
        <v>-0.532073984455775</v>
      </c>
      <c r="F61" s="39" t="n">
        <f aca="false">COUNTIFS(Clean_Data!$B$2:$B$4314,A61,Clean_Data!$I$2:$I$4314,"&lt;-0.05")</f>
        <v>36</v>
      </c>
      <c r="G61" s="39" t="n">
        <f aca="false">COUNTIFS(Clean_Data!$B$2:$B$4314,A61,Clean_Data!$I$2:$I$4314,"&gt;0.05")</f>
        <v>40</v>
      </c>
    </row>
    <row r="62" customFormat="false" ht="15" hidden="false" customHeight="false" outlineLevel="0" collapsed="false">
      <c r="A62" s="38" t="n">
        <v>2022</v>
      </c>
      <c r="B62" s="85" t="n">
        <f aca="false">Obj1_Value!I36</f>
        <v>-0.642531467978012</v>
      </c>
      <c r="C62" s="85" t="n">
        <f aca="false">Obj2_Volatility!E43</f>
        <v>0.644658651506153</v>
      </c>
      <c r="D62" s="40" t="n">
        <f aca="false">B62/C62</f>
        <v>-0.996700294763482</v>
      </c>
      <c r="E62" s="42" t="n">
        <f aca="false">_xlfn.MINIFS(Clean_Data!$L$2:$L$4314,Clean_Data!$B$2:$B$4314,A62)</f>
        <v>-0.766616264301943</v>
      </c>
      <c r="F62" s="39" t="n">
        <f aca="false">COUNTIFS(Clean_Data!$B$2:$B$4314,A62,Clean_Data!$I$2:$I$4314,"&lt;-0.05")</f>
        <v>23</v>
      </c>
      <c r="G62" s="39" t="n">
        <f aca="false">COUNTIFS(Clean_Data!$B$2:$B$4314,A62,Clean_Data!$I$2:$I$4314,"&gt;0.05")</f>
        <v>14</v>
      </c>
    </row>
    <row r="63" customFormat="false" ht="15" hidden="false" customHeight="false" outlineLevel="0" collapsed="false">
      <c r="A63" s="38" t="n">
        <v>2023</v>
      </c>
      <c r="B63" s="85" t="n">
        <f aca="false">Obj1_Value!I37</f>
        <v>1.55887605105559</v>
      </c>
      <c r="C63" s="85" t="n">
        <f aca="false">Obj2_Volatility!E44</f>
        <v>0.437918775374223</v>
      </c>
      <c r="D63" s="40" t="n">
        <f aca="false">B63/C63</f>
        <v>3.55973787541641</v>
      </c>
      <c r="E63" s="42" t="n">
        <f aca="false">_xlfn.MINIFS(Clean_Data!$L$2:$L$4314,Clean_Data!$B$2:$B$4314,A63)</f>
        <v>-0.753885865306593</v>
      </c>
      <c r="F63" s="39" t="n">
        <f aca="false">COUNTIFS(Clean_Data!$B$2:$B$4314,A63,Clean_Data!$I$2:$I$4314,"&lt;-0.05")</f>
        <v>7</v>
      </c>
      <c r="G63" s="39" t="n">
        <f aca="false">COUNTIFS(Clean_Data!$B$2:$B$4314,A63,Clean_Data!$I$2:$I$4314,"&gt;0.05")</f>
        <v>16</v>
      </c>
    </row>
    <row r="64" customFormat="false" ht="15" hidden="false" customHeight="false" outlineLevel="0" collapsed="false">
      <c r="A64" s="38" t="n">
        <v>2024</v>
      </c>
      <c r="B64" s="85" t="n">
        <f aca="false">Obj1_Value!I38</f>
        <v>1.23124940012926</v>
      </c>
      <c r="C64" s="85" t="n">
        <f aca="false">Obj2_Volatility!E45</f>
        <v>0.529544450498059</v>
      </c>
      <c r="D64" s="40" t="n">
        <f aca="false">B64/C64</f>
        <v>2.32511057187215</v>
      </c>
      <c r="E64" s="42" t="n">
        <f aca="false">_xlfn.MINIFS(Clean_Data!$L$2:$L$4314,Clean_Data!$B$2:$B$4314,A64)</f>
        <v>-0.414196343478291</v>
      </c>
      <c r="F64" s="39" t="n">
        <f aca="false">COUNTIFS(Clean_Data!$B$2:$B$4314,A64,Clean_Data!$I$2:$I$4314,"&lt;-0.05")</f>
        <v>11</v>
      </c>
      <c r="G64" s="39" t="n">
        <f aca="false">COUNTIFS(Clean_Data!$B$2:$B$4314,A64,Clean_Data!$I$2:$I$4314,"&gt;0.05")</f>
        <v>16</v>
      </c>
    </row>
    <row r="65" customFormat="false" ht="15" hidden="false" customHeight="false" outlineLevel="0" collapsed="false">
      <c r="A65" s="38" t="n">
        <v>2025</v>
      </c>
      <c r="B65" s="85" t="n">
        <f aca="false">Obj1_Value!I39</f>
        <v>-0.0708554315427078</v>
      </c>
      <c r="C65" s="85" t="n">
        <f aca="false">Obj2_Volatility!E46</f>
        <v>0.419018131586984</v>
      </c>
      <c r="D65" s="40" t="n">
        <f aca="false">B65/C65</f>
        <v>-0.169098724378229</v>
      </c>
      <c r="E65" s="42" t="n">
        <f aca="false">_xlfn.MINIFS(Clean_Data!$L$2:$L$4314,Clean_Data!$B$2:$B$4314,A65)</f>
        <v>-0.319868996245914</v>
      </c>
      <c r="F65" s="39" t="n">
        <f aca="false">COUNTIFS(Clean_Data!$B$2:$B$4314,A65,Clean_Data!$I$2:$I$4314,"&lt;-0.05")</f>
        <v>6</v>
      </c>
      <c r="G65" s="39" t="n">
        <f aca="false">COUNTIFS(Clean_Data!$B$2:$B$4314,A65,Clean_Data!$I$2:$I$4314,"&gt;0.05")</f>
        <v>7</v>
      </c>
    </row>
    <row r="66" customFormat="false" ht="15" hidden="false" customHeight="false" outlineLevel="0" collapsed="false">
      <c r="A66" s="38" t="n">
        <v>2026</v>
      </c>
      <c r="B66" s="85" t="n">
        <f aca="false">Obj1_Value!I40</f>
        <v>-0.0871142355409598</v>
      </c>
      <c r="C66" s="85" t="n">
        <f aca="false">Obj2_Volatility!E47</f>
        <v>0.424134036721335</v>
      </c>
      <c r="D66" s="40" t="n">
        <f aca="false">B66/C66</f>
        <v>-0.205393172909147</v>
      </c>
      <c r="E66" s="42" t="n">
        <f aca="false">_xlfn.MINIFS(Clean_Data!$L$2:$L$4314,Clean_Data!$B$2:$B$4314,A66)</f>
        <v>-0.53026044160167</v>
      </c>
      <c r="F66" s="39" t="n">
        <f aca="false">COUNTIFS(Clean_Data!$B$2:$B$4314,A66,Clean_Data!$I$2:$I$4314,"&lt;-0.05")</f>
        <v>4</v>
      </c>
      <c r="G66" s="39" t="n">
        <f aca="false">COUNTIFS(Clean_Data!$B$2:$B$4314,A66,Clean_Data!$I$2:$I$4314,"&gt;0.05")</f>
        <v>9</v>
      </c>
    </row>
    <row r="67" customFormat="false" ht="15" hidden="false" customHeight="false" outlineLevel="0" collapsed="false">
      <c r="A67" s="43" t="s">
        <v>352</v>
      </c>
      <c r="B67" s="61" t="n">
        <f aca="false">AVERAGE(B55:B65)</f>
        <v>1.88183580024517</v>
      </c>
      <c r="C67" s="61" t="n">
        <f aca="false">AVERAGE(C55:C65)</f>
        <v>0.652077162235729</v>
      </c>
      <c r="D67" s="86" t="n">
        <f aca="false">AVERAGE(D55:D65)</f>
        <v>2.45253751961385</v>
      </c>
      <c r="E67" s="45"/>
      <c r="F67" s="44" t="n">
        <f aca="false">SUM(F55:F66)</f>
        <v>230</v>
      </c>
      <c r="G67" s="44" t="n">
        <f aca="false">SUM(G55:G66)</f>
        <v>274</v>
      </c>
    </row>
    <row r="68" customFormat="false" ht="15" hidden="false" customHeight="false" outlineLevel="0" collapsed="false">
      <c r="A68" s="22" t="s">
        <v>353</v>
      </c>
      <c r="M68" s="22" t="s">
        <v>354</v>
      </c>
    </row>
    <row r="90" customFormat="false" ht="15" hidden="false" customHeight="false" outlineLevel="0" collapsed="false">
      <c r="M90" s="22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356</v>
      </c>
    </row>
    <row r="2" customFormat="false" ht="15" hidden="false" customHeight="false" outlineLevel="0" collapsed="false">
      <c r="A2" s="22" t="s">
        <v>357</v>
      </c>
    </row>
    <row r="4" customFormat="false" ht="15" hidden="false" customHeight="false" outlineLevel="0" collapsed="false">
      <c r="A4" s="3" t="s">
        <v>358</v>
      </c>
    </row>
    <row r="5" customFormat="false" ht="18" hidden="false" customHeight="true" outlineLevel="0" collapsed="false">
      <c r="A5" s="6" t="s">
        <v>15</v>
      </c>
      <c r="B5" s="7" t="s">
        <v>359</v>
      </c>
      <c r="C5" s="7" t="s">
        <v>73</v>
      </c>
      <c r="D5" s="7" t="s">
        <v>360</v>
      </c>
    </row>
    <row r="6" customFormat="false" ht="15" hidden="false" customHeight="false" outlineLevel="0" collapsed="false">
      <c r="A6" s="5" t="s">
        <v>18</v>
      </c>
      <c r="B6" s="5" t="s">
        <v>361</v>
      </c>
      <c r="C6" s="87" t="n">
        <f aca="false">Obj1_Value!B12</f>
        <v>216.36872972973</v>
      </c>
      <c r="D6" s="5" t="s">
        <v>362</v>
      </c>
    </row>
    <row r="7" customFormat="false" ht="15" hidden="false" customHeight="false" outlineLevel="0" collapsed="false">
      <c r="A7" s="5" t="s">
        <v>18</v>
      </c>
      <c r="B7" s="5" t="s">
        <v>125</v>
      </c>
      <c r="C7" s="88" t="n">
        <f aca="false">Obj1_Value!B13</f>
        <v>0.571126419732907</v>
      </c>
      <c r="D7" s="5" t="s">
        <v>363</v>
      </c>
    </row>
    <row r="8" customFormat="false" ht="15" hidden="false" customHeight="false" outlineLevel="0" collapsed="false">
      <c r="A8" s="5" t="s">
        <v>18</v>
      </c>
      <c r="B8" s="5" t="s">
        <v>364</v>
      </c>
      <c r="C8" s="88" t="n">
        <f aca="false">Obj1_Value!B22</f>
        <v>0.662255673710597</v>
      </c>
      <c r="D8" s="5" t="s">
        <v>365</v>
      </c>
    </row>
    <row r="9" customFormat="false" ht="15" hidden="false" customHeight="false" outlineLevel="0" collapsed="false">
      <c r="A9" s="5" t="s">
        <v>18</v>
      </c>
      <c r="B9" s="5" t="s">
        <v>144</v>
      </c>
      <c r="C9" s="89" t="n">
        <f aca="false">Obj1_Value!B23</f>
        <v>0.861675906838359</v>
      </c>
      <c r="D9" s="5" t="s">
        <v>366</v>
      </c>
    </row>
    <row r="10" customFormat="false" ht="15" hidden="false" customHeight="false" outlineLevel="0" collapsed="false">
      <c r="A10" s="5" t="s">
        <v>18</v>
      </c>
      <c r="B10" s="5" t="s">
        <v>367</v>
      </c>
      <c r="C10" s="90" t="n">
        <f aca="false">Obj1_Value!B48</f>
        <v>3</v>
      </c>
      <c r="D10" s="5" t="s">
        <v>368</v>
      </c>
    </row>
    <row r="11" customFormat="false" ht="15" hidden="false" customHeight="false" outlineLevel="0" collapsed="false">
      <c r="A11" s="91" t="s">
        <v>18</v>
      </c>
      <c r="B11" s="91" t="s">
        <v>138</v>
      </c>
      <c r="C11" s="92" t="n">
        <f aca="false">Obj1_Value!B20</f>
        <v>-0.358111191228294</v>
      </c>
      <c r="D11" s="91" t="s">
        <v>369</v>
      </c>
    </row>
    <row r="12" customFormat="false" ht="15" hidden="false" customHeight="false" outlineLevel="0" collapsed="false">
      <c r="A12" s="5" t="s">
        <v>22</v>
      </c>
      <c r="B12" s="5" t="s">
        <v>370</v>
      </c>
      <c r="C12" s="88" t="n">
        <f aca="false">Obj2_Volatility!B15</f>
        <v>0.660285255583128</v>
      </c>
      <c r="D12" s="5" t="s">
        <v>371</v>
      </c>
    </row>
    <row r="13" customFormat="false" ht="15" hidden="false" customHeight="false" outlineLevel="0" collapsed="false">
      <c r="A13" s="5" t="s">
        <v>22</v>
      </c>
      <c r="B13" s="5" t="s">
        <v>372</v>
      </c>
      <c r="C13" s="93" t="n">
        <f aca="false">Obj2_Volatility!B18</f>
        <v>11.9587030604755</v>
      </c>
      <c r="D13" s="5" t="s">
        <v>373</v>
      </c>
    </row>
    <row r="14" customFormat="false" ht="15" hidden="false" customHeight="false" outlineLevel="0" collapsed="false">
      <c r="A14" s="5" t="s">
        <v>22</v>
      </c>
      <c r="B14" s="5" t="s">
        <v>374</v>
      </c>
      <c r="C14" s="94" t="n">
        <f aca="false">Obj2_Volatility!B21</f>
        <v>0</v>
      </c>
      <c r="D14" s="5" t="s">
        <v>375</v>
      </c>
    </row>
    <row r="15" customFormat="false" ht="15" hidden="false" customHeight="false" outlineLevel="0" collapsed="false">
      <c r="A15" s="5" t="s">
        <v>22</v>
      </c>
      <c r="B15" s="5" t="s">
        <v>376</v>
      </c>
      <c r="C15" s="87" t="n">
        <f aca="false">Obj2_Volatility!B31</f>
        <v>5.64047005473745</v>
      </c>
      <c r="D15" s="5" t="s">
        <v>377</v>
      </c>
    </row>
    <row r="16" customFormat="false" ht="15" hidden="false" customHeight="false" outlineLevel="0" collapsed="false">
      <c r="A16" s="5" t="s">
        <v>22</v>
      </c>
      <c r="B16" s="5" t="s">
        <v>378</v>
      </c>
      <c r="C16" s="88" t="n">
        <f aca="false">Obj2_Volatility!B59</f>
        <v>0.741010920709915</v>
      </c>
      <c r="D16" s="5" t="s">
        <v>379</v>
      </c>
    </row>
    <row r="17" customFormat="false" ht="15" hidden="false" customHeight="false" outlineLevel="0" collapsed="false">
      <c r="A17" s="5" t="s">
        <v>22</v>
      </c>
      <c r="B17" s="5" t="s">
        <v>380</v>
      </c>
      <c r="C17" s="88" t="n">
        <f aca="false">Obj2_Volatility!C59</f>
        <v>0.565718660227246</v>
      </c>
      <c r="D17" s="5" t="s">
        <v>381</v>
      </c>
    </row>
    <row r="18" customFormat="false" ht="15" hidden="false" customHeight="false" outlineLevel="0" collapsed="false">
      <c r="A18" s="5" t="s">
        <v>22</v>
      </c>
      <c r="B18" s="5" t="s">
        <v>382</v>
      </c>
      <c r="C18" s="94" t="n">
        <f aca="false">Obj2_Volatility!B63</f>
        <v>2.08482992700321E-035</v>
      </c>
      <c r="D18" s="5" t="s">
        <v>383</v>
      </c>
    </row>
    <row r="19" customFormat="false" ht="15" hidden="false" customHeight="false" outlineLevel="0" collapsed="false">
      <c r="A19" s="91" t="s">
        <v>22</v>
      </c>
      <c r="B19" s="91" t="s">
        <v>249</v>
      </c>
      <c r="C19" s="92" t="n">
        <f aca="false">Obj2_Volatility!B68</f>
        <v>0.420614475291961</v>
      </c>
      <c r="D19" s="91" t="s">
        <v>384</v>
      </c>
    </row>
    <row r="20" customFormat="false" ht="15" hidden="false" customHeight="false" outlineLevel="0" collapsed="false">
      <c r="A20" s="5" t="s">
        <v>26</v>
      </c>
      <c r="B20" s="5" t="s">
        <v>385</v>
      </c>
      <c r="C20" s="95" t="n">
        <f aca="false">Obj3_Risk!C11</f>
        <v>0.0982574752247599</v>
      </c>
      <c r="D20" s="5" t="s">
        <v>386</v>
      </c>
    </row>
    <row r="21" customFormat="false" ht="15" hidden="false" customHeight="false" outlineLevel="0" collapsed="false">
      <c r="A21" s="5" t="s">
        <v>26</v>
      </c>
      <c r="B21" s="5" t="s">
        <v>387</v>
      </c>
      <c r="C21" s="95" t="n">
        <f aca="false">Obj3_Risk!C13</f>
        <v>0.126499791006411</v>
      </c>
      <c r="D21" s="5" t="s">
        <v>388</v>
      </c>
    </row>
    <row r="22" customFormat="false" ht="15" hidden="false" customHeight="false" outlineLevel="0" collapsed="false">
      <c r="A22" s="5" t="s">
        <v>26</v>
      </c>
      <c r="B22" s="5" t="s">
        <v>389</v>
      </c>
      <c r="C22" s="96" t="n">
        <f aca="false">Obj3_Risk!C18</f>
        <v>1.8389199255121</v>
      </c>
      <c r="D22" s="5" t="s">
        <v>390</v>
      </c>
    </row>
    <row r="23" customFormat="false" ht="15" hidden="false" customHeight="false" outlineLevel="0" collapsed="false">
      <c r="A23" s="5" t="s">
        <v>26</v>
      </c>
      <c r="B23" s="5" t="s">
        <v>391</v>
      </c>
      <c r="C23" s="97" t="n">
        <f aca="false">Obj3_Risk!C27</f>
        <v>310717.418847806</v>
      </c>
      <c r="D23" s="5" t="s">
        <v>392</v>
      </c>
    </row>
    <row r="24" customFormat="false" ht="15" hidden="false" customHeight="false" outlineLevel="0" collapsed="false">
      <c r="A24" s="5" t="s">
        <v>26</v>
      </c>
      <c r="B24" s="5" t="s">
        <v>393</v>
      </c>
      <c r="C24" s="88" t="n">
        <f aca="false">Obj3_Risk!E39</f>
        <v>0.204827747832201</v>
      </c>
      <c r="D24" s="5" t="s">
        <v>394</v>
      </c>
    </row>
    <row r="25" customFormat="false" ht="15" hidden="false" customHeight="false" outlineLevel="0" collapsed="false">
      <c r="A25" s="5" t="s">
        <v>26</v>
      </c>
      <c r="B25" s="5" t="s">
        <v>343</v>
      </c>
      <c r="C25" s="88" t="n">
        <f aca="false">Obj3_Risk!H48</f>
        <v>-0.838015349610509</v>
      </c>
      <c r="D25" s="5" t="s">
        <v>395</v>
      </c>
    </row>
    <row r="26" customFormat="false" ht="15" hidden="false" customHeight="false" outlineLevel="0" collapsed="false">
      <c r="A26" s="13" t="s">
        <v>26</v>
      </c>
      <c r="B26" s="13" t="s">
        <v>344</v>
      </c>
      <c r="C26" s="98" t="n">
        <f aca="false">Obj3_Risk!H49</f>
        <v>-0.358111191228294</v>
      </c>
      <c r="D26" s="13" t="s">
        <v>396</v>
      </c>
    </row>
    <row r="27" customFormat="false" ht="15" hidden="false" customHeight="false" outlineLevel="0" collapsed="false">
      <c r="A27" s="22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398</v>
      </c>
    </row>
    <row r="2" customFormat="false" ht="15" hidden="false" customHeight="false" outlineLevel="0" collapsed="false">
      <c r="A2" s="22" t="s">
        <v>399</v>
      </c>
    </row>
    <row r="4" customFormat="false" ht="18" hidden="false" customHeight="true" outlineLevel="0" collapsed="false">
      <c r="A4" s="6" t="s">
        <v>400</v>
      </c>
      <c r="B4" s="7" t="s">
        <v>401</v>
      </c>
      <c r="C4" s="7" t="s">
        <v>402</v>
      </c>
      <c r="D4" s="7" t="s">
        <v>403</v>
      </c>
      <c r="E4" s="7" t="s">
        <v>404</v>
      </c>
    </row>
    <row r="5" customFormat="false" ht="15" hidden="false" customHeight="false" outlineLevel="0" collapsed="false">
      <c r="A5" s="5" t="s">
        <v>405</v>
      </c>
      <c r="B5" s="99" t="n">
        <f aca="false">COUNT(Raw_Data!B:B)</f>
        <v>4313</v>
      </c>
      <c r="C5" s="18" t="n">
        <f aca="false">COUNT(Clean_Data!$C$2:$C$4314)</f>
        <v>4313</v>
      </c>
      <c r="D5" s="35" t="n">
        <f aca="false">B5-C5</f>
        <v>0</v>
      </c>
      <c r="E5" s="67" t="str">
        <f aca="false">IF(ABS(D5)&lt;0.000001,"OK","CHECK")</f>
        <v>OK</v>
      </c>
    </row>
    <row r="6" customFormat="false" ht="15" hidden="false" customHeight="false" outlineLevel="0" collapsed="false">
      <c r="A6" s="5" t="s">
        <v>406</v>
      </c>
      <c r="B6" s="99" t="n">
        <f aca="false">Obj1_Value!B41</f>
        <v>4313</v>
      </c>
      <c r="C6" s="18" t="n">
        <f aca="false">COUNT(Clean_Data!$C$2:$C$4314)</f>
        <v>4313</v>
      </c>
      <c r="D6" s="35" t="n">
        <f aca="false">B6-C6</f>
        <v>0</v>
      </c>
      <c r="E6" s="67" t="str">
        <f aca="false">IF(ABS(D6)&lt;0.000001,"OK","CHECK")</f>
        <v>OK</v>
      </c>
    </row>
    <row r="7" customFormat="false" ht="15" hidden="false" customHeight="false" outlineLevel="0" collapsed="false">
      <c r="A7" s="5" t="s">
        <v>407</v>
      </c>
      <c r="B7" s="94" t="n">
        <f aca="false">Obj1_Value!B14</f>
        <v>5.37698403435773</v>
      </c>
      <c r="C7" s="34" t="n">
        <f aca="false">LN(Obj1_Value!B9/Obj1_Value!B7)</f>
        <v>5.37698403435773</v>
      </c>
      <c r="D7" s="35" t="n">
        <f aca="false">B7-C7</f>
        <v>0</v>
      </c>
      <c r="E7" s="67" t="str">
        <f aca="false">IF(ABS(D7)&lt;0.000001,"OK","CHECK")</f>
        <v>OK</v>
      </c>
    </row>
    <row r="8" customFormat="false" ht="15" hidden="false" customHeight="false" outlineLevel="0" collapsed="false">
      <c r="A8" s="5" t="s">
        <v>408</v>
      </c>
      <c r="B8" s="94" t="n">
        <f aca="false">Obj1_Value!J41</f>
        <v>5.37698403435773</v>
      </c>
      <c r="C8" s="34" t="n">
        <f aca="false">Obj1_Value!B14</f>
        <v>5.37698403435773</v>
      </c>
      <c r="D8" s="35" t="n">
        <f aca="false">B8-C8</f>
        <v>0</v>
      </c>
      <c r="E8" s="67" t="str">
        <f aca="false">IF(ABS(D8)&lt;0.000001,"OK","CHECK")</f>
        <v>OK</v>
      </c>
    </row>
    <row r="9" customFormat="false" ht="15" hidden="false" customHeight="false" outlineLevel="0" collapsed="false">
      <c r="A9" s="5" t="s">
        <v>409</v>
      </c>
      <c r="B9" s="100" t="n">
        <f aca="false">Obj1_Value!G41</f>
        <v>124720.09</v>
      </c>
      <c r="C9" s="30" t="n">
        <f aca="false">Obj1_Value!B16</f>
        <v>124720.09</v>
      </c>
      <c r="D9" s="35" t="n">
        <f aca="false">B9-C9</f>
        <v>0</v>
      </c>
      <c r="E9" s="67" t="str">
        <f aca="false">IF(ABS(D9)&lt;0.000001,"OK","CHECK")</f>
        <v>OK</v>
      </c>
    </row>
    <row r="10" customFormat="false" ht="15" hidden="false" customHeight="false" outlineLevel="0" collapsed="false">
      <c r="A10" s="5" t="s">
        <v>410</v>
      </c>
      <c r="B10" s="101" t="n">
        <f aca="false">Obj2_Volatility!D48</f>
        <v>0.0345609098505803</v>
      </c>
      <c r="C10" s="102" t="n">
        <f aca="false">Obj2_Volatility!B11</f>
        <v>0.0345609098505803</v>
      </c>
      <c r="D10" s="35" t="n">
        <f aca="false">B10-C10</f>
        <v>0</v>
      </c>
      <c r="E10" s="67" t="str">
        <f aca="false">IF(ABS(D10)&lt;0.000001,"OK","CHECK")</f>
        <v>OK</v>
      </c>
    </row>
    <row r="11" customFormat="false" ht="15" hidden="false" customHeight="false" outlineLevel="0" collapsed="false">
      <c r="A11" s="5" t="s">
        <v>411</v>
      </c>
      <c r="B11" s="99" t="n">
        <f aca="false">Obj2_Volatility!B48</f>
        <v>4296</v>
      </c>
      <c r="C11" s="18" t="n">
        <f aca="false">Obj2_Volatility!B8</f>
        <v>4296</v>
      </c>
      <c r="D11" s="35" t="n">
        <f aca="false">B11-C11</f>
        <v>0</v>
      </c>
      <c r="E11" s="67" t="str">
        <f aca="false">IF(ABS(D11)&lt;0.000001,"OK","CHECK")</f>
        <v>OK</v>
      </c>
    </row>
    <row r="12" customFormat="false" ht="15" hidden="false" customHeight="false" outlineLevel="0" collapsed="false">
      <c r="A12" s="5" t="s">
        <v>412</v>
      </c>
      <c r="B12" s="99" t="n">
        <f aca="false">Obj2_Volatility!D105</f>
        <v>4296</v>
      </c>
      <c r="C12" s="18" t="n">
        <f aca="false">Obj2_Volatility!B8</f>
        <v>4296</v>
      </c>
      <c r="D12" s="35" t="n">
        <f aca="false">B12-C12</f>
        <v>0</v>
      </c>
      <c r="E12" s="67" t="str">
        <f aca="false">IF(ABS(D12)&lt;0.000001,"OK","CHECK")</f>
        <v>OK</v>
      </c>
    </row>
    <row r="13" customFormat="false" ht="15" hidden="false" customHeight="false" outlineLevel="0" collapsed="false">
      <c r="A13" s="5" t="s">
        <v>413</v>
      </c>
      <c r="B13" s="99" t="n">
        <f aca="false">Obj2_Volatility!B8</f>
        <v>4296</v>
      </c>
      <c r="C13" s="18" t="n">
        <f aca="false">COUNTIFS(Clean_Data!$D$2:$D$4314,1,Clean_Data!$A$2:$A$4314,"&gt;="&amp;Clean_Data!R2)</f>
        <v>4296</v>
      </c>
      <c r="D13" s="35" t="n">
        <f aca="false">B13-C13</f>
        <v>0</v>
      </c>
      <c r="E13" s="67" t="str">
        <f aca="false">IF(ABS(D13)&lt;0.000001,"OK","CHECK")</f>
        <v>OK</v>
      </c>
    </row>
    <row r="14" customFormat="false" ht="15" hidden="false" customHeight="false" outlineLevel="0" collapsed="false">
      <c r="A14" s="13" t="s">
        <v>414</v>
      </c>
      <c r="B14" s="103" t="n">
        <f aca="false">Obj3_Risk!B8</f>
        <v>4296</v>
      </c>
      <c r="C14" s="104" t="n">
        <f aca="false">Obj2_Volatility!B8</f>
        <v>4296</v>
      </c>
      <c r="D14" s="105" t="n">
        <f aca="false">B14-C14</f>
        <v>0</v>
      </c>
      <c r="E14" s="106" t="str">
        <f aca="false">IF(ABS(D14)&lt;0.000001,"OK","CHECK")</f>
        <v>OK</v>
      </c>
    </row>
    <row r="16" customFormat="false" ht="15" hidden="false" customHeight="false" outlineLevel="0" collapsed="false">
      <c r="A16" s="4" t="s">
        <v>415</v>
      </c>
      <c r="B16" s="107" t="str">
        <f aca="false">IF(COUNTIF(E5:E14,"OK")=10,"YES","NO")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2026-10-27T08:16:46Z</dcterms:created>
  <dc:creator>openpyxl</dc:creator>
  <dc:description/>
  <dc:language>en-US</dc:language>
  <cp:lastModifiedBy/>
  <dcterms:modified xsi:type="dcterms:W3CDTF">2026-10-27T08:16:53Z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